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autoCompressPictures="0"/>
  <mc:AlternateContent xmlns:mc="http://schemas.openxmlformats.org/markup-compatibility/2006">
    <mc:Choice Requires="x15">
      <x15ac:absPath xmlns:x15ac="http://schemas.microsoft.com/office/spreadsheetml/2010/11/ac" url="https://dprprod-my.sharepoint.com/personal/abhisheks_dpr_com/Documents/Desktop/"/>
    </mc:Choice>
  </mc:AlternateContent>
  <xr:revisionPtr revIDLastSave="512" documentId="8_{D2060E7D-C71C-45A8-810B-E968150A3A47}" xr6:coauthVersionLast="45" xr6:coauthVersionMax="45" xr10:uidLastSave="{20C7A9C1-D1B9-4DF7-B7C9-8FBDE6FD52B3}"/>
  <bookViews>
    <workbookView xWindow="-108" yWindow="-108" windowWidth="23256" windowHeight="12576" tabRatio="697" xr2:uid="{00000000-000D-0000-FFFF-FFFF00000000}"/>
    <workbookView visibility="hidden" xWindow="1500" yWindow="1500" windowWidth="17280" windowHeight="8964" firstSheet="9" activeTab="9" xr2:uid="{6ED09626-8C2B-45BB-AFA4-78DCB6228623}"/>
  </bookViews>
  <sheets>
    <sheet name="Price Implied Expectations (2)" sheetId="24" r:id="rId1"/>
    <sheet name="Sales Forecast" sheetId="21" r:id="rId2"/>
    <sheet name="OCCL Analysis " sheetId="20" r:id="rId3"/>
    <sheet name="Profit &amp; Loss" sheetId="1" r:id="rId4"/>
    <sheet name="Quarters" sheetId="3" state="hidden" r:id="rId5"/>
    <sheet name="Balance Sheet" sheetId="2" r:id="rId6"/>
    <sheet name="Cash Flow" sheetId="4" state="hidden" r:id="rId7"/>
    <sheet name="Customization" sheetId="5" r:id="rId8"/>
    <sheet name="Data Sheet" sheetId="6" r:id="rId9"/>
    <sheet name="KeyMetrics" sheetId="15" r:id="rId10"/>
    <sheet name="Sheet2" sheetId="22" r:id="rId11"/>
    <sheet name="Charts" sheetId="19" r:id="rId12"/>
    <sheet name="Forecast" sheetId="17" r:id="rId13"/>
  </sheets>
  <externalReferences>
    <externalReference r:id="rId14"/>
    <externalReference r:id="rId15"/>
  </externalReferences>
  <definedNames>
    <definedName name="FinCodes" localSheetId="12">#REF!</definedName>
    <definedName name="FinCodes" localSheetId="0">#REF!</definedName>
    <definedName name="FinCodes">#REF!</definedName>
    <definedName name="UPDATE" localSheetId="12">'[1]Data Sheet'!$E$1</definedName>
    <definedName name="UPDATE" localSheetId="0">'[2]Data Sheet'!$E$1</definedName>
    <definedName name="UPDATE">'Data Sheet'!$E$1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0" i="15" l="1"/>
  <c r="E20" i="15"/>
  <c r="F20" i="15"/>
  <c r="G20" i="15"/>
  <c r="H20" i="15"/>
  <c r="I20" i="15"/>
  <c r="J20" i="15"/>
  <c r="K20" i="15"/>
  <c r="C20" i="15"/>
  <c r="E19" i="15"/>
  <c r="E22" i="15"/>
  <c r="E23" i="15"/>
  <c r="D19" i="15"/>
  <c r="D22" i="15"/>
  <c r="D23" i="15"/>
  <c r="E24" i="15"/>
  <c r="F19" i="15"/>
  <c r="F22" i="15"/>
  <c r="F23" i="15"/>
  <c r="F24" i="15"/>
  <c r="G19" i="15"/>
  <c r="G22" i="15"/>
  <c r="G23" i="15"/>
  <c r="G24" i="15"/>
  <c r="H19" i="15"/>
  <c r="H22" i="15"/>
  <c r="H23" i="15"/>
  <c r="H24" i="15"/>
  <c r="I19" i="15"/>
  <c r="I22" i="15"/>
  <c r="I23" i="15"/>
  <c r="I24" i="15"/>
  <c r="J19" i="15"/>
  <c r="J22" i="15"/>
  <c r="J23" i="15"/>
  <c r="J24" i="15"/>
  <c r="K19" i="15"/>
  <c r="K22" i="15"/>
  <c r="K23" i="15"/>
  <c r="K24" i="15"/>
  <c r="C19" i="15"/>
  <c r="C22" i="15"/>
  <c r="C23" i="15"/>
  <c r="D24" i="15"/>
  <c r="AD16" i="24"/>
  <c r="AD17" i="24"/>
  <c r="AC14" i="24"/>
  <c r="AD14" i="24"/>
  <c r="AD15" i="24"/>
  <c r="AC10" i="24"/>
  <c r="AD11" i="24"/>
  <c r="AD10" i="24"/>
  <c r="AD9" i="24"/>
  <c r="AD6" i="24"/>
  <c r="AC5" i="24"/>
  <c r="AD5" i="24"/>
  <c r="AC4" i="24"/>
  <c r="AD4" i="24"/>
  <c r="K6" i="15"/>
  <c r="K25" i="15"/>
  <c r="K26" i="15"/>
  <c r="B26" i="24"/>
  <c r="K5" i="24"/>
  <c r="K6" i="24"/>
  <c r="K7" i="24"/>
  <c r="B27" i="24"/>
  <c r="K13" i="15"/>
  <c r="K13" i="24"/>
  <c r="J13" i="15"/>
  <c r="J13" i="24"/>
  <c r="K14" i="24"/>
  <c r="B28" i="24"/>
  <c r="B29" i="24"/>
  <c r="I25" i="15"/>
  <c r="J25" i="15"/>
  <c r="P6" i="24"/>
  <c r="C6" i="15"/>
  <c r="C25" i="15"/>
  <c r="C26" i="15"/>
  <c r="C18" i="24"/>
  <c r="C5" i="24"/>
  <c r="C6" i="24"/>
  <c r="C7" i="24"/>
  <c r="C13" i="15"/>
  <c r="C13" i="24"/>
  <c r="B13" i="15"/>
  <c r="B13" i="24"/>
  <c r="C14" i="24"/>
  <c r="C20" i="24"/>
  <c r="D6" i="15"/>
  <c r="D25" i="15"/>
  <c r="D26" i="15"/>
  <c r="D18" i="24"/>
  <c r="D5" i="24"/>
  <c r="D6" i="24"/>
  <c r="D7" i="24"/>
  <c r="D13" i="15"/>
  <c r="D13" i="24"/>
  <c r="D14" i="24"/>
  <c r="D20" i="24"/>
  <c r="E6" i="15"/>
  <c r="E25" i="15"/>
  <c r="E26" i="15"/>
  <c r="E18" i="24"/>
  <c r="E5" i="24"/>
  <c r="E6" i="24"/>
  <c r="E7" i="24"/>
  <c r="E13" i="15"/>
  <c r="E13" i="24"/>
  <c r="E14" i="24"/>
  <c r="E20" i="24"/>
  <c r="F6" i="15"/>
  <c r="F25" i="15"/>
  <c r="F26" i="15"/>
  <c r="F18" i="24"/>
  <c r="F5" i="24"/>
  <c r="F6" i="24"/>
  <c r="F7" i="24"/>
  <c r="F13" i="15"/>
  <c r="F13" i="24"/>
  <c r="F14" i="24"/>
  <c r="F20" i="24"/>
  <c r="G6" i="15"/>
  <c r="G25" i="15"/>
  <c r="G26" i="15"/>
  <c r="G18" i="24"/>
  <c r="G5" i="24"/>
  <c r="G6" i="24"/>
  <c r="G7" i="24"/>
  <c r="G13" i="15"/>
  <c r="G13" i="24"/>
  <c r="G14" i="24"/>
  <c r="G20" i="24"/>
  <c r="H6" i="15"/>
  <c r="H25" i="15"/>
  <c r="H26" i="15"/>
  <c r="H18" i="24"/>
  <c r="H5" i="24"/>
  <c r="H6" i="24"/>
  <c r="H7" i="24"/>
  <c r="H13" i="15"/>
  <c r="H13" i="24"/>
  <c r="H14" i="24"/>
  <c r="H20" i="24"/>
  <c r="I6" i="15"/>
  <c r="I26" i="15"/>
  <c r="I18" i="24"/>
  <c r="I5" i="24"/>
  <c r="I6" i="24"/>
  <c r="I7" i="24"/>
  <c r="I13" i="15"/>
  <c r="I13" i="24"/>
  <c r="I14" i="24"/>
  <c r="I20" i="24"/>
  <c r="J6" i="15"/>
  <c r="J26" i="15"/>
  <c r="J18" i="24"/>
  <c r="J5" i="24"/>
  <c r="J6" i="24"/>
  <c r="J7" i="24"/>
  <c r="J14" i="24"/>
  <c r="J20" i="24"/>
  <c r="K18" i="24"/>
  <c r="K20" i="24"/>
  <c r="L20" i="24"/>
  <c r="C19" i="24"/>
  <c r="D19" i="24"/>
  <c r="E19" i="24"/>
  <c r="F19" i="24"/>
  <c r="G19" i="24"/>
  <c r="H19" i="24"/>
  <c r="I19" i="24"/>
  <c r="J19" i="24"/>
  <c r="K19" i="24"/>
  <c r="L19" i="24"/>
  <c r="M20" i="24"/>
  <c r="B6" i="15"/>
  <c r="B25" i="15"/>
  <c r="B26" i="15"/>
  <c r="B18" i="24"/>
  <c r="D4" i="24"/>
  <c r="D21" i="24"/>
  <c r="E4" i="24"/>
  <c r="E21" i="24"/>
  <c r="F4" i="24"/>
  <c r="F21" i="24"/>
  <c r="G4" i="24"/>
  <c r="G21" i="24"/>
  <c r="H4" i="24"/>
  <c r="H21" i="24"/>
  <c r="I4" i="24"/>
  <c r="I21" i="24"/>
  <c r="J4" i="24"/>
  <c r="J21" i="24"/>
  <c r="K4" i="24"/>
  <c r="K21" i="24"/>
  <c r="C4" i="24"/>
  <c r="C21" i="24"/>
  <c r="B19" i="15"/>
  <c r="B19" i="24"/>
  <c r="B4" i="24"/>
  <c r="F24" i="24"/>
  <c r="G24" i="24"/>
  <c r="H24" i="24"/>
  <c r="I24" i="24"/>
  <c r="J24" i="24"/>
  <c r="K24" i="24"/>
  <c r="L24" i="24"/>
  <c r="M24" i="24"/>
  <c r="N24" i="24"/>
  <c r="O24" i="24"/>
  <c r="P24" i="24"/>
  <c r="Q24" i="24"/>
  <c r="Q25" i="24"/>
  <c r="Q26" i="24"/>
  <c r="Q32" i="24"/>
  <c r="Q27" i="24"/>
  <c r="Q28" i="24"/>
  <c r="Q29" i="24"/>
  <c r="Q30" i="24"/>
  <c r="P25" i="24"/>
  <c r="P26" i="24"/>
  <c r="P27" i="24"/>
  <c r="P28" i="24"/>
  <c r="P29" i="24"/>
  <c r="P30" i="24"/>
  <c r="O25" i="24"/>
  <c r="O26" i="24"/>
  <c r="O27" i="24"/>
  <c r="O28" i="24"/>
  <c r="O29" i="24"/>
  <c r="O30" i="24"/>
  <c r="N25" i="24"/>
  <c r="N26" i="24"/>
  <c r="N27" i="24"/>
  <c r="N28" i="24"/>
  <c r="N29" i="24"/>
  <c r="N30" i="24"/>
  <c r="M25" i="24"/>
  <c r="M26" i="24"/>
  <c r="M27" i="24"/>
  <c r="M28" i="24"/>
  <c r="M29" i="24"/>
  <c r="M30" i="24"/>
  <c r="L25" i="24"/>
  <c r="L26" i="24"/>
  <c r="L27" i="24"/>
  <c r="L28" i="24"/>
  <c r="L29" i="24"/>
  <c r="L30" i="24"/>
  <c r="K25" i="24"/>
  <c r="K26" i="24"/>
  <c r="K27" i="24"/>
  <c r="K28" i="24"/>
  <c r="K29" i="24"/>
  <c r="K30" i="24"/>
  <c r="J25" i="24"/>
  <c r="J26" i="24"/>
  <c r="J27" i="24"/>
  <c r="J28" i="24"/>
  <c r="J29" i="24"/>
  <c r="J30" i="24"/>
  <c r="I25" i="24"/>
  <c r="I26" i="24"/>
  <c r="I27" i="24"/>
  <c r="I28" i="24"/>
  <c r="I29" i="24"/>
  <c r="I30" i="24"/>
  <c r="H25" i="24"/>
  <c r="H26" i="24"/>
  <c r="H27" i="24"/>
  <c r="H28" i="24"/>
  <c r="H29" i="24"/>
  <c r="H30" i="24"/>
  <c r="G25" i="24"/>
  <c r="G26" i="24"/>
  <c r="G27" i="24"/>
  <c r="G28" i="24"/>
  <c r="G29" i="24"/>
  <c r="G30" i="24"/>
  <c r="F25" i="24"/>
  <c r="F26" i="24"/>
  <c r="F27" i="24"/>
  <c r="F28" i="24"/>
  <c r="F29" i="24"/>
  <c r="F30" i="24"/>
  <c r="E25" i="24"/>
  <c r="E26" i="24"/>
  <c r="E29" i="24"/>
  <c r="E30" i="24"/>
  <c r="D25" i="24"/>
  <c r="D26" i="24"/>
  <c r="D29" i="24"/>
  <c r="D30" i="24"/>
  <c r="C25" i="24"/>
  <c r="C26" i="24"/>
  <c r="K3" i="24"/>
  <c r="B24" i="24"/>
  <c r="C29" i="24"/>
  <c r="C30" i="24"/>
  <c r="C31" i="24"/>
  <c r="D31" i="24"/>
  <c r="E31" i="24"/>
  <c r="F31" i="24"/>
  <c r="G31" i="24"/>
  <c r="H31" i="24"/>
  <c r="I31" i="24"/>
  <c r="J31" i="24"/>
  <c r="K31" i="24"/>
  <c r="L31" i="24"/>
  <c r="M31" i="24"/>
  <c r="N31" i="24"/>
  <c r="O31" i="24"/>
  <c r="P31" i="24"/>
  <c r="Q31" i="24"/>
  <c r="Q34" i="24"/>
  <c r="Q13" i="24"/>
  <c r="Q35" i="24"/>
  <c r="Q36" i="24"/>
  <c r="Q37" i="24"/>
  <c r="Q39" i="24"/>
  <c r="C32" i="24"/>
  <c r="C34" i="24"/>
  <c r="C35" i="24"/>
  <c r="C36" i="24"/>
  <c r="C37" i="24"/>
  <c r="C39" i="24"/>
  <c r="C40" i="24"/>
  <c r="P32" i="24"/>
  <c r="P34" i="24"/>
  <c r="P35" i="24"/>
  <c r="P36" i="24"/>
  <c r="P37" i="24"/>
  <c r="P39" i="24"/>
  <c r="O32" i="24"/>
  <c r="O34" i="24"/>
  <c r="O35" i="24"/>
  <c r="O36" i="24"/>
  <c r="O37" i="24"/>
  <c r="O39" i="24"/>
  <c r="N32" i="24"/>
  <c r="N34" i="24"/>
  <c r="N35" i="24"/>
  <c r="N36" i="24"/>
  <c r="N37" i="24"/>
  <c r="N39" i="24"/>
  <c r="M32" i="24"/>
  <c r="M34" i="24"/>
  <c r="M35" i="24"/>
  <c r="M36" i="24"/>
  <c r="M37" i="24"/>
  <c r="M39" i="24"/>
  <c r="L32" i="24"/>
  <c r="L34" i="24"/>
  <c r="L35" i="24"/>
  <c r="L36" i="24"/>
  <c r="L37" i="24"/>
  <c r="L39" i="24"/>
  <c r="K32" i="24"/>
  <c r="K34" i="24"/>
  <c r="K35" i="24"/>
  <c r="K36" i="24"/>
  <c r="K37" i="24"/>
  <c r="K39" i="24"/>
  <c r="J32" i="24"/>
  <c r="J34" i="24"/>
  <c r="J35" i="24"/>
  <c r="J36" i="24"/>
  <c r="J37" i="24"/>
  <c r="J39" i="24"/>
  <c r="I32" i="24"/>
  <c r="I34" i="24"/>
  <c r="I35" i="24"/>
  <c r="I36" i="24"/>
  <c r="I37" i="24"/>
  <c r="I39" i="24"/>
  <c r="H32" i="24"/>
  <c r="H34" i="24"/>
  <c r="H35" i="24"/>
  <c r="H36" i="24"/>
  <c r="H37" i="24"/>
  <c r="H39" i="24"/>
  <c r="G32" i="24"/>
  <c r="G34" i="24"/>
  <c r="G35" i="24"/>
  <c r="G36" i="24"/>
  <c r="G37" i="24"/>
  <c r="G39" i="24"/>
  <c r="F32" i="24"/>
  <c r="F34" i="24"/>
  <c r="F35" i="24"/>
  <c r="F36" i="24"/>
  <c r="F37" i="24"/>
  <c r="F39" i="24"/>
  <c r="E32" i="24"/>
  <c r="E34" i="24"/>
  <c r="E35" i="24"/>
  <c r="E36" i="24"/>
  <c r="E37" i="24"/>
  <c r="E39" i="24"/>
  <c r="D32" i="24"/>
  <c r="D34" i="24"/>
  <c r="D35" i="24"/>
  <c r="D36" i="24"/>
  <c r="D37" i="24"/>
  <c r="D39" i="24"/>
  <c r="B25" i="24"/>
  <c r="C3" i="24"/>
  <c r="B3" i="24"/>
  <c r="C8" i="24"/>
  <c r="D3" i="24"/>
  <c r="D8" i="24"/>
  <c r="E3" i="24"/>
  <c r="E8" i="24"/>
  <c r="F3" i="24"/>
  <c r="F8" i="24"/>
  <c r="G3" i="24"/>
  <c r="G8" i="24"/>
  <c r="H3" i="24"/>
  <c r="H8" i="24"/>
  <c r="I3" i="24"/>
  <c r="I8" i="24"/>
  <c r="J3" i="24"/>
  <c r="J8" i="24"/>
  <c r="K8" i="24"/>
  <c r="K17" i="24"/>
  <c r="K16" i="24"/>
  <c r="J16" i="24"/>
  <c r="I16" i="24"/>
  <c r="H16" i="24"/>
  <c r="G16" i="24"/>
  <c r="K15" i="24"/>
  <c r="J15" i="24"/>
  <c r="I15" i="24"/>
  <c r="H15" i="24"/>
  <c r="G15" i="24"/>
  <c r="F15" i="24"/>
  <c r="E15" i="24"/>
  <c r="D15" i="24"/>
  <c r="C15" i="24"/>
  <c r="K11" i="24"/>
  <c r="K10" i="24"/>
  <c r="J10" i="24"/>
  <c r="I10" i="24"/>
  <c r="H10" i="24"/>
  <c r="G10" i="24"/>
  <c r="K9" i="24"/>
  <c r="J9" i="24"/>
  <c r="I9" i="24"/>
  <c r="H9" i="24"/>
  <c r="G9" i="24"/>
  <c r="F9" i="24"/>
  <c r="E9" i="24"/>
  <c r="D9" i="24"/>
  <c r="C9" i="24"/>
  <c r="P8" i="24"/>
  <c r="P7" i="24"/>
  <c r="B36" i="5"/>
  <c r="C36" i="5"/>
  <c r="D36" i="5"/>
  <c r="E36" i="5"/>
  <c r="F36" i="5"/>
  <c r="G36" i="5"/>
  <c r="H36" i="5"/>
  <c r="I36" i="5"/>
  <c r="J36" i="5"/>
  <c r="K36" i="5"/>
  <c r="P5" i="24"/>
  <c r="B5" i="24"/>
  <c r="P3" i="24"/>
  <c r="I2" i="24"/>
  <c r="H2" i="24"/>
  <c r="G2" i="24"/>
  <c r="F2" i="24"/>
  <c r="E2" i="24"/>
  <c r="D2" i="24"/>
  <c r="C2" i="24"/>
  <c r="B2" i="24"/>
  <c r="A1" i="24"/>
  <c r="H81" i="20"/>
  <c r="I81" i="20"/>
  <c r="G81" i="20"/>
  <c r="F77" i="20"/>
  <c r="G77" i="20"/>
  <c r="H77" i="20"/>
  <c r="I77" i="20"/>
  <c r="E77" i="20"/>
  <c r="F81" i="20"/>
  <c r="O63" i="20"/>
  <c r="M16" i="1"/>
  <c r="N16" i="1"/>
  <c r="O16" i="1"/>
  <c r="P16" i="1"/>
  <c r="L16" i="1"/>
  <c r="M15" i="1"/>
  <c r="N15" i="1"/>
  <c r="O15" i="1"/>
  <c r="P15" i="1"/>
  <c r="L15" i="1"/>
  <c r="M14" i="1"/>
  <c r="N14" i="1"/>
  <c r="O14" i="1"/>
  <c r="P14" i="1"/>
  <c r="L14" i="1"/>
  <c r="C21" i="15"/>
  <c r="D21" i="15"/>
  <c r="E21" i="15"/>
  <c r="F21" i="15"/>
  <c r="G21" i="15"/>
  <c r="H21" i="15"/>
  <c r="I21" i="15"/>
  <c r="J21" i="15"/>
  <c r="K21" i="15"/>
  <c r="B21" i="15"/>
  <c r="M12" i="1"/>
  <c r="N12" i="1"/>
  <c r="O12" i="1"/>
  <c r="P12" i="1"/>
  <c r="M13" i="1"/>
  <c r="N13" i="1"/>
  <c r="O13" i="1"/>
  <c r="P13" i="1"/>
  <c r="L13" i="1"/>
  <c r="L12" i="1"/>
  <c r="M11" i="1"/>
  <c r="N11" i="1"/>
  <c r="O11" i="1"/>
  <c r="P11" i="1"/>
  <c r="M8" i="1"/>
  <c r="N8" i="1"/>
  <c r="O8" i="1"/>
  <c r="P8" i="1"/>
  <c r="M6" i="1"/>
  <c r="N6" i="1"/>
  <c r="O6" i="1"/>
  <c r="P6" i="1"/>
  <c r="M4" i="1"/>
  <c r="N4" i="1"/>
  <c r="O4" i="1"/>
  <c r="P4" i="1"/>
  <c r="L11" i="1"/>
  <c r="L8" i="1"/>
  <c r="K4" i="1"/>
  <c r="L4" i="1"/>
  <c r="L6" i="1"/>
  <c r="D29" i="21"/>
  <c r="E29" i="21"/>
  <c r="F29" i="21"/>
  <c r="G29" i="21"/>
  <c r="H29" i="21"/>
  <c r="I29" i="21"/>
  <c r="J29" i="21"/>
  <c r="C24" i="21"/>
  <c r="D24" i="21"/>
  <c r="E24" i="21"/>
  <c r="F24" i="21"/>
  <c r="G24" i="21"/>
  <c r="H24" i="21"/>
  <c r="I24" i="21"/>
  <c r="C25" i="21"/>
  <c r="D25" i="21"/>
  <c r="E25" i="21"/>
  <c r="F25" i="21"/>
  <c r="G25" i="21"/>
  <c r="H25" i="21"/>
  <c r="I25" i="21"/>
  <c r="I26" i="21"/>
  <c r="H26" i="21"/>
  <c r="I27" i="21"/>
  <c r="J24" i="21"/>
  <c r="J25" i="21"/>
  <c r="J26" i="21"/>
  <c r="J27" i="21"/>
  <c r="K24" i="21"/>
  <c r="K25" i="21"/>
  <c r="K26" i="21"/>
  <c r="K27" i="21"/>
  <c r="L24" i="21"/>
  <c r="L25" i="21"/>
  <c r="L26" i="21"/>
  <c r="L27" i="21"/>
  <c r="D26" i="21"/>
  <c r="D27" i="21"/>
  <c r="F4" i="1"/>
  <c r="F58" i="15"/>
  <c r="K58" i="15"/>
  <c r="D30" i="21"/>
  <c r="D31" i="21"/>
  <c r="E30" i="21"/>
  <c r="E31" i="21"/>
  <c r="F30" i="21"/>
  <c r="F31" i="21"/>
  <c r="G30" i="21"/>
  <c r="G31" i="21"/>
  <c r="C31" i="21"/>
  <c r="H30" i="21"/>
  <c r="I30" i="21"/>
  <c r="I31" i="21"/>
  <c r="J30" i="21"/>
  <c r="J31" i="21"/>
  <c r="M30" i="21"/>
  <c r="M29" i="21"/>
  <c r="M31" i="21"/>
  <c r="N30" i="21"/>
  <c r="N29" i="21"/>
  <c r="N31" i="21"/>
  <c r="O30" i="21"/>
  <c r="O29" i="21"/>
  <c r="O31" i="21"/>
  <c r="H31" i="21"/>
  <c r="C12" i="21"/>
  <c r="D12" i="21"/>
  <c r="E12" i="21"/>
  <c r="C13" i="21"/>
  <c r="D13" i="21"/>
  <c r="E13" i="21"/>
  <c r="E14" i="21"/>
  <c r="D14" i="21"/>
  <c r="E15" i="21"/>
  <c r="F12" i="21"/>
  <c r="F13" i="21"/>
  <c r="F14" i="21"/>
  <c r="F15" i="21"/>
  <c r="G12" i="21"/>
  <c r="G13" i="21"/>
  <c r="G14" i="21"/>
  <c r="G15" i="21"/>
  <c r="H12" i="21"/>
  <c r="H13" i="21"/>
  <c r="H14" i="21"/>
  <c r="H15" i="21"/>
  <c r="C14" i="21"/>
  <c r="D15" i="21"/>
  <c r="H2" i="21"/>
  <c r="G3" i="21"/>
  <c r="D72" i="20"/>
  <c r="E72" i="20"/>
  <c r="F72" i="20"/>
  <c r="G72" i="20"/>
  <c r="H72" i="20"/>
  <c r="I72" i="20"/>
  <c r="J72" i="20"/>
  <c r="K72" i="20"/>
  <c r="L72" i="20"/>
  <c r="C72" i="20"/>
  <c r="L67" i="20"/>
  <c r="L68" i="20"/>
  <c r="M64" i="20"/>
  <c r="M67" i="20"/>
  <c r="N67" i="20"/>
  <c r="M68" i="20"/>
  <c r="K68" i="20"/>
  <c r="C62" i="20"/>
  <c r="D62" i="20"/>
  <c r="E62" i="20"/>
  <c r="F62" i="20"/>
  <c r="G62" i="20"/>
  <c r="H62" i="20"/>
  <c r="I62" i="20"/>
  <c r="J62" i="20"/>
  <c r="K62" i="20"/>
  <c r="L62" i="20"/>
  <c r="B62" i="20"/>
  <c r="C63" i="20"/>
  <c r="D63" i="20"/>
  <c r="E63" i="20"/>
  <c r="F63" i="20"/>
  <c r="G63" i="20"/>
  <c r="H63" i="20"/>
  <c r="I63" i="20"/>
  <c r="J63" i="20"/>
  <c r="K63" i="20"/>
  <c r="L63" i="20"/>
  <c r="D69" i="20"/>
  <c r="E69" i="20"/>
  <c r="F69" i="20"/>
  <c r="G69" i="20"/>
  <c r="H69" i="20"/>
  <c r="I69" i="20"/>
  <c r="J69" i="20"/>
  <c r="K69" i="20"/>
  <c r="L69" i="20"/>
  <c r="B63" i="20"/>
  <c r="C69" i="20"/>
  <c r="N63" i="20"/>
  <c r="M66" i="20"/>
  <c r="M63" i="20"/>
  <c r="M65" i="20"/>
  <c r="K67" i="20"/>
  <c r="J67" i="20"/>
  <c r="I67" i="20"/>
  <c r="H67" i="20"/>
  <c r="G67" i="20"/>
  <c r="F67" i="20"/>
  <c r="E67" i="20"/>
  <c r="D67" i="20"/>
  <c r="C67" i="20"/>
  <c r="B67" i="20"/>
  <c r="C68" i="20"/>
  <c r="D68" i="20"/>
  <c r="E68" i="20"/>
  <c r="F68" i="20"/>
  <c r="G68" i="20"/>
  <c r="H68" i="20"/>
  <c r="I68" i="20"/>
  <c r="J68" i="20"/>
  <c r="B68" i="20"/>
  <c r="O37" i="20"/>
  <c r="P37" i="20"/>
  <c r="B56" i="20"/>
  <c r="M55" i="20"/>
  <c r="M38" i="20"/>
  <c r="M56" i="20"/>
  <c r="C50" i="20"/>
  <c r="C48" i="20"/>
  <c r="C52" i="20"/>
  <c r="C53" i="20"/>
  <c r="C54" i="20"/>
  <c r="D50" i="20"/>
  <c r="D48" i="20"/>
  <c r="D52" i="20"/>
  <c r="D53" i="20"/>
  <c r="D54" i="20"/>
  <c r="E50" i="20"/>
  <c r="E48" i="20"/>
  <c r="E52" i="20"/>
  <c r="E53" i="20"/>
  <c r="E54" i="20"/>
  <c r="F50" i="20"/>
  <c r="F48" i="20"/>
  <c r="F52" i="20"/>
  <c r="F53" i="20"/>
  <c r="F54" i="20"/>
  <c r="G50" i="20"/>
  <c r="G48" i="20"/>
  <c r="G52" i="20"/>
  <c r="G53" i="20"/>
  <c r="G54" i="20"/>
  <c r="H50" i="20"/>
  <c r="H48" i="20"/>
  <c r="H52" i="20"/>
  <c r="H53" i="20"/>
  <c r="H54" i="20"/>
  <c r="I50" i="20"/>
  <c r="I48" i="20"/>
  <c r="I52" i="20"/>
  <c r="I53" i="20"/>
  <c r="I54" i="20"/>
  <c r="J50" i="20"/>
  <c r="J48" i="20"/>
  <c r="J52" i="20"/>
  <c r="J53" i="20"/>
  <c r="J54" i="20"/>
  <c r="K50" i="20"/>
  <c r="K48" i="20"/>
  <c r="K52" i="20"/>
  <c r="K53" i="20"/>
  <c r="K54" i="20"/>
  <c r="L50" i="20"/>
  <c r="L48" i="20"/>
  <c r="L52" i="20"/>
  <c r="L53" i="20"/>
  <c r="L54" i="20"/>
  <c r="B50" i="20"/>
  <c r="B52" i="20"/>
  <c r="B53" i="20"/>
  <c r="B54" i="20"/>
  <c r="M53" i="20"/>
  <c r="M37" i="20"/>
  <c r="M54" i="20"/>
  <c r="M52" i="20"/>
  <c r="B39" i="20"/>
  <c r="C39" i="20"/>
  <c r="D39" i="20"/>
  <c r="E39" i="20"/>
  <c r="F39" i="20"/>
  <c r="G39" i="20"/>
  <c r="H39" i="20"/>
  <c r="I39" i="20"/>
  <c r="J39" i="20"/>
  <c r="K39" i="20"/>
  <c r="L39" i="20"/>
  <c r="M39" i="20"/>
  <c r="M40" i="20"/>
  <c r="N37" i="20"/>
  <c r="L40" i="20"/>
  <c r="N39" i="20"/>
  <c r="N38" i="20"/>
  <c r="C28" i="20"/>
  <c r="D28" i="20"/>
  <c r="E28" i="20"/>
  <c r="F28" i="20"/>
  <c r="G28" i="20"/>
  <c r="H28" i="20"/>
  <c r="I28" i="20"/>
  <c r="J28" i="20"/>
  <c r="K28" i="20"/>
  <c r="L28" i="20"/>
  <c r="B28" i="20"/>
  <c r="L32" i="20"/>
  <c r="M31" i="20"/>
  <c r="M27" i="20"/>
  <c r="M26" i="20"/>
  <c r="N31" i="20"/>
  <c r="N27" i="20"/>
  <c r="N26" i="20"/>
  <c r="C32" i="20"/>
  <c r="D32" i="20"/>
  <c r="E32" i="20"/>
  <c r="F32" i="20"/>
  <c r="G32" i="20"/>
  <c r="H32" i="20"/>
  <c r="I32" i="20"/>
  <c r="J32" i="20"/>
  <c r="K32" i="20"/>
  <c r="B32" i="20"/>
  <c r="M19" i="20"/>
  <c r="M20" i="20"/>
  <c r="M23" i="20"/>
  <c r="M21" i="20"/>
  <c r="M18" i="20"/>
  <c r="C22" i="20"/>
  <c r="K22" i="20"/>
  <c r="J22" i="20"/>
  <c r="I22" i="20"/>
  <c r="H22" i="20"/>
  <c r="G22" i="20"/>
  <c r="F22" i="20"/>
  <c r="E22" i="20"/>
  <c r="D22" i="20"/>
  <c r="D14" i="20"/>
  <c r="C14" i="20"/>
  <c r="C13" i="20"/>
  <c r="D13" i="20"/>
  <c r="C8" i="1"/>
  <c r="C64" i="15"/>
  <c r="C10" i="2"/>
  <c r="B10" i="2"/>
  <c r="C11" i="2"/>
  <c r="B11" i="2"/>
  <c r="C72" i="15"/>
  <c r="D8" i="1"/>
  <c r="D64" i="15"/>
  <c r="D10" i="2"/>
  <c r="D11" i="2"/>
  <c r="D72" i="15"/>
  <c r="E8" i="1"/>
  <c r="E64" i="15"/>
  <c r="E10" i="2"/>
  <c r="E11" i="2"/>
  <c r="E72" i="15"/>
  <c r="F8" i="1"/>
  <c r="F64" i="15"/>
  <c r="F10" i="2"/>
  <c r="F11" i="2"/>
  <c r="F72" i="15"/>
  <c r="G8" i="1"/>
  <c r="G64" i="15"/>
  <c r="G10" i="2"/>
  <c r="G11" i="2"/>
  <c r="G72" i="15"/>
  <c r="H8" i="1"/>
  <c r="H64" i="15"/>
  <c r="H10" i="2"/>
  <c r="H11" i="2"/>
  <c r="H72" i="15"/>
  <c r="I8" i="1"/>
  <c r="I64" i="15"/>
  <c r="I10" i="2"/>
  <c r="I11" i="2"/>
  <c r="I72" i="15"/>
  <c r="J8" i="1"/>
  <c r="J64" i="15"/>
  <c r="J10" i="2"/>
  <c r="J11" i="2"/>
  <c r="J72" i="15"/>
  <c r="K8" i="1"/>
  <c r="K64" i="15"/>
  <c r="K10" i="2"/>
  <c r="K11" i="2"/>
  <c r="K72" i="15"/>
  <c r="L72" i="15"/>
  <c r="B4" i="4"/>
  <c r="B71" i="15"/>
  <c r="C4" i="4"/>
  <c r="C71" i="15"/>
  <c r="D4" i="4"/>
  <c r="D71" i="15"/>
  <c r="E4" i="4"/>
  <c r="E71" i="15"/>
  <c r="F4" i="4"/>
  <c r="F71" i="15"/>
  <c r="G4" i="4"/>
  <c r="G71" i="15"/>
  <c r="H4" i="4"/>
  <c r="H71" i="15"/>
  <c r="I4" i="4"/>
  <c r="I71" i="15"/>
  <c r="J4" i="4"/>
  <c r="J71" i="15"/>
  <c r="K4" i="4"/>
  <c r="K71" i="15"/>
  <c r="L71" i="15"/>
  <c r="M72" i="15"/>
  <c r="K14" i="15"/>
  <c r="K31" i="15"/>
  <c r="K36" i="15"/>
  <c r="B33" i="15"/>
  <c r="C33" i="15"/>
  <c r="D33" i="15"/>
  <c r="E33" i="15"/>
  <c r="F33" i="15"/>
  <c r="G33" i="15"/>
  <c r="H33" i="15"/>
  <c r="I33" i="15"/>
  <c r="J33" i="15"/>
  <c r="K33" i="15"/>
  <c r="L33" i="15"/>
  <c r="B13" i="1"/>
  <c r="B69" i="15"/>
  <c r="K13" i="1"/>
  <c r="K69" i="15"/>
  <c r="M69" i="15"/>
  <c r="K91" i="15"/>
  <c r="L91" i="15"/>
  <c r="L23" i="15"/>
  <c r="L19" i="15"/>
  <c r="M23" i="15"/>
  <c r="L18" i="15"/>
  <c r="L22" i="15"/>
  <c r="B3" i="1"/>
  <c r="B57" i="15"/>
  <c r="B83" i="15"/>
  <c r="C3" i="1"/>
  <c r="C57" i="15"/>
  <c r="C83" i="15"/>
  <c r="D3" i="1"/>
  <c r="D57" i="15"/>
  <c r="D83" i="15"/>
  <c r="E3" i="1"/>
  <c r="E57" i="15"/>
  <c r="E83" i="15"/>
  <c r="F3" i="1"/>
  <c r="F57" i="15"/>
  <c r="F83" i="15"/>
  <c r="G3" i="1"/>
  <c r="G57" i="15"/>
  <c r="G83" i="15"/>
  <c r="H3" i="1"/>
  <c r="H57" i="15"/>
  <c r="H83" i="15"/>
  <c r="I3" i="1"/>
  <c r="I57" i="15"/>
  <c r="I83" i="15"/>
  <c r="J3" i="1"/>
  <c r="J57" i="15"/>
  <c r="J83" i="15"/>
  <c r="K3" i="1"/>
  <c r="K57" i="15"/>
  <c r="K83" i="15"/>
  <c r="B99" i="15"/>
  <c r="C99" i="15"/>
  <c r="D99" i="15"/>
  <c r="E99" i="15"/>
  <c r="F99" i="15"/>
  <c r="G99" i="15"/>
  <c r="H99" i="15"/>
  <c r="I99" i="15"/>
  <c r="J99" i="15"/>
  <c r="K99" i="15"/>
  <c r="V4" i="19"/>
  <c r="F13" i="1"/>
  <c r="F69" i="15"/>
  <c r="Q4" i="19"/>
  <c r="W4" i="19"/>
  <c r="K4" i="2"/>
  <c r="K5" i="2"/>
  <c r="K101" i="15"/>
  <c r="V5" i="19"/>
  <c r="F4" i="2"/>
  <c r="F5" i="2"/>
  <c r="F101" i="15"/>
  <c r="Q5" i="19"/>
  <c r="W5" i="19"/>
  <c r="K114" i="15"/>
  <c r="V8" i="19"/>
  <c r="V6" i="19"/>
  <c r="F114" i="15"/>
  <c r="Q8" i="19"/>
  <c r="Q6" i="19"/>
  <c r="W6" i="19"/>
  <c r="K115" i="15"/>
  <c r="V7" i="19"/>
  <c r="F115" i="15"/>
  <c r="Q7" i="19"/>
  <c r="W7" i="19"/>
  <c r="W8" i="19"/>
  <c r="V3" i="19"/>
  <c r="Q3" i="19"/>
  <c r="W3" i="19"/>
  <c r="Q2" i="19"/>
  <c r="H114" i="15"/>
  <c r="H4" i="2"/>
  <c r="H5" i="2"/>
  <c r="H101" i="15"/>
  <c r="H115" i="15"/>
  <c r="S7" i="19"/>
  <c r="I114" i="15"/>
  <c r="I4" i="2"/>
  <c r="I5" i="2"/>
  <c r="I101" i="15"/>
  <c r="I115" i="15"/>
  <c r="T7" i="19"/>
  <c r="J114" i="15"/>
  <c r="J4" i="2"/>
  <c r="J5" i="2"/>
  <c r="J101" i="15"/>
  <c r="J115" i="15"/>
  <c r="U7" i="19"/>
  <c r="G114" i="15"/>
  <c r="G4" i="2"/>
  <c r="G5" i="2"/>
  <c r="G101" i="15"/>
  <c r="G115" i="15"/>
  <c r="R7" i="19"/>
  <c r="C114" i="15"/>
  <c r="C4" i="2"/>
  <c r="C5" i="2"/>
  <c r="C101" i="15"/>
  <c r="C115" i="15"/>
  <c r="D114" i="15"/>
  <c r="D4" i="2"/>
  <c r="D5" i="2"/>
  <c r="D101" i="15"/>
  <c r="D115" i="15"/>
  <c r="E114" i="15"/>
  <c r="E4" i="2"/>
  <c r="E5" i="2"/>
  <c r="E101" i="15"/>
  <c r="E115" i="15"/>
  <c r="B114" i="15"/>
  <c r="B4" i="2"/>
  <c r="B5" i="2"/>
  <c r="B101" i="15"/>
  <c r="B115" i="15"/>
  <c r="S8" i="19"/>
  <c r="T8" i="19"/>
  <c r="U8" i="19"/>
  <c r="R8" i="19"/>
  <c r="H13" i="1"/>
  <c r="H69" i="15"/>
  <c r="S4" i="19"/>
  <c r="S5" i="19"/>
  <c r="I13" i="1"/>
  <c r="I69" i="15"/>
  <c r="T4" i="19"/>
  <c r="T5" i="19"/>
  <c r="J13" i="1"/>
  <c r="J69" i="15"/>
  <c r="U4" i="19"/>
  <c r="U5" i="19"/>
  <c r="G13" i="1"/>
  <c r="G69" i="15"/>
  <c r="R4" i="19"/>
  <c r="R5" i="19"/>
  <c r="A58" i="15"/>
  <c r="B4" i="1"/>
  <c r="B58" i="15"/>
  <c r="C4" i="1"/>
  <c r="C58" i="15"/>
  <c r="D4" i="1"/>
  <c r="D58" i="15"/>
  <c r="E4" i="1"/>
  <c r="E58" i="15"/>
  <c r="G4" i="1"/>
  <c r="G58" i="15"/>
  <c r="H4" i="1"/>
  <c r="H58" i="15"/>
  <c r="I4" i="1"/>
  <c r="I58" i="15"/>
  <c r="J4" i="1"/>
  <c r="J58" i="15"/>
  <c r="L58" i="15"/>
  <c r="B59" i="15"/>
  <c r="C59" i="15"/>
  <c r="D59" i="15"/>
  <c r="E59" i="15"/>
  <c r="F59" i="15"/>
  <c r="G59" i="15"/>
  <c r="H59" i="15"/>
  <c r="I59" i="15"/>
  <c r="J59" i="15"/>
  <c r="K59" i="15"/>
  <c r="M59" i="15"/>
  <c r="B60" i="15"/>
  <c r="C60" i="15"/>
  <c r="D60" i="15"/>
  <c r="E60" i="15"/>
  <c r="F60" i="15"/>
  <c r="G60" i="15"/>
  <c r="H60" i="15"/>
  <c r="I60" i="15"/>
  <c r="J60" i="15"/>
  <c r="K60" i="15"/>
  <c r="B5" i="1"/>
  <c r="B6" i="1"/>
  <c r="B61" i="15"/>
  <c r="C5" i="1"/>
  <c r="C6" i="1"/>
  <c r="C61" i="15"/>
  <c r="D5" i="1"/>
  <c r="D6" i="1"/>
  <c r="D61" i="15"/>
  <c r="E5" i="1"/>
  <c r="E6" i="1"/>
  <c r="E61" i="15"/>
  <c r="F5" i="1"/>
  <c r="F6" i="1"/>
  <c r="F61" i="15"/>
  <c r="G5" i="1"/>
  <c r="G6" i="1"/>
  <c r="G61" i="15"/>
  <c r="H5" i="1"/>
  <c r="H6" i="1"/>
  <c r="H61" i="15"/>
  <c r="I5" i="1"/>
  <c r="I6" i="1"/>
  <c r="I61" i="15"/>
  <c r="J5" i="1"/>
  <c r="J6" i="1"/>
  <c r="J61" i="15"/>
  <c r="K5" i="1"/>
  <c r="K6" i="1"/>
  <c r="K61" i="15"/>
  <c r="M61" i="15"/>
  <c r="B62" i="15"/>
  <c r="C62" i="15"/>
  <c r="D62" i="15"/>
  <c r="E62" i="15"/>
  <c r="F62" i="15"/>
  <c r="G62" i="15"/>
  <c r="H62" i="15"/>
  <c r="I62" i="15"/>
  <c r="J62" i="15"/>
  <c r="K62" i="15"/>
  <c r="A63" i="15"/>
  <c r="B7" i="1"/>
  <c r="B63" i="15"/>
  <c r="C7" i="1"/>
  <c r="C63" i="15"/>
  <c r="D7" i="1"/>
  <c r="D63" i="15"/>
  <c r="E7" i="1"/>
  <c r="E63" i="15"/>
  <c r="F7" i="1"/>
  <c r="F63" i="15"/>
  <c r="G7" i="1"/>
  <c r="G63" i="15"/>
  <c r="H7" i="1"/>
  <c r="H63" i="15"/>
  <c r="I7" i="1"/>
  <c r="I63" i="15"/>
  <c r="J7" i="1"/>
  <c r="J63" i="15"/>
  <c r="K7" i="1"/>
  <c r="K63" i="15"/>
  <c r="A64" i="15"/>
  <c r="B8" i="1"/>
  <c r="B64" i="15"/>
  <c r="L64" i="15"/>
  <c r="A65" i="15"/>
  <c r="B10" i="1"/>
  <c r="B65" i="15"/>
  <c r="C10" i="1"/>
  <c r="C65" i="15"/>
  <c r="D10" i="1"/>
  <c r="D65" i="15"/>
  <c r="E10" i="1"/>
  <c r="E65" i="15"/>
  <c r="F10" i="1"/>
  <c r="F65" i="15"/>
  <c r="G10" i="1"/>
  <c r="G65" i="15"/>
  <c r="H10" i="1"/>
  <c r="H65" i="15"/>
  <c r="I10" i="1"/>
  <c r="I65" i="15"/>
  <c r="J10" i="1"/>
  <c r="J65" i="15"/>
  <c r="K10" i="1"/>
  <c r="K65" i="15"/>
  <c r="L65" i="15"/>
  <c r="A66" i="15"/>
  <c r="B11" i="1"/>
  <c r="B66" i="15"/>
  <c r="C11" i="1"/>
  <c r="C66" i="15"/>
  <c r="D11" i="1"/>
  <c r="D66" i="15"/>
  <c r="E11" i="1"/>
  <c r="E66" i="15"/>
  <c r="F11" i="1"/>
  <c r="F66" i="15"/>
  <c r="G11" i="1"/>
  <c r="G66" i="15"/>
  <c r="H11" i="1"/>
  <c r="H66" i="15"/>
  <c r="I11" i="1"/>
  <c r="I66" i="15"/>
  <c r="J11" i="1"/>
  <c r="J66" i="15"/>
  <c r="K11" i="1"/>
  <c r="K66" i="15"/>
  <c r="M66" i="15"/>
  <c r="B12" i="1"/>
  <c r="B68" i="15"/>
  <c r="B67" i="15"/>
  <c r="C12" i="1"/>
  <c r="C68" i="15"/>
  <c r="C67" i="15"/>
  <c r="D12" i="1"/>
  <c r="D68" i="15"/>
  <c r="D67" i="15"/>
  <c r="E12" i="1"/>
  <c r="E68" i="15"/>
  <c r="E67" i="15"/>
  <c r="F12" i="1"/>
  <c r="F68" i="15"/>
  <c r="F67" i="15"/>
  <c r="G12" i="1"/>
  <c r="G68" i="15"/>
  <c r="G67" i="15"/>
  <c r="H12" i="1"/>
  <c r="H68" i="15"/>
  <c r="H67" i="15"/>
  <c r="I12" i="1"/>
  <c r="I68" i="15"/>
  <c r="I67" i="15"/>
  <c r="J12" i="1"/>
  <c r="J68" i="15"/>
  <c r="J67" i="15"/>
  <c r="K12" i="1"/>
  <c r="K68" i="15"/>
  <c r="K67" i="15"/>
  <c r="A68" i="15"/>
  <c r="C13" i="1"/>
  <c r="C69" i="15"/>
  <c r="D13" i="1"/>
  <c r="D69" i="15"/>
  <c r="E13" i="1"/>
  <c r="E69" i="15"/>
  <c r="L69" i="15"/>
  <c r="B70" i="15"/>
  <c r="C70" i="15"/>
  <c r="D70" i="15"/>
  <c r="E70" i="15"/>
  <c r="F70" i="15"/>
  <c r="G70" i="15"/>
  <c r="H70" i="15"/>
  <c r="I70" i="15"/>
  <c r="J70" i="15"/>
  <c r="K70" i="15"/>
  <c r="M71" i="15"/>
  <c r="L73" i="15"/>
  <c r="C74" i="15"/>
  <c r="D74" i="15"/>
  <c r="E74" i="15"/>
  <c r="F74" i="15"/>
  <c r="G74" i="15"/>
  <c r="H74" i="15"/>
  <c r="I74" i="15"/>
  <c r="J74" i="15"/>
  <c r="K74" i="15"/>
  <c r="C75" i="15"/>
  <c r="D75" i="15"/>
  <c r="E75" i="15"/>
  <c r="F75" i="15"/>
  <c r="G75" i="15"/>
  <c r="H75" i="15"/>
  <c r="I75" i="15"/>
  <c r="J75" i="15"/>
  <c r="K75" i="15"/>
  <c r="C76" i="15"/>
  <c r="D76" i="15"/>
  <c r="E76" i="15"/>
  <c r="F76" i="15"/>
  <c r="G76" i="15"/>
  <c r="H76" i="15"/>
  <c r="I76" i="15"/>
  <c r="J76" i="15"/>
  <c r="K76" i="15"/>
  <c r="L76" i="15"/>
  <c r="C86" i="15"/>
  <c r="C85" i="15"/>
  <c r="B19" i="1"/>
  <c r="C78" i="15"/>
  <c r="D86" i="15"/>
  <c r="D85" i="15"/>
  <c r="C19" i="1"/>
  <c r="D78" i="15"/>
  <c r="E86" i="15"/>
  <c r="E85" i="15"/>
  <c r="D19" i="1"/>
  <c r="E78" i="15"/>
  <c r="F86" i="15"/>
  <c r="F85" i="15"/>
  <c r="E19" i="1"/>
  <c r="F78" i="15"/>
  <c r="G86" i="15"/>
  <c r="G85" i="15"/>
  <c r="F19" i="1"/>
  <c r="G78" i="15"/>
  <c r="H86" i="15"/>
  <c r="H85" i="15"/>
  <c r="G19" i="1"/>
  <c r="H78" i="15"/>
  <c r="I86" i="15"/>
  <c r="I85" i="15"/>
  <c r="H19" i="1"/>
  <c r="I78" i="15"/>
  <c r="J86" i="15"/>
  <c r="J85" i="15"/>
  <c r="I19" i="1"/>
  <c r="J78" i="15"/>
  <c r="K86" i="15"/>
  <c r="K85" i="15"/>
  <c r="J19" i="1"/>
  <c r="K78" i="15"/>
  <c r="C79" i="15"/>
  <c r="D79" i="15"/>
  <c r="E79" i="15"/>
  <c r="F79" i="15"/>
  <c r="G79" i="15"/>
  <c r="H79" i="15"/>
  <c r="I79" i="15"/>
  <c r="J79" i="15"/>
  <c r="K79" i="15"/>
  <c r="C80" i="15"/>
  <c r="D80" i="15"/>
  <c r="E80" i="15"/>
  <c r="F80" i="15"/>
  <c r="G80" i="15"/>
  <c r="H80" i="15"/>
  <c r="I80" i="15"/>
  <c r="J80" i="15"/>
  <c r="K80" i="15"/>
  <c r="L80" i="15"/>
  <c r="B14" i="15"/>
  <c r="B27" i="15"/>
  <c r="B81" i="15"/>
  <c r="C14" i="15"/>
  <c r="C27" i="15"/>
  <c r="C81" i="15"/>
  <c r="D14" i="15"/>
  <c r="D27" i="15"/>
  <c r="D81" i="15"/>
  <c r="E14" i="15"/>
  <c r="E27" i="15"/>
  <c r="E81" i="15"/>
  <c r="F14" i="15"/>
  <c r="F27" i="15"/>
  <c r="F81" i="15"/>
  <c r="G14" i="15"/>
  <c r="G27" i="15"/>
  <c r="G81" i="15"/>
  <c r="H14" i="15"/>
  <c r="H27" i="15"/>
  <c r="H81" i="15"/>
  <c r="I14" i="15"/>
  <c r="I27" i="15"/>
  <c r="I81" i="15"/>
  <c r="J14" i="15"/>
  <c r="J27" i="15"/>
  <c r="J81" i="15"/>
  <c r="K27" i="15"/>
  <c r="K81" i="15"/>
  <c r="B84" i="15"/>
  <c r="C84" i="15"/>
  <c r="D84" i="15"/>
  <c r="E84" i="15"/>
  <c r="F84" i="15"/>
  <c r="G84" i="15"/>
  <c r="H84" i="15"/>
  <c r="I84" i="15"/>
  <c r="J84" i="15"/>
  <c r="K84" i="15"/>
  <c r="B85" i="15"/>
  <c r="B86" i="15"/>
  <c r="B17" i="2"/>
  <c r="B22" i="2"/>
  <c r="B87" i="15"/>
  <c r="C17" i="2"/>
  <c r="C22" i="2"/>
  <c r="C87" i="15"/>
  <c r="D17" i="2"/>
  <c r="D22" i="2"/>
  <c r="D87" i="15"/>
  <c r="E17" i="2"/>
  <c r="E22" i="2"/>
  <c r="E87" i="15"/>
  <c r="F17" i="2"/>
  <c r="F22" i="2"/>
  <c r="F87" i="15"/>
  <c r="G17" i="2"/>
  <c r="G22" i="2"/>
  <c r="G87" i="15"/>
  <c r="H17" i="2"/>
  <c r="H22" i="2"/>
  <c r="H87" i="15"/>
  <c r="I17" i="2"/>
  <c r="I22" i="2"/>
  <c r="I87" i="15"/>
  <c r="J17" i="2"/>
  <c r="J22" i="2"/>
  <c r="J87" i="15"/>
  <c r="K17" i="2"/>
  <c r="K22" i="2"/>
  <c r="K87" i="15"/>
  <c r="B18" i="2"/>
  <c r="B20" i="2"/>
  <c r="B88" i="15"/>
  <c r="C18" i="2"/>
  <c r="C20" i="2"/>
  <c r="C88" i="15"/>
  <c r="D18" i="2"/>
  <c r="D20" i="2"/>
  <c r="D88" i="15"/>
  <c r="E18" i="2"/>
  <c r="E20" i="2"/>
  <c r="E88" i="15"/>
  <c r="F18" i="2"/>
  <c r="F20" i="2"/>
  <c r="F88" i="15"/>
  <c r="G18" i="2"/>
  <c r="G20" i="2"/>
  <c r="G88" i="15"/>
  <c r="H18" i="2"/>
  <c r="H20" i="2"/>
  <c r="H88" i="15"/>
  <c r="I18" i="2"/>
  <c r="I20" i="2"/>
  <c r="I88" i="15"/>
  <c r="J18" i="2"/>
  <c r="J20" i="2"/>
  <c r="J88" i="15"/>
  <c r="K18" i="2"/>
  <c r="K20" i="2"/>
  <c r="K88" i="15"/>
  <c r="B21" i="2"/>
  <c r="B89" i="15"/>
  <c r="C21" i="2"/>
  <c r="C89" i="15"/>
  <c r="D21" i="2"/>
  <c r="D89" i="15"/>
  <c r="E21" i="2"/>
  <c r="E89" i="15"/>
  <c r="F21" i="2"/>
  <c r="F89" i="15"/>
  <c r="G21" i="2"/>
  <c r="G89" i="15"/>
  <c r="H21" i="2"/>
  <c r="H89" i="15"/>
  <c r="I21" i="2"/>
  <c r="I89" i="15"/>
  <c r="J21" i="2"/>
  <c r="J89" i="15"/>
  <c r="K21" i="2"/>
  <c r="K89" i="15"/>
  <c r="B91" i="15"/>
  <c r="C91" i="15"/>
  <c r="D91" i="15"/>
  <c r="E91" i="15"/>
  <c r="F91" i="15"/>
  <c r="G91" i="15"/>
  <c r="H91" i="15"/>
  <c r="I91" i="15"/>
  <c r="J91" i="15"/>
  <c r="B92" i="15"/>
  <c r="C92" i="15"/>
  <c r="D92" i="15"/>
  <c r="E92" i="15"/>
  <c r="F92" i="15"/>
  <c r="G92" i="15"/>
  <c r="H92" i="15"/>
  <c r="I92" i="15"/>
  <c r="J92" i="15"/>
  <c r="K92" i="15"/>
  <c r="B93" i="15"/>
  <c r="C93" i="15"/>
  <c r="D93" i="15"/>
  <c r="E93" i="15"/>
  <c r="F93" i="15"/>
  <c r="G93" i="15"/>
  <c r="H93" i="15"/>
  <c r="I93" i="15"/>
  <c r="J93" i="15"/>
  <c r="K93" i="15"/>
  <c r="B95" i="15"/>
  <c r="C95" i="15"/>
  <c r="D95" i="15"/>
  <c r="E95" i="15"/>
  <c r="F95" i="15"/>
  <c r="G95" i="15"/>
  <c r="H95" i="15"/>
  <c r="I95" i="15"/>
  <c r="J95" i="15"/>
  <c r="K95" i="15"/>
  <c r="B96" i="15"/>
  <c r="C96" i="15"/>
  <c r="D96" i="15"/>
  <c r="E96" i="15"/>
  <c r="F96" i="15"/>
  <c r="G96" i="15"/>
  <c r="H96" i="15"/>
  <c r="I96" i="15"/>
  <c r="J96" i="15"/>
  <c r="K96" i="15"/>
  <c r="B97" i="15"/>
  <c r="C97" i="15"/>
  <c r="D97" i="15"/>
  <c r="E97" i="15"/>
  <c r="F97" i="15"/>
  <c r="G97" i="15"/>
  <c r="H97" i="15"/>
  <c r="I97" i="15"/>
  <c r="J97" i="15"/>
  <c r="K97" i="15"/>
  <c r="L97" i="15"/>
  <c r="B98" i="15"/>
  <c r="C98" i="15"/>
  <c r="D98" i="15"/>
  <c r="E98" i="15"/>
  <c r="F98" i="15"/>
  <c r="G98" i="15"/>
  <c r="H98" i="15"/>
  <c r="I98" i="15"/>
  <c r="J98" i="15"/>
  <c r="K98" i="15"/>
  <c r="B6" i="2"/>
  <c r="B100" i="15"/>
  <c r="C6" i="2"/>
  <c r="C100" i="15"/>
  <c r="D6" i="2"/>
  <c r="D100" i="15"/>
  <c r="E6" i="2"/>
  <c r="E100" i="15"/>
  <c r="F6" i="2"/>
  <c r="F100" i="15"/>
  <c r="G6" i="2"/>
  <c r="G100" i="15"/>
  <c r="H6" i="2"/>
  <c r="H100" i="15"/>
  <c r="I6" i="2"/>
  <c r="I100" i="15"/>
  <c r="J6" i="2"/>
  <c r="J100" i="15"/>
  <c r="K6" i="2"/>
  <c r="K100" i="15"/>
  <c r="B102" i="15"/>
  <c r="C102" i="15"/>
  <c r="D102" i="15"/>
  <c r="E102" i="15"/>
  <c r="F102" i="15"/>
  <c r="G102" i="15"/>
  <c r="H102" i="15"/>
  <c r="I102" i="15"/>
  <c r="J102" i="15"/>
  <c r="K102" i="15"/>
  <c r="B104" i="15"/>
  <c r="C104" i="15"/>
  <c r="D104" i="15"/>
  <c r="E104" i="15"/>
  <c r="F104" i="15"/>
  <c r="G104" i="15"/>
  <c r="H104" i="15"/>
  <c r="I104" i="15"/>
  <c r="J104" i="15"/>
  <c r="K104" i="15"/>
  <c r="L104" i="15"/>
  <c r="B105" i="15"/>
  <c r="C105" i="15"/>
  <c r="D105" i="15"/>
  <c r="E105" i="15"/>
  <c r="F105" i="15"/>
  <c r="G105" i="15"/>
  <c r="H105" i="15"/>
  <c r="I105" i="15"/>
  <c r="J105" i="15"/>
  <c r="K105" i="15"/>
  <c r="B3" i="4"/>
  <c r="B107" i="15"/>
  <c r="C3" i="4"/>
  <c r="C107" i="15"/>
  <c r="D3" i="4"/>
  <c r="D107" i="15"/>
  <c r="E3" i="4"/>
  <c r="E107" i="15"/>
  <c r="F3" i="4"/>
  <c r="F107" i="15"/>
  <c r="G3" i="4"/>
  <c r="G107" i="15"/>
  <c r="H3" i="4"/>
  <c r="H107" i="15"/>
  <c r="I3" i="4"/>
  <c r="I107" i="15"/>
  <c r="J3" i="4"/>
  <c r="J107" i="15"/>
  <c r="K3" i="4"/>
  <c r="K107" i="15"/>
  <c r="A108" i="15"/>
  <c r="B108" i="15"/>
  <c r="C108" i="15"/>
  <c r="D108" i="15"/>
  <c r="E108" i="15"/>
  <c r="F108" i="15"/>
  <c r="G108" i="15"/>
  <c r="H108" i="15"/>
  <c r="I108" i="15"/>
  <c r="J108" i="15"/>
  <c r="K108" i="15"/>
  <c r="L108" i="15"/>
  <c r="A109" i="15"/>
  <c r="B5" i="4"/>
  <c r="B109" i="15"/>
  <c r="C5" i="4"/>
  <c r="C109" i="15"/>
  <c r="D5" i="4"/>
  <c r="D109" i="15"/>
  <c r="E5" i="4"/>
  <c r="E109" i="15"/>
  <c r="F5" i="4"/>
  <c r="F109" i="15"/>
  <c r="G5" i="4"/>
  <c r="G109" i="15"/>
  <c r="H5" i="4"/>
  <c r="H109" i="15"/>
  <c r="I5" i="4"/>
  <c r="I109" i="15"/>
  <c r="J5" i="4"/>
  <c r="J109" i="15"/>
  <c r="K5" i="4"/>
  <c r="K109" i="15"/>
  <c r="L109" i="15"/>
  <c r="A110" i="15"/>
  <c r="B6" i="4"/>
  <c r="B110" i="15"/>
  <c r="C6" i="4"/>
  <c r="C110" i="15"/>
  <c r="D6" i="4"/>
  <c r="D110" i="15"/>
  <c r="E6" i="4"/>
  <c r="E110" i="15"/>
  <c r="F6" i="4"/>
  <c r="F110" i="15"/>
  <c r="G6" i="4"/>
  <c r="G110" i="15"/>
  <c r="H6" i="4"/>
  <c r="H110" i="15"/>
  <c r="I6" i="4"/>
  <c r="I110" i="15"/>
  <c r="J6" i="4"/>
  <c r="J110" i="15"/>
  <c r="K6" i="4"/>
  <c r="K110" i="15"/>
  <c r="L110" i="15"/>
  <c r="A111" i="15"/>
  <c r="B7" i="4"/>
  <c r="B111" i="15"/>
  <c r="C7" i="4"/>
  <c r="C111" i="15"/>
  <c r="D7" i="4"/>
  <c r="D111" i="15"/>
  <c r="E7" i="4"/>
  <c r="E111" i="15"/>
  <c r="F7" i="4"/>
  <c r="F111" i="15"/>
  <c r="G7" i="4"/>
  <c r="G111" i="15"/>
  <c r="H7" i="4"/>
  <c r="H111" i="15"/>
  <c r="I7" i="4"/>
  <c r="I111" i="15"/>
  <c r="J7" i="4"/>
  <c r="J111" i="15"/>
  <c r="K7" i="4"/>
  <c r="K111" i="15"/>
  <c r="L111" i="15"/>
  <c r="B112" i="15"/>
  <c r="C112" i="15"/>
  <c r="D112" i="15"/>
  <c r="E112" i="15"/>
  <c r="F112" i="15"/>
  <c r="G112" i="15"/>
  <c r="H112" i="15"/>
  <c r="I112" i="15"/>
  <c r="J112" i="15"/>
  <c r="K112" i="15"/>
  <c r="W10" i="19"/>
  <c r="B31" i="15"/>
  <c r="C5" i="5"/>
  <c r="W11" i="19"/>
  <c r="W12" i="19"/>
  <c r="R11" i="19"/>
  <c r="S11" i="19"/>
  <c r="R12" i="19"/>
  <c r="S12" i="19"/>
  <c r="R6" i="19"/>
  <c r="S6" i="19"/>
  <c r="T6" i="19"/>
  <c r="U6" i="19"/>
  <c r="R3" i="19"/>
  <c r="S3" i="19"/>
  <c r="T3" i="19"/>
  <c r="U3" i="19"/>
  <c r="R2" i="19"/>
  <c r="S2" i="19"/>
  <c r="T2" i="19"/>
  <c r="U2" i="19"/>
  <c r="V2" i="19"/>
  <c r="A1" i="19"/>
  <c r="C9" i="15"/>
  <c r="C34" i="15"/>
  <c r="C35" i="15"/>
  <c r="D9" i="15"/>
  <c r="D34" i="15"/>
  <c r="D35" i="15"/>
  <c r="E9" i="15"/>
  <c r="E34" i="15"/>
  <c r="E35" i="15"/>
  <c r="F9" i="15"/>
  <c r="F34" i="15"/>
  <c r="F35" i="15"/>
  <c r="G9" i="15"/>
  <c r="G34" i="15"/>
  <c r="G35" i="15"/>
  <c r="H9" i="15"/>
  <c r="H34" i="15"/>
  <c r="H35" i="15"/>
  <c r="I9" i="15"/>
  <c r="I34" i="15"/>
  <c r="I35" i="15"/>
  <c r="J9" i="15"/>
  <c r="J34" i="15"/>
  <c r="J35" i="15"/>
  <c r="K9" i="15"/>
  <c r="K34" i="15"/>
  <c r="K35" i="15"/>
  <c r="B9" i="15"/>
  <c r="B34" i="15"/>
  <c r="B35" i="15"/>
  <c r="K3" i="15"/>
  <c r="K30" i="15"/>
  <c r="J3" i="15"/>
  <c r="J30" i="15"/>
  <c r="I3" i="15"/>
  <c r="I30" i="15"/>
  <c r="H3" i="15"/>
  <c r="H30" i="15"/>
  <c r="G3" i="15"/>
  <c r="G30" i="15"/>
  <c r="F3" i="15"/>
  <c r="F30" i="15"/>
  <c r="E3" i="15"/>
  <c r="E30" i="15"/>
  <c r="D3" i="15"/>
  <c r="D30" i="15"/>
  <c r="C3" i="15"/>
  <c r="C30" i="15"/>
  <c r="B3" i="15"/>
  <c r="B30" i="15"/>
  <c r="C4" i="15"/>
  <c r="C5" i="15"/>
  <c r="D4" i="15"/>
  <c r="D5" i="15"/>
  <c r="E4" i="15"/>
  <c r="E5" i="15"/>
  <c r="F4" i="15"/>
  <c r="F5" i="15"/>
  <c r="G4" i="15"/>
  <c r="G5" i="15"/>
  <c r="H4" i="15"/>
  <c r="H5" i="15"/>
  <c r="I4" i="15"/>
  <c r="I5" i="15"/>
  <c r="J4" i="15"/>
  <c r="J5" i="15"/>
  <c r="K4" i="15"/>
  <c r="K5" i="15"/>
  <c r="B4" i="15"/>
  <c r="B5" i="15"/>
  <c r="Q93" i="15"/>
  <c r="P62" i="15"/>
  <c r="Q112" i="15"/>
  <c r="Q107" i="15"/>
  <c r="Q106" i="15"/>
  <c r="Q105" i="15"/>
  <c r="Q104" i="15"/>
  <c r="Q103" i="15"/>
  <c r="P103" i="15"/>
  <c r="Q100" i="15"/>
  <c r="Q99" i="15"/>
  <c r="Q98" i="15"/>
  <c r="Q97" i="15"/>
  <c r="Q96" i="15"/>
  <c r="P96" i="15"/>
  <c r="P89" i="15"/>
  <c r="P82" i="15"/>
  <c r="Q79" i="15"/>
  <c r="Q78" i="15"/>
  <c r="Q77" i="15"/>
  <c r="Q76" i="15"/>
  <c r="Q75" i="15"/>
  <c r="P75" i="15"/>
  <c r="Q72" i="15"/>
  <c r="Q71" i="15"/>
  <c r="Q70" i="15"/>
  <c r="Q69" i="15"/>
  <c r="Q68" i="15"/>
  <c r="P68" i="15"/>
  <c r="Q64" i="15"/>
  <c r="Q63" i="15"/>
  <c r="Q62" i="15"/>
  <c r="Q58" i="15"/>
  <c r="Q57" i="15"/>
  <c r="Q55" i="15"/>
  <c r="Q56" i="15"/>
  <c r="Q54" i="15"/>
  <c r="B6" i="6"/>
  <c r="Q42" i="15"/>
  <c r="Q41" i="15"/>
  <c r="Q3" i="15"/>
  <c r="K16" i="15"/>
  <c r="F55" i="5"/>
  <c r="L15" i="17"/>
  <c r="M15" i="17"/>
  <c r="T15" i="17"/>
  <c r="U15" i="17"/>
  <c r="V15" i="17"/>
  <c r="W15" i="17"/>
  <c r="L14" i="17"/>
  <c r="M14" i="17"/>
  <c r="T14" i="17"/>
  <c r="U14" i="17"/>
  <c r="V14" i="17"/>
  <c r="W14" i="17"/>
  <c r="Y14" i="17"/>
  <c r="H4" i="3"/>
  <c r="I29" i="17"/>
  <c r="L10" i="17"/>
  <c r="K10" i="17"/>
  <c r="L2" i="17"/>
  <c r="U2" i="17"/>
  <c r="I4" i="3"/>
  <c r="J4" i="3"/>
  <c r="K29" i="17"/>
  <c r="G4" i="3"/>
  <c r="H29" i="17"/>
  <c r="H27" i="17"/>
  <c r="D4" i="3"/>
  <c r="E4" i="3"/>
  <c r="F29" i="17"/>
  <c r="F27" i="17"/>
  <c r="F4" i="3"/>
  <c r="C4" i="3"/>
  <c r="D29" i="17"/>
  <c r="D27" i="17"/>
  <c r="K5" i="3"/>
  <c r="L30" i="17"/>
  <c r="J5" i="3"/>
  <c r="K30" i="17"/>
  <c r="K6" i="3"/>
  <c r="L31" i="17"/>
  <c r="J6" i="3"/>
  <c r="K31" i="17"/>
  <c r="K7" i="3"/>
  <c r="L32" i="17"/>
  <c r="J7" i="3"/>
  <c r="K32" i="17"/>
  <c r="K8" i="3"/>
  <c r="L33" i="17"/>
  <c r="J8" i="3"/>
  <c r="K33" i="17"/>
  <c r="K9" i="3"/>
  <c r="L34" i="17"/>
  <c r="J9" i="3"/>
  <c r="K34" i="17"/>
  <c r="K10" i="3"/>
  <c r="L35" i="17"/>
  <c r="J10" i="3"/>
  <c r="K35" i="17"/>
  <c r="J11" i="3"/>
  <c r="K36" i="17"/>
  <c r="K26" i="17"/>
  <c r="K11" i="3"/>
  <c r="L36" i="17"/>
  <c r="K12" i="3"/>
  <c r="L37" i="17"/>
  <c r="J12" i="3"/>
  <c r="K37" i="17"/>
  <c r="U37" i="17"/>
  <c r="K4" i="3"/>
  <c r="K14" i="3"/>
  <c r="L39" i="17"/>
  <c r="J14" i="3"/>
  <c r="K39" i="17"/>
  <c r="M39" i="17"/>
  <c r="G5" i="3"/>
  <c r="H30" i="17"/>
  <c r="G6" i="3"/>
  <c r="G7" i="3"/>
  <c r="H32" i="17"/>
  <c r="G8" i="3"/>
  <c r="H33" i="17"/>
  <c r="T33" i="17"/>
  <c r="G9" i="3"/>
  <c r="H34" i="17"/>
  <c r="G10" i="3"/>
  <c r="H35" i="17"/>
  <c r="G11" i="3"/>
  <c r="H36" i="17"/>
  <c r="H26" i="17"/>
  <c r="G12" i="3"/>
  <c r="H37" i="17"/>
  <c r="T37" i="17"/>
  <c r="K3" i="3"/>
  <c r="L28" i="17"/>
  <c r="M28" i="17"/>
  <c r="B3" i="3"/>
  <c r="C28" i="17"/>
  <c r="C3" i="3"/>
  <c r="D28" i="17"/>
  <c r="D3" i="3"/>
  <c r="E28" i="17"/>
  <c r="E3" i="3"/>
  <c r="F28" i="17"/>
  <c r="F3" i="3"/>
  <c r="G28" i="17"/>
  <c r="G3" i="3"/>
  <c r="H28" i="17"/>
  <c r="H3" i="3"/>
  <c r="I28" i="17"/>
  <c r="I3" i="3"/>
  <c r="J28" i="17"/>
  <c r="J3" i="3"/>
  <c r="K28" i="17"/>
  <c r="B4" i="3"/>
  <c r="C29" i="17"/>
  <c r="B5" i="3"/>
  <c r="C30" i="17"/>
  <c r="C5" i="3"/>
  <c r="D30" i="17"/>
  <c r="D5" i="3"/>
  <c r="E30" i="17"/>
  <c r="E5" i="3"/>
  <c r="F30" i="17"/>
  <c r="F5" i="3"/>
  <c r="G30" i="17"/>
  <c r="H5" i="3"/>
  <c r="I30" i="17"/>
  <c r="I5" i="3"/>
  <c r="J30" i="17"/>
  <c r="B6" i="3"/>
  <c r="C31" i="17"/>
  <c r="C6" i="3"/>
  <c r="D31" i="17"/>
  <c r="D6" i="3"/>
  <c r="E31" i="17"/>
  <c r="E6" i="3"/>
  <c r="F6" i="3"/>
  <c r="G31" i="17"/>
  <c r="H6" i="3"/>
  <c r="I6" i="3"/>
  <c r="J31" i="17"/>
  <c r="B7" i="3"/>
  <c r="C32" i="17"/>
  <c r="C7" i="3"/>
  <c r="D32" i="17"/>
  <c r="D7" i="3"/>
  <c r="E32" i="17"/>
  <c r="E7" i="3"/>
  <c r="F32" i="17"/>
  <c r="F7" i="3"/>
  <c r="G32" i="17"/>
  <c r="H7" i="3"/>
  <c r="I32" i="17"/>
  <c r="I7" i="3"/>
  <c r="J32" i="17"/>
  <c r="B8" i="3"/>
  <c r="C33" i="17"/>
  <c r="C8" i="3"/>
  <c r="D33" i="17"/>
  <c r="D8" i="3"/>
  <c r="E33" i="17"/>
  <c r="E8" i="3"/>
  <c r="F33" i="17"/>
  <c r="F8" i="3"/>
  <c r="G33" i="17"/>
  <c r="H8" i="3"/>
  <c r="I8" i="3"/>
  <c r="J33" i="17"/>
  <c r="B9" i="3"/>
  <c r="C34" i="17"/>
  <c r="C9" i="3"/>
  <c r="D34" i="17"/>
  <c r="D9" i="3"/>
  <c r="E34" i="17"/>
  <c r="E9" i="3"/>
  <c r="F34" i="17"/>
  <c r="F9" i="3"/>
  <c r="G34" i="17"/>
  <c r="H9" i="3"/>
  <c r="I34" i="17"/>
  <c r="I9" i="3"/>
  <c r="J34" i="17"/>
  <c r="B10" i="3"/>
  <c r="C35" i="17"/>
  <c r="C10" i="3"/>
  <c r="D35" i="17"/>
  <c r="D10" i="3"/>
  <c r="E35" i="17"/>
  <c r="E10" i="3"/>
  <c r="F35" i="17"/>
  <c r="F10" i="3"/>
  <c r="G35" i="17"/>
  <c r="F11" i="3"/>
  <c r="G36" i="17"/>
  <c r="G26" i="17"/>
  <c r="H10" i="3"/>
  <c r="I35" i="17"/>
  <c r="I10" i="3"/>
  <c r="J35" i="17"/>
  <c r="I11" i="3"/>
  <c r="J36" i="17"/>
  <c r="J26" i="17"/>
  <c r="B11" i="3"/>
  <c r="C36" i="17"/>
  <c r="C11" i="3"/>
  <c r="D36" i="17"/>
  <c r="D11" i="3"/>
  <c r="E36" i="17"/>
  <c r="E26" i="17"/>
  <c r="E11" i="3"/>
  <c r="F36" i="17"/>
  <c r="H11" i="3"/>
  <c r="B12" i="3"/>
  <c r="C37" i="17"/>
  <c r="C12" i="3"/>
  <c r="D37" i="17"/>
  <c r="D12" i="3"/>
  <c r="E37" i="17"/>
  <c r="E12" i="3"/>
  <c r="F37" i="17"/>
  <c r="F12" i="3"/>
  <c r="G37" i="17"/>
  <c r="H12" i="3"/>
  <c r="I37" i="17"/>
  <c r="I12" i="3"/>
  <c r="C38" i="17"/>
  <c r="D38" i="17"/>
  <c r="E38" i="17"/>
  <c r="F38" i="17"/>
  <c r="G38" i="17"/>
  <c r="H38" i="17"/>
  <c r="I38" i="17"/>
  <c r="J38" i="17"/>
  <c r="K38" i="17"/>
  <c r="L38" i="17"/>
  <c r="B14" i="3"/>
  <c r="C39" i="17"/>
  <c r="C14" i="3"/>
  <c r="D39" i="17"/>
  <c r="K16" i="1"/>
  <c r="L21" i="17"/>
  <c r="M10" i="17"/>
  <c r="T10" i="17"/>
  <c r="T12" i="17"/>
  <c r="L13" i="17"/>
  <c r="M13" i="17"/>
  <c r="T13" i="17"/>
  <c r="U13" i="17"/>
  <c r="V13" i="17"/>
  <c r="W13" i="17"/>
  <c r="M23" i="17"/>
  <c r="Q16" i="1"/>
  <c r="M21" i="17"/>
  <c r="M12" i="17"/>
  <c r="L26" i="17"/>
  <c r="L9" i="17"/>
  <c r="M9" i="17"/>
  <c r="T9" i="17"/>
  <c r="U9" i="17"/>
  <c r="V9" i="17"/>
  <c r="W9" i="17"/>
  <c r="D9" i="17"/>
  <c r="E9" i="17"/>
  <c r="F9" i="17"/>
  <c r="G9" i="17"/>
  <c r="H9" i="17"/>
  <c r="I9" i="17"/>
  <c r="J9" i="17"/>
  <c r="K9" i="17"/>
  <c r="C9" i="17"/>
  <c r="U3" i="17"/>
  <c r="V3" i="17"/>
  <c r="W3" i="17"/>
  <c r="T3" i="17"/>
  <c r="Q4" i="1"/>
  <c r="F26" i="17"/>
  <c r="D26" i="17"/>
  <c r="D10" i="17"/>
  <c r="E18" i="17"/>
  <c r="F18" i="17"/>
  <c r="F11" i="17"/>
  <c r="G10" i="17"/>
  <c r="H10" i="17"/>
  <c r="I18" i="17"/>
  <c r="J10" i="17"/>
  <c r="K2" i="17"/>
  <c r="L18" i="17"/>
  <c r="C10" i="17"/>
  <c r="C11" i="17"/>
  <c r="C3" i="17"/>
  <c r="D11" i="17"/>
  <c r="D3" i="17"/>
  <c r="E11" i="17"/>
  <c r="G11" i="17"/>
  <c r="G3" i="17"/>
  <c r="I11" i="17"/>
  <c r="J11" i="17"/>
  <c r="K11" i="17"/>
  <c r="L11" i="17"/>
  <c r="L3" i="17"/>
  <c r="C12" i="17"/>
  <c r="K12" i="17"/>
  <c r="K4" i="17"/>
  <c r="Q6" i="1"/>
  <c r="Q20" i="1"/>
  <c r="Q25" i="1"/>
  <c r="D13" i="17"/>
  <c r="G13" i="17"/>
  <c r="Q7" i="1"/>
  <c r="E14" i="17"/>
  <c r="I14" i="17"/>
  <c r="G15" i="17"/>
  <c r="K15" i="17"/>
  <c r="E16" i="17"/>
  <c r="F17" i="17"/>
  <c r="J17" i="17"/>
  <c r="C14" i="1"/>
  <c r="D19" i="17"/>
  <c r="E31" i="15"/>
  <c r="F14" i="1"/>
  <c r="G19" i="17"/>
  <c r="G14" i="1"/>
  <c r="G16" i="1"/>
  <c r="G15" i="1"/>
  <c r="H20" i="17"/>
  <c r="J31" i="15"/>
  <c r="J36" i="15"/>
  <c r="B16" i="1"/>
  <c r="C21" i="17"/>
  <c r="C16" i="1"/>
  <c r="D16" i="1"/>
  <c r="E16" i="1"/>
  <c r="F16" i="1"/>
  <c r="H21" i="17"/>
  <c r="H16" i="1"/>
  <c r="I16" i="1"/>
  <c r="J16" i="1"/>
  <c r="K21" i="17"/>
  <c r="F21" i="17"/>
  <c r="I21" i="17"/>
  <c r="J21" i="17"/>
  <c r="Y13" i="17"/>
  <c r="C4" i="17"/>
  <c r="K3" i="17"/>
  <c r="D2" i="17"/>
  <c r="H40" i="5"/>
  <c r="D40" i="5"/>
  <c r="B36" i="15"/>
  <c r="I31" i="15"/>
  <c r="I36" i="15"/>
  <c r="I7" i="15"/>
  <c r="I42" i="15"/>
  <c r="G31" i="15"/>
  <c r="G36" i="15"/>
  <c r="F31" i="15"/>
  <c r="F57" i="5"/>
  <c r="C31" i="15"/>
  <c r="C16" i="15"/>
  <c r="C48" i="15"/>
  <c r="A1" i="15"/>
  <c r="A1" i="5"/>
  <c r="A12" i="5"/>
  <c r="A18" i="5"/>
  <c r="K46" i="15"/>
  <c r="K48" i="15"/>
  <c r="J16" i="15"/>
  <c r="J49" i="15"/>
  <c r="I16" i="15"/>
  <c r="I47" i="15"/>
  <c r="I45" i="15"/>
  <c r="I48" i="15"/>
  <c r="I49" i="15"/>
  <c r="H16" i="15"/>
  <c r="H49" i="15"/>
  <c r="H46" i="15"/>
  <c r="G16" i="15"/>
  <c r="F16" i="15"/>
  <c r="F49" i="15"/>
  <c r="F46" i="15"/>
  <c r="E16" i="15"/>
  <c r="E49" i="15"/>
  <c r="E46" i="15"/>
  <c r="D16" i="15"/>
  <c r="D49" i="15"/>
  <c r="C46" i="15"/>
  <c r="C49" i="15"/>
  <c r="B16" i="15"/>
  <c r="B49" i="15"/>
  <c r="K53" i="5"/>
  <c r="J53" i="5"/>
  <c r="I53" i="5"/>
  <c r="H53" i="5"/>
  <c r="G53" i="5"/>
  <c r="F53" i="5"/>
  <c r="E53" i="5"/>
  <c r="D53" i="5"/>
  <c r="C53" i="5"/>
  <c r="B53" i="5"/>
  <c r="K20" i="5"/>
  <c r="J20" i="5"/>
  <c r="I20" i="5"/>
  <c r="H20" i="5"/>
  <c r="G20" i="5"/>
  <c r="F20" i="5"/>
  <c r="E20" i="5"/>
  <c r="D20" i="5"/>
  <c r="C20" i="5"/>
  <c r="B20" i="5"/>
  <c r="K21" i="5"/>
  <c r="J21" i="5"/>
  <c r="I21" i="5"/>
  <c r="H21" i="5"/>
  <c r="G21" i="5"/>
  <c r="F21" i="5"/>
  <c r="E21" i="5"/>
  <c r="D21" i="5"/>
  <c r="C21" i="5"/>
  <c r="B21" i="5"/>
  <c r="K22" i="5"/>
  <c r="J22" i="5"/>
  <c r="I22" i="5"/>
  <c r="H22" i="5"/>
  <c r="G22" i="5"/>
  <c r="F22" i="5"/>
  <c r="E22" i="5"/>
  <c r="D22" i="5"/>
  <c r="C22" i="5"/>
  <c r="B22" i="5"/>
  <c r="K12" i="15"/>
  <c r="K23" i="5"/>
  <c r="J12" i="15"/>
  <c r="J23" i="5"/>
  <c r="I12" i="15"/>
  <c r="I23" i="5"/>
  <c r="H12" i="15"/>
  <c r="H23" i="5"/>
  <c r="G12" i="15"/>
  <c r="G23" i="5"/>
  <c r="F12" i="15"/>
  <c r="F23" i="5"/>
  <c r="E12" i="15"/>
  <c r="E23" i="5"/>
  <c r="D12" i="15"/>
  <c r="D23" i="5"/>
  <c r="C12" i="15"/>
  <c r="C23" i="5"/>
  <c r="B12" i="15"/>
  <c r="B23" i="5"/>
  <c r="K32" i="5"/>
  <c r="J32" i="5"/>
  <c r="I32" i="5"/>
  <c r="H32" i="5"/>
  <c r="G32" i="5"/>
  <c r="F32" i="5"/>
  <c r="E32" i="5"/>
  <c r="D32" i="5"/>
  <c r="C32" i="5"/>
  <c r="B32" i="5"/>
  <c r="K31" i="5"/>
  <c r="J31" i="5"/>
  <c r="I31" i="5"/>
  <c r="H31" i="5"/>
  <c r="G31" i="5"/>
  <c r="F31" i="5"/>
  <c r="E31" i="5"/>
  <c r="D31" i="5"/>
  <c r="C31" i="5"/>
  <c r="B31" i="5"/>
  <c r="K8" i="2"/>
  <c r="K37" i="2"/>
  <c r="J8" i="2"/>
  <c r="I8" i="2"/>
  <c r="H8" i="2"/>
  <c r="H37" i="2"/>
  <c r="G8" i="2"/>
  <c r="G34" i="2"/>
  <c r="F8" i="2"/>
  <c r="F32" i="2"/>
  <c r="E8" i="2"/>
  <c r="E37" i="2"/>
  <c r="D8" i="2"/>
  <c r="D37" i="2"/>
  <c r="C8" i="2"/>
  <c r="I35" i="2"/>
  <c r="H35" i="2"/>
  <c r="E35" i="2"/>
  <c r="E34" i="2"/>
  <c r="K13" i="2"/>
  <c r="K7" i="2"/>
  <c r="K16" i="2"/>
  <c r="J13" i="2"/>
  <c r="J7" i="2"/>
  <c r="J16" i="2"/>
  <c r="I13" i="2"/>
  <c r="I7" i="2"/>
  <c r="I16" i="2"/>
  <c r="H13" i="2"/>
  <c r="H7" i="2"/>
  <c r="H16" i="2"/>
  <c r="H33" i="2"/>
  <c r="G13" i="2"/>
  <c r="G7" i="2"/>
  <c r="G16" i="2"/>
  <c r="F13" i="2"/>
  <c r="F7" i="2"/>
  <c r="F16" i="2"/>
  <c r="E13" i="2"/>
  <c r="E7" i="2"/>
  <c r="D13" i="2"/>
  <c r="D7" i="2"/>
  <c r="D16" i="2"/>
  <c r="D33" i="2"/>
  <c r="C13" i="2"/>
  <c r="C7" i="2"/>
  <c r="K32" i="2"/>
  <c r="I32" i="2"/>
  <c r="H32" i="2"/>
  <c r="E32" i="2"/>
  <c r="B8" i="2"/>
  <c r="B35" i="2"/>
  <c r="B13" i="2"/>
  <c r="B7" i="2"/>
  <c r="B16" i="2"/>
  <c r="B33" i="2"/>
  <c r="K3" i="2"/>
  <c r="K31" i="2"/>
  <c r="J3" i="2"/>
  <c r="J31" i="2"/>
  <c r="I3" i="2"/>
  <c r="I31" i="2"/>
  <c r="H3" i="2"/>
  <c r="H31" i="2"/>
  <c r="G3" i="2"/>
  <c r="G31" i="2"/>
  <c r="F3" i="2"/>
  <c r="F31" i="2"/>
  <c r="E3" i="2"/>
  <c r="E31" i="2"/>
  <c r="D3" i="2"/>
  <c r="D31" i="2"/>
  <c r="C3" i="2"/>
  <c r="C31" i="2"/>
  <c r="B3" i="2"/>
  <c r="B31" i="2"/>
  <c r="K24" i="5"/>
  <c r="J24" i="5"/>
  <c r="I24" i="5"/>
  <c r="H24" i="5"/>
  <c r="G24" i="5"/>
  <c r="F24" i="5"/>
  <c r="E24" i="5"/>
  <c r="D24" i="5"/>
  <c r="C24" i="5"/>
  <c r="B24" i="5"/>
  <c r="J25" i="5"/>
  <c r="I25" i="5"/>
  <c r="H25" i="5"/>
  <c r="F25" i="5"/>
  <c r="D25" i="5"/>
  <c r="B25" i="5"/>
  <c r="K33" i="5"/>
  <c r="J33" i="5"/>
  <c r="I33" i="5"/>
  <c r="G33" i="5"/>
  <c r="F33" i="5"/>
  <c r="E33" i="5"/>
  <c r="C33" i="5"/>
  <c r="B33" i="5"/>
  <c r="K27" i="5"/>
  <c r="K26" i="5"/>
  <c r="J27" i="5"/>
  <c r="J26" i="5"/>
  <c r="G27" i="5"/>
  <c r="G26" i="5"/>
  <c r="F27" i="5"/>
  <c r="F26" i="5"/>
  <c r="C27" i="5"/>
  <c r="C26" i="5"/>
  <c r="F28" i="5"/>
  <c r="D28" i="5"/>
  <c r="E41" i="5"/>
  <c r="G41" i="5"/>
  <c r="K41" i="5"/>
  <c r="K57" i="5"/>
  <c r="I57" i="5"/>
  <c r="G57" i="5"/>
  <c r="E57" i="5"/>
  <c r="C57" i="5"/>
  <c r="B57" i="5"/>
  <c r="C58" i="5"/>
  <c r="J55" i="5"/>
  <c r="H55" i="5"/>
  <c r="D55" i="5"/>
  <c r="B55" i="5"/>
  <c r="K54" i="5"/>
  <c r="J54" i="5"/>
  <c r="I54" i="5"/>
  <c r="H54" i="5"/>
  <c r="G54" i="5"/>
  <c r="F54" i="5"/>
  <c r="E54" i="5"/>
  <c r="D54" i="5"/>
  <c r="C54" i="5"/>
  <c r="B54" i="5"/>
  <c r="J15" i="15"/>
  <c r="J49" i="5"/>
  <c r="F15" i="15"/>
  <c r="F49" i="5"/>
  <c r="B15" i="15"/>
  <c r="B49" i="5"/>
  <c r="H44" i="5"/>
  <c r="H50" i="5"/>
  <c r="K46" i="5"/>
  <c r="J39" i="5"/>
  <c r="J46" i="5"/>
  <c r="I46" i="5"/>
  <c r="H39" i="5"/>
  <c r="H46" i="5"/>
  <c r="F39" i="5"/>
  <c r="F46" i="5"/>
  <c r="F47" i="5"/>
  <c r="E46" i="5"/>
  <c r="D39" i="5"/>
  <c r="D46" i="5"/>
  <c r="C46" i="5"/>
  <c r="B39" i="5"/>
  <c r="K45" i="5"/>
  <c r="J45" i="5"/>
  <c r="I45" i="5"/>
  <c r="H45" i="5"/>
  <c r="G45" i="5"/>
  <c r="F45" i="5"/>
  <c r="E45" i="5"/>
  <c r="D45" i="5"/>
  <c r="C45" i="5"/>
  <c r="B45" i="5"/>
  <c r="K40" i="5"/>
  <c r="J40" i="5"/>
  <c r="I40" i="5"/>
  <c r="G40" i="5"/>
  <c r="F40" i="5"/>
  <c r="E40" i="5"/>
  <c r="C40" i="5"/>
  <c r="B40" i="5"/>
  <c r="J41" i="5"/>
  <c r="H41" i="5"/>
  <c r="F41" i="5"/>
  <c r="D41" i="5"/>
  <c r="B41" i="5"/>
  <c r="K7" i="15"/>
  <c r="K8" i="15"/>
  <c r="K38" i="5"/>
  <c r="J7" i="15"/>
  <c r="J8" i="15"/>
  <c r="J38" i="5"/>
  <c r="I8" i="15"/>
  <c r="I38" i="5"/>
  <c r="I37" i="5"/>
  <c r="H7" i="15"/>
  <c r="H8" i="15"/>
  <c r="H38" i="5"/>
  <c r="G7" i="15"/>
  <c r="G8" i="15"/>
  <c r="G38" i="5"/>
  <c r="F7" i="15"/>
  <c r="E7" i="15"/>
  <c r="E8" i="15"/>
  <c r="E38" i="5"/>
  <c r="D7" i="15"/>
  <c r="C7" i="15"/>
  <c r="C8" i="15"/>
  <c r="C38" i="5"/>
  <c r="H37" i="5"/>
  <c r="B7" i="15"/>
  <c r="B37" i="5"/>
  <c r="K35" i="5"/>
  <c r="G35" i="5"/>
  <c r="C15" i="5"/>
  <c r="H35" i="5"/>
  <c r="F35" i="5"/>
  <c r="E35" i="5"/>
  <c r="D35" i="5"/>
  <c r="C35" i="5"/>
  <c r="B35" i="5"/>
  <c r="I32" i="15"/>
  <c r="G32" i="15"/>
  <c r="B32" i="15"/>
  <c r="K13" i="5"/>
  <c r="I16" i="5"/>
  <c r="I15" i="5"/>
  <c r="I14" i="5"/>
  <c r="I13" i="5"/>
  <c r="H15" i="5"/>
  <c r="H14" i="5"/>
  <c r="H13" i="5"/>
  <c r="K10" i="15"/>
  <c r="J10" i="15"/>
  <c r="I10" i="15"/>
  <c r="F15" i="5"/>
  <c r="G10" i="15"/>
  <c r="B10" i="15"/>
  <c r="F13" i="5"/>
  <c r="H10" i="15"/>
  <c r="F10" i="15"/>
  <c r="E10" i="15"/>
  <c r="D10" i="15"/>
  <c r="C10" i="15"/>
  <c r="D16" i="5"/>
  <c r="D15" i="5"/>
  <c r="D14" i="5"/>
  <c r="D13" i="5"/>
  <c r="B16" i="5"/>
  <c r="B15" i="5"/>
  <c r="B14" i="5"/>
  <c r="B13" i="5"/>
  <c r="L31" i="15"/>
  <c r="K8" i="5"/>
  <c r="B43" i="15"/>
  <c r="E43" i="15"/>
  <c r="G43" i="15"/>
  <c r="I43" i="15"/>
  <c r="K43" i="15"/>
  <c r="B41" i="15"/>
  <c r="C41" i="15"/>
  <c r="E41" i="15"/>
  <c r="F41" i="15"/>
  <c r="G41" i="15"/>
  <c r="I41" i="15"/>
  <c r="K41" i="15"/>
  <c r="K42" i="15"/>
  <c r="I8" i="5"/>
  <c r="B39" i="15"/>
  <c r="C39" i="15"/>
  <c r="G39" i="15"/>
  <c r="J39" i="15"/>
  <c r="K39" i="15"/>
  <c r="B38" i="15"/>
  <c r="E38" i="15"/>
  <c r="G38" i="15"/>
  <c r="I38" i="15"/>
  <c r="K38" i="15"/>
  <c r="B9" i="5"/>
  <c r="C8" i="5"/>
  <c r="C7" i="5"/>
  <c r="B7" i="5"/>
  <c r="D7" i="5"/>
  <c r="C6" i="5"/>
  <c r="B5" i="5"/>
  <c r="J17" i="15"/>
  <c r="J11" i="15"/>
  <c r="I11" i="15"/>
  <c r="H37" i="15"/>
  <c r="G11" i="15"/>
  <c r="F11" i="15"/>
  <c r="F44" i="15"/>
  <c r="E11" i="15"/>
  <c r="C37" i="15"/>
  <c r="H44" i="15"/>
  <c r="G44" i="15"/>
  <c r="C44" i="15"/>
  <c r="J37" i="15"/>
  <c r="G37" i="15"/>
  <c r="F37" i="15"/>
  <c r="I17" i="15"/>
  <c r="G17" i="15"/>
  <c r="F17" i="15"/>
  <c r="K40" i="15"/>
  <c r="I40" i="15"/>
  <c r="G40" i="15"/>
  <c r="F40" i="15"/>
  <c r="E40" i="15"/>
  <c r="C40" i="15"/>
  <c r="B40" i="15"/>
  <c r="F32" i="15"/>
  <c r="E32" i="15"/>
  <c r="C32" i="15"/>
  <c r="K18" i="5"/>
  <c r="J18" i="5"/>
  <c r="I18" i="5"/>
  <c r="H18" i="5"/>
  <c r="G18" i="5"/>
  <c r="F18" i="5"/>
  <c r="E18" i="5"/>
  <c r="D18" i="5"/>
  <c r="C18" i="5"/>
  <c r="B18" i="5"/>
  <c r="C26" i="2"/>
  <c r="G26" i="2"/>
  <c r="F26" i="2"/>
  <c r="H26" i="2"/>
  <c r="I26" i="2"/>
  <c r="C12" i="2"/>
  <c r="D12" i="2"/>
  <c r="E12" i="2"/>
  <c r="F12" i="2"/>
  <c r="G12" i="2"/>
  <c r="H12" i="2"/>
  <c r="I12" i="2"/>
  <c r="J12" i="2"/>
  <c r="K12" i="2"/>
  <c r="C14" i="2"/>
  <c r="D14" i="2"/>
  <c r="E14" i="2"/>
  <c r="F14" i="2"/>
  <c r="G14" i="2"/>
  <c r="H14" i="2"/>
  <c r="I14" i="2"/>
  <c r="J14" i="2"/>
  <c r="K14" i="2"/>
  <c r="B14" i="2"/>
  <c r="K19" i="1"/>
  <c r="A1" i="1"/>
  <c r="A1" i="2"/>
  <c r="A1" i="4"/>
  <c r="E1" i="6"/>
  <c r="E1" i="4"/>
  <c r="K26" i="2"/>
  <c r="F20" i="1"/>
  <c r="J20" i="1"/>
  <c r="I20" i="1"/>
  <c r="B12" i="2"/>
  <c r="B26" i="2"/>
  <c r="K24" i="1"/>
  <c r="Q24" i="1"/>
  <c r="R24" i="1"/>
  <c r="R4" i="1"/>
  <c r="H24" i="1"/>
  <c r="I24" i="1"/>
  <c r="J24" i="1"/>
  <c r="S24" i="1"/>
  <c r="S4" i="1"/>
  <c r="B20" i="1"/>
  <c r="C55" i="5"/>
  <c r="C44" i="5"/>
  <c r="C50" i="5"/>
  <c r="K55" i="5"/>
  <c r="K44" i="5"/>
  <c r="K50" i="5"/>
  <c r="K29" i="15"/>
  <c r="G55" i="5"/>
  <c r="G44" i="5"/>
  <c r="G29" i="15"/>
  <c r="D19" i="5"/>
  <c r="D48" i="5"/>
  <c r="F44" i="5"/>
  <c r="E1" i="2"/>
  <c r="J18" i="17"/>
  <c r="J6" i="17"/>
  <c r="K14" i="5"/>
  <c r="G37" i="5"/>
  <c r="K37" i="5"/>
  <c r="E39" i="5"/>
  <c r="D44" i="5"/>
  <c r="D29" i="15"/>
  <c r="D56" i="5"/>
  <c r="H29" i="15"/>
  <c r="H56" i="5"/>
  <c r="B32" i="2"/>
  <c r="J12" i="17"/>
  <c r="J4" i="17"/>
  <c r="Q11" i="1"/>
  <c r="N6" i="5"/>
  <c r="H16" i="17"/>
  <c r="H17" i="17"/>
  <c r="H5" i="17"/>
  <c r="E15" i="17"/>
  <c r="J13" i="17"/>
  <c r="E1" i="3"/>
  <c r="H17" i="15"/>
  <c r="B6" i="5"/>
  <c r="D6" i="5"/>
  <c r="B42" i="15"/>
  <c r="C13" i="5"/>
  <c r="B8" i="15"/>
  <c r="B38" i="5"/>
  <c r="D47" i="5"/>
  <c r="C25" i="5"/>
  <c r="G25" i="5"/>
  <c r="K25" i="5"/>
  <c r="F34" i="2"/>
  <c r="H34" i="2"/>
  <c r="G37" i="2"/>
  <c r="B48" i="15"/>
  <c r="B45" i="15"/>
  <c r="C45" i="15"/>
  <c r="D45" i="15"/>
  <c r="F45" i="15"/>
  <c r="H45" i="15"/>
  <c r="J45" i="15"/>
  <c r="J47" i="15"/>
  <c r="K45" i="15"/>
  <c r="C16" i="17"/>
  <c r="J15" i="17"/>
  <c r="G14" i="17"/>
  <c r="D14" i="17"/>
  <c r="K18" i="17"/>
  <c r="K6" i="17"/>
  <c r="J14" i="1"/>
  <c r="K19" i="17"/>
  <c r="M32" i="17"/>
  <c r="K16" i="17"/>
  <c r="H1" i="1"/>
  <c r="J26" i="2"/>
  <c r="K16" i="5"/>
  <c r="C41" i="5"/>
  <c r="B19" i="5"/>
  <c r="C19" i="5"/>
  <c r="F19" i="5"/>
  <c r="F48" i="5"/>
  <c r="H19" i="5"/>
  <c r="J19" i="5"/>
  <c r="K19" i="5"/>
  <c r="B44" i="5"/>
  <c r="B50" i="5"/>
  <c r="J44" i="5"/>
  <c r="C15" i="15"/>
  <c r="C49" i="5"/>
  <c r="G15" i="15"/>
  <c r="G49" i="5"/>
  <c r="K15" i="15"/>
  <c r="K49" i="5"/>
  <c r="E28" i="5"/>
  <c r="G28" i="5"/>
  <c r="I28" i="5"/>
  <c r="K28" i="5"/>
  <c r="B37" i="2"/>
  <c r="I37" i="2"/>
  <c r="D47" i="15"/>
  <c r="F47" i="15"/>
  <c r="H47" i="15"/>
  <c r="I14" i="1"/>
  <c r="J19" i="17"/>
  <c r="E17" i="17"/>
  <c r="E5" i="17"/>
  <c r="H11" i="17"/>
  <c r="H3" i="17"/>
  <c r="Q10" i="1"/>
  <c r="I15" i="1"/>
  <c r="J20" i="17"/>
  <c r="L17" i="17"/>
  <c r="G17" i="17"/>
  <c r="D17" i="17"/>
  <c r="D16" i="17"/>
  <c r="D5" i="17"/>
  <c r="J16" i="17"/>
  <c r="J5" i="17"/>
  <c r="G16" i="17"/>
  <c r="I15" i="17"/>
  <c r="D15" i="17"/>
  <c r="K14" i="17"/>
  <c r="F14" i="17"/>
  <c r="C14" i="17"/>
  <c r="I13" i="17"/>
  <c r="F13" i="17"/>
  <c r="I10" i="17"/>
  <c r="I17" i="17"/>
  <c r="L16" i="17"/>
  <c r="F15" i="17"/>
  <c r="H14" i="17"/>
  <c r="K13" i="17"/>
  <c r="C13" i="17"/>
  <c r="L6" i="17"/>
  <c r="G18" i="17"/>
  <c r="G6" i="17"/>
  <c r="K17" i="17"/>
  <c r="K5" i="17"/>
  <c r="C17" i="17"/>
  <c r="C5" i="17"/>
  <c r="F16" i="17"/>
  <c r="F5" i="17"/>
  <c r="H15" i="17"/>
  <c r="J14" i="17"/>
  <c r="E13" i="17"/>
  <c r="C18" i="17"/>
  <c r="C6" i="17"/>
  <c r="E10" i="17"/>
  <c r="E6" i="17"/>
  <c r="G5" i="17"/>
  <c r="J15" i="1"/>
  <c r="D25" i="17"/>
  <c r="D42" i="5"/>
  <c r="I3" i="17"/>
  <c r="H42" i="5"/>
  <c r="E47" i="5"/>
  <c r="K42" i="5"/>
  <c r="K56" i="5"/>
  <c r="E2" i="17"/>
  <c r="E3" i="17"/>
  <c r="I29" i="15"/>
  <c r="I42" i="5"/>
  <c r="I44" i="5"/>
  <c r="I50" i="5"/>
  <c r="I55" i="5"/>
  <c r="Y15" i="17"/>
  <c r="F39" i="15"/>
  <c r="F48" i="15"/>
  <c r="F38" i="15"/>
  <c r="F43" i="15"/>
  <c r="B44" i="15"/>
  <c r="B11" i="15"/>
  <c r="B17" i="15"/>
  <c r="B37" i="15"/>
  <c r="K11" i="15"/>
  <c r="K44" i="15"/>
  <c r="K37" i="15"/>
  <c r="D8" i="15"/>
  <c r="D38" i="5"/>
  <c r="D37" i="5"/>
  <c r="J35" i="5"/>
  <c r="C16" i="5"/>
  <c r="G58" i="5"/>
  <c r="G14" i="5"/>
  <c r="E26" i="2"/>
  <c r="K17" i="15"/>
  <c r="D37" i="15"/>
  <c r="D11" i="15"/>
  <c r="D17" i="15"/>
  <c r="F8" i="15"/>
  <c r="F38" i="5"/>
  <c r="F37" i="5"/>
  <c r="H47" i="5"/>
  <c r="H48" i="5"/>
  <c r="J48" i="5"/>
  <c r="J47" i="5"/>
  <c r="D50" i="5"/>
  <c r="D27" i="5"/>
  <c r="D26" i="5"/>
  <c r="K20" i="17"/>
  <c r="G42" i="5"/>
  <c r="G56" i="5"/>
  <c r="G47" i="15"/>
  <c r="G48" i="15"/>
  <c r="U30" i="17"/>
  <c r="T30" i="17"/>
  <c r="E45" i="15"/>
  <c r="Q7" i="15"/>
  <c r="Q4" i="15"/>
  <c r="Q17" i="15"/>
  <c r="Q48" i="15"/>
  <c r="Q111" i="15"/>
  <c r="Q40" i="15"/>
  <c r="P97" i="15"/>
  <c r="P83" i="15"/>
  <c r="P63" i="15"/>
  <c r="P69" i="15"/>
  <c r="P104" i="15"/>
  <c r="P76" i="15"/>
  <c r="D18" i="17"/>
  <c r="D6" i="17"/>
  <c r="B61" i="5"/>
  <c r="B62" i="5"/>
  <c r="G39" i="5"/>
  <c r="C37" i="5"/>
  <c r="G50" i="5"/>
  <c r="A1" i="3"/>
  <c r="D26" i="2"/>
  <c r="C11" i="15"/>
  <c r="J44" i="15"/>
  <c r="D5" i="5"/>
  <c r="F16" i="5"/>
  <c r="K32" i="15"/>
  <c r="L13" i="5"/>
  <c r="I35" i="5"/>
  <c r="J37" i="5"/>
  <c r="E37" i="5"/>
  <c r="B27" i="5"/>
  <c r="B26" i="5"/>
  <c r="D33" i="5"/>
  <c r="H33" i="5"/>
  <c r="G32" i="2"/>
  <c r="F36" i="15"/>
  <c r="F42" i="15"/>
  <c r="K14" i="1"/>
  <c r="E14" i="1"/>
  <c r="T34" i="17"/>
  <c r="Q5" i="15"/>
  <c r="Q22" i="15"/>
  <c r="H18" i="17"/>
  <c r="H6" i="17"/>
  <c r="G12" i="17"/>
  <c r="G4" i="17"/>
  <c r="F10" i="17"/>
  <c r="C38" i="15"/>
  <c r="N7" i="5"/>
  <c r="F50" i="5"/>
  <c r="J50" i="5"/>
  <c r="F58" i="5"/>
  <c r="B63" i="5"/>
  <c r="C37" i="2"/>
  <c r="C32" i="2"/>
  <c r="J37" i="2"/>
  <c r="J32" i="2"/>
  <c r="G49" i="15"/>
  <c r="E48" i="15"/>
  <c r="E36" i="15"/>
  <c r="E42" i="15"/>
  <c r="F3" i="17"/>
  <c r="I36" i="17"/>
  <c r="I26" i="17"/>
  <c r="M26" i="17"/>
  <c r="Q12" i="1"/>
  <c r="R12" i="1"/>
  <c r="I31" i="17"/>
  <c r="H14" i="3"/>
  <c r="I39" i="17"/>
  <c r="K49" i="15"/>
  <c r="Q12" i="15"/>
  <c r="K47" i="15"/>
  <c r="K50" i="15"/>
  <c r="K52" i="5"/>
  <c r="G19" i="5"/>
  <c r="E14" i="5"/>
  <c r="G45" i="15"/>
  <c r="C17" i="15"/>
  <c r="C43" i="15"/>
  <c r="C14" i="5"/>
  <c r="E19" i="5"/>
  <c r="E48" i="5"/>
  <c r="G46" i="5"/>
  <c r="D15" i="15"/>
  <c r="D49" i="5"/>
  <c r="H15" i="15"/>
  <c r="H49" i="5"/>
  <c r="H27" i="5"/>
  <c r="H26" i="5"/>
  <c r="E25" i="5"/>
  <c r="C34" i="2"/>
  <c r="J34" i="2"/>
  <c r="E47" i="15"/>
  <c r="C36" i="15"/>
  <c r="C42" i="15"/>
  <c r="Q5" i="1"/>
  <c r="J37" i="17"/>
  <c r="Q13" i="1"/>
  <c r="Q14" i="1"/>
  <c r="P90" i="15"/>
  <c r="Q110" i="15"/>
  <c r="C16" i="2"/>
  <c r="E16" i="2"/>
  <c r="E33" i="2"/>
  <c r="J35" i="2"/>
  <c r="C47" i="15"/>
  <c r="C50" i="15"/>
  <c r="C52" i="5"/>
  <c r="J46" i="15"/>
  <c r="J42" i="15"/>
  <c r="B14" i="1"/>
  <c r="H13" i="17"/>
  <c r="H2" i="17"/>
  <c r="B34" i="2"/>
  <c r="C35" i="2"/>
  <c r="G35" i="2"/>
  <c r="D46" i="15"/>
  <c r="G46" i="15"/>
  <c r="I46" i="15"/>
  <c r="J3" i="17"/>
  <c r="F6" i="17"/>
  <c r="L29" i="17"/>
  <c r="L25" i="17"/>
  <c r="U33" i="17"/>
  <c r="I14" i="3"/>
  <c r="J39" i="17"/>
  <c r="H27" i="2"/>
  <c r="D27" i="2"/>
  <c r="K27" i="17"/>
  <c r="R10" i="1"/>
  <c r="S10" i="1"/>
  <c r="F27" i="2"/>
  <c r="F33" i="2"/>
  <c r="H28" i="5"/>
  <c r="J2" i="17"/>
  <c r="I2" i="17"/>
  <c r="I6" i="17"/>
  <c r="F50" i="15"/>
  <c r="F52" i="5"/>
  <c r="B28" i="5"/>
  <c r="J16" i="5"/>
  <c r="J13" i="5"/>
  <c r="J14" i="5"/>
  <c r="G33" i="2"/>
  <c r="J33" i="2"/>
  <c r="J27" i="2"/>
  <c r="I33" i="2"/>
  <c r="I27" i="2"/>
  <c r="L5" i="17"/>
  <c r="G15" i="5"/>
  <c r="I56" i="5"/>
  <c r="G59" i="5"/>
  <c r="C27" i="2"/>
  <c r="C33" i="2"/>
  <c r="E27" i="2"/>
  <c r="F15" i="1"/>
  <c r="G21" i="17"/>
  <c r="T16" i="17"/>
  <c r="T11" i="17"/>
  <c r="I33" i="17"/>
  <c r="M33" i="17"/>
  <c r="Q8" i="1"/>
  <c r="F31" i="17"/>
  <c r="E14" i="3"/>
  <c r="F39" i="17"/>
  <c r="U29" i="17"/>
  <c r="T29" i="17"/>
  <c r="Q113" i="15"/>
  <c r="Q39" i="15"/>
  <c r="Q38" i="15"/>
  <c r="Q19" i="15"/>
  <c r="Q45" i="15"/>
  <c r="Q46" i="15"/>
  <c r="Q13" i="15"/>
  <c r="Q91" i="15"/>
  <c r="I37" i="15"/>
  <c r="D44" i="15"/>
  <c r="I44" i="15"/>
  <c r="J38" i="15"/>
  <c r="I39" i="15"/>
  <c r="E39" i="15"/>
  <c r="H16" i="5"/>
  <c r="I41" i="5"/>
  <c r="I15" i="15"/>
  <c r="I49" i="5"/>
  <c r="B65" i="5"/>
  <c r="D32" i="2"/>
  <c r="K33" i="2"/>
  <c r="D34" i="2"/>
  <c r="K34" i="2"/>
  <c r="F35" i="2"/>
  <c r="D14" i="1"/>
  <c r="E19" i="17"/>
  <c r="D31" i="15"/>
  <c r="C15" i="17"/>
  <c r="M16" i="17"/>
  <c r="M11" i="17"/>
  <c r="M3" i="17"/>
  <c r="V2" i="17"/>
  <c r="W2" i="17"/>
  <c r="U10" i="17"/>
  <c r="H31" i="17"/>
  <c r="G14" i="3"/>
  <c r="H39" i="17"/>
  <c r="T36" i="17"/>
  <c r="E29" i="17"/>
  <c r="D14" i="3"/>
  <c r="E39" i="17"/>
  <c r="L14" i="5"/>
  <c r="S12" i="1"/>
  <c r="B47" i="15"/>
  <c r="H8" i="5"/>
  <c r="B27" i="2"/>
  <c r="K15" i="5"/>
  <c r="B8" i="5"/>
  <c r="D8" i="5"/>
  <c r="L15" i="5"/>
  <c r="K39" i="5"/>
  <c r="C39" i="5"/>
  <c r="E37" i="15"/>
  <c r="E44" i="15"/>
  <c r="H11" i="15"/>
  <c r="C9" i="5"/>
  <c r="D9" i="5"/>
  <c r="J41" i="15"/>
  <c r="J43" i="15"/>
  <c r="B64" i="5"/>
  <c r="K35" i="2"/>
  <c r="D15" i="1"/>
  <c r="E20" i="17"/>
  <c r="H14" i="1"/>
  <c r="H31" i="15"/>
  <c r="U39" i="17"/>
  <c r="T39" i="17"/>
  <c r="F14" i="3"/>
  <c r="G39" i="17"/>
  <c r="G29" i="17"/>
  <c r="J48" i="15"/>
  <c r="J50" i="15"/>
  <c r="J52" i="5"/>
  <c r="E13" i="5"/>
  <c r="I39" i="5"/>
  <c r="E16" i="5"/>
  <c r="G42" i="15"/>
  <c r="J40" i="15"/>
  <c r="E17" i="15"/>
  <c r="J8" i="5"/>
  <c r="E15" i="5"/>
  <c r="F14" i="5"/>
  <c r="J32" i="15"/>
  <c r="L16" i="5"/>
  <c r="B46" i="5"/>
  <c r="B48" i="5"/>
  <c r="I19" i="5"/>
  <c r="E15" i="15"/>
  <c r="E49" i="5"/>
  <c r="J57" i="5"/>
  <c r="I27" i="5"/>
  <c r="I26" i="5"/>
  <c r="I34" i="2"/>
  <c r="D35" i="2"/>
  <c r="B46" i="15"/>
  <c r="B50" i="15"/>
  <c r="B52" i="5"/>
  <c r="I50" i="15"/>
  <c r="I52" i="5"/>
  <c r="E21" i="17"/>
  <c r="D21" i="17"/>
  <c r="C15" i="1"/>
  <c r="I16" i="17"/>
  <c r="I5" i="17"/>
  <c r="M29" i="17"/>
  <c r="U36" i="17"/>
  <c r="T32" i="17"/>
  <c r="U32" i="17"/>
  <c r="I27" i="17"/>
  <c r="I25" i="17"/>
  <c r="F37" i="2"/>
  <c r="H19" i="17"/>
  <c r="U35" i="17"/>
  <c r="T35" i="17"/>
  <c r="U34" i="17"/>
  <c r="J29" i="17"/>
  <c r="U31" i="17"/>
  <c r="T31" i="17"/>
  <c r="Q90" i="15"/>
  <c r="Q29" i="15"/>
  <c r="Q11" i="15"/>
  <c r="Q65" i="15"/>
  <c r="Q84" i="15"/>
  <c r="Q16" i="15"/>
  <c r="Q61" i="15"/>
  <c r="Q47" i="15"/>
  <c r="Q6" i="15"/>
  <c r="Q85" i="15"/>
  <c r="P70" i="15"/>
  <c r="P84" i="15"/>
  <c r="P98" i="15"/>
  <c r="Q8" i="15"/>
  <c r="Q9" i="15"/>
  <c r="Q92" i="15"/>
  <c r="Q14" i="15"/>
  <c r="Q15" i="1"/>
  <c r="Q26" i="1"/>
  <c r="G8" i="5"/>
  <c r="J29" i="15"/>
  <c r="L19" i="17"/>
  <c r="K15" i="1"/>
  <c r="C20" i="1"/>
  <c r="D12" i="17"/>
  <c r="D4" i="17"/>
  <c r="C29" i="15"/>
  <c r="G50" i="15"/>
  <c r="G52" i="5"/>
  <c r="P64" i="15"/>
  <c r="P91" i="15"/>
  <c r="P105" i="15"/>
  <c r="P77" i="15"/>
  <c r="E12" i="17"/>
  <c r="E4" i="17"/>
  <c r="D20" i="1"/>
  <c r="B15" i="1"/>
  <c r="C20" i="17"/>
  <c r="C19" i="17"/>
  <c r="G2" i="17"/>
  <c r="F2" i="17"/>
  <c r="Q89" i="15"/>
  <c r="G47" i="5"/>
  <c r="G48" i="5"/>
  <c r="E50" i="15"/>
  <c r="E52" i="5"/>
  <c r="G27" i="2"/>
  <c r="H20" i="1"/>
  <c r="I12" i="17"/>
  <c r="I4" i="17"/>
  <c r="F12" i="17"/>
  <c r="F4" i="17"/>
  <c r="E20" i="1"/>
  <c r="F19" i="17"/>
  <c r="E15" i="1"/>
  <c r="F20" i="17"/>
  <c r="E29" i="15"/>
  <c r="E44" i="5"/>
  <c r="E50" i="5"/>
  <c r="E55" i="5"/>
  <c r="Q32" i="15"/>
  <c r="Q23" i="15"/>
  <c r="Q25" i="15"/>
  <c r="K27" i="2"/>
  <c r="L12" i="17"/>
  <c r="K20" i="1"/>
  <c r="K25" i="1"/>
  <c r="R25" i="1"/>
  <c r="R6" i="1"/>
  <c r="D20" i="17"/>
  <c r="C28" i="5"/>
  <c r="I19" i="17"/>
  <c r="H15" i="1"/>
  <c r="H26" i="1"/>
  <c r="K48" i="5"/>
  <c r="K47" i="5"/>
  <c r="M17" i="17"/>
  <c r="M18" i="17"/>
  <c r="T17" i="17"/>
  <c r="T18" i="17"/>
  <c r="J15" i="5"/>
  <c r="M31" i="17"/>
  <c r="M35" i="17"/>
  <c r="J58" i="5"/>
  <c r="K58" i="5"/>
  <c r="K59" i="5"/>
  <c r="G27" i="17"/>
  <c r="H25" i="17"/>
  <c r="G25" i="17"/>
  <c r="E27" i="17"/>
  <c r="F25" i="17"/>
  <c r="E25" i="17"/>
  <c r="U12" i="17"/>
  <c r="U16" i="17"/>
  <c r="V10" i="17"/>
  <c r="U11" i="17"/>
  <c r="S8" i="1"/>
  <c r="R8" i="1"/>
  <c r="Q34" i="15"/>
  <c r="Q36" i="15"/>
  <c r="F29" i="15"/>
  <c r="J27" i="17"/>
  <c r="J25" i="17"/>
  <c r="K25" i="17"/>
  <c r="I48" i="5"/>
  <c r="I47" i="5"/>
  <c r="E27" i="5"/>
  <c r="E26" i="5"/>
  <c r="G20" i="17"/>
  <c r="B47" i="5"/>
  <c r="G20" i="1"/>
  <c r="H12" i="17"/>
  <c r="H4" i="17"/>
  <c r="Q30" i="15"/>
  <c r="Q51" i="15"/>
  <c r="Q33" i="15"/>
  <c r="Q28" i="15"/>
  <c r="Q35" i="15"/>
  <c r="B29" i="15"/>
  <c r="H36" i="15"/>
  <c r="H42" i="15"/>
  <c r="H57" i="5"/>
  <c r="H38" i="15"/>
  <c r="H39" i="15"/>
  <c r="H32" i="15"/>
  <c r="H48" i="15"/>
  <c r="H50" i="15"/>
  <c r="H52" i="5"/>
  <c r="H40" i="15"/>
  <c r="H43" i="15"/>
  <c r="H41" i="15"/>
  <c r="J28" i="5"/>
  <c r="C48" i="5"/>
  <c r="C47" i="5"/>
  <c r="D36" i="15"/>
  <c r="D42" i="15"/>
  <c r="D57" i="5"/>
  <c r="D38" i="15"/>
  <c r="D32" i="15"/>
  <c r="D39" i="15"/>
  <c r="D40" i="15"/>
  <c r="D43" i="15"/>
  <c r="D41" i="15"/>
  <c r="D48" i="15"/>
  <c r="D50" i="15"/>
  <c r="D52" i="5"/>
  <c r="I26" i="1"/>
  <c r="C42" i="5"/>
  <c r="C56" i="5"/>
  <c r="C59" i="5"/>
  <c r="L20" i="17"/>
  <c r="K26" i="1"/>
  <c r="R26" i="1"/>
  <c r="R15" i="1"/>
  <c r="J56" i="5"/>
  <c r="J59" i="5"/>
  <c r="E42" i="5"/>
  <c r="E56" i="5"/>
  <c r="P85" i="15"/>
  <c r="P92" i="15"/>
  <c r="P78" i="15"/>
  <c r="P71" i="15"/>
  <c r="P99" i="15"/>
  <c r="P65" i="15"/>
  <c r="P106" i="15"/>
  <c r="J42" i="5"/>
  <c r="G16" i="5"/>
  <c r="Q83" i="15"/>
  <c r="M6" i="17"/>
  <c r="M19" i="17"/>
  <c r="M20" i="17"/>
  <c r="H58" i="5"/>
  <c r="H59" i="5"/>
  <c r="I58" i="5"/>
  <c r="I59" i="5"/>
  <c r="U17" i="17"/>
  <c r="U18" i="17"/>
  <c r="J6" i="5"/>
  <c r="J7" i="5"/>
  <c r="K6" i="5"/>
  <c r="K7" i="5"/>
  <c r="G6" i="5"/>
  <c r="G7" i="5"/>
  <c r="B56" i="5"/>
  <c r="B42" i="5"/>
  <c r="G13" i="5"/>
  <c r="J25" i="1"/>
  <c r="I25" i="1"/>
  <c r="H25" i="1"/>
  <c r="S25" i="1"/>
  <c r="S6" i="1"/>
  <c r="D58" i="5"/>
  <c r="D59" i="5"/>
  <c r="E58" i="5"/>
  <c r="E59" i="5"/>
  <c r="Q82" i="15"/>
  <c r="F42" i="5"/>
  <c r="F56" i="5"/>
  <c r="F59" i="5"/>
  <c r="I20" i="17"/>
  <c r="J26" i="1"/>
  <c r="Q86" i="15"/>
  <c r="H6" i="5"/>
  <c r="H7" i="5"/>
  <c r="M36" i="17"/>
  <c r="M37" i="17"/>
  <c r="T19" i="17"/>
  <c r="T21" i="17"/>
  <c r="T6" i="17"/>
  <c r="S26" i="1"/>
  <c r="S15" i="1"/>
  <c r="R11" i="1"/>
  <c r="R13" i="1"/>
  <c r="R14" i="1"/>
  <c r="R16" i="1"/>
  <c r="R5" i="1"/>
  <c r="I7" i="5"/>
  <c r="I6" i="5"/>
  <c r="W10" i="17"/>
  <c r="V12" i="17"/>
  <c r="V16" i="17"/>
  <c r="V11" i="17"/>
  <c r="M30" i="17"/>
  <c r="L4" i="17"/>
  <c r="P112" i="15"/>
  <c r="P110" i="15"/>
  <c r="P79" i="15"/>
  <c r="P107" i="15"/>
  <c r="P100" i="15"/>
  <c r="P86" i="15"/>
  <c r="P93" i="15"/>
  <c r="P72" i="15"/>
  <c r="V17" i="17"/>
  <c r="V18" i="17"/>
  <c r="S11" i="1"/>
  <c r="S13" i="1"/>
  <c r="S14" i="1"/>
  <c r="S16" i="1"/>
  <c r="S5" i="1"/>
  <c r="Q50" i="15"/>
  <c r="Q31" i="15"/>
  <c r="U6" i="17"/>
  <c r="U19" i="17"/>
  <c r="U21" i="17"/>
  <c r="W12" i="17"/>
  <c r="W11" i="17"/>
  <c r="Y11" i="17"/>
  <c r="Y10" i="17"/>
  <c r="P113" i="15"/>
  <c r="P111" i="15"/>
  <c r="W16" i="17"/>
  <c r="Y12" i="17"/>
  <c r="V19" i="17"/>
  <c r="V21" i="17"/>
  <c r="V6" i="17"/>
  <c r="Y16" i="17"/>
  <c r="W17" i="17"/>
  <c r="Y17" i="17"/>
  <c r="W18" i="17"/>
  <c r="W19" i="17"/>
  <c r="Y18" i="17"/>
  <c r="W6" i="17"/>
  <c r="W21" i="17"/>
  <c r="Y21" i="17"/>
  <c r="Y19" i="17"/>
  <c r="G26" i="21"/>
  <c r="H27" i="21"/>
  <c r="F26" i="21"/>
  <c r="G27" i="21"/>
  <c r="E26" i="21"/>
  <c r="F27" i="21"/>
  <c r="E27"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2" authorId="0" shapeId="0" xr:uid="{00000000-0006-0000-0400-000001000000}">
      <text>
        <r>
          <rPr>
            <b/>
            <sz val="9"/>
            <color indexed="8"/>
            <rFont val="Tahoma"/>
            <family val="2"/>
            <charset val="1"/>
          </rPr>
          <t xml:space="preserve">Shrey Sao:
</t>
        </r>
        <r>
          <rPr>
            <sz val="9"/>
            <color indexed="8"/>
            <rFont val="Tahoma"/>
            <family val="2"/>
            <charset val="1"/>
          </rPr>
          <t>measures potential credit risk.</t>
        </r>
      </text>
    </comment>
    <comment ref="A23" authorId="0" shapeId="0" xr:uid="{00000000-0006-0000-0400-000002000000}">
      <text>
        <r>
          <rPr>
            <b/>
            <sz val="9"/>
            <color indexed="8"/>
            <rFont val="Tahoma"/>
            <family val="2"/>
            <charset val="1"/>
          </rPr>
          <t>Shrey Sao</t>
        </r>
      </text>
    </comment>
    <comment ref="A25" authorId="0" shapeId="0" xr:uid="{00000000-0006-0000-0400-000003000000}">
      <text>
        <r>
          <rPr>
            <sz val="9"/>
            <color indexed="8"/>
            <rFont val="Tahoma"/>
            <family val="2"/>
            <charset val="1"/>
          </rPr>
          <t xml:space="preserve">
</t>
        </r>
      </text>
    </comment>
    <comment ref="A26" authorId="0" shapeId="0" xr:uid="{00000000-0006-0000-0400-000004000000}">
      <text>
        <r>
          <rPr>
            <b/>
            <sz val="9"/>
            <color indexed="8"/>
            <rFont val="Tahoma"/>
            <family val="2"/>
            <charset val="1"/>
          </rPr>
          <t>Shrey</t>
        </r>
      </text>
    </comment>
    <comment ref="A44" authorId="0" shapeId="0" xr:uid="{00000000-0006-0000-0400-000005000000}">
      <text/>
    </comment>
    <comment ref="A50" authorId="0" shapeId="0" xr:uid="{00000000-0006-0000-0400-000006000000}">
      <text>
        <r>
          <rPr>
            <b/>
            <sz val="9"/>
            <color indexed="8"/>
            <rFont val="Tahoma"/>
            <family val="2"/>
            <charset val="1"/>
          </rPr>
          <t>Shrey Sao: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Chowdhury, Rudra</author>
  </authors>
  <commentList>
    <comment ref="A72" authorId="0" shapeId="0" xr:uid="{7A88C92C-82A7-4D50-99BA-12F48FEDA952}">
      <text>
        <r>
          <rPr>
            <b/>
            <sz val="9"/>
            <color indexed="81"/>
            <rFont val="Tahoma"/>
            <family val="2"/>
          </rPr>
          <t>Chowdhury, Rudra:</t>
        </r>
        <r>
          <rPr>
            <sz val="9"/>
            <color indexed="81"/>
            <rFont val="Tahoma"/>
            <family val="2"/>
          </rPr>
          <t xml:space="preserve">
Capex is YoY change in Gross Block + WIP, since we do not have Gross block in BS, so we use change in Net Block and add back the depreciation from the current year. Hence the formula become:
Delta NFA + Delta WIP + Current FY Depreciation</t>
        </r>
      </text>
    </comment>
  </commentList>
</comments>
</file>

<file path=xl/sharedStrings.xml><?xml version="1.0" encoding="utf-8"?>
<sst xmlns="http://schemas.openxmlformats.org/spreadsheetml/2006/main" count="602" uniqueCount="454">
  <si>
    <t>COMPANY NAME</t>
  </si>
  <si>
    <t>SCREENER.IN</t>
  </si>
  <si>
    <t>Narration</t>
  </si>
  <si>
    <t>Best Case</t>
  </si>
  <si>
    <t>Worst Case</t>
  </si>
  <si>
    <t>Sales</t>
  </si>
  <si>
    <t>Expenses</t>
  </si>
  <si>
    <t>Operating Profit</t>
  </si>
  <si>
    <t>Other Income</t>
  </si>
  <si>
    <t>Depreciation</t>
  </si>
  <si>
    <t>Interest</t>
  </si>
  <si>
    <t>Profit before tax</t>
  </si>
  <si>
    <t>Tax</t>
  </si>
  <si>
    <t>Net profit</t>
  </si>
  <si>
    <t>RATIOS:</t>
  </si>
  <si>
    <t>Price to earning</t>
  </si>
  <si>
    <t>Dividend Payout</t>
  </si>
  <si>
    <t>OPM</t>
  </si>
  <si>
    <t>TRENDS:</t>
  </si>
  <si>
    <t>BEST</t>
  </si>
  <si>
    <t>WORST</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</si>
  <si>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</si>
  <si>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</si>
  <si>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</si>
  <si>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</si>
  <si>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</si>
  <si>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</si>
  <si>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</si>
  <si>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</si>
  <si>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</si>
  <si>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</si>
  <si>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</si>
  <si>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</si>
  <si>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</si>
  <si>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</si>
  <si>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</si>
  <si>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</si>
  <si>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</si>
  <si>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</si>
  <si>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</si>
  <si>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</si>
  <si>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</si>
  <si>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</si>
  <si>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</si>
  <si>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</si>
  <si>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</si>
  <si>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</si>
  <si>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EPS</t>
  </si>
  <si>
    <t>Price</t>
  </si>
  <si>
    <t>Return on Equity</t>
  </si>
  <si>
    <t>Return on Capital Emp</t>
  </si>
  <si>
    <t>LATEST VERSION</t>
  </si>
  <si>
    <t>CURRENT VERSION</t>
  </si>
  <si>
    <t>ORIENTAL CARBON &amp; CHEMICALS LTD</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</si>
  <si>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</si>
  <si>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</si>
  <si>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</si>
  <si>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</si>
  <si>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</si>
  <si>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</si>
  <si>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</si>
  <si>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</si>
  <si>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</si>
  <si>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</si>
  <si>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</si>
  <si>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</si>
  <si>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</si>
  <si>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</si>
  <si>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</si>
  <si>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</si>
  <si>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</si>
  <si>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</si>
  <si>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</si>
  <si>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</si>
  <si>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</si>
  <si>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</si>
  <si>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</si>
  <si>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</si>
  <si>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</si>
  <si>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</si>
  <si>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Total Assets</t>
  </si>
  <si>
    <t>PAT</t>
  </si>
  <si>
    <t>Free Cash Flow</t>
  </si>
  <si>
    <t>1 YR</t>
  </si>
  <si>
    <t>Dividend</t>
  </si>
  <si>
    <t>EBIT</t>
  </si>
  <si>
    <t xml:space="preserve"> </t>
  </si>
  <si>
    <t>DELTA NETWORTH</t>
  </si>
  <si>
    <t>DELTA MKTCAP</t>
  </si>
  <si>
    <t>IMPACT*</t>
  </si>
  <si>
    <t>HISTORICAL VALUATIONS</t>
  </si>
  <si>
    <t>PRE-TAX BOND</t>
  </si>
  <si>
    <t>10 YR</t>
  </si>
  <si>
    <t>P/E</t>
  </si>
  <si>
    <t>P/B</t>
  </si>
  <si>
    <t>EV/EBITDA</t>
  </si>
  <si>
    <t>P/SALES</t>
  </si>
  <si>
    <t>YIELD</t>
  </si>
  <si>
    <t>LongTerm Bond</t>
  </si>
  <si>
    <t>7 YR</t>
  </si>
  <si>
    <t>MIN</t>
  </si>
  <si>
    <t>LTB Quote</t>
  </si>
  <si>
    <t>5 YR</t>
  </si>
  <si>
    <t>MAX</t>
  </si>
  <si>
    <t>3 YR</t>
  </si>
  <si>
    <t>TRAILING</t>
  </si>
  <si>
    <t>* IMPACT – Every Rupee retained added xx.yy in incremental market value</t>
  </si>
  <si>
    <t>SALES</t>
  </si>
  <si>
    <t>GROSS PROFIT</t>
  </si>
  <si>
    <t>DIVIDEND</t>
  </si>
  <si>
    <t>EPA</t>
  </si>
  <si>
    <t>MKTCAP</t>
  </si>
  <si>
    <t>NETWORTH</t>
  </si>
  <si>
    <t>TOTAL RETURNS</t>
  </si>
  <si>
    <t>10 YR CAGR</t>
  </si>
  <si>
    <t>5 YR CAGR</t>
  </si>
  <si>
    <t>3 YR CAGR</t>
  </si>
  <si>
    <t>1 YR GROWTH</t>
  </si>
  <si>
    <t xml:space="preserve">    </t>
  </si>
  <si>
    <t>Long term debt/Earning</t>
  </si>
  <si>
    <t>Current liablility/Earning</t>
  </si>
  <si>
    <t>Total liability/Earning</t>
  </si>
  <si>
    <t>Debt/Equity</t>
  </si>
  <si>
    <t>Interest Coverage</t>
  </si>
  <si>
    <t>Working Capital/Sales</t>
  </si>
  <si>
    <t>Inventory Days</t>
  </si>
  <si>
    <t>Cash In/Cash Out Ratio</t>
  </si>
  <si>
    <t xml:space="preserve">  </t>
  </si>
  <si>
    <t>Current Ratio</t>
  </si>
  <si>
    <t>CFO/PAT</t>
  </si>
  <si>
    <t>Free Cash Flow/Sales</t>
  </si>
  <si>
    <t>RoCE</t>
  </si>
  <si>
    <t>RoIC</t>
  </si>
  <si>
    <t>Altman Z-Score</t>
  </si>
  <si>
    <t>Tax Rate</t>
  </si>
  <si>
    <t>Cash/Assets</t>
  </si>
  <si>
    <t>EBIT/Invested Capital</t>
  </si>
  <si>
    <t>WACC</t>
  </si>
  <si>
    <t>EPA/Sales</t>
  </si>
  <si>
    <t>MktCap</t>
  </si>
  <si>
    <t>MktCap Change</t>
  </si>
  <si>
    <t>MktCap Change - EPA</t>
  </si>
  <si>
    <t>Capex/Net Profits 10 yr</t>
  </si>
  <si>
    <t>Capex/Net Profits 7 yr</t>
  </si>
  <si>
    <t>Capex/Net Profits 5 yr</t>
  </si>
  <si>
    <t>Capex/Net Profits 3 yr</t>
  </si>
  <si>
    <t>Capex/Depreciation 10 yr</t>
  </si>
  <si>
    <t>Capex</t>
  </si>
  <si>
    <t>Gross Profit</t>
  </si>
  <si>
    <t>EBITDA</t>
  </si>
  <si>
    <t>Networth</t>
  </si>
  <si>
    <t>Invested Capital</t>
  </si>
  <si>
    <t>Capital Employed</t>
  </si>
  <si>
    <t>Operating Cash Flow</t>
  </si>
  <si>
    <t>NOPLAT</t>
  </si>
  <si>
    <t>MktCap+Dividend</t>
  </si>
  <si>
    <t>Retained Profit</t>
  </si>
  <si>
    <t>Price/Book</t>
  </si>
  <si>
    <t>Price/CashFlow</t>
  </si>
  <si>
    <t>Price/Sales</t>
  </si>
  <si>
    <t>Dividend Yield</t>
  </si>
  <si>
    <t>Z-Weights</t>
  </si>
  <si>
    <t>Working Capital/Total Assets</t>
  </si>
  <si>
    <t>Retained Profits/Total Assets</t>
  </si>
  <si>
    <t>EBIT/Total Assets</t>
  </si>
  <si>
    <t>Market Cap/Total Liabilities</t>
  </si>
  <si>
    <t>Sales/Total Assets</t>
  </si>
  <si>
    <t>Z &gt; 2.99 -“Safe” Zones</t>
  </si>
  <si>
    <t>1.81 &lt; Z &lt; 2.99 -“Grey” Zones</t>
  </si>
  <si>
    <t>Z &lt; 1.81 -“Distress” Zones</t>
  </si>
  <si>
    <t>Operating Profit (excl Other Income)</t>
  </si>
  <si>
    <t>EV</t>
  </si>
  <si>
    <t>Price/Earnings</t>
  </si>
  <si>
    <t>CURRENT</t>
  </si>
  <si>
    <t>EPA (Economic Profit Added)</t>
  </si>
  <si>
    <t>EBIT/Sales</t>
  </si>
  <si>
    <t>EBITDA/Sales</t>
  </si>
  <si>
    <t>Op Profit (Ex Other Income)/Sales</t>
  </si>
  <si>
    <t>Op Cash Flow/Sales</t>
  </si>
  <si>
    <t>Net Margin =PAT/Sales</t>
  </si>
  <si>
    <t>Gross Margin =Gross Profit/Sales</t>
  </si>
  <si>
    <t>Net Margin*Asset Turns= RoA</t>
  </si>
  <si>
    <t>Net Margin*Asset Turn*Fin Leverage= RoE</t>
  </si>
  <si>
    <t>Sales/Invested Capital =Capital Turns</t>
  </si>
  <si>
    <t>Sales/Fixed Assets= Fixed Asset Turns</t>
  </si>
  <si>
    <t>Sales/Total Assets= Asset Turns</t>
  </si>
  <si>
    <t>Total Assets/Networth= Financial Leverage</t>
  </si>
  <si>
    <t>EBIT Margin*Cap Turns*(1-Tax rate)= RoIC</t>
  </si>
  <si>
    <t>Check back what is really driving RoA (Net Margins or Asset Turns, or both)</t>
  </si>
  <si>
    <t>Check back what is really driving RoE (Net Margins, Asset Turns, or Financial Leverage)</t>
  </si>
  <si>
    <t>Check back what is really driving RoIC (Op Margins or Capital Turns, or both)</t>
  </si>
  <si>
    <t>Check back what is really driving EPA (Invested Capital or RoIC, or both)</t>
  </si>
  <si>
    <t xml:space="preserve">Check back the significant role of EBIT/Invested Capital </t>
  </si>
  <si>
    <t>Creditor Days</t>
  </si>
  <si>
    <t>Cash Conversion Cycle</t>
  </si>
  <si>
    <t>Common Size Balance Sheet</t>
  </si>
  <si>
    <t>Net Block/Total Assets</t>
  </si>
  <si>
    <t>Debtors/Total Assets</t>
  </si>
  <si>
    <t>Inventory/Total Assets</t>
  </si>
  <si>
    <t>Borrowings/Total Assets</t>
  </si>
  <si>
    <t>Check back how Assets are being put to use</t>
  </si>
  <si>
    <t>Inventory Turns</t>
  </si>
  <si>
    <t>Equity Quoting @</t>
  </si>
  <si>
    <t>FCF**</t>
  </si>
  <si>
    <t>CFO**</t>
  </si>
  <si>
    <t>EPA**</t>
  </si>
  <si>
    <t>**modify (if, then) for negative values</t>
  </si>
  <si>
    <t>Check for improving or deteriorating picture</t>
  </si>
  <si>
    <t>Check back to see if Creditor policy change is impacting Working Cap cycle</t>
  </si>
  <si>
    <t>Growth%</t>
  </si>
  <si>
    <t>OPM %</t>
  </si>
  <si>
    <t>Tax %</t>
  </si>
  <si>
    <t>QoQ Sales</t>
  </si>
  <si>
    <t>Annual</t>
  </si>
  <si>
    <t>Exp as Sales%</t>
  </si>
  <si>
    <t>NPM %</t>
  </si>
  <si>
    <t>Quarterly</t>
  </si>
  <si>
    <t>Tax%</t>
  </si>
  <si>
    <t>Net Profit after Tax</t>
  </si>
  <si>
    <t>Cash from Operations</t>
  </si>
  <si>
    <t>Capex(NFA+WIP Change+Dep)</t>
  </si>
  <si>
    <t>NPM%</t>
  </si>
  <si>
    <t xml:space="preserve">Total 10 Yrs </t>
  </si>
  <si>
    <t>FCF</t>
  </si>
  <si>
    <t>Self Sustainable Growth Rate(SSGR)</t>
  </si>
  <si>
    <t>Working Capital Cycle</t>
  </si>
  <si>
    <t>Net Fixed Assets</t>
  </si>
  <si>
    <t>CWIP</t>
  </si>
  <si>
    <t>Share Capital</t>
  </si>
  <si>
    <t>Retained Earnings (PAT-Div)</t>
  </si>
  <si>
    <t>Total Debt(D)</t>
  </si>
  <si>
    <t>Total Equity(E)</t>
  </si>
  <si>
    <t>D/E</t>
  </si>
  <si>
    <t>Cost of Funds</t>
  </si>
  <si>
    <t>Cash &amp; Eq at end of Year</t>
  </si>
  <si>
    <t>Total Retained Earnings (10 Yrs)</t>
  </si>
  <si>
    <t>Value created per INR of RE</t>
  </si>
  <si>
    <t>5 Yr Cagr</t>
  </si>
  <si>
    <t>Nosh</t>
  </si>
  <si>
    <t>10 Years</t>
  </si>
  <si>
    <t>3 Years</t>
  </si>
  <si>
    <t>CAGR</t>
  </si>
  <si>
    <t>% Sales</t>
  </si>
  <si>
    <t>YoY</t>
  </si>
  <si>
    <t>QoQ</t>
  </si>
  <si>
    <t>Contribution</t>
  </si>
  <si>
    <t>Net Fixed Assets Turns (Higher is better)</t>
  </si>
  <si>
    <t>Depreciation/NFA (consistency)</t>
  </si>
  <si>
    <t>Receivable days (Lower is better)</t>
  </si>
  <si>
    <t>Dividend Paid (Div) without DDT</t>
  </si>
  <si>
    <t>Dividend Payout (Div/PAT)</t>
  </si>
  <si>
    <t>Cash + Investments (CI+NCI)</t>
  </si>
  <si>
    <t>Interest Outgo (Rs Cr) (Calculated)</t>
  </si>
  <si>
    <t>Interest Coverage (Op/Int. Outgo)</t>
  </si>
  <si>
    <t>Total Mcap Increase (10 Yrs)</t>
  </si>
  <si>
    <t>Growth in Sales</t>
  </si>
  <si>
    <t>Need for External Funds (Debt/Equity)</t>
  </si>
  <si>
    <t>Req. Funds ?</t>
  </si>
  <si>
    <t>Return on Invested Capital (ROIC)</t>
  </si>
  <si>
    <t>Inventory Turnover (Higher is better)</t>
  </si>
  <si>
    <t>Debt: Equity</t>
  </si>
  <si>
    <t>Last 5 Years: Op CF</t>
  </si>
  <si>
    <t>Last 5 Years: Dividends</t>
  </si>
  <si>
    <t>Last 5 Years: Profits</t>
  </si>
  <si>
    <t>Last 5 Years: EBIT</t>
  </si>
  <si>
    <t>Last 5 Years: RM</t>
  </si>
  <si>
    <t>Last 5 Years: Inventory</t>
  </si>
  <si>
    <t>Last 5 Years: Sales</t>
  </si>
  <si>
    <t>Q4</t>
  </si>
  <si>
    <t>Q3</t>
  </si>
  <si>
    <t>Q2</t>
  </si>
  <si>
    <t>Q1</t>
  </si>
  <si>
    <t>Net Profit (TTM)</t>
  </si>
  <si>
    <t>Latest Earnings:</t>
  </si>
  <si>
    <t>Net Profit</t>
  </si>
  <si>
    <t xml:space="preserve">Operating </t>
  </si>
  <si>
    <t xml:space="preserve">Margins: </t>
  </si>
  <si>
    <t>Shares ( in Cr)</t>
  </si>
  <si>
    <t>ROCE</t>
  </si>
  <si>
    <t>ROE</t>
  </si>
  <si>
    <t>Book Value</t>
  </si>
  <si>
    <t>Management Effectiveness:</t>
  </si>
  <si>
    <t>Cash &amp; Bank Balance</t>
  </si>
  <si>
    <t>Long Term Debt</t>
  </si>
  <si>
    <t>Debt:Equity</t>
  </si>
  <si>
    <t>5 yr Avg Inventory/Sales</t>
  </si>
  <si>
    <t>Inventory/Sales</t>
  </si>
  <si>
    <t>5 yr Avg RM/Sales</t>
  </si>
  <si>
    <t>RM/ Sales</t>
  </si>
  <si>
    <t>1 Year Profit Growth</t>
  </si>
  <si>
    <t>1 Year EBIT Growth</t>
  </si>
  <si>
    <t>1 Year Sales Growth</t>
  </si>
  <si>
    <t>3 Years Profit CAGR</t>
  </si>
  <si>
    <t xml:space="preserve">3 Year Sales CAGR </t>
  </si>
  <si>
    <t>Growth Nos:</t>
  </si>
  <si>
    <t xml:space="preserve">Inverse PEG </t>
  </si>
  <si>
    <t>Earnings Growth</t>
  </si>
  <si>
    <t>Price/Book Value</t>
  </si>
  <si>
    <t>Cash Adjusted P/E ratio</t>
  </si>
  <si>
    <t>ROE = A X B X C</t>
  </si>
  <si>
    <t>C) LEVERAGE</t>
  </si>
  <si>
    <t>B) ASSET TURNOVER</t>
  </si>
  <si>
    <t>A) NET PROFIT MARGIN</t>
  </si>
  <si>
    <t>Cash Yield on CMP</t>
  </si>
  <si>
    <t>Cash EPS</t>
  </si>
  <si>
    <t>Current EPS</t>
  </si>
  <si>
    <t>Dividend Payout (%)</t>
  </si>
  <si>
    <t>Dividend Paid</t>
  </si>
  <si>
    <t>Cash Held Per Share</t>
  </si>
  <si>
    <t>YoY Sales Growth (%)</t>
  </si>
  <si>
    <t>Business Risk (Op. Leverage)</t>
  </si>
  <si>
    <t>Capital Intensity (EBITDA / EBIT)</t>
  </si>
  <si>
    <t>YoY Op. Profit Growth (%)</t>
  </si>
  <si>
    <t>Avg Op. Lev</t>
  </si>
  <si>
    <t>EBITDA %</t>
  </si>
  <si>
    <t>Gross Margin</t>
  </si>
  <si>
    <t>Shares Outstanding (Mn)</t>
  </si>
  <si>
    <t>10 YEARS NUMBERS</t>
  </si>
  <si>
    <t>PETER LYNCH KPIs</t>
  </si>
  <si>
    <t>Market Cap</t>
  </si>
  <si>
    <t>Sales (INR Cr)</t>
  </si>
  <si>
    <t>PAT (INR Cr)</t>
  </si>
  <si>
    <t>ROE (%)</t>
  </si>
  <si>
    <t>PE (x)</t>
  </si>
  <si>
    <t>PB (x)</t>
  </si>
  <si>
    <t>Mcap (INR Cr)</t>
  </si>
  <si>
    <t>Growth (x)</t>
  </si>
  <si>
    <t>OCF as part of Sales</t>
  </si>
  <si>
    <t>OCF as part of Profits</t>
  </si>
  <si>
    <t xml:space="preserve">Sales 10 year  CAGR </t>
  </si>
  <si>
    <t xml:space="preserve">Year </t>
  </si>
  <si>
    <t>Return on incremental capex NOPAT/NFA</t>
  </si>
  <si>
    <t>PAT (cr)</t>
  </si>
  <si>
    <t>NOPAT (cr)</t>
  </si>
  <si>
    <t>CFO(cr)</t>
  </si>
  <si>
    <t>Net Fixed assets (cr)</t>
  </si>
  <si>
    <t>Cashflow return on incremental capex CFO/NFA</t>
  </si>
  <si>
    <t>Asset turnover ratio</t>
  </si>
  <si>
    <t xml:space="preserve">Sales </t>
  </si>
  <si>
    <t xml:space="preserve">Operating profit margin </t>
  </si>
  <si>
    <t xml:space="preserve">Net profit margin </t>
  </si>
  <si>
    <t xml:space="preserve">Interest coverage </t>
  </si>
  <si>
    <t>Debt to Equity Ratio</t>
  </si>
  <si>
    <t>Asset Turnover</t>
  </si>
  <si>
    <t xml:space="preserve">Fixed Assets </t>
  </si>
  <si>
    <t xml:space="preserve">Increase in sales </t>
  </si>
  <si>
    <t>Growth Capex = Asset to sales x increase in sales</t>
  </si>
  <si>
    <t xml:space="preserve">PPE as a % of sales </t>
  </si>
  <si>
    <t xml:space="preserve">Maintenance Capex </t>
  </si>
  <si>
    <t>Depreciation and amortization</t>
  </si>
  <si>
    <t>Owner's earnings (cr)</t>
  </si>
  <si>
    <t>Maintenance capex - 15% (cr)</t>
  </si>
  <si>
    <t>Operating Cash Flow (cr)</t>
  </si>
  <si>
    <t>OCCL</t>
  </si>
  <si>
    <t>Sales (Cr)</t>
  </si>
  <si>
    <t>Operating profit (Cr)</t>
  </si>
  <si>
    <t>Tax (Cr)</t>
  </si>
  <si>
    <t>Net profits  (Cr)</t>
  </si>
  <si>
    <t>Total Debt (Cr)</t>
  </si>
  <si>
    <t>Operating Cash Flow (Cr)</t>
  </si>
  <si>
    <t>Capex (Cr)</t>
  </si>
  <si>
    <t>Free Cash Flow (Cr)</t>
  </si>
  <si>
    <t xml:space="preserve">Receivable days </t>
  </si>
  <si>
    <t xml:space="preserve">Total 11 Yrs </t>
  </si>
  <si>
    <t>Total Capital</t>
  </si>
  <si>
    <t>Excess Cash</t>
  </si>
  <si>
    <t xml:space="preserve"> cr</t>
  </si>
  <si>
    <t>Return on invested capital</t>
  </si>
  <si>
    <t>Return on incremental invested capital</t>
  </si>
  <si>
    <t>Intrinsic value compound</t>
  </si>
  <si>
    <t>Reference</t>
  </si>
  <si>
    <t xml:space="preserve">Note </t>
  </si>
  <si>
    <t xml:space="preserve">OCCL Current Capacity is 34,000 MT </t>
  </si>
  <si>
    <t xml:space="preserve">OCCL is expanding another 11,000 MT by 2022. </t>
  </si>
  <si>
    <t xml:space="preserve">Current capacity produces sales of 383 Crore with ROCE of 20% </t>
  </si>
  <si>
    <t>Management expects 20% IRR for additional capacity expansion of 200 Crore that will generate sal</t>
  </si>
  <si>
    <t>If 34,000MT generates 383 crore of sales, additional 11,000 metric tone will produce sales of 124 crore and at least 25-30 crore of operating cash flows</t>
  </si>
  <si>
    <t>Global Capacity - 3,40,000</t>
  </si>
  <si>
    <t xml:space="preserve">Total Sales </t>
  </si>
  <si>
    <t>India sales can grow by 10%</t>
  </si>
  <si>
    <t>International sales growing by 3%</t>
  </si>
  <si>
    <t xml:space="preserve">Sales growth </t>
  </si>
  <si>
    <t xml:space="preserve">Tailwinds </t>
  </si>
  <si>
    <t>Anttidumping duty by India prohibits chinese tyre imports</t>
  </si>
  <si>
    <t>Tyre companies are looking to invest 20,000 crores</t>
  </si>
  <si>
    <t xml:space="preserve">India Tyre industry is set to grow by 7-9% for next 5 years. </t>
  </si>
  <si>
    <t xml:space="preserve">OCCL grows by 10% </t>
  </si>
  <si>
    <t xml:space="preserve">Volume CAGR has been growing at single digits over last 7 years. </t>
  </si>
  <si>
    <t>Sales have grown at 4% only</t>
  </si>
  <si>
    <t xml:space="preserve">Ultra high performance tyres have different IS </t>
  </si>
  <si>
    <t xml:space="preserve">Sort out all the documents and share - </t>
  </si>
  <si>
    <t xml:space="preserve">Global Capacity - Sept 18 - 280000 Tonnes </t>
  </si>
  <si>
    <t>Global IS Demand ( 4% Growth)</t>
  </si>
  <si>
    <t>India sales can grow by 10% (cr)</t>
  </si>
  <si>
    <t>Global Demand growing by 3% (cr)</t>
  </si>
  <si>
    <t>OCCL Sales Forecast - Approach 1</t>
  </si>
  <si>
    <t>OCCL Global Marketshare</t>
  </si>
  <si>
    <t>(CONSOLIDATED)</t>
  </si>
  <si>
    <t>Consensus Forecasts</t>
  </si>
  <si>
    <t>5 Yr Avg</t>
  </si>
  <si>
    <t>Inputs</t>
  </si>
  <si>
    <t>TTM</t>
  </si>
  <si>
    <t>Sales Growth Rate</t>
  </si>
  <si>
    <t>EBIT Margin</t>
  </si>
  <si>
    <t>Incremental Fixed Capital Investment</t>
  </si>
  <si>
    <t>Inc Fixed Capital Rate</t>
  </si>
  <si>
    <t>Incremental Sales</t>
  </si>
  <si>
    <t>Inc Working Capital Rate</t>
  </si>
  <si>
    <t>Incremental Fixed Capital Investment Rate</t>
  </si>
  <si>
    <t>Cost of Capital</t>
  </si>
  <si>
    <t>Inflation Rate</t>
  </si>
  <si>
    <t>9 Yr Avg</t>
  </si>
  <si>
    <t>Non-Operative Assets</t>
  </si>
  <si>
    <t>Incremental Working Capital</t>
  </si>
  <si>
    <t>Debt</t>
  </si>
  <si>
    <t>Incremental Working Capital Investment Rate</t>
  </si>
  <si>
    <t># Shares Outstanding</t>
  </si>
  <si>
    <t>CMP</t>
  </si>
  <si>
    <t>Years in Future</t>
  </si>
  <si>
    <t>Year</t>
  </si>
  <si>
    <t>NOPAT</t>
  </si>
  <si>
    <t>Incremental Working Capital Investment</t>
  </si>
  <si>
    <t>Present Value of Free Cash Flow</t>
  </si>
  <si>
    <t>Cumulative Present Value of Free Cash Flow</t>
  </si>
  <si>
    <t>Present Value of Residual Value</t>
  </si>
  <si>
    <t>Corporate Value</t>
  </si>
  <si>
    <t>Add: Non-Operative Assets</t>
  </si>
  <si>
    <t>Less: Debt</t>
  </si>
  <si>
    <t>Shareholder Value</t>
  </si>
  <si>
    <t>Shareholder Value/Share</t>
  </si>
  <si>
    <t>Market-Implied-Forecast-Period</t>
  </si>
  <si>
    <t>FCF  Margin</t>
  </si>
  <si>
    <t>Operating cashflow</t>
  </si>
  <si>
    <t xml:space="preserve">Narrative </t>
  </si>
  <si>
    <t xml:space="preserve">EBIT </t>
  </si>
  <si>
    <t>Subsidiary</t>
  </si>
  <si>
    <t>Standalone</t>
  </si>
  <si>
    <t>OCCL Value</t>
  </si>
  <si>
    <t>Operating Margin Growth</t>
  </si>
  <si>
    <t>Probability</t>
  </si>
  <si>
    <t xml:space="preserve">Possible Range of outcomes </t>
  </si>
  <si>
    <t>One of the most likely scenarios that can result is sales growth of 7-8% and operating margins of 33% that would result in valuation of 1050 Cr.</t>
  </si>
  <si>
    <t xml:space="preserve">Covid 19 Effect </t>
  </si>
  <si>
    <t>Consensus estimate is sales growth of 5% , EBIT margin - 28% that brings Mkt cap at of 773 crore over a 12 year forecast till in March 31 for OCCL as a standalone entity. Add 30 cr market cap of Subsidiary for valuation of 800 cr market cap which is the current valuation</t>
  </si>
  <si>
    <t xml:space="preserve">Leading indicators of Sales growth and Margin Expansion </t>
  </si>
  <si>
    <t xml:space="preserve">Sales growth will come from OCCL tapping into new markets, adding new customers or plants. </t>
  </si>
  <si>
    <t xml:space="preserve">OCCL currently supplies in 21 countries and to 40 customers. New geographies may have same customers so its new plants that are getting added. </t>
  </si>
  <si>
    <t>Reviewing expansion plans of major tyre companies will help us understand when the demand will come back,</t>
  </si>
  <si>
    <t xml:space="preserve">Low Sales growth - </t>
  </si>
  <si>
    <t xml:space="preserve">Demand for IS drops or chinese entrant produces IS in large capacity and brings the rates down due to which price competition occurs. There is a better alternative to IS and demand for radial tyres decreases. </t>
  </si>
  <si>
    <t xml:space="preserve">High sales growth </t>
  </si>
  <si>
    <t xml:space="preserve">Demand for radial tyres increases, chinese competition doesn’t enter global market, percentage of IS in tyres increases, OCCL expands its geographical presence, developes a new product line, </t>
  </si>
  <si>
    <t xml:space="preserve">OCCL's sales and ebit would drop by 30% in FY21 with sales going back to optimization levels by FY 22. The company is expanding its capacity from 34,000MT to 45,000 MT which is likely to come online by FY 23 which is good enough time to get 7-10% sales growth and for market to recover </t>
  </si>
  <si>
    <t>Sales growth and Margin expansion are the two Turbo triggers that will expand shareholder value for OCCL. Sales growth from 5% to 14% can bring valuation to 1214 whereas operating margins will have to grow from 28% to 41% to get similar valuation for constant sales growth of 5%. Operating margins will increase with sales growth due to economies of scale and operating leverage.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</si>
</sst>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 _€_-;\-* #,##0.00\ _€_-;_-* &quot;-&quot;??\ _€_-;_-@_-"/>
    <numFmt numFmtId="165" formatCode="_ * #,##0.00_ ;_ * \-#,##0.00_ ;_ * &quot;-&quot;??_ ;_ @_ "/>
    <numFmt numFmtId="166" formatCode="[$-409]mmm\-yy;@"/>
    <numFmt numFmtId="167" formatCode="_ * #,##0_ ;_ * \-#,##0_ ;_ * &quot;-&quot;??_ ;_ @_ "/>
    <numFmt numFmtId="168" formatCode="0.0%"/>
  </numFmts>
  <fonts count="27"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sz val="11"/>
      <color rgb="FFFF0000"/>
      <name val="Calibri"/>
      <family val="2"/>
      <scheme val="minor"/>
    </font>
    <font>
      <sz val="11"/>
      <name val="Calibri"/>
      <family val="2"/>
      <scheme val="minor"/>
    </font>
    <font>
      <b/>
      <sz val="11"/>
      <name val="Calibri"/>
      <family val="2"/>
      <charset val="1"/>
    </font>
    <font>
      <sz val="11"/>
      <name val="Calibri"/>
      <family val="2"/>
      <charset val="1"/>
    </font>
    <font>
      <b/>
      <sz val="11"/>
      <color indexed="9"/>
      <name val="Calibri"/>
      <family val="2"/>
      <charset val="1"/>
    </font>
    <font>
      <b/>
      <sz val="11"/>
      <color indexed="8"/>
      <name val="Calibri"/>
      <family val="2"/>
      <charset val="1"/>
    </font>
    <font>
      <sz val="11"/>
      <color indexed="9"/>
      <name val="Calibri"/>
      <family val="2"/>
      <charset val="1"/>
    </font>
    <font>
      <b/>
      <sz val="9"/>
      <color indexed="8"/>
      <name val="Tahoma"/>
      <family val="2"/>
      <charset val="1"/>
    </font>
    <font>
      <sz val="9"/>
      <color indexed="8"/>
      <name val="Tahoma"/>
      <family val="2"/>
      <charset val="1"/>
    </font>
    <font>
      <sz val="10"/>
      <name val="Calibri"/>
      <family val="2"/>
      <charset val="1"/>
    </font>
    <font>
      <sz val="11"/>
      <color indexed="8"/>
      <name val="Calibri"/>
      <family val="2"/>
      <charset val="1"/>
    </font>
    <font>
      <sz val="10"/>
      <color indexed="8"/>
      <name val="Calibri"/>
      <family val="2"/>
      <charset val="1"/>
    </font>
    <font>
      <u/>
      <sz val="11"/>
      <color theme="11"/>
      <name val="Calibri"/>
      <family val="2"/>
      <scheme val="minor"/>
    </font>
    <font>
      <i/>
      <sz val="11"/>
      <color theme="1"/>
      <name val="Calibri"/>
      <family val="2"/>
      <scheme val="minor"/>
    </font>
    <font>
      <b/>
      <sz val="11"/>
      <color rgb="FF008000"/>
      <name val="Calibri"/>
      <family val="2"/>
      <scheme val="minor"/>
    </font>
    <font>
      <sz val="9"/>
      <color indexed="81"/>
      <name val="Tahoma"/>
      <family val="2"/>
    </font>
    <font>
      <b/>
      <sz val="9"/>
      <color indexed="81"/>
      <name val="Tahoma"/>
      <family val="2"/>
    </font>
    <font>
      <b/>
      <sz val="16"/>
      <name val="Calibri"/>
      <family val="2"/>
    </font>
    <font>
      <b/>
      <sz val="28"/>
      <name val="Calibri"/>
      <family val="2"/>
    </font>
    <font>
      <sz val="11"/>
      <color theme="1"/>
      <name val="Calibri"/>
      <scheme val="minor"/>
    </font>
    <font>
      <sz val="10"/>
      <color theme="1"/>
      <name val="Calibri"/>
      <family val="2"/>
      <scheme val="minor"/>
    </font>
  </fonts>
  <fills count="23">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indexed="61"/>
        <bgColor indexed="25"/>
      </patternFill>
    </fill>
    <fill>
      <patternFill patternType="solid">
        <fgColor indexed="19"/>
        <bgColor indexed="23"/>
      </patternFill>
    </fill>
    <fill>
      <patternFill patternType="solid">
        <fgColor indexed="9"/>
        <bgColor indexed="27"/>
      </patternFill>
    </fill>
    <fill>
      <patternFill patternType="solid">
        <fgColor indexed="41"/>
        <bgColor indexed="31"/>
      </patternFill>
    </fill>
    <fill>
      <patternFill patternType="solid">
        <fgColor rgb="FFFFFFCC"/>
        <bgColor indexed="64"/>
      </patternFill>
    </fill>
    <fill>
      <patternFill patternType="solid">
        <fgColor theme="6" tint="0.79998168889431442"/>
        <bgColor indexed="64"/>
      </patternFill>
    </fill>
    <fill>
      <patternFill patternType="solid">
        <fgColor rgb="FF00B050"/>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rgb="FFD8FCF6"/>
        <bgColor indexed="64"/>
      </patternFill>
    </fill>
    <fill>
      <patternFill patternType="solid">
        <fgColor theme="7"/>
      </patternFill>
    </fill>
    <fill>
      <patternFill patternType="solid">
        <fgColor rgb="FFFFFF66"/>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5"/>
      </patternFill>
    </fill>
    <fill>
      <patternFill patternType="solid">
        <fgColor indexed="50"/>
        <bgColor indexed="64"/>
      </patternFill>
    </fill>
    <fill>
      <patternFill patternType="solid">
        <fgColor theme="0" tint="-0.249977111117893"/>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indexed="8"/>
      </bottom>
      <diagonal/>
    </border>
    <border>
      <left style="thin">
        <color indexed="8"/>
      </left>
      <right style="thin">
        <color auto="1"/>
      </right>
      <top style="thin">
        <color auto="1"/>
      </top>
      <bottom style="thin">
        <color indexed="8"/>
      </bottom>
      <diagonal/>
    </border>
    <border>
      <left/>
      <right/>
      <top/>
      <bottom style="thin">
        <color indexed="8"/>
      </bottom>
      <diagonal/>
    </border>
    <border>
      <left/>
      <right style="thin">
        <color auto="1"/>
      </right>
      <top/>
      <bottom style="thin">
        <color indexed="8"/>
      </bottom>
      <diagonal/>
    </border>
    <border>
      <left/>
      <right/>
      <top style="thin">
        <color theme="1"/>
      </top>
      <bottom/>
      <diagonal/>
    </border>
    <border>
      <left/>
      <right/>
      <top/>
      <bottom style="thin">
        <color theme="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44">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6"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5" fillId="16" borderId="0" applyNumberFormat="0" applyBorder="0" applyAlignment="0" applyProtection="0"/>
    <xf numFmtId="44" fontId="3" fillId="0" borderId="0" applyFont="0" applyFill="0" applyBorder="0" applyAlignment="0" applyProtection="0"/>
    <xf numFmtId="0" fontId="3" fillId="20" borderId="0" applyNumberFormat="0" applyBorder="0" applyAlignment="0" applyProtection="0"/>
  </cellStyleXfs>
  <cellXfs count="272">
    <xf numFmtId="0" fontId="0" fillId="0" borderId="0" xfId="0"/>
    <xf numFmtId="165" fontId="1" fillId="0" borderId="0" xfId="1" applyFont="1" applyBorder="1"/>
    <xf numFmtId="0" fontId="1" fillId="0" borderId="0" xfId="0" applyFont="1" applyFill="1" applyBorder="1"/>
    <xf numFmtId="0" fontId="6" fillId="0" borderId="0" xfId="0" applyFont="1" applyFill="1" applyBorder="1" applyAlignment="1"/>
    <xf numFmtId="0" fontId="1" fillId="0" borderId="0" xfId="0" applyFont="1" applyFill="1" applyBorder="1" applyAlignment="1"/>
    <xf numFmtId="165"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5" fontId="3" fillId="0" borderId="0" xfId="1" applyFont="1" applyBorder="1"/>
    <xf numFmtId="9" fontId="3" fillId="0" borderId="0" xfId="1" applyNumberFormat="1" applyFont="1" applyBorder="1"/>
    <xf numFmtId="0" fontId="0" fillId="0" borderId="0" xfId="0" applyBorder="1"/>
    <xf numFmtId="165" fontId="2" fillId="2" borderId="0" xfId="3" applyNumberFormat="1" applyFont="1" applyBorder="1"/>
    <xf numFmtId="165" fontId="2" fillId="3" borderId="0" xfId="4" applyNumberFormat="1" applyFont="1" applyBorder="1"/>
    <xf numFmtId="9" fontId="1" fillId="0" borderId="0" xfId="6" applyFont="1" applyBorder="1"/>
    <xf numFmtId="0" fontId="2" fillId="5" borderId="0" xfId="0" applyFont="1" applyFill="1" applyBorder="1"/>
    <xf numFmtId="166"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5" fontId="0" fillId="0" borderId="0" xfId="1" applyNumberFormat="1" applyFont="1" applyBorder="1" applyAlignment="1">
      <alignment horizontal="center"/>
    </xf>
    <xf numFmtId="165" fontId="1" fillId="0" borderId="0" xfId="1" applyNumberFormat="1" applyFont="1" applyBorder="1" applyAlignment="1">
      <alignment horizontal="center"/>
    </xf>
    <xf numFmtId="165" fontId="0" fillId="0" borderId="0" xfId="1" applyNumberFormat="1" applyFont="1" applyBorder="1"/>
    <xf numFmtId="10" fontId="1" fillId="0" borderId="0" xfId="0" applyNumberFormat="1" applyFont="1" applyBorder="1"/>
    <xf numFmtId="166" fontId="2" fillId="5" borderId="0" xfId="1" applyNumberFormat="1" applyFont="1" applyFill="1" applyBorder="1"/>
    <xf numFmtId="166" fontId="7" fillId="0" borderId="0" xfId="1" applyNumberFormat="1" applyFont="1" applyFill="1" applyBorder="1"/>
    <xf numFmtId="0" fontId="0" fillId="0" borderId="0" xfId="0" applyFont="1" applyFill="1" applyBorder="1"/>
    <xf numFmtId="0" fontId="7" fillId="0" borderId="0" xfId="0" applyFont="1" applyFill="1" applyBorder="1"/>
    <xf numFmtId="43" fontId="0" fillId="0" borderId="0" xfId="1" applyNumberFormat="1" applyFont="1" applyBorder="1"/>
    <xf numFmtId="0" fontId="8" fillId="0" borderId="0" xfId="0" applyFont="1" applyBorder="1"/>
    <xf numFmtId="0" fontId="9" fillId="0" borderId="0" xfId="0" applyFont="1" applyBorder="1"/>
    <xf numFmtId="0" fontId="9" fillId="0" borderId="0" xfId="0" applyFont="1"/>
    <xf numFmtId="0" fontId="8" fillId="0" borderId="0" xfId="0" applyFont="1"/>
    <xf numFmtId="0" fontId="11" fillId="0" borderId="1" xfId="0" applyFont="1" applyFill="1" applyBorder="1" applyAlignment="1">
      <alignment horizontal="right"/>
    </xf>
    <xf numFmtId="1" fontId="12" fillId="6" borderId="1" xfId="0" applyNumberFormat="1" applyFont="1" applyFill="1" applyBorder="1"/>
    <xf numFmtId="2" fontId="12" fillId="6" borderId="1" xfId="0" applyNumberFormat="1" applyFont="1" applyFill="1" applyBorder="1"/>
    <xf numFmtId="0" fontId="9" fillId="0" borderId="1" xfId="0" applyFont="1" applyBorder="1"/>
    <xf numFmtId="0" fontId="12" fillId="6" borderId="1" xfId="0" applyFont="1" applyFill="1" applyBorder="1" applyAlignment="1">
      <alignment horizontal="center" wrapText="1"/>
    </xf>
    <xf numFmtId="0" fontId="12" fillId="6" borderId="1" xfId="0" applyFont="1" applyFill="1" applyBorder="1" applyAlignment="1">
      <alignment horizontal="center"/>
    </xf>
    <xf numFmtId="0" fontId="12" fillId="6" borderId="1" xfId="0" applyFont="1" applyFill="1" applyBorder="1"/>
    <xf numFmtId="9" fontId="12" fillId="6" borderId="1" xfId="0" applyNumberFormat="1" applyFont="1" applyFill="1" applyBorder="1" applyAlignment="1">
      <alignment horizontal="center"/>
    </xf>
    <xf numFmtId="0" fontId="8" fillId="0" borderId="1" xfId="0" applyFont="1" applyBorder="1"/>
    <xf numFmtId="2" fontId="12" fillId="6" borderId="1" xfId="0" applyNumberFormat="1" applyFont="1" applyFill="1" applyBorder="1" applyAlignment="1">
      <alignment horizontal="center"/>
    </xf>
    <xf numFmtId="10" fontId="12" fillId="6" borderId="1" xfId="0" applyNumberFormat="1" applyFont="1" applyFill="1" applyBorder="1" applyAlignment="1">
      <alignment horizontal="center"/>
    </xf>
    <xf numFmtId="0" fontId="12" fillId="6" borderId="0" xfId="0" applyFont="1" applyFill="1"/>
    <xf numFmtId="0" fontId="12" fillId="6" borderId="1" xfId="0" applyFont="1" applyFill="1" applyBorder="1" applyAlignment="1">
      <alignment horizontal="left"/>
    </xf>
    <xf numFmtId="0" fontId="9" fillId="6" borderId="0" xfId="0" applyFont="1" applyFill="1"/>
    <xf numFmtId="2" fontId="9" fillId="0" borderId="1" xfId="0" applyNumberFormat="1" applyFont="1" applyBorder="1"/>
    <xf numFmtId="0" fontId="12" fillId="0" borderId="1" xfId="0" applyFont="1" applyBorder="1" applyAlignment="1">
      <alignment horizontal="center"/>
    </xf>
    <xf numFmtId="0" fontId="9" fillId="0" borderId="3" xfId="0" applyFont="1" applyBorder="1" applyAlignment="1">
      <alignment horizontal="left"/>
    </xf>
    <xf numFmtId="0" fontId="8" fillId="0" borderId="4" xfId="0" applyFont="1" applyBorder="1" applyAlignment="1">
      <alignment horizontal="right"/>
    </xf>
    <xf numFmtId="10" fontId="10" fillId="7" borderId="4" xfId="0" applyNumberFormat="1" applyFont="1" applyFill="1" applyBorder="1"/>
    <xf numFmtId="10" fontId="8" fillId="0" borderId="0" xfId="0" applyNumberFormat="1" applyFont="1" applyBorder="1"/>
    <xf numFmtId="2" fontId="10" fillId="6" borderId="4" xfId="0" applyNumberFormat="1" applyFont="1" applyFill="1" applyBorder="1"/>
    <xf numFmtId="2" fontId="9" fillId="0" borderId="0" xfId="0" applyNumberFormat="1" applyFont="1"/>
    <xf numFmtId="0" fontId="8" fillId="8" borderId="4" xfId="0" applyFont="1" applyFill="1" applyBorder="1" applyAlignment="1">
      <alignment horizontal="right"/>
    </xf>
    <xf numFmtId="10" fontId="10" fillId="6" borderId="4" xfId="0" applyNumberFormat="1" applyFont="1" applyFill="1" applyBorder="1"/>
    <xf numFmtId="1" fontId="10" fillId="6" borderId="4" xfId="0" applyNumberFormat="1" applyFont="1" applyFill="1" applyBorder="1"/>
    <xf numFmtId="0" fontId="8" fillId="0" borderId="0" xfId="0" applyFont="1" applyAlignment="1">
      <alignment horizontal="right"/>
    </xf>
    <xf numFmtId="0" fontId="8" fillId="0" borderId="4" xfId="0" applyFont="1" applyFill="1" applyBorder="1" applyAlignment="1">
      <alignment horizontal="right"/>
    </xf>
    <xf numFmtId="10" fontId="12" fillId="7" borderId="4" xfId="0" applyNumberFormat="1" applyFont="1" applyFill="1" applyBorder="1" applyAlignment="1">
      <alignment horizontal="right"/>
    </xf>
    <xf numFmtId="10" fontId="9" fillId="0" borderId="0" xfId="0" applyNumberFormat="1" applyFont="1"/>
    <xf numFmtId="0" fontId="9" fillId="0" borderId="4" xfId="0" applyFont="1" applyFill="1" applyBorder="1" applyAlignment="1">
      <alignment horizontal="left"/>
    </xf>
    <xf numFmtId="2" fontId="9" fillId="0" borderId="4" xfId="0" applyNumberFormat="1" applyFont="1" applyFill="1" applyBorder="1" applyAlignment="1">
      <alignment horizontal="right"/>
    </xf>
    <xf numFmtId="0" fontId="9" fillId="0" borderId="4" xfId="0" applyFont="1" applyBorder="1"/>
    <xf numFmtId="10" fontId="9" fillId="0" borderId="4" xfId="0" applyNumberFormat="1" applyFont="1" applyBorder="1"/>
    <xf numFmtId="2" fontId="9" fillId="0" borderId="4" xfId="0" applyNumberFormat="1" applyFont="1" applyBorder="1"/>
    <xf numFmtId="0" fontId="9" fillId="0" borderId="4" xfId="0" applyFont="1" applyFill="1" applyBorder="1" applyAlignment="1"/>
    <xf numFmtId="0" fontId="9" fillId="0" borderId="1" xfId="0" applyFont="1" applyFill="1" applyBorder="1" applyAlignment="1"/>
    <xf numFmtId="2" fontId="9" fillId="0" borderId="0" xfId="0" applyNumberFormat="1" applyFont="1" applyBorder="1"/>
    <xf numFmtId="0" fontId="9" fillId="0" borderId="1" xfId="0" applyFont="1" applyFill="1" applyBorder="1"/>
    <xf numFmtId="2" fontId="9" fillId="0" borderId="0" xfId="0" applyNumberFormat="1" applyFont="1" applyFill="1" applyBorder="1" applyAlignment="1"/>
    <xf numFmtId="2" fontId="9" fillId="0" borderId="0" xfId="0" applyNumberFormat="1" applyFont="1" applyFill="1"/>
    <xf numFmtId="10" fontId="9" fillId="0" borderId="0" xfId="0" applyNumberFormat="1" applyFont="1" applyFill="1"/>
    <xf numFmtId="0" fontId="9" fillId="0" borderId="0" xfId="0" applyFont="1" applyFill="1"/>
    <xf numFmtId="0" fontId="15" fillId="0" borderId="0" xfId="0" applyFont="1"/>
    <xf numFmtId="0" fontId="15" fillId="0" borderId="0" xfId="0" applyFont="1" applyFill="1"/>
    <xf numFmtId="0" fontId="15" fillId="0" borderId="2" xfId="0" applyFont="1" applyBorder="1"/>
    <xf numFmtId="0" fontId="15" fillId="0" borderId="2" xfId="0" applyFont="1" applyFill="1" applyBorder="1"/>
    <xf numFmtId="0" fontId="9" fillId="0" borderId="2" xfId="0" applyFont="1" applyBorder="1"/>
    <xf numFmtId="2" fontId="15" fillId="0" borderId="2" xfId="0" applyNumberFormat="1" applyFont="1" applyBorder="1"/>
    <xf numFmtId="9" fontId="17" fillId="0" borderId="2" xfId="6" applyFont="1" applyBorder="1"/>
    <xf numFmtId="0" fontId="15" fillId="0" borderId="1" xfId="0" applyFont="1" applyBorder="1"/>
    <xf numFmtId="2" fontId="15" fillId="0" borderId="1" xfId="0" applyNumberFormat="1" applyFont="1" applyBorder="1"/>
    <xf numFmtId="10" fontId="15" fillId="0" borderId="1" xfId="0" applyNumberFormat="1" applyFont="1" applyBorder="1"/>
    <xf numFmtId="2" fontId="15" fillId="0" borderId="0" xfId="0" applyNumberFormat="1" applyFont="1"/>
    <xf numFmtId="0" fontId="15" fillId="0" borderId="5" xfId="0" applyFont="1" applyBorder="1"/>
    <xf numFmtId="2" fontId="15" fillId="0" borderId="5" xfId="0" applyNumberFormat="1" applyFont="1" applyBorder="1"/>
    <xf numFmtId="0" fontId="15" fillId="0" borderId="2" xfId="0" applyFont="1" applyBorder="1" applyAlignment="1">
      <alignment horizontal="left"/>
    </xf>
    <xf numFmtId="0" fontId="15" fillId="0" borderId="6" xfId="0" applyFont="1" applyBorder="1"/>
    <xf numFmtId="2" fontId="15" fillId="0" borderId="6" xfId="0" applyNumberFormat="1" applyFont="1" applyBorder="1"/>
    <xf numFmtId="10" fontId="15" fillId="0" borderId="0" xfId="6" applyNumberFormat="1" applyFont="1"/>
    <xf numFmtId="0" fontId="15" fillId="0" borderId="7" xfId="0" applyFont="1" applyBorder="1" applyAlignment="1"/>
    <xf numFmtId="0" fontId="15" fillId="0" borderId="6" xfId="0" applyFont="1" applyBorder="1" applyAlignment="1"/>
    <xf numFmtId="0" fontId="15" fillId="0" borderId="5" xfId="0" applyFont="1" applyBorder="1" applyAlignment="1"/>
    <xf numFmtId="9" fontId="15" fillId="0" borderId="2" xfId="0" applyNumberFormat="1" applyFont="1" applyBorder="1"/>
    <xf numFmtId="166" fontId="2" fillId="5" borderId="0" xfId="0" applyNumberFormat="1" applyFont="1" applyFill="1" applyBorder="1" applyAlignment="1">
      <alignment horizontal="center" wrapText="1"/>
    </xf>
    <xf numFmtId="10" fontId="9" fillId="0" borderId="4" xfId="6" applyNumberFormat="1" applyFont="1" applyBorder="1"/>
    <xf numFmtId="1" fontId="9" fillId="0" borderId="4" xfId="0" applyNumberFormat="1" applyFont="1" applyFill="1" applyBorder="1" applyAlignment="1"/>
    <xf numFmtId="1" fontId="9" fillId="0" borderId="1" xfId="0" applyNumberFormat="1" applyFont="1" applyFill="1" applyBorder="1" applyAlignment="1"/>
    <xf numFmtId="9" fontId="9" fillId="0" borderId="1" xfId="6" applyFont="1" applyFill="1" applyBorder="1" applyAlignment="1"/>
    <xf numFmtId="0" fontId="16" fillId="0" borderId="0" xfId="122"/>
    <xf numFmtId="10" fontId="16" fillId="0" borderId="0" xfId="122" applyNumberFormat="1"/>
    <xf numFmtId="0" fontId="16" fillId="0" borderId="0" xfId="122" applyFill="1"/>
    <xf numFmtId="0" fontId="2" fillId="5" borderId="10" xfId="0" applyFont="1" applyFill="1" applyBorder="1"/>
    <xf numFmtId="166" fontId="2" fillId="5" borderId="10" xfId="0" applyNumberFormat="1" applyFont="1" applyFill="1" applyBorder="1" applyAlignment="1">
      <alignment horizontal="center"/>
    </xf>
    <xf numFmtId="165" fontId="1" fillId="0" borderId="0" xfId="1" applyNumberFormat="1" applyFont="1" applyBorder="1"/>
    <xf numFmtId="0" fontId="1" fillId="0" borderId="11" xfId="0" applyFont="1" applyBorder="1"/>
    <xf numFmtId="9" fontId="1" fillId="0" borderId="11" xfId="6" applyNumberFormat="1" applyFont="1" applyBorder="1"/>
    <xf numFmtId="0" fontId="5" fillId="4" borderId="0" xfId="5"/>
    <xf numFmtId="9" fontId="0" fillId="0" borderId="0" xfId="0" applyNumberFormat="1"/>
    <xf numFmtId="9" fontId="19" fillId="10" borderId="0" xfId="1" applyNumberFormat="1" applyFont="1" applyFill="1" applyBorder="1"/>
    <xf numFmtId="9" fontId="19" fillId="0" borderId="0" xfId="1" applyNumberFormat="1" applyFont="1" applyBorder="1"/>
    <xf numFmtId="164" fontId="0" fillId="0" borderId="0" xfId="0" applyNumberFormat="1"/>
    <xf numFmtId="0" fontId="1" fillId="0" borderId="0" xfId="0" applyFont="1"/>
    <xf numFmtId="0" fontId="2" fillId="5" borderId="12" xfId="0" applyFont="1" applyFill="1" applyBorder="1"/>
    <xf numFmtId="166" fontId="2" fillId="5" borderId="12" xfId="0" applyNumberFormat="1" applyFont="1" applyFill="1" applyBorder="1" applyAlignment="1">
      <alignment horizontal="center"/>
    </xf>
    <xf numFmtId="0" fontId="1" fillId="0" borderId="12" xfId="0" applyFont="1" applyBorder="1"/>
    <xf numFmtId="167" fontId="1" fillId="0" borderId="12" xfId="1" applyNumberFormat="1" applyFont="1" applyBorder="1"/>
    <xf numFmtId="0" fontId="0" fillId="0" borderId="12" xfId="0" applyBorder="1"/>
    <xf numFmtId="9" fontId="1" fillId="0" borderId="12" xfId="1" applyNumberFormat="1" applyFont="1" applyBorder="1"/>
    <xf numFmtId="0" fontId="0" fillId="0" borderId="12" xfId="0" applyFont="1" applyBorder="1"/>
    <xf numFmtId="167" fontId="3" fillId="0" borderId="12" xfId="1" applyNumberFormat="1" applyFont="1" applyBorder="1"/>
    <xf numFmtId="167" fontId="0" fillId="0" borderId="12" xfId="0" applyNumberFormat="1" applyBorder="1"/>
    <xf numFmtId="0" fontId="0" fillId="0" borderId="12" xfId="0" applyFont="1" applyFill="1" applyBorder="1"/>
    <xf numFmtId="167" fontId="1" fillId="0" borderId="12" xfId="0" applyNumberFormat="1" applyFont="1" applyBorder="1"/>
    <xf numFmtId="0" fontId="1" fillId="0" borderId="12" xfId="0" applyFont="1" applyFill="1" applyBorder="1"/>
    <xf numFmtId="167" fontId="0" fillId="0" borderId="12" xfId="0" applyNumberFormat="1" applyFont="1" applyBorder="1"/>
    <xf numFmtId="4" fontId="0" fillId="0" borderId="12" xfId="0" applyNumberFormat="1" applyBorder="1"/>
    <xf numFmtId="9" fontId="0" fillId="0" borderId="12" xfId="0" applyNumberFormat="1" applyBorder="1"/>
    <xf numFmtId="1" fontId="0" fillId="0" borderId="12" xfId="0" applyNumberFormat="1" applyBorder="1"/>
    <xf numFmtId="3" fontId="0" fillId="0" borderId="12" xfId="0" applyNumberFormat="1" applyBorder="1" applyAlignment="1">
      <alignment vertical="center"/>
    </xf>
    <xf numFmtId="9" fontId="19" fillId="11" borderId="0" xfId="1" applyNumberFormat="1" applyFont="1" applyFill="1" applyBorder="1"/>
    <xf numFmtId="166" fontId="2" fillId="12" borderId="0" xfId="0" applyNumberFormat="1" applyFont="1" applyFill="1" applyBorder="1" applyAlignment="1">
      <alignment horizontal="center"/>
    </xf>
    <xf numFmtId="0" fontId="5" fillId="4" borderId="0" xfId="5" applyAlignment="1">
      <alignment horizontal="center" vertical="center"/>
    </xf>
    <xf numFmtId="9" fontId="0" fillId="0" borderId="0" xfId="0" applyNumberFormat="1" applyAlignment="1">
      <alignment horizontal="center" vertical="center"/>
    </xf>
    <xf numFmtId="4" fontId="0" fillId="11" borderId="0" xfId="0" applyNumberFormat="1" applyFill="1"/>
    <xf numFmtId="9" fontId="0" fillId="11" borderId="0" xfId="0" applyNumberFormat="1" applyFill="1" applyAlignment="1">
      <alignment horizontal="center" vertical="center"/>
    </xf>
    <xf numFmtId="9" fontId="3" fillId="0" borderId="12" xfId="1" applyNumberFormat="1" applyFont="1" applyBorder="1"/>
    <xf numFmtId="168" fontId="19" fillId="0" borderId="0" xfId="1" applyNumberFormat="1" applyFont="1" applyBorder="1"/>
    <xf numFmtId="168" fontId="19" fillId="11" borderId="0" xfId="1" applyNumberFormat="1" applyFont="1" applyFill="1" applyBorder="1"/>
    <xf numFmtId="10" fontId="1" fillId="0" borderId="11" xfId="6" applyNumberFormat="1" applyFont="1" applyBorder="1"/>
    <xf numFmtId="0" fontId="1" fillId="0" borderId="12" xfId="0" applyFont="1" applyBorder="1" applyAlignment="1">
      <alignment horizontal="center" vertical="center"/>
    </xf>
    <xf numFmtId="9" fontId="0" fillId="0" borderId="12" xfId="0" applyNumberFormat="1" applyBorder="1" applyAlignment="1">
      <alignment horizontal="right" vertical="center"/>
    </xf>
    <xf numFmtId="0" fontId="0" fillId="13" borderId="2" xfId="139" applyFont="1" applyBorder="1" applyAlignment="1">
      <alignment horizontal="left" vertical="center"/>
    </xf>
    <xf numFmtId="4" fontId="3" fillId="14" borderId="2" xfId="140" applyNumberFormat="1" applyBorder="1"/>
    <xf numFmtId="0" fontId="1" fillId="13" borderId="2" xfId="139" applyFont="1" applyBorder="1" applyAlignment="1">
      <alignment horizontal="left" vertical="center"/>
    </xf>
    <xf numFmtId="0" fontId="3" fillId="13" borderId="2" xfId="139" applyBorder="1" applyAlignment="1">
      <alignment horizontal="left" vertical="center"/>
    </xf>
    <xf numFmtId="168" fontId="3" fillId="14" borderId="2" xfId="140" applyNumberFormat="1" applyBorder="1"/>
    <xf numFmtId="168" fontId="3" fillId="14" borderId="2" xfId="6" applyNumberFormat="1" applyFill="1" applyBorder="1"/>
    <xf numFmtId="9" fontId="3" fillId="14" borderId="2" xfId="6" applyFill="1" applyBorder="1"/>
    <xf numFmtId="4" fontId="0" fillId="14" borderId="2" xfId="140" applyNumberFormat="1" applyFont="1" applyBorder="1"/>
    <xf numFmtId="9" fontId="3" fillId="14" borderId="2" xfId="6" applyNumberFormat="1" applyFill="1" applyBorder="1"/>
    <xf numFmtId="2" fontId="3" fillId="14" borderId="2" xfId="6" applyNumberFormat="1" applyFill="1" applyBorder="1"/>
    <xf numFmtId="4" fontId="3" fillId="14" borderId="13" xfId="140" applyNumberFormat="1" applyBorder="1"/>
    <xf numFmtId="0" fontId="0" fillId="13" borderId="13" xfId="139" applyFont="1" applyBorder="1" applyAlignment="1">
      <alignment horizontal="left" vertical="center"/>
    </xf>
    <xf numFmtId="168" fontId="20" fillId="14" borderId="14" xfId="6" applyNumberFormat="1" applyFont="1" applyFill="1" applyBorder="1"/>
    <xf numFmtId="0" fontId="0" fillId="13" borderId="15" xfId="139" applyFont="1" applyBorder="1" applyAlignment="1">
      <alignment horizontal="left" vertical="center"/>
    </xf>
    <xf numFmtId="0" fontId="0" fillId="13" borderId="16" xfId="139" applyFont="1" applyBorder="1" applyAlignment="1">
      <alignment horizontal="left" vertical="center"/>
    </xf>
    <xf numFmtId="168" fontId="3" fillId="14" borderId="17" xfId="140" applyNumberFormat="1" applyBorder="1"/>
    <xf numFmtId="0" fontId="0" fillId="13" borderId="18" xfId="139" applyFont="1" applyBorder="1" applyAlignment="1">
      <alignment horizontal="left" vertical="center"/>
    </xf>
    <xf numFmtId="4" fontId="3" fillId="14" borderId="19" xfId="140" applyNumberFormat="1" applyBorder="1"/>
    <xf numFmtId="0" fontId="0" fillId="13" borderId="19" xfId="139" applyFont="1" applyBorder="1" applyAlignment="1">
      <alignment horizontal="left" vertical="center"/>
    </xf>
    <xf numFmtId="9" fontId="3" fillId="15" borderId="2" xfId="140" applyNumberFormat="1" applyFill="1" applyBorder="1"/>
    <xf numFmtId="3" fontId="3" fillId="14" borderId="2" xfId="140" applyNumberFormat="1" applyBorder="1"/>
    <xf numFmtId="4" fontId="3" fillId="14" borderId="2" xfId="6" applyNumberFormat="1" applyFill="1" applyBorder="1"/>
    <xf numFmtId="4" fontId="3" fillId="0" borderId="12" xfId="1" applyNumberFormat="1" applyFont="1" applyBorder="1"/>
    <xf numFmtId="4" fontId="0" fillId="0" borderId="12" xfId="0" applyNumberFormat="1" applyFont="1" applyBorder="1"/>
    <xf numFmtId="9" fontId="15" fillId="0" borderId="2" xfId="6" applyFont="1" applyBorder="1"/>
    <xf numFmtId="4" fontId="1" fillId="0" borderId="12" xfId="0" applyNumberFormat="1" applyFont="1" applyBorder="1"/>
    <xf numFmtId="9" fontId="0" fillId="0" borderId="12" xfId="0" applyNumberFormat="1" applyBorder="1" applyAlignment="1">
      <alignment vertical="center"/>
    </xf>
    <xf numFmtId="4" fontId="0" fillId="0" borderId="12" xfId="0" applyNumberFormat="1" applyFill="1" applyBorder="1" applyAlignment="1">
      <alignment vertical="center"/>
    </xf>
    <xf numFmtId="3" fontId="0" fillId="0" borderId="12" xfId="0" applyNumberFormat="1" applyFill="1" applyBorder="1" applyAlignment="1">
      <alignment vertical="center"/>
    </xf>
    <xf numFmtId="3" fontId="1" fillId="0" borderId="12" xfId="0" applyNumberFormat="1" applyFont="1" applyBorder="1" applyAlignment="1">
      <alignment horizontal="right" vertical="center"/>
    </xf>
    <xf numFmtId="9" fontId="0" fillId="0" borderId="12" xfId="0" applyNumberFormat="1" applyFont="1" applyBorder="1" applyAlignment="1">
      <alignment horizontal="right" vertical="center"/>
    </xf>
    <xf numFmtId="0" fontId="1" fillId="0" borderId="12" xfId="0" applyFont="1" applyBorder="1" applyAlignment="1">
      <alignment horizontal="right" vertical="center"/>
    </xf>
    <xf numFmtId="3" fontId="0" fillId="0" borderId="12" xfId="0" applyNumberFormat="1" applyBorder="1" applyAlignment="1">
      <alignment horizontal="right" vertical="center"/>
    </xf>
    <xf numFmtId="4" fontId="1" fillId="0" borderId="12" xfId="0" applyNumberFormat="1" applyFont="1" applyBorder="1" applyAlignment="1">
      <alignment horizontal="right" vertical="center"/>
    </xf>
    <xf numFmtId="4" fontId="0" fillId="18" borderId="12" xfId="0" applyNumberFormat="1" applyFill="1" applyBorder="1" applyAlignment="1">
      <alignment vertical="center"/>
    </xf>
    <xf numFmtId="166" fontId="2" fillId="16" borderId="0" xfId="141" applyNumberFormat="1" applyFont="1" applyAlignment="1">
      <alignment horizontal="right" vertical="center"/>
    </xf>
    <xf numFmtId="0" fontId="2" fillId="16" borderId="0" xfId="141" applyFont="1" applyAlignment="1">
      <alignment horizontal="right" vertical="center"/>
    </xf>
    <xf numFmtId="0" fontId="1" fillId="19" borderId="2" xfId="139" applyFont="1" applyFill="1" applyBorder="1" applyAlignment="1">
      <alignment horizontal="left" vertical="center"/>
    </xf>
    <xf numFmtId="4" fontId="3" fillId="19" borderId="2" xfId="140" applyNumberFormat="1" applyFill="1" applyBorder="1"/>
    <xf numFmtId="0" fontId="0" fillId="19" borderId="2" xfId="139" applyFont="1" applyFill="1" applyBorder="1" applyAlignment="1">
      <alignment horizontal="left" vertical="center"/>
    </xf>
    <xf numFmtId="43" fontId="0" fillId="0" borderId="12" xfId="0" applyNumberFormat="1" applyBorder="1"/>
    <xf numFmtId="9" fontId="0" fillId="0" borderId="0" xfId="6" applyFont="1"/>
    <xf numFmtId="0" fontId="0" fillId="0" borderId="0" xfId="0" applyAlignment="1">
      <alignment wrapText="1"/>
    </xf>
    <xf numFmtId="1" fontId="0" fillId="0" borderId="0" xfId="0" applyNumberFormat="1"/>
    <xf numFmtId="2" fontId="0" fillId="0" borderId="0" xfId="0" applyNumberFormat="1"/>
    <xf numFmtId="0" fontId="0" fillId="0" borderId="0" xfId="0" applyAlignment="1">
      <alignment horizontal="center"/>
    </xf>
    <xf numFmtId="9" fontId="1" fillId="0" borderId="0" xfId="6" applyFont="1"/>
    <xf numFmtId="4" fontId="0" fillId="0" borderId="0" xfId="0" applyNumberFormat="1" applyFill="1" applyBorder="1"/>
    <xf numFmtId="2" fontId="0" fillId="0" borderId="12" xfId="0" applyNumberFormat="1" applyBorder="1"/>
    <xf numFmtId="2" fontId="0" fillId="0" borderId="0" xfId="0" applyNumberFormat="1" applyBorder="1"/>
    <xf numFmtId="3" fontId="0" fillId="0" borderId="0" xfId="0" applyNumberFormat="1"/>
    <xf numFmtId="3" fontId="0" fillId="0" borderId="12" xfId="0" applyNumberFormat="1" applyBorder="1"/>
    <xf numFmtId="3" fontId="0" fillId="0" borderId="0" xfId="0" applyNumberFormat="1" applyFill="1" applyBorder="1"/>
    <xf numFmtId="1" fontId="0" fillId="0" borderId="0" xfId="0" applyNumberFormat="1" applyFill="1" applyBorder="1"/>
    <xf numFmtId="44" fontId="0" fillId="0" borderId="0" xfId="142" applyFont="1"/>
    <xf numFmtId="2" fontId="0" fillId="0" borderId="0" xfId="142" applyNumberFormat="1" applyFont="1" applyAlignment="1">
      <alignment wrapText="1"/>
    </xf>
    <xf numFmtId="17" fontId="0" fillId="0" borderId="0" xfId="0" applyNumberFormat="1"/>
    <xf numFmtId="0" fontId="25" fillId="0" borderId="0" xfId="0" applyFont="1" applyBorder="1"/>
    <xf numFmtId="165" fontId="25" fillId="0" borderId="0" xfId="1" applyFont="1" applyBorder="1"/>
    <xf numFmtId="165" fontId="3" fillId="18" borderId="0" xfId="1" applyFont="1" applyFill="1" applyBorder="1"/>
    <xf numFmtId="0" fontId="1" fillId="0" borderId="2" xfId="0" applyFont="1" applyBorder="1"/>
    <xf numFmtId="166" fontId="2" fillId="5" borderId="2" xfId="0" applyNumberFormat="1" applyFont="1" applyFill="1" applyBorder="1" applyAlignment="1">
      <alignment horizontal="center"/>
    </xf>
    <xf numFmtId="9" fontId="26" fillId="21" borderId="2" xfId="6" applyFont="1" applyFill="1" applyBorder="1" applyAlignment="1">
      <alignment horizontal="center"/>
    </xf>
    <xf numFmtId="0" fontId="0" fillId="0" borderId="2" xfId="0" applyBorder="1"/>
    <xf numFmtId="10" fontId="0" fillId="0" borderId="2" xfId="0" applyNumberFormat="1" applyBorder="1"/>
    <xf numFmtId="10" fontId="0" fillId="0" borderId="2" xfId="6" applyNumberFormat="1" applyFont="1" applyBorder="1"/>
    <xf numFmtId="9" fontId="0" fillId="0" borderId="2" xfId="0" applyNumberFormat="1" applyBorder="1"/>
    <xf numFmtId="0" fontId="1" fillId="0" borderId="2" xfId="0" applyFont="1" applyBorder="1" applyAlignment="1">
      <alignment horizontal="right"/>
    </xf>
    <xf numFmtId="0" fontId="0" fillId="0" borderId="2" xfId="0" applyBorder="1" applyAlignment="1">
      <alignment horizontal="center"/>
    </xf>
    <xf numFmtId="2" fontId="0" fillId="0" borderId="2" xfId="0" applyNumberFormat="1" applyBorder="1" applyAlignment="1">
      <alignment horizontal="center"/>
    </xf>
    <xf numFmtId="0" fontId="1" fillId="22" borderId="0" xfId="0" applyFont="1" applyFill="1" applyAlignment="1">
      <alignment horizontal="right"/>
    </xf>
    <xf numFmtId="0" fontId="0" fillId="22" borderId="13" xfId="0" applyFill="1" applyBorder="1" applyAlignment="1">
      <alignment horizontal="center"/>
    </xf>
    <xf numFmtId="0" fontId="0" fillId="22" borderId="19" xfId="0" applyFill="1" applyBorder="1" applyAlignment="1">
      <alignment horizontal="center"/>
    </xf>
    <xf numFmtId="0" fontId="0" fillId="0" borderId="2" xfId="0" applyBorder="1" applyAlignment="1">
      <alignment horizontal="right"/>
    </xf>
    <xf numFmtId="0" fontId="0" fillId="22" borderId="2" xfId="0" applyFill="1" applyBorder="1"/>
    <xf numFmtId="0" fontId="1" fillId="0" borderId="0" xfId="0" applyFont="1" applyAlignment="1">
      <alignment horizontal="right"/>
    </xf>
    <xf numFmtId="0" fontId="0" fillId="0" borderId="13" xfId="0" applyFill="1" applyBorder="1"/>
    <xf numFmtId="10" fontId="0" fillId="0" borderId="13" xfId="6" applyNumberFormat="1" applyFont="1" applyFill="1" applyBorder="1"/>
    <xf numFmtId="0" fontId="1" fillId="0" borderId="0" xfId="0" applyFont="1" applyBorder="1" applyAlignment="1">
      <alignment horizontal="right"/>
    </xf>
    <xf numFmtId="0" fontId="0" fillId="0" borderId="13" xfId="0" applyBorder="1"/>
    <xf numFmtId="9" fontId="0" fillId="0" borderId="13" xfId="6" applyFont="1" applyBorder="1"/>
    <xf numFmtId="1" fontId="0" fillId="0" borderId="2" xfId="0" applyNumberFormat="1" applyBorder="1"/>
    <xf numFmtId="1" fontId="0" fillId="18" borderId="2" xfId="0" applyNumberFormat="1" applyFill="1" applyBorder="1"/>
    <xf numFmtId="1" fontId="6" fillId="18" borderId="2" xfId="0" applyNumberFormat="1" applyFont="1" applyFill="1" applyBorder="1"/>
    <xf numFmtId="9" fontId="0" fillId="0" borderId="2" xfId="6" applyNumberFormat="1" applyFont="1" applyBorder="1"/>
    <xf numFmtId="9" fontId="1" fillId="0" borderId="2" xfId="6" applyNumberFormat="1" applyFont="1" applyBorder="1"/>
    <xf numFmtId="9" fontId="0" fillId="0" borderId="24" xfId="6" applyFont="1" applyFill="1" applyBorder="1"/>
    <xf numFmtId="0" fontId="1" fillId="20" borderId="0" xfId="143" applyFont="1" applyAlignment="1">
      <alignment horizontal="right" vertical="top" wrapText="1"/>
    </xf>
    <xf numFmtId="0" fontId="1" fillId="20" borderId="0" xfId="143" applyFont="1" applyAlignment="1">
      <alignment horizontal="right"/>
    </xf>
    <xf numFmtId="9" fontId="3" fillId="20" borderId="0" xfId="143" applyNumberFormat="1" applyAlignment="1">
      <alignment horizontal="right" vertical="top" wrapText="1"/>
    </xf>
    <xf numFmtId="0" fontId="3" fillId="20" borderId="0" xfId="143" applyAlignment="1">
      <alignment horizontal="right" vertical="top" wrapText="1"/>
    </xf>
    <xf numFmtId="0" fontId="3" fillId="20" borderId="0" xfId="143" applyAlignment="1">
      <alignment horizontal="right"/>
    </xf>
    <xf numFmtId="9" fontId="3" fillId="20" borderId="0" xfId="143" applyNumberFormat="1" applyAlignment="1">
      <alignment horizontal="right"/>
    </xf>
    <xf numFmtId="0" fontId="1" fillId="14" borderId="0" xfId="140" applyFont="1" applyAlignment="1">
      <alignment horizontal="right" vertical="top" wrapText="1"/>
    </xf>
    <xf numFmtId="0" fontId="1" fillId="14" borderId="0" xfId="140" applyFont="1" applyAlignment="1">
      <alignment horizontal="right"/>
    </xf>
    <xf numFmtId="9" fontId="3" fillId="14" borderId="0" xfId="140" applyNumberFormat="1" applyAlignment="1">
      <alignment horizontal="right" vertical="top" wrapText="1"/>
    </xf>
    <xf numFmtId="0" fontId="3" fillId="14" borderId="0" xfId="140" applyAlignment="1">
      <alignment horizontal="right" vertical="top" wrapText="1"/>
    </xf>
    <xf numFmtId="0" fontId="3" fillId="14" borderId="0" xfId="140" applyAlignment="1">
      <alignment horizontal="right"/>
    </xf>
    <xf numFmtId="9" fontId="3" fillId="14" borderId="0" xfId="140" applyNumberFormat="1" applyAlignment="1">
      <alignment horizontal="right"/>
    </xf>
    <xf numFmtId="0" fontId="1" fillId="14" borderId="0" xfId="140" applyFont="1" applyAlignment="1">
      <alignment horizontal="right" vertical="top"/>
    </xf>
    <xf numFmtId="0" fontId="3" fillId="14" borderId="0" xfId="140" applyAlignment="1">
      <alignment horizontal="right" vertical="top"/>
    </xf>
    <xf numFmtId="9" fontId="3" fillId="14" borderId="0" xfId="6" applyFill="1" applyAlignment="1">
      <alignment horizontal="right" vertical="top"/>
    </xf>
    <xf numFmtId="0" fontId="1" fillId="14" borderId="0" xfId="140" applyFont="1" applyAlignment="1">
      <alignment horizontal="right" vertical="center" wrapText="1"/>
    </xf>
    <xf numFmtId="0" fontId="0" fillId="0" borderId="0" xfId="0" applyAlignment="1">
      <alignment horizontal="left" vertical="top" wrapText="1"/>
    </xf>
    <xf numFmtId="9" fontId="1" fillId="14" borderId="0" xfId="140" applyNumberFormat="1" applyFont="1" applyAlignment="1">
      <alignment horizontal="center" vertical="center" wrapText="1"/>
    </xf>
    <xf numFmtId="0" fontId="0" fillId="0" borderId="0" xfId="0" applyAlignment="1">
      <alignment horizontal="left" wrapText="1"/>
    </xf>
    <xf numFmtId="0" fontId="1" fillId="20" borderId="0" xfId="143" applyFont="1" applyAlignment="1">
      <alignment horizontal="right" vertical="center" wrapText="1"/>
    </xf>
    <xf numFmtId="0" fontId="0" fillId="0" borderId="21" xfId="0" applyBorder="1" applyAlignment="1">
      <alignment horizontal="right"/>
    </xf>
    <xf numFmtId="0" fontId="0" fillId="0" borderId="22" xfId="0" applyBorder="1" applyAlignment="1">
      <alignment horizontal="right"/>
    </xf>
    <xf numFmtId="0" fontId="0" fillId="0" borderId="23" xfId="0" applyBorder="1" applyAlignment="1">
      <alignment horizontal="right"/>
    </xf>
    <xf numFmtId="0" fontId="0" fillId="0" borderId="2" xfId="0" applyBorder="1" applyAlignment="1">
      <alignment horizontal="right"/>
    </xf>
    <xf numFmtId="1" fontId="0" fillId="22" borderId="21" xfId="0" applyNumberFormat="1" applyFill="1" applyBorder="1" applyAlignment="1">
      <alignment horizontal="center"/>
    </xf>
    <xf numFmtId="1" fontId="0" fillId="22" borderId="22" xfId="0" applyNumberFormat="1" applyFill="1" applyBorder="1" applyAlignment="1">
      <alignment horizontal="center"/>
    </xf>
    <xf numFmtId="1" fontId="0" fillId="22" borderId="23" xfId="0" applyNumberFormat="1" applyFill="1" applyBorder="1" applyAlignment="1">
      <alignment horizontal="center"/>
    </xf>
    <xf numFmtId="0" fontId="0" fillId="22" borderId="21" xfId="0" applyFill="1" applyBorder="1" applyAlignment="1">
      <alignment horizontal="center"/>
    </xf>
    <xf numFmtId="0" fontId="0" fillId="22" borderId="22" xfId="0" applyFill="1" applyBorder="1" applyAlignment="1">
      <alignment horizontal="center"/>
    </xf>
    <xf numFmtId="0" fontId="0" fillId="22" borderId="23" xfId="0" applyFill="1" applyBorder="1" applyAlignment="1">
      <alignment horizontal="center"/>
    </xf>
    <xf numFmtId="166" fontId="2" fillId="5" borderId="2" xfId="0" applyNumberFormat="1" applyFont="1" applyFill="1" applyBorder="1" applyAlignment="1">
      <alignment horizontal="center"/>
    </xf>
    <xf numFmtId="0" fontId="9" fillId="9" borderId="4" xfId="0" applyFont="1" applyFill="1" applyBorder="1" applyAlignment="1">
      <alignment horizontal="right"/>
    </xf>
    <xf numFmtId="166" fontId="2" fillId="5" borderId="8" xfId="0" applyNumberFormat="1" applyFont="1" applyFill="1" applyBorder="1" applyAlignment="1">
      <alignment horizontal="center" wrapText="1"/>
    </xf>
    <xf numFmtId="166" fontId="2" fillId="5" borderId="9" xfId="0" applyNumberFormat="1" applyFont="1" applyFill="1" applyBorder="1" applyAlignment="1">
      <alignment horizontal="center" wrapText="1"/>
    </xf>
    <xf numFmtId="0" fontId="9" fillId="0" borderId="0" xfId="0" applyFont="1" applyBorder="1" applyAlignment="1">
      <alignment horizontal="left"/>
    </xf>
    <xf numFmtId="165" fontId="4" fillId="0" borderId="0" xfId="2" applyNumberFormat="1" applyBorder="1" applyAlignment="1" applyProtection="1">
      <alignment horizontal="center"/>
    </xf>
    <xf numFmtId="165" fontId="2" fillId="4" borderId="0" xfId="5" applyNumberFormat="1" applyFont="1" applyBorder="1" applyAlignment="1">
      <alignment horizontal="center"/>
    </xf>
    <xf numFmtId="0" fontId="24" fillId="17" borderId="0" xfId="0" applyFont="1" applyFill="1" applyAlignment="1">
      <alignment horizontal="center"/>
    </xf>
    <xf numFmtId="0" fontId="23" fillId="17" borderId="20" xfId="0" applyFont="1" applyFill="1" applyBorder="1" applyAlignment="1">
      <alignment horizontal="center"/>
    </xf>
    <xf numFmtId="0" fontId="2" fillId="16" borderId="0" xfId="141" applyFont="1" applyAlignment="1">
      <alignment horizontal="center"/>
    </xf>
    <xf numFmtId="0" fontId="0" fillId="0" borderId="12" xfId="0" applyBorder="1" applyAlignment="1">
      <alignment horizontal="right" vertical="center"/>
    </xf>
    <xf numFmtId="0" fontId="1" fillId="0" borderId="12" xfId="0" applyFont="1" applyBorder="1" applyAlignment="1">
      <alignment horizontal="right" vertical="center"/>
    </xf>
  </cellXfs>
  <cellStyles count="144">
    <cellStyle name="20% - Accent1" xfId="139" builtinId="30"/>
    <cellStyle name="20% - Accent3" xfId="140" builtinId="38"/>
    <cellStyle name="20% - Accent4" xfId="143" builtinId="42"/>
    <cellStyle name="60% - Accent1" xfId="3" builtinId="32"/>
    <cellStyle name="60% - Accent3" xfId="4" builtinId="40"/>
    <cellStyle name="Accent4" xfId="141" builtinId="41"/>
    <cellStyle name="Accent6" xfId="5" builtinId="49"/>
    <cellStyle name="Comma" xfId="1" builtinId="3"/>
    <cellStyle name="Currency" xfId="142" builtinId="4"/>
    <cellStyle name="Excel Built-in Normal 1" xfId="122" xr:uid="{00000000-0005-0000-0000-000004000000}"/>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Hyperlink" xfId="2" builtinId="8"/>
    <cellStyle name="Normal" xfId="0" builtinId="0"/>
    <cellStyle name="Percent" xfId="6" builtinId="5"/>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5"/>
        </patternFill>
      </fill>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6"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CC3399"/>
      <color rgb="FFFFFF66"/>
      <color rgb="FFFC956C"/>
      <color rgb="FFCCCCFF"/>
      <color rgb="FF19FF81"/>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Sheet'!$A$17</c:f>
              <c:strCache>
                <c:ptCount val="1"/>
                <c:pt idx="0">
                  <c:v> Sales </c:v>
                </c:pt>
              </c:strCache>
            </c:strRef>
          </c:tx>
          <c:spPr>
            <a:solidFill>
              <a:schemeClr val="accent1"/>
            </a:solidFill>
            <a:ln>
              <a:noFill/>
            </a:ln>
            <a:effectLst/>
          </c:spPr>
          <c:invertIfNegative val="0"/>
          <c:cat>
            <c:numRef>
              <c:f>'Data Sheet'!$B$16:$K$16</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'Data Sheet'!$B$17:$K$17</c:f>
              <c:numCache>
                <c:formatCode>General</c:formatCode>
                <c:ptCount val="10"/>
                <c:pt idx="0">
                  <c:v>125.71</c:v>
                </c:pt>
                <c:pt idx="1">
                  <c:v>159.01</c:v>
                </c:pt>
                <c:pt idx="2">
                  <c:v>217.82</c:v>
                </c:pt>
                <c:pt idx="3">
                  <c:v>225.45</c:v>
                </c:pt>
                <c:pt idx="4">
                  <c:v>261.7</c:v>
                </c:pt>
                <c:pt idx="5">
                  <c:v>282.58</c:v>
                </c:pt>
                <c:pt idx="6">
                  <c:v>271.02999999999997</c:v>
                </c:pt>
                <c:pt idx="7">
                  <c:v>297.41000000000003</c:v>
                </c:pt>
                <c:pt idx="8">
                  <c:v>323.82</c:v>
                </c:pt>
                <c:pt idx="9">
                  <c:v>383.29</c:v>
                </c:pt>
              </c:numCache>
            </c:numRef>
          </c:val>
          <c:extLst>
            <c:ext xmlns:c16="http://schemas.microsoft.com/office/drawing/2014/chart" uri="{C3380CC4-5D6E-409C-BE32-E72D297353CC}">
              <c16:uniqueId val="{00000000-9774-6540-9D56-44ADC947D031}"/>
            </c:ext>
          </c:extLst>
        </c:ser>
        <c:dLbls>
          <c:showLegendKey val="0"/>
          <c:showVal val="0"/>
          <c:showCatName val="0"/>
          <c:showSerName val="0"/>
          <c:showPercent val="0"/>
          <c:showBubbleSize val="0"/>
        </c:dLbls>
        <c:gapWidth val="219"/>
        <c:overlap val="-27"/>
        <c:axId val="30261119"/>
        <c:axId val="30262799"/>
      </c:barChart>
      <c:dateAx>
        <c:axId val="30261119"/>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62799"/>
        <c:crosses val="autoZero"/>
        <c:auto val="0"/>
        <c:lblOffset val="100"/>
        <c:baseTimeUnit val="years"/>
      </c:dateAx>
      <c:valAx>
        <c:axId val="3026279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611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KeyMetrics!$A$8</c:f>
              <c:strCache>
                <c:ptCount val="1"/>
                <c:pt idx="0">
                  <c:v>Operating Profit (excl Other Income)</c:v>
                </c:pt>
              </c:strCache>
            </c:strRef>
          </c:tx>
          <c:spPr>
            <a:solidFill>
              <a:schemeClr val="accent1"/>
            </a:solidFill>
            <a:ln>
              <a:noFill/>
            </a:ln>
            <a:effectLst/>
          </c:spPr>
          <c:invertIfNegative val="0"/>
          <c:cat>
            <c:numRef>
              <c:f>KeyMetrics!$B$3:$K$3</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KeyMetrics!$B$8:$K$8</c:f>
              <c:numCache>
                <c:formatCode>General</c:formatCode>
                <c:ptCount val="10"/>
                <c:pt idx="0">
                  <c:v>38.089999999999996</c:v>
                </c:pt>
                <c:pt idx="1">
                  <c:v>48.209999999999994</c:v>
                </c:pt>
                <c:pt idx="2">
                  <c:v>56.09</c:v>
                </c:pt>
                <c:pt idx="3">
                  <c:v>57.55</c:v>
                </c:pt>
                <c:pt idx="4">
                  <c:v>68.779999999999987</c:v>
                </c:pt>
                <c:pt idx="5">
                  <c:v>72.44</c:v>
                </c:pt>
                <c:pt idx="6">
                  <c:v>81.38000000000001</c:v>
                </c:pt>
                <c:pt idx="7">
                  <c:v>89.280000000000015</c:v>
                </c:pt>
                <c:pt idx="8">
                  <c:v>98.61</c:v>
                </c:pt>
                <c:pt idx="9">
                  <c:v>121.43999999999998</c:v>
                </c:pt>
              </c:numCache>
            </c:numRef>
          </c:val>
          <c:extLst>
            <c:ext xmlns:c16="http://schemas.microsoft.com/office/drawing/2014/chart" uri="{C3380CC4-5D6E-409C-BE32-E72D297353CC}">
              <c16:uniqueId val="{00000000-4ABF-DC41-AC28-08F544E1ED6A}"/>
            </c:ext>
          </c:extLst>
        </c:ser>
        <c:dLbls>
          <c:showLegendKey val="0"/>
          <c:showVal val="0"/>
          <c:showCatName val="0"/>
          <c:showSerName val="0"/>
          <c:showPercent val="0"/>
          <c:showBubbleSize val="0"/>
        </c:dLbls>
        <c:gapWidth val="219"/>
        <c:overlap val="-27"/>
        <c:axId val="29819807"/>
        <c:axId val="77076607"/>
      </c:barChart>
      <c:dateAx>
        <c:axId val="2981980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76607"/>
        <c:crosses val="autoZero"/>
        <c:auto val="1"/>
        <c:lblOffset val="100"/>
        <c:baseTimeUnit val="years"/>
      </c:dateAx>
      <c:valAx>
        <c:axId val="77076607"/>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81980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KeyMetrics!$A$9</c:f>
              <c:strCache>
                <c:ptCount val="1"/>
                <c:pt idx="0">
                  <c:v>PAT</c:v>
                </c:pt>
              </c:strCache>
            </c:strRef>
          </c:tx>
          <c:spPr>
            <a:solidFill>
              <a:schemeClr val="bg2">
                <a:lumMod val="25000"/>
              </a:schemeClr>
            </a:solidFill>
            <a:ln>
              <a:noFill/>
            </a:ln>
            <a:effectLst/>
          </c:spPr>
          <c:invertIfNegative val="0"/>
          <c:cat>
            <c:numRef>
              <c:f>KeyMetrics!$B$3:$K$3</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KeyMetrics!$B$9:$K$9</c:f>
              <c:numCache>
                <c:formatCode>General</c:formatCode>
                <c:ptCount val="10"/>
                <c:pt idx="0">
                  <c:v>29.46</c:v>
                </c:pt>
                <c:pt idx="1">
                  <c:v>37.380000000000003</c:v>
                </c:pt>
                <c:pt idx="2">
                  <c:v>31.46</c:v>
                </c:pt>
                <c:pt idx="3">
                  <c:v>27.38</c:v>
                </c:pt>
                <c:pt idx="4">
                  <c:v>40.44</c:v>
                </c:pt>
                <c:pt idx="5">
                  <c:v>51.32</c:v>
                </c:pt>
                <c:pt idx="6">
                  <c:v>52.99</c:v>
                </c:pt>
                <c:pt idx="7">
                  <c:v>54.17</c:v>
                </c:pt>
                <c:pt idx="8">
                  <c:v>56.75</c:v>
                </c:pt>
                <c:pt idx="9">
                  <c:v>73.739999999999995</c:v>
                </c:pt>
              </c:numCache>
            </c:numRef>
          </c:val>
          <c:extLst>
            <c:ext xmlns:c16="http://schemas.microsoft.com/office/drawing/2014/chart" uri="{C3380CC4-5D6E-409C-BE32-E72D297353CC}">
              <c16:uniqueId val="{00000000-3DCB-8B47-9B28-C16BEAD3C333}"/>
            </c:ext>
          </c:extLst>
        </c:ser>
        <c:dLbls>
          <c:showLegendKey val="0"/>
          <c:showVal val="0"/>
          <c:showCatName val="0"/>
          <c:showSerName val="0"/>
          <c:showPercent val="0"/>
          <c:showBubbleSize val="0"/>
        </c:dLbls>
        <c:gapWidth val="219"/>
        <c:overlap val="-27"/>
        <c:axId val="79049935"/>
        <c:axId val="77383199"/>
      </c:barChart>
      <c:dateAx>
        <c:axId val="79049935"/>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83199"/>
        <c:crosses val="autoZero"/>
        <c:auto val="1"/>
        <c:lblOffset val="100"/>
        <c:baseTimeUnit val="years"/>
      </c:dateAx>
      <c:valAx>
        <c:axId val="7738319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499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KeyMetrics!$A$19</c:f>
              <c:strCache>
                <c:ptCount val="1"/>
                <c:pt idx="0">
                  <c:v>Operating Cash Flow</c:v>
                </c:pt>
              </c:strCache>
            </c:strRef>
          </c:tx>
          <c:spPr>
            <a:solidFill>
              <a:schemeClr val="accent1"/>
            </a:solidFill>
            <a:ln>
              <a:noFill/>
            </a:ln>
            <a:effectLst/>
          </c:spPr>
          <c:invertIfNegative val="0"/>
          <c:cat>
            <c:numRef>
              <c:f>KeyMetrics!$B$17:$K$17</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KeyMetrics!$B$19:$K$19</c:f>
              <c:numCache>
                <c:formatCode>General</c:formatCode>
                <c:ptCount val="10"/>
                <c:pt idx="0">
                  <c:v>36.31</c:v>
                </c:pt>
                <c:pt idx="1">
                  <c:v>29.28</c:v>
                </c:pt>
                <c:pt idx="2">
                  <c:v>30.41</c:v>
                </c:pt>
                <c:pt idx="3">
                  <c:v>46.63</c:v>
                </c:pt>
                <c:pt idx="4">
                  <c:v>51.53</c:v>
                </c:pt>
                <c:pt idx="5">
                  <c:v>69.97</c:v>
                </c:pt>
                <c:pt idx="6">
                  <c:v>68.400000000000006</c:v>
                </c:pt>
                <c:pt idx="7">
                  <c:v>77.13</c:v>
                </c:pt>
                <c:pt idx="8">
                  <c:v>86.7</c:v>
                </c:pt>
                <c:pt idx="9">
                  <c:v>88.51</c:v>
                </c:pt>
              </c:numCache>
            </c:numRef>
          </c:val>
          <c:extLst>
            <c:ext xmlns:c16="http://schemas.microsoft.com/office/drawing/2014/chart" uri="{C3380CC4-5D6E-409C-BE32-E72D297353CC}">
              <c16:uniqueId val="{00000000-B954-744B-BA9F-C35FC66B48BA}"/>
            </c:ext>
          </c:extLst>
        </c:ser>
        <c:dLbls>
          <c:showLegendKey val="0"/>
          <c:showVal val="0"/>
          <c:showCatName val="0"/>
          <c:showSerName val="0"/>
          <c:showPercent val="0"/>
          <c:showBubbleSize val="0"/>
        </c:dLbls>
        <c:gapWidth val="219"/>
        <c:overlap val="-27"/>
        <c:axId val="30710447"/>
        <c:axId val="32699455"/>
      </c:barChart>
      <c:dateAx>
        <c:axId val="3071044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99455"/>
        <c:crosses val="autoZero"/>
        <c:auto val="1"/>
        <c:lblOffset val="100"/>
        <c:baseTimeUnit val="years"/>
      </c:dateAx>
      <c:valAx>
        <c:axId val="3269945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7104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KeyMetrics!$A$5</c:f>
              <c:strCache>
                <c:ptCount val="1"/>
                <c:pt idx="0">
                  <c:v>Gross Margin</c:v>
                </c:pt>
              </c:strCache>
            </c:strRef>
          </c:tx>
          <c:spPr>
            <a:solidFill>
              <a:schemeClr val="bg2">
                <a:lumMod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KeyMetrics!$B$3:$K$3</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KeyMetrics!$B$5:$K$5</c:f>
              <c:numCache>
                <c:formatCode>0%</c:formatCode>
                <c:ptCount val="10"/>
                <c:pt idx="0">
                  <c:v>0.76549200540927531</c:v>
                </c:pt>
                <c:pt idx="1">
                  <c:v>0.66530406892648264</c:v>
                </c:pt>
                <c:pt idx="2">
                  <c:v>0.65870902580112012</c:v>
                </c:pt>
                <c:pt idx="3">
                  <c:v>0.66693280106453756</c:v>
                </c:pt>
                <c:pt idx="4">
                  <c:v>0.74470768055024839</c:v>
                </c:pt>
                <c:pt idx="5">
                  <c:v>0.69502441786396774</c:v>
                </c:pt>
                <c:pt idx="6">
                  <c:v>0.7302881599822898</c:v>
                </c:pt>
                <c:pt idx="7">
                  <c:v>0.79304663595709624</c:v>
                </c:pt>
                <c:pt idx="8">
                  <c:v>0.74924340683095547</c:v>
                </c:pt>
                <c:pt idx="9">
                  <c:v>0.71984659135380524</c:v>
                </c:pt>
              </c:numCache>
            </c:numRef>
          </c:val>
          <c:extLst>
            <c:ext xmlns:c16="http://schemas.microsoft.com/office/drawing/2014/chart" uri="{C3380CC4-5D6E-409C-BE32-E72D297353CC}">
              <c16:uniqueId val="{00000000-6E55-4140-A530-E0BFF16AC517}"/>
            </c:ext>
          </c:extLst>
        </c:ser>
        <c:dLbls>
          <c:showLegendKey val="0"/>
          <c:showVal val="0"/>
          <c:showCatName val="0"/>
          <c:showSerName val="0"/>
          <c:showPercent val="0"/>
          <c:showBubbleSize val="0"/>
        </c:dLbls>
        <c:gapWidth val="219"/>
        <c:overlap val="-27"/>
        <c:axId val="2139739568"/>
        <c:axId val="29469439"/>
      </c:barChart>
      <c:dateAx>
        <c:axId val="213973956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69439"/>
        <c:crosses val="autoZero"/>
        <c:auto val="1"/>
        <c:lblOffset val="100"/>
        <c:baseTimeUnit val="years"/>
      </c:dateAx>
      <c:valAx>
        <c:axId val="29469439"/>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9739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KeyMetrics!$A$34</c:f>
              <c:strCache>
                <c:ptCount val="1"/>
                <c:pt idx="0">
                  <c:v>Shares Outstanding (Mn)</c:v>
                </c:pt>
              </c:strCache>
            </c:strRef>
          </c:tx>
          <c:spPr>
            <a:solidFill>
              <a:schemeClr val="bg1">
                <a:lumMod val="75000"/>
              </a:schemeClr>
            </a:solidFill>
            <a:ln>
              <a:noFill/>
            </a:ln>
            <a:effectLst/>
          </c:spPr>
          <c:invertIfNegative val="0"/>
          <c:cat>
            <c:numRef>
              <c:f>KeyMetrics!$B$30:$K$30</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KeyMetrics!$B$34:$K$34</c:f>
              <c:numCache>
                <c:formatCode>0.00</c:formatCode>
                <c:ptCount val="10"/>
                <c:pt idx="0">
                  <c:v>10.329814000000001</c:v>
                </c:pt>
                <c:pt idx="1">
                  <c:v>10.329814000000001</c:v>
                </c:pt>
                <c:pt idx="2">
                  <c:v>10.329814000000001</c:v>
                </c:pt>
                <c:pt idx="3">
                  <c:v>10.329814000000001</c:v>
                </c:pt>
                <c:pt idx="4">
                  <c:v>10.329814000000001</c:v>
                </c:pt>
                <c:pt idx="5">
                  <c:v>10.329814000000001</c:v>
                </c:pt>
                <c:pt idx="6">
                  <c:v>10.329814000000001</c:v>
                </c:pt>
                <c:pt idx="7">
                  <c:v>10.329814000000001</c:v>
                </c:pt>
                <c:pt idx="8">
                  <c:v>10.329814000000001</c:v>
                </c:pt>
                <c:pt idx="9">
                  <c:v>10.023844</c:v>
                </c:pt>
              </c:numCache>
            </c:numRef>
          </c:val>
          <c:extLst>
            <c:ext xmlns:c16="http://schemas.microsoft.com/office/drawing/2014/chart" uri="{C3380CC4-5D6E-409C-BE32-E72D297353CC}">
              <c16:uniqueId val="{00000000-956F-CB49-95EA-42BE02E0CCEC}"/>
            </c:ext>
          </c:extLst>
        </c:ser>
        <c:dLbls>
          <c:showLegendKey val="0"/>
          <c:showVal val="0"/>
          <c:showCatName val="0"/>
          <c:showSerName val="0"/>
          <c:showPercent val="0"/>
          <c:showBubbleSize val="0"/>
        </c:dLbls>
        <c:gapWidth val="219"/>
        <c:overlap val="-27"/>
        <c:axId val="80785951"/>
        <c:axId val="80786335"/>
      </c:barChart>
      <c:dateAx>
        <c:axId val="80785951"/>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86335"/>
        <c:crosses val="autoZero"/>
        <c:auto val="1"/>
        <c:lblOffset val="100"/>
        <c:baseTimeUnit val="years"/>
      </c:dateAx>
      <c:valAx>
        <c:axId val="80786335"/>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7859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KeyMetrics!$A$35</c:f>
              <c:strCache>
                <c:ptCount val="1"/>
                <c:pt idx="0">
                  <c:v>EPS</c:v>
                </c:pt>
              </c:strCache>
            </c:strRef>
          </c:tx>
          <c:spPr>
            <a:solidFill>
              <a:schemeClr val="bg2">
                <a:lumMod val="25000"/>
              </a:schemeClr>
            </a:solidFill>
            <a:ln>
              <a:noFill/>
            </a:ln>
            <a:effectLst/>
          </c:spPr>
          <c:invertIfNegative val="0"/>
          <c:cat>
            <c:numRef>
              <c:f>KeyMetrics!$B$30:$K$30</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KeyMetrics!$B$35:$K$35</c:f>
              <c:numCache>
                <c:formatCode>0.00</c:formatCode>
                <c:ptCount val="10"/>
                <c:pt idx="0">
                  <c:v>28.519390571795388</c:v>
                </c:pt>
                <c:pt idx="1">
                  <c:v>36.186517976025513</c:v>
                </c:pt>
                <c:pt idx="2">
                  <c:v>30.455533855691883</c:v>
                </c:pt>
                <c:pt idx="3">
                  <c:v>26.50580155654303</c:v>
                </c:pt>
                <c:pt idx="4">
                  <c:v>39.14881720038715</c:v>
                </c:pt>
                <c:pt idx="5">
                  <c:v>49.681436664784087</c:v>
                </c:pt>
                <c:pt idx="6">
                  <c:v>51.29811630683767</c:v>
                </c:pt>
                <c:pt idx="7">
                  <c:v>52.440440844336599</c:v>
                </c:pt>
                <c:pt idx="8">
                  <c:v>54.938065680563071</c:v>
                </c:pt>
                <c:pt idx="9">
                  <c:v>73.564592585439271</c:v>
                </c:pt>
              </c:numCache>
            </c:numRef>
          </c:val>
          <c:extLst>
            <c:ext xmlns:c16="http://schemas.microsoft.com/office/drawing/2014/chart" uri="{C3380CC4-5D6E-409C-BE32-E72D297353CC}">
              <c16:uniqueId val="{00000000-20FB-1043-BACB-40BC43117411}"/>
            </c:ext>
          </c:extLst>
        </c:ser>
        <c:dLbls>
          <c:showLegendKey val="0"/>
          <c:showVal val="0"/>
          <c:showCatName val="0"/>
          <c:showSerName val="0"/>
          <c:showPercent val="0"/>
          <c:showBubbleSize val="0"/>
        </c:dLbls>
        <c:gapWidth val="219"/>
        <c:overlap val="-27"/>
        <c:axId val="1723880576"/>
        <c:axId val="1723882256"/>
      </c:barChart>
      <c:dateAx>
        <c:axId val="1723880576"/>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3882256"/>
        <c:crosses val="autoZero"/>
        <c:auto val="1"/>
        <c:lblOffset val="100"/>
        <c:baseTimeUnit val="years"/>
      </c:dateAx>
      <c:valAx>
        <c:axId val="172388225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3880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Quarters!$A$4</c:f>
              <c:strCache>
                <c:ptCount val="1"/>
                <c:pt idx="0">
                  <c:v>Sales</c:v>
                </c:pt>
              </c:strCache>
            </c:strRef>
          </c:tx>
          <c:spPr>
            <a:solidFill>
              <a:schemeClr val="accent1"/>
            </a:solidFill>
            <a:ln>
              <a:noFill/>
            </a:ln>
            <a:effectLst/>
          </c:spPr>
          <c:invertIfNegative val="0"/>
          <c:cat>
            <c:numRef>
              <c:f>Quarters!$B$3:$K$3</c:f>
              <c:numCache>
                <c:formatCode>[$-409]mmm\-yy;@</c:formatCode>
                <c:ptCount val="10"/>
                <c:pt idx="0">
                  <c:v>43008</c:v>
                </c:pt>
                <c:pt idx="1">
                  <c:v>43100</c:v>
                </c:pt>
                <c:pt idx="2">
                  <c:v>43190</c:v>
                </c:pt>
                <c:pt idx="3">
                  <c:v>43281</c:v>
                </c:pt>
                <c:pt idx="4">
                  <c:v>43373</c:v>
                </c:pt>
                <c:pt idx="5">
                  <c:v>43465</c:v>
                </c:pt>
                <c:pt idx="6">
                  <c:v>43555</c:v>
                </c:pt>
                <c:pt idx="7">
                  <c:v>43646</c:v>
                </c:pt>
                <c:pt idx="8">
                  <c:v>43738</c:v>
                </c:pt>
                <c:pt idx="9">
                  <c:v>43830</c:v>
                </c:pt>
              </c:numCache>
            </c:numRef>
          </c:cat>
          <c:val>
            <c:numRef>
              <c:f>Quarters!$B$4:$K$4</c:f>
              <c:numCache>
                <c:formatCode>_ * #,##0.00_ ;_ * \-#,##0.00_ ;_ * "-"??_ ;_ @_ </c:formatCode>
                <c:ptCount val="10"/>
                <c:pt idx="0">
                  <c:v>74.72</c:v>
                </c:pt>
                <c:pt idx="1">
                  <c:v>86.25</c:v>
                </c:pt>
                <c:pt idx="2">
                  <c:v>89.82</c:v>
                </c:pt>
                <c:pt idx="3">
                  <c:v>92.03</c:v>
                </c:pt>
                <c:pt idx="4">
                  <c:v>98.47</c:v>
                </c:pt>
                <c:pt idx="5">
                  <c:v>94.48</c:v>
                </c:pt>
                <c:pt idx="6">
                  <c:v>102.66</c:v>
                </c:pt>
                <c:pt idx="7">
                  <c:v>93.18</c:v>
                </c:pt>
                <c:pt idx="8">
                  <c:v>84.92</c:v>
                </c:pt>
                <c:pt idx="9">
                  <c:v>80.11</c:v>
                </c:pt>
              </c:numCache>
            </c:numRef>
          </c:val>
          <c:extLst>
            <c:ext xmlns:c16="http://schemas.microsoft.com/office/drawing/2014/chart" uri="{C3380CC4-5D6E-409C-BE32-E72D297353CC}">
              <c16:uniqueId val="{00000000-36CF-6A46-9DE8-29CE6FB3348F}"/>
            </c:ext>
          </c:extLst>
        </c:ser>
        <c:dLbls>
          <c:showLegendKey val="0"/>
          <c:showVal val="0"/>
          <c:showCatName val="0"/>
          <c:showSerName val="0"/>
          <c:showPercent val="0"/>
          <c:showBubbleSize val="0"/>
        </c:dLbls>
        <c:gapWidth val="219"/>
        <c:overlap val="-27"/>
        <c:axId val="29850271"/>
        <c:axId val="29970431"/>
      </c:barChart>
      <c:dateAx>
        <c:axId val="29850271"/>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70431"/>
        <c:crosses val="autoZero"/>
        <c:auto val="1"/>
        <c:lblOffset val="100"/>
        <c:baseTimeUnit val="months"/>
      </c:dateAx>
      <c:valAx>
        <c:axId val="29970431"/>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8502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 EBITDA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Quarters!$A$6</c:f>
              <c:strCache>
                <c:ptCount val="1"/>
                <c:pt idx="0">
                  <c:v>Operating Profit</c:v>
                </c:pt>
              </c:strCache>
            </c:strRef>
          </c:tx>
          <c:spPr>
            <a:solidFill>
              <a:schemeClr val="accent2">
                <a:lumMod val="75000"/>
              </a:schemeClr>
            </a:solidFill>
            <a:ln>
              <a:noFill/>
            </a:ln>
            <a:effectLst/>
          </c:spPr>
          <c:invertIfNegative val="0"/>
          <c:cat>
            <c:numRef>
              <c:f>Quarters!$B$3:$K$3</c:f>
              <c:numCache>
                <c:formatCode>[$-409]mmm\-yy;@</c:formatCode>
                <c:ptCount val="10"/>
                <c:pt idx="0">
                  <c:v>43008</c:v>
                </c:pt>
                <c:pt idx="1">
                  <c:v>43100</c:v>
                </c:pt>
                <c:pt idx="2">
                  <c:v>43190</c:v>
                </c:pt>
                <c:pt idx="3">
                  <c:v>43281</c:v>
                </c:pt>
                <c:pt idx="4">
                  <c:v>43373</c:v>
                </c:pt>
                <c:pt idx="5">
                  <c:v>43465</c:v>
                </c:pt>
                <c:pt idx="6">
                  <c:v>43555</c:v>
                </c:pt>
                <c:pt idx="7">
                  <c:v>43646</c:v>
                </c:pt>
                <c:pt idx="8">
                  <c:v>43738</c:v>
                </c:pt>
                <c:pt idx="9">
                  <c:v>43830</c:v>
                </c:pt>
              </c:numCache>
            </c:numRef>
          </c:cat>
          <c:val>
            <c:numRef>
              <c:f>Quarters!$B$6:$K$6</c:f>
              <c:numCache>
                <c:formatCode>_ * #,##0.00_ ;_ * \-#,##0.00_ ;_ * "-"??_ ;_ @_ </c:formatCode>
                <c:ptCount val="10"/>
                <c:pt idx="0">
                  <c:v>22.62</c:v>
                </c:pt>
                <c:pt idx="1">
                  <c:v>26.09</c:v>
                </c:pt>
                <c:pt idx="2">
                  <c:v>24.24</c:v>
                </c:pt>
                <c:pt idx="3">
                  <c:v>27.06</c:v>
                </c:pt>
                <c:pt idx="4">
                  <c:v>30.32</c:v>
                </c:pt>
                <c:pt idx="5">
                  <c:v>34.49</c:v>
                </c:pt>
                <c:pt idx="6">
                  <c:v>28.15</c:v>
                </c:pt>
                <c:pt idx="7">
                  <c:v>24.46</c:v>
                </c:pt>
                <c:pt idx="8">
                  <c:v>25.58</c:v>
                </c:pt>
                <c:pt idx="9">
                  <c:v>23</c:v>
                </c:pt>
              </c:numCache>
            </c:numRef>
          </c:val>
          <c:extLst>
            <c:ext xmlns:c16="http://schemas.microsoft.com/office/drawing/2014/chart" uri="{C3380CC4-5D6E-409C-BE32-E72D297353CC}">
              <c16:uniqueId val="{00000000-B709-7844-8E91-D58856667D24}"/>
            </c:ext>
          </c:extLst>
        </c:ser>
        <c:dLbls>
          <c:showLegendKey val="0"/>
          <c:showVal val="0"/>
          <c:showCatName val="0"/>
          <c:showSerName val="0"/>
          <c:showPercent val="0"/>
          <c:showBubbleSize val="0"/>
        </c:dLbls>
        <c:gapWidth val="219"/>
        <c:overlap val="-27"/>
        <c:axId val="77377567"/>
        <c:axId val="111628207"/>
      </c:barChart>
      <c:dateAx>
        <c:axId val="7737756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28207"/>
        <c:crosses val="autoZero"/>
        <c:auto val="1"/>
        <c:lblOffset val="100"/>
        <c:baseTimeUnit val="months"/>
      </c:dateAx>
      <c:valAx>
        <c:axId val="111628207"/>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775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 PBT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Quarters!$A$10</c:f>
              <c:strCache>
                <c:ptCount val="1"/>
                <c:pt idx="0">
                  <c:v>Profit before tax</c:v>
                </c:pt>
              </c:strCache>
            </c:strRef>
          </c:tx>
          <c:spPr>
            <a:solidFill>
              <a:srgbClr val="00B050"/>
            </a:solidFill>
            <a:ln>
              <a:noFill/>
            </a:ln>
            <a:effectLst/>
          </c:spPr>
          <c:invertIfNegative val="0"/>
          <c:cat>
            <c:numRef>
              <c:f>Quarters!$B$3:$K$3</c:f>
              <c:numCache>
                <c:formatCode>[$-409]mmm\-yy;@</c:formatCode>
                <c:ptCount val="10"/>
                <c:pt idx="0">
                  <c:v>43008</c:v>
                </c:pt>
                <c:pt idx="1">
                  <c:v>43100</c:v>
                </c:pt>
                <c:pt idx="2">
                  <c:v>43190</c:v>
                </c:pt>
                <c:pt idx="3">
                  <c:v>43281</c:v>
                </c:pt>
                <c:pt idx="4">
                  <c:v>43373</c:v>
                </c:pt>
                <c:pt idx="5">
                  <c:v>43465</c:v>
                </c:pt>
                <c:pt idx="6">
                  <c:v>43555</c:v>
                </c:pt>
                <c:pt idx="7">
                  <c:v>43646</c:v>
                </c:pt>
                <c:pt idx="8">
                  <c:v>43738</c:v>
                </c:pt>
                <c:pt idx="9">
                  <c:v>43830</c:v>
                </c:pt>
              </c:numCache>
            </c:numRef>
          </c:cat>
          <c:val>
            <c:numRef>
              <c:f>Quarters!$B$10:$K$10</c:f>
              <c:numCache>
                <c:formatCode>_ * #,##0.00_ ;_ * \-#,##0.00_ ;_ * "-"??_ ;_ @_ </c:formatCode>
                <c:ptCount val="10"/>
                <c:pt idx="0">
                  <c:v>17.93</c:v>
                </c:pt>
                <c:pt idx="1">
                  <c:v>21.34</c:v>
                </c:pt>
                <c:pt idx="2">
                  <c:v>19.86</c:v>
                </c:pt>
                <c:pt idx="3">
                  <c:v>22.64</c:v>
                </c:pt>
                <c:pt idx="4">
                  <c:v>24.74</c:v>
                </c:pt>
                <c:pt idx="5">
                  <c:v>29.27</c:v>
                </c:pt>
                <c:pt idx="6">
                  <c:v>25.93</c:v>
                </c:pt>
                <c:pt idx="7">
                  <c:v>19.14</c:v>
                </c:pt>
                <c:pt idx="8">
                  <c:v>20.69</c:v>
                </c:pt>
                <c:pt idx="9">
                  <c:v>17.489999999999998</c:v>
                </c:pt>
              </c:numCache>
            </c:numRef>
          </c:val>
          <c:extLst>
            <c:ext xmlns:c16="http://schemas.microsoft.com/office/drawing/2014/chart" uri="{C3380CC4-5D6E-409C-BE32-E72D297353CC}">
              <c16:uniqueId val="{00000000-C16D-2E47-A04B-90D1556264CD}"/>
            </c:ext>
          </c:extLst>
        </c:ser>
        <c:dLbls>
          <c:showLegendKey val="0"/>
          <c:showVal val="0"/>
          <c:showCatName val="0"/>
          <c:showSerName val="0"/>
          <c:showPercent val="0"/>
          <c:showBubbleSize val="0"/>
        </c:dLbls>
        <c:gapWidth val="219"/>
        <c:overlap val="-27"/>
        <c:axId val="82691823"/>
        <c:axId val="77016319"/>
      </c:barChart>
      <c:dateAx>
        <c:axId val="82691823"/>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16319"/>
        <c:crosses val="autoZero"/>
        <c:auto val="1"/>
        <c:lblOffset val="100"/>
        <c:baseTimeUnit val="months"/>
      </c:dateAx>
      <c:valAx>
        <c:axId val="77016319"/>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9182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Quarterly PAT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Quarters!$A$12</c:f>
              <c:strCache>
                <c:ptCount val="1"/>
                <c:pt idx="0">
                  <c:v>Net profit</c:v>
                </c:pt>
              </c:strCache>
            </c:strRef>
          </c:tx>
          <c:spPr>
            <a:solidFill>
              <a:schemeClr val="bg2">
                <a:lumMod val="25000"/>
              </a:schemeClr>
            </a:solidFill>
            <a:ln>
              <a:noFill/>
            </a:ln>
            <a:effectLst/>
          </c:spPr>
          <c:invertIfNegative val="0"/>
          <c:cat>
            <c:numRef>
              <c:f>Quarters!$B$3:$K$3</c:f>
              <c:numCache>
                <c:formatCode>[$-409]mmm\-yy;@</c:formatCode>
                <c:ptCount val="10"/>
                <c:pt idx="0">
                  <c:v>43008</c:v>
                </c:pt>
                <c:pt idx="1">
                  <c:v>43100</c:v>
                </c:pt>
                <c:pt idx="2">
                  <c:v>43190</c:v>
                </c:pt>
                <c:pt idx="3">
                  <c:v>43281</c:v>
                </c:pt>
                <c:pt idx="4">
                  <c:v>43373</c:v>
                </c:pt>
                <c:pt idx="5">
                  <c:v>43465</c:v>
                </c:pt>
                <c:pt idx="6">
                  <c:v>43555</c:v>
                </c:pt>
                <c:pt idx="7">
                  <c:v>43646</c:v>
                </c:pt>
                <c:pt idx="8">
                  <c:v>43738</c:v>
                </c:pt>
                <c:pt idx="9">
                  <c:v>43830</c:v>
                </c:pt>
              </c:numCache>
            </c:numRef>
          </c:cat>
          <c:val>
            <c:numRef>
              <c:f>Quarters!$B$12:$K$12</c:f>
              <c:numCache>
                <c:formatCode>_ * #,##0.00_ ;_ * \-#,##0.00_ ;_ * "-"??_ ;_ @_ </c:formatCode>
                <c:ptCount val="10"/>
                <c:pt idx="0">
                  <c:v>12.42</c:v>
                </c:pt>
                <c:pt idx="1">
                  <c:v>15.28</c:v>
                </c:pt>
                <c:pt idx="2">
                  <c:v>14.49</c:v>
                </c:pt>
                <c:pt idx="3">
                  <c:v>16.399999999999999</c:v>
                </c:pt>
                <c:pt idx="4">
                  <c:v>17.649999999999999</c:v>
                </c:pt>
                <c:pt idx="5">
                  <c:v>20.66</c:v>
                </c:pt>
                <c:pt idx="6">
                  <c:v>19.02</c:v>
                </c:pt>
                <c:pt idx="7">
                  <c:v>22.69</c:v>
                </c:pt>
                <c:pt idx="8">
                  <c:v>15.75</c:v>
                </c:pt>
                <c:pt idx="9">
                  <c:v>15.98</c:v>
                </c:pt>
              </c:numCache>
            </c:numRef>
          </c:val>
          <c:extLst>
            <c:ext xmlns:c16="http://schemas.microsoft.com/office/drawing/2014/chart" uri="{C3380CC4-5D6E-409C-BE32-E72D297353CC}">
              <c16:uniqueId val="{00000000-F8A1-4542-9721-4B189D72CF53}"/>
            </c:ext>
          </c:extLst>
        </c:ser>
        <c:dLbls>
          <c:showLegendKey val="0"/>
          <c:showVal val="0"/>
          <c:showCatName val="0"/>
          <c:showSerName val="0"/>
          <c:showPercent val="0"/>
          <c:showBubbleSize val="0"/>
        </c:dLbls>
        <c:gapWidth val="219"/>
        <c:overlap val="-27"/>
        <c:axId val="76789103"/>
        <c:axId val="109353727"/>
      </c:barChart>
      <c:dateAx>
        <c:axId val="76789103"/>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353727"/>
        <c:crosses val="autoZero"/>
        <c:auto val="1"/>
        <c:lblOffset val="100"/>
        <c:baseTimeUnit val="months"/>
      </c:dateAx>
      <c:valAx>
        <c:axId val="109353727"/>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89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Sheet'!$A$25</c:f>
              <c:strCache>
                <c:ptCount val="1"/>
                <c:pt idx="0">
                  <c:v> Other Income </c:v>
                </c:pt>
              </c:strCache>
            </c:strRef>
          </c:tx>
          <c:spPr>
            <a:solidFill>
              <a:schemeClr val="bg1">
                <a:lumMod val="65000"/>
              </a:schemeClr>
            </a:solidFill>
            <a:ln>
              <a:noFill/>
            </a:ln>
            <a:effectLst/>
          </c:spPr>
          <c:invertIfNegative val="0"/>
          <c:cat>
            <c:numRef>
              <c:f>'Data Sheet'!$B$16:$K$16</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'Data Sheet'!$B$25:$K$25</c:f>
              <c:numCache>
                <c:formatCode>General</c:formatCode>
                <c:ptCount val="10"/>
                <c:pt idx="0">
                  <c:v>3.28</c:v>
                </c:pt>
                <c:pt idx="1">
                  <c:v>3.11</c:v>
                </c:pt>
                <c:pt idx="2">
                  <c:v>3.84</c:v>
                </c:pt>
                <c:pt idx="3">
                  <c:v>4.88</c:v>
                </c:pt>
                <c:pt idx="4">
                  <c:v>2.86</c:v>
                </c:pt>
                <c:pt idx="5">
                  <c:v>11.7</c:v>
                </c:pt>
                <c:pt idx="6">
                  <c:v>5.38</c:v>
                </c:pt>
                <c:pt idx="7">
                  <c:v>5.6</c:v>
                </c:pt>
                <c:pt idx="8">
                  <c:v>5.21</c:v>
                </c:pt>
                <c:pt idx="9">
                  <c:v>7.98</c:v>
                </c:pt>
              </c:numCache>
            </c:numRef>
          </c:val>
          <c:extLst>
            <c:ext xmlns:c16="http://schemas.microsoft.com/office/drawing/2014/chart" uri="{C3380CC4-5D6E-409C-BE32-E72D297353CC}">
              <c16:uniqueId val="{00000000-69B1-1745-80F5-8F0FAB755BAC}"/>
            </c:ext>
          </c:extLst>
        </c:ser>
        <c:dLbls>
          <c:showLegendKey val="0"/>
          <c:showVal val="0"/>
          <c:showCatName val="0"/>
          <c:showSerName val="0"/>
          <c:showPercent val="0"/>
          <c:showBubbleSize val="0"/>
        </c:dLbls>
        <c:gapWidth val="219"/>
        <c:overlap val="-27"/>
        <c:axId val="29231087"/>
        <c:axId val="2147050800"/>
      </c:barChart>
      <c:dateAx>
        <c:axId val="2923108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7050800"/>
        <c:crosses val="autoZero"/>
        <c:auto val="1"/>
        <c:lblOffset val="100"/>
        <c:baseTimeUnit val="years"/>
      </c:dateAx>
      <c:valAx>
        <c:axId val="21470508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2310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Quarters!$A$7</c:f>
              <c:strCache>
                <c:ptCount val="1"/>
                <c:pt idx="0">
                  <c:v>Other Income</c:v>
                </c:pt>
              </c:strCache>
            </c:strRef>
          </c:tx>
          <c:spPr>
            <a:solidFill>
              <a:schemeClr val="accent1"/>
            </a:solidFill>
            <a:ln>
              <a:noFill/>
            </a:ln>
            <a:effectLst/>
          </c:spPr>
          <c:invertIfNegative val="0"/>
          <c:cat>
            <c:numRef>
              <c:f>Quarters!$B$3:$K$3</c:f>
              <c:numCache>
                <c:formatCode>[$-409]mmm\-yy;@</c:formatCode>
                <c:ptCount val="10"/>
                <c:pt idx="0">
                  <c:v>43008</c:v>
                </c:pt>
                <c:pt idx="1">
                  <c:v>43100</c:v>
                </c:pt>
                <c:pt idx="2">
                  <c:v>43190</c:v>
                </c:pt>
                <c:pt idx="3">
                  <c:v>43281</c:v>
                </c:pt>
                <c:pt idx="4">
                  <c:v>43373</c:v>
                </c:pt>
                <c:pt idx="5">
                  <c:v>43465</c:v>
                </c:pt>
                <c:pt idx="6">
                  <c:v>43555</c:v>
                </c:pt>
                <c:pt idx="7">
                  <c:v>43646</c:v>
                </c:pt>
                <c:pt idx="8">
                  <c:v>43738</c:v>
                </c:pt>
                <c:pt idx="9">
                  <c:v>43830</c:v>
                </c:pt>
              </c:numCache>
            </c:numRef>
          </c:cat>
          <c:val>
            <c:numRef>
              <c:f>Quarters!$B$7:$K$7</c:f>
              <c:numCache>
                <c:formatCode>_ * #,##0.00_ ;_ * \-#,##0.00_ ;_ * "-"??_ ;_ @_ </c:formatCode>
                <c:ptCount val="10"/>
                <c:pt idx="0">
                  <c:v>1.38</c:v>
                </c:pt>
                <c:pt idx="1">
                  <c:v>1.37</c:v>
                </c:pt>
                <c:pt idx="2">
                  <c:v>1.55</c:v>
                </c:pt>
                <c:pt idx="3">
                  <c:v>1.53</c:v>
                </c:pt>
                <c:pt idx="4">
                  <c:v>1.23</c:v>
                </c:pt>
                <c:pt idx="5">
                  <c:v>1.64</c:v>
                </c:pt>
                <c:pt idx="6">
                  <c:v>5</c:v>
                </c:pt>
                <c:pt idx="7">
                  <c:v>2.1</c:v>
                </c:pt>
                <c:pt idx="8">
                  <c:v>2.5499999999999998</c:v>
                </c:pt>
                <c:pt idx="9">
                  <c:v>1.84</c:v>
                </c:pt>
              </c:numCache>
            </c:numRef>
          </c:val>
          <c:extLst>
            <c:ext xmlns:c16="http://schemas.microsoft.com/office/drawing/2014/chart" uri="{C3380CC4-5D6E-409C-BE32-E72D297353CC}">
              <c16:uniqueId val="{00000000-B5CA-F14D-BD06-ECA3DBBE068F}"/>
            </c:ext>
          </c:extLst>
        </c:ser>
        <c:dLbls>
          <c:showLegendKey val="0"/>
          <c:showVal val="0"/>
          <c:showCatName val="0"/>
          <c:showSerName val="0"/>
          <c:showPercent val="0"/>
          <c:showBubbleSize val="0"/>
        </c:dLbls>
        <c:gapWidth val="219"/>
        <c:overlap val="-27"/>
        <c:axId val="81052191"/>
        <c:axId val="33022191"/>
      </c:barChart>
      <c:dateAx>
        <c:axId val="81052191"/>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22191"/>
        <c:crosses val="autoZero"/>
        <c:auto val="1"/>
        <c:lblOffset val="100"/>
        <c:baseTimeUnit val="months"/>
      </c:dateAx>
      <c:valAx>
        <c:axId val="33022191"/>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521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GROWTH</a:t>
            </a:r>
            <a:r>
              <a:rPr lang="en-US" baseline="0"/>
              <a:t> IN LAST 10 YEARS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Customization!$B$12</c:f>
              <c:strCache>
                <c:ptCount val="1"/>
                <c:pt idx="0">
                  <c:v>SALES</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Customization!$A$13:$A$16</c:f>
              <c:strCache>
                <c:ptCount val="4"/>
                <c:pt idx="0">
                  <c:v>10 YR CAGR</c:v>
                </c:pt>
                <c:pt idx="1">
                  <c:v>5 YR CAGR</c:v>
                </c:pt>
                <c:pt idx="2">
                  <c:v>3 YR CAGR</c:v>
                </c:pt>
                <c:pt idx="3">
                  <c:v>1 YR GROWTH</c:v>
                </c:pt>
              </c:strCache>
            </c:strRef>
          </c:cat>
          <c:val>
            <c:numRef>
              <c:f>Customization!$B$13:$B$16</c:f>
              <c:numCache>
                <c:formatCode>0.00%</c:formatCode>
                <c:ptCount val="4"/>
                <c:pt idx="0">
                  <c:v>0.13186673344330524</c:v>
                </c:pt>
                <c:pt idx="1">
                  <c:v>7.9186532433652923E-2</c:v>
                </c:pt>
                <c:pt idx="2">
                  <c:v>0.1352354930852151</c:v>
                </c:pt>
                <c:pt idx="3">
                  <c:v>0.18365141127787052</c:v>
                </c:pt>
              </c:numCache>
            </c:numRef>
          </c:val>
          <c:extLst>
            <c:ext xmlns:c16="http://schemas.microsoft.com/office/drawing/2014/chart" uri="{C3380CC4-5D6E-409C-BE32-E72D297353CC}">
              <c16:uniqueId val="{00000000-3D15-374D-906B-25208092EDAC}"/>
            </c:ext>
          </c:extLst>
        </c:ser>
        <c:ser>
          <c:idx val="1"/>
          <c:order val="1"/>
          <c:tx>
            <c:strRef>
              <c:f>Customization!$C$12</c:f>
              <c:strCache>
                <c:ptCount val="1"/>
                <c:pt idx="0">
                  <c:v>GROSS PROFIT</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Customization!$A$13:$A$16</c:f>
              <c:strCache>
                <c:ptCount val="4"/>
                <c:pt idx="0">
                  <c:v>10 YR CAGR</c:v>
                </c:pt>
                <c:pt idx="1">
                  <c:v>5 YR CAGR</c:v>
                </c:pt>
                <c:pt idx="2">
                  <c:v>3 YR CAGR</c:v>
                </c:pt>
                <c:pt idx="3">
                  <c:v>1 YR GROWTH</c:v>
                </c:pt>
              </c:strCache>
            </c:strRef>
          </c:cat>
          <c:val>
            <c:numRef>
              <c:f>Customization!$C$13:$C$16</c:f>
              <c:numCache>
                <c:formatCode>0.00%</c:formatCode>
                <c:ptCount val="4"/>
                <c:pt idx="0">
                  <c:v>0.12416109360292538</c:v>
                </c:pt>
                <c:pt idx="1">
                  <c:v>8.8695654474152397E-2</c:v>
                </c:pt>
                <c:pt idx="2">
                  <c:v>8.1574833790423185E-2</c:v>
                </c:pt>
                <c:pt idx="3">
                  <c:v>0.13721045255955824</c:v>
                </c:pt>
              </c:numCache>
            </c:numRef>
          </c:val>
          <c:extLst>
            <c:ext xmlns:c16="http://schemas.microsoft.com/office/drawing/2014/chart" uri="{C3380CC4-5D6E-409C-BE32-E72D297353CC}">
              <c16:uniqueId val="{00000001-3D15-374D-906B-25208092EDAC}"/>
            </c:ext>
          </c:extLst>
        </c:ser>
        <c:ser>
          <c:idx val="2"/>
          <c:order val="2"/>
          <c:tx>
            <c:strRef>
              <c:f>Customization!$D$12</c:f>
              <c:strCache>
                <c:ptCount val="1"/>
                <c:pt idx="0">
                  <c:v>EBIT</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Customization!$A$13:$A$16</c:f>
              <c:strCache>
                <c:ptCount val="4"/>
                <c:pt idx="0">
                  <c:v>10 YR CAGR</c:v>
                </c:pt>
                <c:pt idx="1">
                  <c:v>5 YR CAGR</c:v>
                </c:pt>
                <c:pt idx="2">
                  <c:v>3 YR CAGR</c:v>
                </c:pt>
                <c:pt idx="3">
                  <c:v>1 YR GROWTH</c:v>
                </c:pt>
              </c:strCache>
            </c:strRef>
          </c:cat>
          <c:val>
            <c:numRef>
              <c:f>Customization!$D$13:$D$16</c:f>
              <c:numCache>
                <c:formatCode>0.00%</c:formatCode>
                <c:ptCount val="4"/>
                <c:pt idx="0">
                  <c:v>0.13072935571091926</c:v>
                </c:pt>
                <c:pt idx="1">
                  <c:v>0.11752702012792637</c:v>
                </c:pt>
                <c:pt idx="2">
                  <c:v>0.17901080332240138</c:v>
                </c:pt>
                <c:pt idx="3">
                  <c:v>0.26691815272062197</c:v>
                </c:pt>
              </c:numCache>
            </c:numRef>
          </c:val>
          <c:extLst>
            <c:ext xmlns:c16="http://schemas.microsoft.com/office/drawing/2014/chart" uri="{C3380CC4-5D6E-409C-BE32-E72D297353CC}">
              <c16:uniqueId val="{00000002-3D15-374D-906B-25208092EDAC}"/>
            </c:ext>
          </c:extLst>
        </c:ser>
        <c:ser>
          <c:idx val="3"/>
          <c:order val="3"/>
          <c:tx>
            <c:strRef>
              <c:f>Customization!$E$12</c:f>
              <c:strCache>
                <c:ptCount val="1"/>
                <c:pt idx="0">
                  <c:v>PAT</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Customization!$A$13:$A$16</c:f>
              <c:strCache>
                <c:ptCount val="4"/>
                <c:pt idx="0">
                  <c:v>10 YR CAGR</c:v>
                </c:pt>
                <c:pt idx="1">
                  <c:v>5 YR CAGR</c:v>
                </c:pt>
                <c:pt idx="2">
                  <c:v>3 YR CAGR</c:v>
                </c:pt>
                <c:pt idx="3">
                  <c:v>1 YR GROWTH</c:v>
                </c:pt>
              </c:strCache>
            </c:strRef>
          </c:cat>
          <c:val>
            <c:numRef>
              <c:f>Customization!$E$13:$E$16</c:f>
              <c:numCache>
                <c:formatCode>0.00%</c:formatCode>
                <c:ptCount val="4"/>
                <c:pt idx="0">
                  <c:v>0.10732342632033687</c:v>
                </c:pt>
                <c:pt idx="1">
                  <c:v>9.4848736194601546E-2</c:v>
                </c:pt>
                <c:pt idx="2">
                  <c:v>0.16673479235327937</c:v>
                </c:pt>
                <c:pt idx="3">
                  <c:v>0.29938325991189418</c:v>
                </c:pt>
              </c:numCache>
            </c:numRef>
          </c:val>
          <c:extLst>
            <c:ext xmlns:c16="http://schemas.microsoft.com/office/drawing/2014/chart" uri="{C3380CC4-5D6E-409C-BE32-E72D297353CC}">
              <c16:uniqueId val="{00000003-3D15-374D-906B-25208092EDAC}"/>
            </c:ext>
          </c:extLst>
        </c:ser>
        <c:ser>
          <c:idx val="4"/>
          <c:order val="4"/>
          <c:tx>
            <c:strRef>
              <c:f>Customization!$F$12</c:f>
              <c:strCache>
                <c:ptCount val="1"/>
                <c:pt idx="0">
                  <c:v>DIVIDEND</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Customization!$A$13:$A$16</c:f>
              <c:strCache>
                <c:ptCount val="4"/>
                <c:pt idx="0">
                  <c:v>10 YR CAGR</c:v>
                </c:pt>
                <c:pt idx="1">
                  <c:v>5 YR CAGR</c:v>
                </c:pt>
                <c:pt idx="2">
                  <c:v>3 YR CAGR</c:v>
                </c:pt>
                <c:pt idx="3">
                  <c:v>1 YR GROWTH</c:v>
                </c:pt>
              </c:strCache>
            </c:strRef>
          </c:cat>
          <c:val>
            <c:numRef>
              <c:f>Customization!$F$13:$F$16</c:f>
              <c:numCache>
                <c:formatCode>0.00%</c:formatCode>
                <c:ptCount val="4"/>
                <c:pt idx="0">
                  <c:v>0.12623056650701936</c:v>
                </c:pt>
                <c:pt idx="1">
                  <c:v>8.2080885078397836E-2</c:v>
                </c:pt>
                <c:pt idx="2">
                  <c:v>7.9299985086608515E-2</c:v>
                </c:pt>
                <c:pt idx="3">
                  <c:v>0.16488845780795336</c:v>
                </c:pt>
              </c:numCache>
            </c:numRef>
          </c:val>
          <c:extLst>
            <c:ext xmlns:c16="http://schemas.microsoft.com/office/drawing/2014/chart" uri="{C3380CC4-5D6E-409C-BE32-E72D297353CC}">
              <c16:uniqueId val="{00000004-3D15-374D-906B-25208092EDAC}"/>
            </c:ext>
          </c:extLst>
        </c:ser>
        <c:ser>
          <c:idx val="5"/>
          <c:order val="5"/>
          <c:tx>
            <c:strRef>
              <c:f>Customization!$G$12</c:f>
              <c:strCache>
                <c:ptCount val="1"/>
                <c:pt idx="0">
                  <c:v>EPA**</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Customization!$A$13:$A$16</c:f>
              <c:strCache>
                <c:ptCount val="4"/>
                <c:pt idx="0">
                  <c:v>10 YR CAGR</c:v>
                </c:pt>
                <c:pt idx="1">
                  <c:v>5 YR CAGR</c:v>
                </c:pt>
                <c:pt idx="2">
                  <c:v>3 YR CAGR</c:v>
                </c:pt>
                <c:pt idx="3">
                  <c:v>1 YR GROWTH</c:v>
                </c:pt>
              </c:strCache>
            </c:strRef>
          </c:cat>
          <c:val>
            <c:numRef>
              <c:f>Customization!$G$13:$G$16</c:f>
              <c:numCache>
                <c:formatCode>0.00%</c:formatCode>
                <c:ptCount val="4"/>
                <c:pt idx="0">
                  <c:v>4.8699676359398758E-2</c:v>
                </c:pt>
                <c:pt idx="1">
                  <c:v>5.3574568402952938E-2</c:v>
                </c:pt>
                <c:pt idx="2">
                  <c:v>0.61636336972583994</c:v>
                </c:pt>
                <c:pt idx="3">
                  <c:v>1.5835549517163594</c:v>
                </c:pt>
              </c:numCache>
            </c:numRef>
          </c:val>
          <c:extLst>
            <c:ext xmlns:c16="http://schemas.microsoft.com/office/drawing/2014/chart" uri="{C3380CC4-5D6E-409C-BE32-E72D297353CC}">
              <c16:uniqueId val="{00000005-3D15-374D-906B-25208092EDAC}"/>
            </c:ext>
          </c:extLst>
        </c:ser>
        <c:ser>
          <c:idx val="6"/>
          <c:order val="6"/>
          <c:tx>
            <c:strRef>
              <c:f>Customization!$H$12</c:f>
              <c:strCache>
                <c:ptCount val="1"/>
                <c:pt idx="0">
                  <c:v>MKTCAP</c:v>
                </c:pt>
              </c:strCache>
            </c:strRef>
          </c:tx>
          <c:spPr>
            <a:solidFill>
              <a:schemeClr val="accent1">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Customization!$A$13:$A$16</c:f>
              <c:strCache>
                <c:ptCount val="4"/>
                <c:pt idx="0">
                  <c:v>10 YR CAGR</c:v>
                </c:pt>
                <c:pt idx="1">
                  <c:v>5 YR CAGR</c:v>
                </c:pt>
                <c:pt idx="2">
                  <c:v>3 YR CAGR</c:v>
                </c:pt>
                <c:pt idx="3">
                  <c:v>1 YR GROWTH</c:v>
                </c:pt>
              </c:strCache>
            </c:strRef>
          </c:cat>
          <c:val>
            <c:numRef>
              <c:f>Customization!$H$13:$H$16</c:f>
              <c:numCache>
                <c:formatCode>0.00%</c:formatCode>
                <c:ptCount val="4"/>
                <c:pt idx="0">
                  <c:v>0.32582098091205447</c:v>
                </c:pt>
                <c:pt idx="1">
                  <c:v>0.26114240578906922</c:v>
                </c:pt>
                <c:pt idx="2">
                  <c:v>0.11600424373206208</c:v>
                </c:pt>
                <c:pt idx="3">
                  <c:v>0.12884377321119081</c:v>
                </c:pt>
              </c:numCache>
            </c:numRef>
          </c:val>
          <c:extLst>
            <c:ext xmlns:c16="http://schemas.microsoft.com/office/drawing/2014/chart" uri="{C3380CC4-5D6E-409C-BE32-E72D297353CC}">
              <c16:uniqueId val="{00000006-3D15-374D-906B-25208092EDAC}"/>
            </c:ext>
          </c:extLst>
        </c:ser>
        <c:dLbls>
          <c:dLblPos val="outEnd"/>
          <c:showLegendKey val="0"/>
          <c:showVal val="1"/>
          <c:showCatName val="0"/>
          <c:showSerName val="0"/>
          <c:showPercent val="0"/>
          <c:showBubbleSize val="0"/>
        </c:dLbls>
        <c:gapWidth val="444"/>
        <c:overlap val="-90"/>
        <c:axId val="77717871"/>
        <c:axId val="77719551"/>
      </c:barChart>
      <c:catAx>
        <c:axId val="77717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77719551"/>
        <c:crosses val="autoZero"/>
        <c:auto val="1"/>
        <c:lblAlgn val="ctr"/>
        <c:lblOffset val="100"/>
        <c:noMultiLvlLbl val="0"/>
      </c:catAx>
      <c:valAx>
        <c:axId val="77719551"/>
        <c:scaling>
          <c:orientation val="minMax"/>
        </c:scaling>
        <c:delete val="1"/>
        <c:axPos val="l"/>
        <c:numFmt formatCode="0.00%" sourceLinked="1"/>
        <c:majorTickMark val="none"/>
        <c:minorTickMark val="none"/>
        <c:tickLblPos val="nextTo"/>
        <c:crossAx val="7771787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Leverage (Debt/Equity)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Customization!$A$23</c:f>
              <c:strCache>
                <c:ptCount val="1"/>
                <c:pt idx="0">
                  <c:v>Debt/Equity</c:v>
                </c:pt>
              </c:strCache>
            </c:strRef>
          </c:tx>
          <c:spPr>
            <a:solidFill>
              <a:schemeClr val="accent2">
                <a:lumMod val="60000"/>
                <a:lumOff val="40000"/>
              </a:schemeClr>
            </a:solidFill>
            <a:ln>
              <a:noFill/>
            </a:ln>
            <a:effectLst/>
          </c:spPr>
          <c:invertIfNegative val="0"/>
          <c:cat>
            <c:numRef>
              <c:f>Customization!$B$18:$K$18</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Customization!$B$23:$K$23</c:f>
              <c:numCache>
                <c:formatCode>0.00</c:formatCode>
                <c:ptCount val="10"/>
                <c:pt idx="0">
                  <c:v>0.20090536753610691</c:v>
                </c:pt>
                <c:pt idx="1">
                  <c:v>0.43127394636015326</c:v>
                </c:pt>
                <c:pt idx="2">
                  <c:v>0.77563889810819775</c:v>
                </c:pt>
                <c:pt idx="3">
                  <c:v>0.68919390485052923</c:v>
                </c:pt>
                <c:pt idx="4">
                  <c:v>0.50956538801138029</c:v>
                </c:pt>
                <c:pt idx="5">
                  <c:v>0.37124252600540586</c:v>
                </c:pt>
                <c:pt idx="6">
                  <c:v>0.25334914875802406</c:v>
                </c:pt>
                <c:pt idx="7">
                  <c:v>0.29928838077461506</c:v>
                </c:pt>
                <c:pt idx="8">
                  <c:v>0.30251927490265851</c:v>
                </c:pt>
                <c:pt idx="9">
                  <c:v>0.30253421676258646</c:v>
                </c:pt>
              </c:numCache>
            </c:numRef>
          </c:val>
          <c:extLst>
            <c:ext xmlns:c16="http://schemas.microsoft.com/office/drawing/2014/chart" uri="{C3380CC4-5D6E-409C-BE32-E72D297353CC}">
              <c16:uniqueId val="{00000000-FF00-2E45-9EB0-30B511334736}"/>
            </c:ext>
          </c:extLst>
        </c:ser>
        <c:dLbls>
          <c:showLegendKey val="0"/>
          <c:showVal val="0"/>
          <c:showCatName val="0"/>
          <c:showSerName val="0"/>
          <c:showPercent val="0"/>
          <c:showBubbleSize val="0"/>
        </c:dLbls>
        <c:gapWidth val="219"/>
        <c:overlap val="-27"/>
        <c:axId val="79073903"/>
        <c:axId val="82255791"/>
      </c:barChart>
      <c:dateAx>
        <c:axId val="79073903"/>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255791"/>
        <c:crosses val="autoZero"/>
        <c:auto val="1"/>
        <c:lblOffset val="100"/>
        <c:baseTimeUnit val="years"/>
      </c:dateAx>
      <c:valAx>
        <c:axId val="82255791"/>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739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Customization!$A$24</c:f>
              <c:strCache>
                <c:ptCount val="1"/>
                <c:pt idx="0">
                  <c:v>Interest Coverage</c:v>
                </c:pt>
              </c:strCache>
            </c:strRef>
          </c:tx>
          <c:spPr>
            <a:solidFill>
              <a:srgbClr val="00B0F0"/>
            </a:solidFill>
            <a:ln>
              <a:noFill/>
            </a:ln>
            <a:effectLst/>
          </c:spPr>
          <c:invertIfNegative val="0"/>
          <c:cat>
            <c:numRef>
              <c:f>Customization!$B$18:$K$18</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Customization!$B$24:$K$24</c:f>
              <c:numCache>
                <c:formatCode>0.00</c:formatCode>
                <c:ptCount val="10"/>
                <c:pt idx="0">
                  <c:v>15.15702479338843</c:v>
                </c:pt>
                <c:pt idx="1">
                  <c:v>17.211895910780669</c:v>
                </c:pt>
                <c:pt idx="2">
                  <c:v>6.3549939831528279</c:v>
                </c:pt>
                <c:pt idx="3">
                  <c:v>4.1330203442879503</c:v>
                </c:pt>
                <c:pt idx="4">
                  <c:v>5.539366515837103</c:v>
                </c:pt>
                <c:pt idx="5">
                  <c:v>8.7728395061728399</c:v>
                </c:pt>
                <c:pt idx="6">
                  <c:v>11.198425196850394</c:v>
                </c:pt>
                <c:pt idx="7">
                  <c:v>15.914171656686628</c:v>
                </c:pt>
                <c:pt idx="8">
                  <c:v>11.143949044585986</c:v>
                </c:pt>
                <c:pt idx="9">
                  <c:v>13.433939393939394</c:v>
                </c:pt>
              </c:numCache>
            </c:numRef>
          </c:val>
          <c:extLst>
            <c:ext xmlns:c16="http://schemas.microsoft.com/office/drawing/2014/chart" uri="{C3380CC4-5D6E-409C-BE32-E72D297353CC}">
              <c16:uniqueId val="{00000000-2614-E141-B44D-13B67E61F2A7}"/>
            </c:ext>
          </c:extLst>
        </c:ser>
        <c:dLbls>
          <c:showLegendKey val="0"/>
          <c:showVal val="0"/>
          <c:showCatName val="0"/>
          <c:showSerName val="0"/>
          <c:showPercent val="0"/>
          <c:showBubbleSize val="0"/>
        </c:dLbls>
        <c:gapWidth val="219"/>
        <c:overlap val="-27"/>
        <c:axId val="27393727"/>
        <c:axId val="111158751"/>
      </c:barChart>
      <c:dateAx>
        <c:axId val="2739372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158751"/>
        <c:crosses val="autoZero"/>
        <c:auto val="1"/>
        <c:lblOffset val="100"/>
        <c:baseTimeUnit val="years"/>
      </c:dateAx>
      <c:valAx>
        <c:axId val="111158751"/>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937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Customization!$A$27</c:f>
              <c:strCache>
                <c:ptCount val="1"/>
                <c:pt idx="0">
                  <c:v>Inventory Days</c:v>
                </c:pt>
              </c:strCache>
            </c:strRef>
          </c:tx>
          <c:spPr>
            <a:solidFill>
              <a:schemeClr val="accent1">
                <a:lumMod val="75000"/>
              </a:schemeClr>
            </a:solidFill>
            <a:ln>
              <a:noFill/>
            </a:ln>
            <a:effectLst/>
          </c:spPr>
          <c:invertIfNegative val="0"/>
          <c:cat>
            <c:numRef>
              <c:f>Customization!$B$18:$K$18</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Customization!$B$27:$K$27</c:f>
              <c:numCache>
                <c:formatCode>0</c:formatCode>
                <c:ptCount val="10"/>
                <c:pt idx="0">
                  <c:v>38.877973112719758</c:v>
                </c:pt>
                <c:pt idx="1">
                  <c:v>43.429972957675623</c:v>
                </c:pt>
                <c:pt idx="2">
                  <c:v>46.701634377008538</c:v>
                </c:pt>
                <c:pt idx="3">
                  <c:v>59.530051009092929</c:v>
                </c:pt>
                <c:pt idx="4">
                  <c:v>52.888039740160494</c:v>
                </c:pt>
                <c:pt idx="5">
                  <c:v>48.127609880387858</c:v>
                </c:pt>
                <c:pt idx="6">
                  <c:v>52.077445301258166</c:v>
                </c:pt>
                <c:pt idx="7">
                  <c:v>39.505564708651349</c:v>
                </c:pt>
                <c:pt idx="8">
                  <c:v>43.474924340683096</c:v>
                </c:pt>
                <c:pt idx="9">
                  <c:v>44.100159148425476</c:v>
                </c:pt>
              </c:numCache>
            </c:numRef>
          </c:val>
          <c:extLst>
            <c:ext xmlns:c16="http://schemas.microsoft.com/office/drawing/2014/chart" uri="{C3380CC4-5D6E-409C-BE32-E72D297353CC}">
              <c16:uniqueId val="{00000000-E24A-D146-8F30-F5E976C44CCD}"/>
            </c:ext>
          </c:extLst>
        </c:ser>
        <c:dLbls>
          <c:showLegendKey val="0"/>
          <c:showVal val="0"/>
          <c:showCatName val="0"/>
          <c:showSerName val="0"/>
          <c:showPercent val="0"/>
          <c:showBubbleSize val="0"/>
        </c:dLbls>
        <c:gapWidth val="219"/>
        <c:overlap val="-27"/>
        <c:axId val="110438911"/>
        <c:axId val="76395375"/>
      </c:barChart>
      <c:dateAx>
        <c:axId val="110438911"/>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395375"/>
        <c:crosses val="autoZero"/>
        <c:auto val="1"/>
        <c:lblOffset val="100"/>
        <c:baseTimeUnit val="years"/>
      </c:dateAx>
      <c:valAx>
        <c:axId val="7639537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4389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Customization!$A$48</c:f>
              <c:strCache>
                <c:ptCount val="1"/>
                <c:pt idx="0">
                  <c:v>Net Margin*Asset Turn*Fin Leverage= RoE</c:v>
                </c:pt>
              </c:strCache>
            </c:strRef>
          </c:tx>
          <c:spPr>
            <a:solidFill>
              <a:schemeClr val="accent3">
                <a:lumMod val="75000"/>
              </a:schemeClr>
            </a:solidFill>
            <a:ln>
              <a:noFill/>
            </a:ln>
            <a:effectLst/>
          </c:spPr>
          <c:invertIfNegative val="0"/>
          <c:cat>
            <c:numRef>
              <c:f>Customization!$B$18:$K$18</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Customization!$B$48:$K$48</c:f>
              <c:numCache>
                <c:formatCode>0.00%</c:formatCode>
                <c:ptCount val="10"/>
                <c:pt idx="0">
                  <c:v>0.31752532873464112</c:v>
                </c:pt>
                <c:pt idx="1">
                  <c:v>0.29837164750957856</c:v>
                </c:pt>
                <c:pt idx="2">
                  <c:v>0.20882841022236973</c:v>
                </c:pt>
                <c:pt idx="3">
                  <c:v>0.15924159590554846</c:v>
                </c:pt>
                <c:pt idx="4">
                  <c:v>0.19837143137447263</c:v>
                </c:pt>
                <c:pt idx="5">
                  <c:v>0.21017282332705381</c:v>
                </c:pt>
                <c:pt idx="6">
                  <c:v>0.18486603404967905</c:v>
                </c:pt>
                <c:pt idx="7">
                  <c:v>0.15798530097993466</c:v>
                </c:pt>
                <c:pt idx="8">
                  <c:v>0.1463345452670122</c:v>
                </c:pt>
                <c:pt idx="9">
                  <c:v>0.1783140687720656</c:v>
                </c:pt>
              </c:numCache>
            </c:numRef>
          </c:val>
          <c:extLst>
            <c:ext xmlns:c16="http://schemas.microsoft.com/office/drawing/2014/chart" uri="{C3380CC4-5D6E-409C-BE32-E72D297353CC}">
              <c16:uniqueId val="{00000000-EC84-9E4E-8284-A338B89DA7B6}"/>
            </c:ext>
          </c:extLst>
        </c:ser>
        <c:dLbls>
          <c:showLegendKey val="0"/>
          <c:showVal val="0"/>
          <c:showCatName val="0"/>
          <c:showSerName val="0"/>
          <c:showPercent val="0"/>
          <c:showBubbleSize val="0"/>
        </c:dLbls>
        <c:gapWidth val="219"/>
        <c:overlap val="-27"/>
        <c:axId val="109067567"/>
        <c:axId val="109120543"/>
      </c:barChart>
      <c:dateAx>
        <c:axId val="10906756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120543"/>
        <c:crosses val="autoZero"/>
        <c:auto val="1"/>
        <c:lblOffset val="100"/>
        <c:baseTimeUnit val="years"/>
      </c:dateAx>
      <c:valAx>
        <c:axId val="109120543"/>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0675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KeyMetrics!$A$27</c:f>
              <c:strCache>
                <c:ptCount val="1"/>
                <c:pt idx="0">
                  <c:v>RoIC</c:v>
                </c:pt>
              </c:strCache>
            </c:strRef>
          </c:tx>
          <c:spPr>
            <a:solidFill>
              <a:schemeClr val="bg2">
                <a:lumMod val="25000"/>
              </a:schemeClr>
            </a:solidFill>
            <a:ln>
              <a:noFill/>
            </a:ln>
            <a:effectLst/>
          </c:spPr>
          <c:invertIfNegative val="0"/>
          <c:cat>
            <c:numRef>
              <c:f>KeyMetrics!$B$17:$K$17</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KeyMetrics!$B$27:$K$27</c:f>
              <c:numCache>
                <c:formatCode>0%</c:formatCode>
                <c:ptCount val="10"/>
                <c:pt idx="0">
                  <c:v>0.28438324505709095</c:v>
                </c:pt>
                <c:pt idx="1">
                  <c:v>0.22834127897419032</c:v>
                </c:pt>
                <c:pt idx="2">
                  <c:v>0.14785509440275812</c:v>
                </c:pt>
                <c:pt idx="3">
                  <c:v>0.13352683901464391</c:v>
                </c:pt>
                <c:pt idx="4">
                  <c:v>0.17511329291888206</c:v>
                </c:pt>
                <c:pt idx="5">
                  <c:v>0.19733741402173438</c:v>
                </c:pt>
                <c:pt idx="6">
                  <c:v>0.17678585013377304</c:v>
                </c:pt>
                <c:pt idx="7">
                  <c:v>0.14727121052213571</c:v>
                </c:pt>
                <c:pt idx="8">
                  <c:v>0.14521678040916877</c:v>
                </c:pt>
                <c:pt idx="9">
                  <c:v>0.18491909297183995</c:v>
                </c:pt>
              </c:numCache>
            </c:numRef>
          </c:val>
          <c:extLst>
            <c:ext xmlns:c16="http://schemas.microsoft.com/office/drawing/2014/chart" uri="{C3380CC4-5D6E-409C-BE32-E72D297353CC}">
              <c16:uniqueId val="{00000000-C0B8-A744-8CE5-B6CE1C89B1B7}"/>
            </c:ext>
          </c:extLst>
        </c:ser>
        <c:dLbls>
          <c:showLegendKey val="0"/>
          <c:showVal val="0"/>
          <c:showCatName val="0"/>
          <c:showSerName val="0"/>
          <c:showPercent val="0"/>
          <c:showBubbleSize val="0"/>
        </c:dLbls>
        <c:gapWidth val="219"/>
        <c:overlap val="-27"/>
        <c:axId val="10270559"/>
        <c:axId val="75671183"/>
      </c:barChart>
      <c:dateAx>
        <c:axId val="10270559"/>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71183"/>
        <c:crosses val="autoZero"/>
        <c:auto val="1"/>
        <c:lblOffset val="100"/>
        <c:baseTimeUnit val="years"/>
      </c:dateAx>
      <c:valAx>
        <c:axId val="75671183"/>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705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Debt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KeyMetrics!$A$100</c:f>
              <c:strCache>
                <c:ptCount val="1"/>
                <c:pt idx="0">
                  <c:v>Total Debt(D)</c:v>
                </c:pt>
              </c:strCache>
            </c:strRef>
          </c:tx>
          <c:spPr>
            <a:solidFill>
              <a:schemeClr val="accent2">
                <a:lumMod val="75000"/>
              </a:schemeClr>
            </a:solidFill>
            <a:ln>
              <a:noFill/>
            </a:ln>
            <a:effectLst/>
          </c:spPr>
          <c:invertIfNegative val="0"/>
          <c:cat>
            <c:numRef>
              <c:f>KeyMetrics!$B$99:$K$99</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KeyMetrics!$B$100:$K$100</c:f>
              <c:numCache>
                <c:formatCode>0</c:formatCode>
                <c:ptCount val="10"/>
                <c:pt idx="0">
                  <c:v>18.64</c:v>
                </c:pt>
                <c:pt idx="1">
                  <c:v>54.03</c:v>
                </c:pt>
                <c:pt idx="2">
                  <c:v>116.85</c:v>
                </c:pt>
                <c:pt idx="3">
                  <c:v>118.5</c:v>
                </c:pt>
                <c:pt idx="4">
                  <c:v>103.88</c:v>
                </c:pt>
                <c:pt idx="5">
                  <c:v>90.65</c:v>
                </c:pt>
                <c:pt idx="6">
                  <c:v>72.62</c:v>
                </c:pt>
                <c:pt idx="7">
                  <c:v>102.62</c:v>
                </c:pt>
                <c:pt idx="8">
                  <c:v>117.32</c:v>
                </c:pt>
                <c:pt idx="9">
                  <c:v>125.11</c:v>
                </c:pt>
              </c:numCache>
            </c:numRef>
          </c:val>
          <c:extLst>
            <c:ext xmlns:c16="http://schemas.microsoft.com/office/drawing/2014/chart" uri="{C3380CC4-5D6E-409C-BE32-E72D297353CC}">
              <c16:uniqueId val="{00000000-AF18-F244-BD93-5FC17204ABC6}"/>
            </c:ext>
          </c:extLst>
        </c:ser>
        <c:dLbls>
          <c:showLegendKey val="0"/>
          <c:showVal val="0"/>
          <c:showCatName val="0"/>
          <c:showSerName val="0"/>
          <c:showPercent val="0"/>
          <c:showBubbleSize val="0"/>
        </c:dLbls>
        <c:gapWidth val="219"/>
        <c:overlap val="-27"/>
        <c:axId val="27824495"/>
        <c:axId val="79051695"/>
      </c:barChart>
      <c:dateAx>
        <c:axId val="27824495"/>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51695"/>
        <c:crosses val="autoZero"/>
        <c:auto val="1"/>
        <c:lblOffset val="100"/>
        <c:baseTimeUnit val="years"/>
      </c:dateAx>
      <c:valAx>
        <c:axId val="79051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8244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Shareholder funds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KeyMetrics!$A$101</c:f>
              <c:strCache>
                <c:ptCount val="1"/>
                <c:pt idx="0">
                  <c:v>Total Equity(E)</c:v>
                </c:pt>
              </c:strCache>
            </c:strRef>
          </c:tx>
          <c:spPr>
            <a:solidFill>
              <a:schemeClr val="accent1"/>
            </a:solidFill>
            <a:ln>
              <a:noFill/>
            </a:ln>
            <a:effectLst/>
          </c:spPr>
          <c:invertIfNegative val="0"/>
          <c:cat>
            <c:numRef>
              <c:f>KeyMetrics!$B$99:$K$99</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KeyMetrics!$B$101:$K$101</c:f>
              <c:numCache>
                <c:formatCode>0</c:formatCode>
                <c:ptCount val="10"/>
                <c:pt idx="0">
                  <c:v>92.78</c:v>
                </c:pt>
                <c:pt idx="1">
                  <c:v>125.28</c:v>
                </c:pt>
                <c:pt idx="2">
                  <c:v>150.65</c:v>
                </c:pt>
                <c:pt idx="3">
                  <c:v>171.94</c:v>
                </c:pt>
                <c:pt idx="4">
                  <c:v>203.86</c:v>
                </c:pt>
                <c:pt idx="5">
                  <c:v>244.18</c:v>
                </c:pt>
                <c:pt idx="6">
                  <c:v>286.64</c:v>
                </c:pt>
                <c:pt idx="7">
                  <c:v>342.88</c:v>
                </c:pt>
                <c:pt idx="8">
                  <c:v>387.81</c:v>
                </c:pt>
                <c:pt idx="9">
                  <c:v>413.53999999999996</c:v>
                </c:pt>
              </c:numCache>
            </c:numRef>
          </c:val>
          <c:extLst>
            <c:ext xmlns:c16="http://schemas.microsoft.com/office/drawing/2014/chart" uri="{C3380CC4-5D6E-409C-BE32-E72D297353CC}">
              <c16:uniqueId val="{00000000-D6A4-D344-AAFF-E33C32F4EDF9}"/>
            </c:ext>
          </c:extLst>
        </c:ser>
        <c:dLbls>
          <c:showLegendKey val="0"/>
          <c:showVal val="0"/>
          <c:showCatName val="0"/>
          <c:showSerName val="0"/>
          <c:showPercent val="0"/>
          <c:showBubbleSize val="0"/>
        </c:dLbls>
        <c:gapWidth val="219"/>
        <c:overlap val="-27"/>
        <c:axId val="113027327"/>
        <c:axId val="80965023"/>
      </c:barChart>
      <c:dateAx>
        <c:axId val="11302732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65023"/>
        <c:crosses val="autoZero"/>
        <c:auto val="1"/>
        <c:lblOffset val="100"/>
        <c:baseTimeUnit val="years"/>
      </c:dateAx>
      <c:valAx>
        <c:axId val="80965023"/>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027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Customization!$A$28</c:f>
              <c:strCache>
                <c:ptCount val="1"/>
                <c:pt idx="0">
                  <c:v>Debtor Days</c:v>
                </c:pt>
              </c:strCache>
            </c:strRef>
          </c:tx>
          <c:spPr>
            <a:solidFill>
              <a:schemeClr val="accent2">
                <a:lumMod val="50000"/>
              </a:schemeClr>
            </a:solidFill>
            <a:ln>
              <a:noFill/>
            </a:ln>
            <a:effectLst/>
          </c:spPr>
          <c:invertIfNegative val="0"/>
          <c:cat>
            <c:numRef>
              <c:f>Customization!$B$18:$K$18</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Customization!$B$28:$K$28</c:f>
              <c:numCache>
                <c:formatCode>0</c:formatCode>
                <c:ptCount val="10"/>
                <c:pt idx="0">
                  <c:v>55.602179619759767</c:v>
                </c:pt>
                <c:pt idx="1">
                  <c:v>66.430413181560922</c:v>
                </c:pt>
                <c:pt idx="2">
                  <c:v>75.909007437333571</c:v>
                </c:pt>
                <c:pt idx="3">
                  <c:v>64.079396762031493</c:v>
                </c:pt>
                <c:pt idx="4">
                  <c:v>65.719526175009548</c:v>
                </c:pt>
                <c:pt idx="5">
                  <c:v>66.508068511571949</c:v>
                </c:pt>
                <c:pt idx="6">
                  <c:v>64.709626240637576</c:v>
                </c:pt>
                <c:pt idx="7">
                  <c:v>93.983726169261288</c:v>
                </c:pt>
                <c:pt idx="8">
                  <c:v>85.191464393799023</c:v>
                </c:pt>
                <c:pt idx="9">
                  <c:v>79.667875498969451</c:v>
                </c:pt>
              </c:numCache>
            </c:numRef>
          </c:val>
          <c:extLst>
            <c:ext xmlns:c16="http://schemas.microsoft.com/office/drawing/2014/chart" uri="{C3380CC4-5D6E-409C-BE32-E72D297353CC}">
              <c16:uniqueId val="{00000000-5731-A74C-A47E-CB5F4BA45670}"/>
            </c:ext>
          </c:extLst>
        </c:ser>
        <c:dLbls>
          <c:showLegendKey val="0"/>
          <c:showVal val="0"/>
          <c:showCatName val="0"/>
          <c:showSerName val="0"/>
          <c:showPercent val="0"/>
          <c:showBubbleSize val="0"/>
        </c:dLbls>
        <c:gapWidth val="219"/>
        <c:overlap val="-27"/>
        <c:axId val="10053695"/>
        <c:axId val="31328591"/>
      </c:barChart>
      <c:dateAx>
        <c:axId val="10053695"/>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28591"/>
        <c:crosses val="autoZero"/>
        <c:auto val="1"/>
        <c:lblOffset val="100"/>
        <c:baseTimeUnit val="years"/>
      </c:dateAx>
      <c:valAx>
        <c:axId val="31328591"/>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6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186423611111113"/>
          <c:y val="2.11666666666666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Sheet'!$A$26</c:f>
              <c:strCache>
                <c:ptCount val="1"/>
                <c:pt idx="0">
                  <c:v> Depreciation </c:v>
                </c:pt>
              </c:strCache>
            </c:strRef>
          </c:tx>
          <c:spPr>
            <a:solidFill>
              <a:schemeClr val="accent1"/>
            </a:solidFill>
            <a:ln>
              <a:noFill/>
            </a:ln>
            <a:effectLst/>
          </c:spPr>
          <c:invertIfNegative val="0"/>
          <c:cat>
            <c:numRef>
              <c:f>'Data Sheet'!$B$16:$K$16</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'Data Sheet'!$B$26:$K$26</c:f>
              <c:numCache>
                <c:formatCode>General</c:formatCode>
                <c:ptCount val="10"/>
                <c:pt idx="0">
                  <c:v>4.6900000000000004</c:v>
                </c:pt>
                <c:pt idx="1">
                  <c:v>5.0199999999999996</c:v>
                </c:pt>
                <c:pt idx="2">
                  <c:v>7.12</c:v>
                </c:pt>
                <c:pt idx="3">
                  <c:v>9.61</c:v>
                </c:pt>
                <c:pt idx="4">
                  <c:v>10.43</c:v>
                </c:pt>
                <c:pt idx="5">
                  <c:v>13.08</c:v>
                </c:pt>
                <c:pt idx="6">
                  <c:v>15.65</c:v>
                </c:pt>
                <c:pt idx="7">
                  <c:v>15.15</c:v>
                </c:pt>
                <c:pt idx="8">
                  <c:v>16.34</c:v>
                </c:pt>
                <c:pt idx="9">
                  <c:v>18.59</c:v>
                </c:pt>
              </c:numCache>
            </c:numRef>
          </c:val>
          <c:extLst>
            <c:ext xmlns:c16="http://schemas.microsoft.com/office/drawing/2014/chart" uri="{C3380CC4-5D6E-409C-BE32-E72D297353CC}">
              <c16:uniqueId val="{00000000-6DC3-9E47-AB9A-E0059094AB1A}"/>
            </c:ext>
          </c:extLst>
        </c:ser>
        <c:dLbls>
          <c:showLegendKey val="0"/>
          <c:showVal val="0"/>
          <c:showCatName val="0"/>
          <c:showSerName val="0"/>
          <c:showPercent val="0"/>
          <c:showBubbleSize val="0"/>
        </c:dLbls>
        <c:gapWidth val="219"/>
        <c:overlap val="-27"/>
        <c:axId val="9086543"/>
        <c:axId val="32992895"/>
      </c:barChart>
      <c:dateAx>
        <c:axId val="9086543"/>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92895"/>
        <c:crosses val="autoZero"/>
        <c:auto val="1"/>
        <c:lblOffset val="100"/>
        <c:baseTimeUnit val="years"/>
      </c:dateAx>
      <c:valAx>
        <c:axId val="3299289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65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KeyMetrics!$A$84</c:f>
              <c:strCache>
                <c:ptCount val="1"/>
                <c:pt idx="0">
                  <c:v>Capital Intensity (EBITDA / EBIT)</c:v>
                </c:pt>
              </c:strCache>
            </c:strRef>
          </c:tx>
          <c:spPr>
            <a:solidFill>
              <a:schemeClr val="accent3">
                <a:lumMod val="75000"/>
              </a:schemeClr>
            </a:solidFill>
            <a:ln>
              <a:noFill/>
            </a:ln>
            <a:effectLst/>
          </c:spPr>
          <c:invertIfNegative val="0"/>
          <c:cat>
            <c:numRef>
              <c:f>KeyMetrics!$B$83:$K$83</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KeyMetrics!$B$84:$K$84</c:f>
              <c:numCache>
                <c:formatCode>#,##0.00</c:formatCode>
                <c:ptCount val="10"/>
                <c:pt idx="0">
                  <c:v>1.1231294302966657</c:v>
                </c:pt>
                <c:pt idx="1">
                  <c:v>1.1041277743206803</c:v>
                </c:pt>
                <c:pt idx="2">
                  <c:v>1.1269388482795506</c:v>
                </c:pt>
                <c:pt idx="3">
                  <c:v>1.1669852302345787</c:v>
                </c:pt>
                <c:pt idx="4">
                  <c:v>1.1516429194533295</c:v>
                </c:pt>
                <c:pt idx="5">
                  <c:v>1.180563224737714</c:v>
                </c:pt>
                <c:pt idx="6">
                  <c:v>1.1923076923076923</c:v>
                </c:pt>
                <c:pt idx="7">
                  <c:v>1.1696908602150538</c:v>
                </c:pt>
                <c:pt idx="8">
                  <c:v>1.1657032755298651</c:v>
                </c:pt>
                <c:pt idx="9">
                  <c:v>1.1530797101449275</c:v>
                </c:pt>
              </c:numCache>
            </c:numRef>
          </c:val>
          <c:extLst>
            <c:ext xmlns:c16="http://schemas.microsoft.com/office/drawing/2014/chart" uri="{C3380CC4-5D6E-409C-BE32-E72D297353CC}">
              <c16:uniqueId val="{00000000-B60C-6B48-A7A2-C2A6E7D06628}"/>
            </c:ext>
          </c:extLst>
        </c:ser>
        <c:dLbls>
          <c:showLegendKey val="0"/>
          <c:showVal val="0"/>
          <c:showCatName val="0"/>
          <c:showSerName val="0"/>
          <c:showPercent val="0"/>
          <c:showBubbleSize val="0"/>
        </c:dLbls>
        <c:gapWidth val="219"/>
        <c:overlap val="-27"/>
        <c:axId val="2084666592"/>
        <c:axId val="83569647"/>
      </c:barChart>
      <c:dateAx>
        <c:axId val="208466659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569647"/>
        <c:crosses val="autoZero"/>
        <c:auto val="1"/>
        <c:lblOffset val="100"/>
        <c:baseTimeUnit val="years"/>
      </c:dateAx>
      <c:valAx>
        <c:axId val="83569647"/>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4666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Assets Turns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KeyMetrics!$A$85</c:f>
              <c:strCache>
                <c:ptCount val="1"/>
                <c:pt idx="0">
                  <c:v>Net Fixed Assets Turns (Higher is better)</c:v>
                </c:pt>
              </c:strCache>
            </c:strRef>
          </c:tx>
          <c:spPr>
            <a:solidFill>
              <a:srgbClr val="0070C0"/>
            </a:solidFill>
            <a:ln>
              <a:noFill/>
            </a:ln>
            <a:effectLst/>
          </c:spPr>
          <c:invertIfNegative val="0"/>
          <c:cat>
            <c:numRef>
              <c:f>KeyMetrics!$B$83:$K$83</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KeyMetrics!$B$85:$K$85</c:f>
              <c:numCache>
                <c:formatCode>#,##0.00</c:formatCode>
                <c:ptCount val="10"/>
                <c:pt idx="0">
                  <c:v>1.9337025073065679</c:v>
                </c:pt>
                <c:pt idx="1">
                  <c:v>2.3442429603420316</c:v>
                </c:pt>
                <c:pt idx="2">
                  <c:v>1.5489972976816953</c:v>
                </c:pt>
                <c:pt idx="3">
                  <c:v>1.2010548186031644</c:v>
                </c:pt>
                <c:pt idx="4">
                  <c:v>1.352944217546399</c:v>
                </c:pt>
                <c:pt idx="5">
                  <c:v>1.5064505810854034</c:v>
                </c:pt>
                <c:pt idx="6">
                  <c:v>1.4824964445903073</c:v>
                </c:pt>
                <c:pt idx="7">
                  <c:v>0.97161058477621698</c:v>
                </c:pt>
                <c:pt idx="8">
                  <c:v>1.0502043199065967</c:v>
                </c:pt>
                <c:pt idx="9">
                  <c:v>1.1130826194279075</c:v>
                </c:pt>
              </c:numCache>
            </c:numRef>
          </c:val>
          <c:extLst>
            <c:ext xmlns:c16="http://schemas.microsoft.com/office/drawing/2014/chart" uri="{C3380CC4-5D6E-409C-BE32-E72D297353CC}">
              <c16:uniqueId val="{00000000-7E54-FA41-B63C-EDEFBE968C47}"/>
            </c:ext>
          </c:extLst>
        </c:ser>
        <c:dLbls>
          <c:showLegendKey val="0"/>
          <c:showVal val="0"/>
          <c:showCatName val="0"/>
          <c:showSerName val="0"/>
          <c:showPercent val="0"/>
          <c:showBubbleSize val="0"/>
        </c:dLbls>
        <c:gapWidth val="219"/>
        <c:overlap val="-27"/>
        <c:axId val="16667551"/>
        <c:axId val="1724149440"/>
      </c:barChart>
      <c:dateAx>
        <c:axId val="16667551"/>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149440"/>
        <c:crosses val="autoZero"/>
        <c:auto val="1"/>
        <c:lblOffset val="100"/>
        <c:baseTimeUnit val="years"/>
      </c:dateAx>
      <c:valAx>
        <c:axId val="172414944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675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KeyMetrics!$A$86</c:f>
              <c:strCache>
                <c:ptCount val="1"/>
                <c:pt idx="0">
                  <c:v>Depreciation/NFA (consistency)</c:v>
                </c:pt>
              </c:strCache>
            </c:strRef>
          </c:tx>
          <c:spPr>
            <a:solidFill>
              <a:schemeClr val="tx2">
                <a:lumMod val="75000"/>
              </a:schemeClr>
            </a:solidFill>
            <a:ln>
              <a:noFill/>
            </a:ln>
            <a:effectLst/>
          </c:spPr>
          <c:invertIfNegative val="0"/>
          <c:cat>
            <c:numRef>
              <c:f>KeyMetrics!$B$83:$K$83</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KeyMetrics!$B$86:$K$86</c:f>
              <c:numCache>
                <c:formatCode>0%</c:formatCode>
                <c:ptCount val="10"/>
                <c:pt idx="0">
                  <c:v>7.2142747269650823E-2</c:v>
                </c:pt>
                <c:pt idx="1">
                  <c:v>7.4008550788736541E-2</c:v>
                </c:pt>
                <c:pt idx="2">
                  <c:v>5.0632911392405063E-2</c:v>
                </c:pt>
                <c:pt idx="3">
                  <c:v>5.1195993820254644E-2</c:v>
                </c:pt>
                <c:pt idx="4">
                  <c:v>5.3921315204466726E-2</c:v>
                </c:pt>
                <c:pt idx="5">
                  <c:v>6.973024842733766E-2</c:v>
                </c:pt>
                <c:pt idx="6">
                  <c:v>8.560332567552785E-2</c:v>
                </c:pt>
                <c:pt idx="7">
                  <c:v>4.9493629532832407E-2</c:v>
                </c:pt>
                <c:pt idx="8">
                  <c:v>5.2993448790296431E-2</c:v>
                </c:pt>
                <c:pt idx="9">
                  <c:v>5.3985770291854217E-2</c:v>
                </c:pt>
              </c:numCache>
            </c:numRef>
          </c:val>
          <c:extLst>
            <c:ext xmlns:c16="http://schemas.microsoft.com/office/drawing/2014/chart" uri="{C3380CC4-5D6E-409C-BE32-E72D297353CC}">
              <c16:uniqueId val="{00000000-608F-DE4A-9A9C-46884F104723}"/>
            </c:ext>
          </c:extLst>
        </c:ser>
        <c:dLbls>
          <c:showLegendKey val="0"/>
          <c:showVal val="0"/>
          <c:showCatName val="0"/>
          <c:showSerName val="0"/>
          <c:showPercent val="0"/>
          <c:showBubbleSize val="0"/>
        </c:dLbls>
        <c:gapWidth val="219"/>
        <c:overlap val="-27"/>
        <c:axId val="1747572496"/>
        <c:axId val="83307423"/>
      </c:barChart>
      <c:dateAx>
        <c:axId val="1747572496"/>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07423"/>
        <c:crosses val="autoZero"/>
        <c:auto val="1"/>
        <c:lblOffset val="100"/>
        <c:baseTimeUnit val="years"/>
      </c:dateAx>
      <c:valAx>
        <c:axId val="83307423"/>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7572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Receivable vs WCAP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KeyMetrics!$A$87</c:f>
              <c:strCache>
                <c:ptCount val="1"/>
                <c:pt idx="0">
                  <c:v>Receivable days (Lower is better)</c:v>
                </c:pt>
              </c:strCache>
            </c:strRef>
          </c:tx>
          <c:spPr>
            <a:solidFill>
              <a:schemeClr val="accent1"/>
            </a:solidFill>
            <a:ln>
              <a:noFill/>
            </a:ln>
            <a:effectLst/>
          </c:spPr>
          <c:invertIfNegative val="0"/>
          <c:cat>
            <c:numRef>
              <c:f>KeyMetrics!$B$83:$K$83</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KeyMetrics!$B$87:$K$87</c:f>
              <c:numCache>
                <c:formatCode>#,##0.00</c:formatCode>
                <c:ptCount val="10"/>
                <c:pt idx="0">
                  <c:v>55.602179619759767</c:v>
                </c:pt>
                <c:pt idx="1">
                  <c:v>66.430413181560922</c:v>
                </c:pt>
                <c:pt idx="2">
                  <c:v>75.909007437333571</c:v>
                </c:pt>
                <c:pt idx="3">
                  <c:v>64.079396762031493</c:v>
                </c:pt>
                <c:pt idx="4">
                  <c:v>65.719526175009548</c:v>
                </c:pt>
                <c:pt idx="5">
                  <c:v>66.508068511571949</c:v>
                </c:pt>
                <c:pt idx="6">
                  <c:v>64.709626240637576</c:v>
                </c:pt>
                <c:pt idx="7">
                  <c:v>93.983726169261288</c:v>
                </c:pt>
                <c:pt idx="8">
                  <c:v>85.191464393799023</c:v>
                </c:pt>
                <c:pt idx="9">
                  <c:v>79.667875498969451</c:v>
                </c:pt>
              </c:numCache>
            </c:numRef>
          </c:val>
          <c:extLst>
            <c:ext xmlns:c16="http://schemas.microsoft.com/office/drawing/2014/chart" uri="{C3380CC4-5D6E-409C-BE32-E72D297353CC}">
              <c16:uniqueId val="{00000000-14B2-1E4E-900D-5B0A7F5FA11D}"/>
            </c:ext>
          </c:extLst>
        </c:ser>
        <c:ser>
          <c:idx val="1"/>
          <c:order val="1"/>
          <c:tx>
            <c:strRef>
              <c:f>KeyMetrics!$A$89</c:f>
              <c:strCache>
                <c:ptCount val="1"/>
                <c:pt idx="0">
                  <c:v>Working Capital Cycle</c:v>
                </c:pt>
              </c:strCache>
            </c:strRef>
          </c:tx>
          <c:spPr>
            <a:solidFill>
              <a:schemeClr val="accent2"/>
            </a:solidFill>
            <a:ln>
              <a:noFill/>
            </a:ln>
            <a:effectLst/>
          </c:spPr>
          <c:invertIfNegative val="0"/>
          <c:cat>
            <c:numRef>
              <c:f>KeyMetrics!$B$83:$K$83</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KeyMetrics!$B$89:$K$89</c:f>
              <c:numCache>
                <c:formatCode>#,##0.00</c:formatCode>
                <c:ptCount val="10"/>
                <c:pt idx="0">
                  <c:v>94.480152732479525</c:v>
                </c:pt>
                <c:pt idx="1">
                  <c:v>109.86038613923654</c:v>
                </c:pt>
                <c:pt idx="2">
                  <c:v>122.6106418143421</c:v>
                </c:pt>
                <c:pt idx="3">
                  <c:v>123.60944777112442</c:v>
                </c:pt>
                <c:pt idx="4">
                  <c:v>118.60756591517004</c:v>
                </c:pt>
                <c:pt idx="5">
                  <c:v>114.6356783919598</c:v>
                </c:pt>
                <c:pt idx="6">
                  <c:v>116.78707154189574</c:v>
                </c:pt>
                <c:pt idx="7">
                  <c:v>133.48929087791265</c:v>
                </c:pt>
                <c:pt idx="8">
                  <c:v>128.66638873448213</c:v>
                </c:pt>
                <c:pt idx="9">
                  <c:v>123.76803464739493</c:v>
                </c:pt>
              </c:numCache>
            </c:numRef>
          </c:val>
          <c:extLst>
            <c:ext xmlns:c16="http://schemas.microsoft.com/office/drawing/2014/chart" uri="{C3380CC4-5D6E-409C-BE32-E72D297353CC}">
              <c16:uniqueId val="{00000001-14B2-1E4E-900D-5B0A7F5FA11D}"/>
            </c:ext>
          </c:extLst>
        </c:ser>
        <c:dLbls>
          <c:showLegendKey val="0"/>
          <c:showVal val="0"/>
          <c:showCatName val="0"/>
          <c:showSerName val="0"/>
          <c:showPercent val="0"/>
          <c:showBubbleSize val="0"/>
        </c:dLbls>
        <c:gapWidth val="219"/>
        <c:overlap val="-27"/>
        <c:axId val="1746980432"/>
        <c:axId val="112691631"/>
      </c:barChart>
      <c:dateAx>
        <c:axId val="174698043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691631"/>
        <c:crosses val="autoZero"/>
        <c:auto val="1"/>
        <c:lblOffset val="100"/>
        <c:baseTimeUnit val="years"/>
      </c:dateAx>
      <c:valAx>
        <c:axId val="112691631"/>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6980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KeyMetrics!$A$91</c:f>
              <c:strCache>
                <c:ptCount val="1"/>
                <c:pt idx="0">
                  <c:v>Net Fixed Assets</c:v>
                </c:pt>
              </c:strCache>
            </c:strRef>
          </c:tx>
          <c:spPr>
            <a:solidFill>
              <a:schemeClr val="accent1"/>
            </a:solidFill>
            <a:ln>
              <a:noFill/>
            </a:ln>
            <a:effectLst/>
          </c:spPr>
          <c:invertIfNegative val="0"/>
          <c:cat>
            <c:numRef>
              <c:f>KeyMetrics!$B$83:$K$83</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KeyMetrics!$B$91:$K$91</c:f>
              <c:numCache>
                <c:formatCode>General</c:formatCode>
                <c:ptCount val="10"/>
                <c:pt idx="0">
                  <c:v>65.010000000000005</c:v>
                </c:pt>
                <c:pt idx="1">
                  <c:v>67.83</c:v>
                </c:pt>
                <c:pt idx="2">
                  <c:v>140.62</c:v>
                </c:pt>
                <c:pt idx="3">
                  <c:v>187.71</c:v>
                </c:pt>
                <c:pt idx="4">
                  <c:v>193.43</c:v>
                </c:pt>
                <c:pt idx="5">
                  <c:v>187.58</c:v>
                </c:pt>
                <c:pt idx="6">
                  <c:v>182.82</c:v>
                </c:pt>
                <c:pt idx="7">
                  <c:v>306.10000000000002</c:v>
                </c:pt>
                <c:pt idx="8">
                  <c:v>308.33999999999997</c:v>
                </c:pt>
                <c:pt idx="9">
                  <c:v>344.35</c:v>
                </c:pt>
              </c:numCache>
            </c:numRef>
          </c:val>
          <c:extLst>
            <c:ext xmlns:c16="http://schemas.microsoft.com/office/drawing/2014/chart" uri="{C3380CC4-5D6E-409C-BE32-E72D297353CC}">
              <c16:uniqueId val="{00000000-39AC-9C49-9283-4885AA7E1E57}"/>
            </c:ext>
          </c:extLst>
        </c:ser>
        <c:dLbls>
          <c:showLegendKey val="0"/>
          <c:showVal val="0"/>
          <c:showCatName val="0"/>
          <c:showSerName val="0"/>
          <c:showPercent val="0"/>
          <c:showBubbleSize val="0"/>
        </c:dLbls>
        <c:gapWidth val="219"/>
        <c:overlap val="-27"/>
        <c:axId val="1724750224"/>
        <c:axId val="80057231"/>
      </c:barChart>
      <c:dateAx>
        <c:axId val="172475022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57231"/>
        <c:crosses val="autoZero"/>
        <c:auto val="1"/>
        <c:lblOffset val="100"/>
        <c:baseTimeUnit val="years"/>
      </c:dateAx>
      <c:valAx>
        <c:axId val="800572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750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KeyMetrics!$A$108</c:f>
              <c:strCache>
                <c:ptCount val="1"/>
                <c:pt idx="0">
                  <c:v>Cash from Operating Activity</c:v>
                </c:pt>
              </c:strCache>
            </c:strRef>
          </c:tx>
          <c:spPr>
            <a:solidFill>
              <a:srgbClr val="00B050"/>
            </a:solidFill>
            <a:ln>
              <a:noFill/>
            </a:ln>
            <a:effectLst/>
          </c:spPr>
          <c:invertIfNegative val="0"/>
          <c:cat>
            <c:numRef>
              <c:f>KeyMetrics!$B$107:$K$107</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KeyMetrics!$B$108:$K$108</c:f>
              <c:numCache>
                <c:formatCode>_ * #,##0_ ;_ * \-#,##0_ ;_ * "-"??_ ;_ @_ </c:formatCode>
                <c:ptCount val="10"/>
                <c:pt idx="0">
                  <c:v>36.31</c:v>
                </c:pt>
                <c:pt idx="1">
                  <c:v>29.28</c:v>
                </c:pt>
                <c:pt idx="2">
                  <c:v>30.41</c:v>
                </c:pt>
                <c:pt idx="3">
                  <c:v>46.63</c:v>
                </c:pt>
                <c:pt idx="4">
                  <c:v>51.53</c:v>
                </c:pt>
                <c:pt idx="5">
                  <c:v>69.97</c:v>
                </c:pt>
                <c:pt idx="6">
                  <c:v>68.400000000000006</c:v>
                </c:pt>
                <c:pt idx="7">
                  <c:v>77.13</c:v>
                </c:pt>
                <c:pt idx="8">
                  <c:v>86.7</c:v>
                </c:pt>
                <c:pt idx="9">
                  <c:v>88.51</c:v>
                </c:pt>
              </c:numCache>
            </c:numRef>
          </c:val>
          <c:extLst>
            <c:ext xmlns:c16="http://schemas.microsoft.com/office/drawing/2014/chart" uri="{C3380CC4-5D6E-409C-BE32-E72D297353CC}">
              <c16:uniqueId val="{00000000-D400-3743-9307-812E626C4250}"/>
            </c:ext>
          </c:extLst>
        </c:ser>
        <c:dLbls>
          <c:showLegendKey val="0"/>
          <c:showVal val="0"/>
          <c:showCatName val="0"/>
          <c:showSerName val="0"/>
          <c:showPercent val="0"/>
          <c:showBubbleSize val="0"/>
        </c:dLbls>
        <c:gapWidth val="219"/>
        <c:overlap val="-27"/>
        <c:axId val="1748283984"/>
        <c:axId val="1748285664"/>
      </c:barChart>
      <c:dateAx>
        <c:axId val="174828398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8285664"/>
        <c:crosses val="autoZero"/>
        <c:auto val="1"/>
        <c:lblOffset val="100"/>
        <c:baseTimeUnit val="years"/>
      </c:dateAx>
      <c:valAx>
        <c:axId val="1748285664"/>
        <c:scaling>
          <c:orientation val="minMax"/>
        </c:scaling>
        <c:delete val="0"/>
        <c:axPos val="l"/>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8283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Receivable days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KeyMetrics!$A$87</c:f>
              <c:strCache>
                <c:ptCount val="1"/>
                <c:pt idx="0">
                  <c:v>Receivable days (Lower is better)</c:v>
                </c:pt>
              </c:strCache>
            </c:strRef>
          </c:tx>
          <c:spPr>
            <a:solidFill>
              <a:schemeClr val="accent2">
                <a:lumMod val="60000"/>
                <a:lumOff val="40000"/>
              </a:schemeClr>
            </a:solidFill>
            <a:ln>
              <a:noFill/>
            </a:ln>
            <a:effectLst/>
          </c:spPr>
          <c:invertIfNegative val="0"/>
          <c:cat>
            <c:numRef>
              <c:f>KeyMetrics!$B$83:$K$83</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KeyMetrics!$B$87:$K$87</c:f>
              <c:numCache>
                <c:formatCode>#,##0.00</c:formatCode>
                <c:ptCount val="10"/>
                <c:pt idx="0">
                  <c:v>55.602179619759767</c:v>
                </c:pt>
                <c:pt idx="1">
                  <c:v>66.430413181560922</c:v>
                </c:pt>
                <c:pt idx="2">
                  <c:v>75.909007437333571</c:v>
                </c:pt>
                <c:pt idx="3">
                  <c:v>64.079396762031493</c:v>
                </c:pt>
                <c:pt idx="4">
                  <c:v>65.719526175009548</c:v>
                </c:pt>
                <c:pt idx="5">
                  <c:v>66.508068511571949</c:v>
                </c:pt>
                <c:pt idx="6">
                  <c:v>64.709626240637576</c:v>
                </c:pt>
                <c:pt idx="7">
                  <c:v>93.983726169261288</c:v>
                </c:pt>
                <c:pt idx="8">
                  <c:v>85.191464393799023</c:v>
                </c:pt>
                <c:pt idx="9">
                  <c:v>79.667875498969451</c:v>
                </c:pt>
              </c:numCache>
            </c:numRef>
          </c:val>
          <c:extLst>
            <c:ext xmlns:c16="http://schemas.microsoft.com/office/drawing/2014/chart" uri="{C3380CC4-5D6E-409C-BE32-E72D297353CC}">
              <c16:uniqueId val="{00000000-F352-E449-A586-E6D69224109C}"/>
            </c:ext>
          </c:extLst>
        </c:ser>
        <c:dLbls>
          <c:showLegendKey val="0"/>
          <c:showVal val="0"/>
          <c:showCatName val="0"/>
          <c:showSerName val="0"/>
          <c:showPercent val="0"/>
          <c:showBubbleSize val="0"/>
        </c:dLbls>
        <c:gapWidth val="219"/>
        <c:overlap val="-27"/>
        <c:axId val="83284927"/>
        <c:axId val="83696431"/>
      </c:barChart>
      <c:dateAx>
        <c:axId val="8328492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696431"/>
        <c:crosses val="autoZero"/>
        <c:auto val="1"/>
        <c:lblOffset val="100"/>
        <c:baseTimeUnit val="years"/>
      </c:dateAx>
      <c:valAx>
        <c:axId val="83696431"/>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2849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Receivable</a:t>
            </a:r>
            <a:r>
              <a:rPr lang="en-US" baseline="0"/>
              <a:t> as % Sales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KeyMetrics!$A$60</c:f>
              <c:strCache>
                <c:ptCount val="1"/>
                <c:pt idx="0">
                  <c:v>% Sales</c:v>
                </c:pt>
              </c:strCache>
            </c:strRef>
          </c:tx>
          <c:spPr>
            <a:solidFill>
              <a:srgbClr val="CC3399"/>
            </a:solidFill>
            <a:ln>
              <a:noFill/>
            </a:ln>
            <a:effectLst/>
          </c:spPr>
          <c:invertIfNegative val="0"/>
          <c:cat>
            <c:numRef>
              <c:f>KeyMetrics!$B$57:$K$57</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KeyMetrics!$B$60:$K$60</c:f>
              <c:numCache>
                <c:formatCode>0%</c:formatCode>
                <c:ptCount val="10"/>
                <c:pt idx="0">
                  <c:v>0.15233473868427333</c:v>
                </c:pt>
                <c:pt idx="1">
                  <c:v>0.18200113200427648</c:v>
                </c:pt>
                <c:pt idx="2">
                  <c:v>0.20796988338995501</c:v>
                </c:pt>
                <c:pt idx="3">
                  <c:v>0.1755599911288534</c:v>
                </c:pt>
                <c:pt idx="4">
                  <c:v>0.18005349636988918</c:v>
                </c:pt>
                <c:pt idx="5">
                  <c:v>0.18221388633307384</c:v>
                </c:pt>
                <c:pt idx="6">
                  <c:v>0.17728664723462348</c:v>
                </c:pt>
                <c:pt idx="7">
                  <c:v>0.25748966073770213</c:v>
                </c:pt>
                <c:pt idx="8">
                  <c:v>0.23340127231177815</c:v>
                </c:pt>
                <c:pt idx="9">
                  <c:v>0.21826815205197106</c:v>
                </c:pt>
              </c:numCache>
            </c:numRef>
          </c:val>
          <c:extLst>
            <c:ext xmlns:c16="http://schemas.microsoft.com/office/drawing/2014/chart" uri="{C3380CC4-5D6E-409C-BE32-E72D297353CC}">
              <c16:uniqueId val="{00000000-E57D-6B45-8453-F26FF267B037}"/>
            </c:ext>
          </c:extLst>
        </c:ser>
        <c:dLbls>
          <c:showLegendKey val="0"/>
          <c:showVal val="0"/>
          <c:showCatName val="0"/>
          <c:showSerName val="0"/>
          <c:showPercent val="0"/>
          <c:showBubbleSize val="0"/>
        </c:dLbls>
        <c:gapWidth val="219"/>
        <c:overlap val="-27"/>
        <c:axId val="10981519"/>
        <c:axId val="82811615"/>
      </c:barChart>
      <c:dateAx>
        <c:axId val="10981519"/>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811615"/>
        <c:crosses val="autoZero"/>
        <c:auto val="1"/>
        <c:lblOffset val="100"/>
        <c:baseTimeUnit val="years"/>
      </c:dateAx>
      <c:valAx>
        <c:axId val="8281161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15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Customization!$A$39</c:f>
              <c:strCache>
                <c:ptCount val="1"/>
                <c:pt idx="0">
                  <c:v>Net Margin =PAT/Sales</c:v>
                </c:pt>
              </c:strCache>
            </c:strRef>
          </c:tx>
          <c:spPr>
            <a:solidFill>
              <a:schemeClr val="accent1"/>
            </a:solidFill>
            <a:ln>
              <a:noFill/>
            </a:ln>
            <a:effectLst/>
          </c:spPr>
          <c:invertIfNegative val="0"/>
          <c:cat>
            <c:numRef>
              <c:f>Customization!$B$18:$K$18</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Customization!$B$39:$K$39</c:f>
              <c:numCache>
                <c:formatCode>0.00%</c:formatCode>
                <c:ptCount val="10"/>
                <c:pt idx="0">
                  <c:v>0.23434889825789518</c:v>
                </c:pt>
                <c:pt idx="1">
                  <c:v>0.23507955474498463</c:v>
                </c:pt>
                <c:pt idx="2">
                  <c:v>0.14443118170966854</c:v>
                </c:pt>
                <c:pt idx="3">
                  <c:v>0.12144599689509869</c:v>
                </c:pt>
                <c:pt idx="4">
                  <c:v>0.15452808559419182</c:v>
                </c:pt>
                <c:pt idx="5">
                  <c:v>0.18161228678604291</c:v>
                </c:pt>
                <c:pt idx="6">
                  <c:v>0.19551341179943182</c:v>
                </c:pt>
                <c:pt idx="7">
                  <c:v>0.18213913452809252</c:v>
                </c:pt>
                <c:pt idx="8">
                  <c:v>0.17525168303378422</c:v>
                </c:pt>
                <c:pt idx="9">
                  <c:v>0.19238696548305459</c:v>
                </c:pt>
              </c:numCache>
            </c:numRef>
          </c:val>
          <c:extLst>
            <c:ext xmlns:c16="http://schemas.microsoft.com/office/drawing/2014/chart" uri="{C3380CC4-5D6E-409C-BE32-E72D297353CC}">
              <c16:uniqueId val="{00000000-87C4-D340-846B-4FF6E22C382A}"/>
            </c:ext>
          </c:extLst>
        </c:ser>
        <c:dLbls>
          <c:showLegendKey val="0"/>
          <c:showVal val="0"/>
          <c:showCatName val="0"/>
          <c:showSerName val="0"/>
          <c:showPercent val="0"/>
          <c:showBubbleSize val="0"/>
        </c:dLbls>
        <c:gapWidth val="219"/>
        <c:overlap val="-27"/>
        <c:axId val="76420991"/>
        <c:axId val="83596239"/>
      </c:barChart>
      <c:dateAx>
        <c:axId val="76420991"/>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596239"/>
        <c:crosses val="autoZero"/>
        <c:auto val="1"/>
        <c:lblOffset val="100"/>
        <c:baseTimeUnit val="years"/>
      </c:dateAx>
      <c:valAx>
        <c:axId val="83596239"/>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209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Sheet'!$A$28</c:f>
              <c:strCache>
                <c:ptCount val="1"/>
                <c:pt idx="0">
                  <c:v> Profit before tax </c:v>
                </c:pt>
              </c:strCache>
            </c:strRef>
          </c:tx>
          <c:spPr>
            <a:solidFill>
              <a:srgbClr val="00B050"/>
            </a:solidFill>
            <a:ln>
              <a:noFill/>
            </a:ln>
            <a:effectLst/>
          </c:spPr>
          <c:invertIfNegative val="0"/>
          <c:cat>
            <c:numRef>
              <c:f>'Data Sheet'!$B$16:$K$16</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'Data Sheet'!$B$28:$K$28</c:f>
              <c:numCache>
                <c:formatCode>General</c:formatCode>
                <c:ptCount val="10"/>
                <c:pt idx="0">
                  <c:v>34.26</c:v>
                </c:pt>
                <c:pt idx="1">
                  <c:v>43.61</c:v>
                </c:pt>
                <c:pt idx="2">
                  <c:v>44.5</c:v>
                </c:pt>
                <c:pt idx="3">
                  <c:v>40.04</c:v>
                </c:pt>
                <c:pt idx="4">
                  <c:v>50.16</c:v>
                </c:pt>
                <c:pt idx="5">
                  <c:v>62.96</c:v>
                </c:pt>
                <c:pt idx="6">
                  <c:v>64.760000000000005</c:v>
                </c:pt>
                <c:pt idx="7">
                  <c:v>74.72</c:v>
                </c:pt>
                <c:pt idx="8">
                  <c:v>79.63</c:v>
                </c:pt>
                <c:pt idx="9">
                  <c:v>102.58</c:v>
                </c:pt>
              </c:numCache>
            </c:numRef>
          </c:val>
          <c:extLst>
            <c:ext xmlns:c16="http://schemas.microsoft.com/office/drawing/2014/chart" uri="{C3380CC4-5D6E-409C-BE32-E72D297353CC}">
              <c16:uniqueId val="{00000000-2BD4-684D-8707-A438E51976B7}"/>
            </c:ext>
          </c:extLst>
        </c:ser>
        <c:dLbls>
          <c:showLegendKey val="0"/>
          <c:showVal val="0"/>
          <c:showCatName val="0"/>
          <c:showSerName val="0"/>
          <c:showPercent val="0"/>
          <c:showBubbleSize val="0"/>
        </c:dLbls>
        <c:gapWidth val="219"/>
        <c:overlap val="-27"/>
        <c:axId val="8838271"/>
        <c:axId val="2103939264"/>
      </c:barChart>
      <c:dateAx>
        <c:axId val="8838271"/>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3939264"/>
        <c:crosses val="autoZero"/>
        <c:auto val="1"/>
        <c:lblOffset val="100"/>
        <c:baseTimeUnit val="years"/>
      </c:dateAx>
      <c:valAx>
        <c:axId val="21039392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82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KeyMetrics!$A$4</c:f>
              <c:strCache>
                <c:ptCount val="1"/>
                <c:pt idx="0">
                  <c:v>Gross Profit</c:v>
                </c:pt>
              </c:strCache>
            </c:strRef>
          </c:tx>
          <c:spPr>
            <a:solidFill>
              <a:schemeClr val="bg2">
                <a:lumMod val="25000"/>
              </a:schemeClr>
            </a:solidFill>
            <a:ln>
              <a:noFill/>
            </a:ln>
            <a:effectLst/>
          </c:spPr>
          <c:invertIfNegative val="0"/>
          <c:cat>
            <c:numRef>
              <c:f>KeyMetrics!$B$3:$K$3</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KeyMetrics!$B$4:$K$4</c:f>
              <c:numCache>
                <c:formatCode>General</c:formatCode>
                <c:ptCount val="10"/>
                <c:pt idx="0">
                  <c:v>96.22999999999999</c:v>
                </c:pt>
                <c:pt idx="1">
                  <c:v>105.78999999999999</c:v>
                </c:pt>
                <c:pt idx="2">
                  <c:v>143.47999999999999</c:v>
                </c:pt>
                <c:pt idx="3">
                  <c:v>150.35999999999999</c:v>
                </c:pt>
                <c:pt idx="4">
                  <c:v>194.89</c:v>
                </c:pt>
                <c:pt idx="5">
                  <c:v>196.39999999999998</c:v>
                </c:pt>
                <c:pt idx="6">
                  <c:v>197.92999999999998</c:v>
                </c:pt>
                <c:pt idx="7">
                  <c:v>235.86</c:v>
                </c:pt>
                <c:pt idx="8">
                  <c:v>242.62</c:v>
                </c:pt>
                <c:pt idx="9">
                  <c:v>275.91000000000003</c:v>
                </c:pt>
              </c:numCache>
            </c:numRef>
          </c:val>
          <c:extLst>
            <c:ext xmlns:c16="http://schemas.microsoft.com/office/drawing/2014/chart" uri="{C3380CC4-5D6E-409C-BE32-E72D297353CC}">
              <c16:uniqueId val="{00000000-539C-A043-8482-CDAB8DF943E7}"/>
            </c:ext>
          </c:extLst>
        </c:ser>
        <c:dLbls>
          <c:showLegendKey val="0"/>
          <c:showVal val="0"/>
          <c:showCatName val="0"/>
          <c:showSerName val="0"/>
          <c:showPercent val="0"/>
          <c:showBubbleSize val="0"/>
        </c:dLbls>
        <c:gapWidth val="219"/>
        <c:overlap val="-27"/>
        <c:axId val="27798655"/>
        <c:axId val="27827983"/>
      </c:barChart>
      <c:dateAx>
        <c:axId val="27798655"/>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827983"/>
        <c:crosses val="autoZero"/>
        <c:auto val="1"/>
        <c:lblOffset val="100"/>
        <c:baseTimeUnit val="years"/>
      </c:dateAx>
      <c:valAx>
        <c:axId val="2782798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986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KeyMetrics!$A$61</c:f>
              <c:strCache>
                <c:ptCount val="1"/>
                <c:pt idx="0">
                  <c:v>EBITDA</c:v>
                </c:pt>
              </c:strCache>
            </c:strRef>
          </c:tx>
          <c:spPr>
            <a:solidFill>
              <a:schemeClr val="accent2">
                <a:lumMod val="75000"/>
              </a:schemeClr>
            </a:solidFill>
            <a:ln>
              <a:noFill/>
            </a:ln>
            <a:effectLst/>
          </c:spPr>
          <c:invertIfNegative val="0"/>
          <c:cat>
            <c:numRef>
              <c:f>KeyMetrics!$B$57:$K$57</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KeyMetrics!$B$61:$K$61</c:f>
              <c:numCache>
                <c:formatCode>_ * #,##0_ ;_ * \-#,##0_ ;_ * "-"??_ ;_ @_ </c:formatCode>
                <c:ptCount val="10"/>
                <c:pt idx="0">
                  <c:v>42.779999999999987</c:v>
                </c:pt>
                <c:pt idx="1">
                  <c:v>53.229999999999976</c:v>
                </c:pt>
                <c:pt idx="2">
                  <c:v>63.21</c:v>
                </c:pt>
                <c:pt idx="3">
                  <c:v>67.160000000000011</c:v>
                </c:pt>
                <c:pt idx="4">
                  <c:v>79.20999999999998</c:v>
                </c:pt>
                <c:pt idx="5">
                  <c:v>85.52</c:v>
                </c:pt>
                <c:pt idx="6">
                  <c:v>97.03</c:v>
                </c:pt>
                <c:pt idx="7">
                  <c:v>104.43000000000004</c:v>
                </c:pt>
                <c:pt idx="8">
                  <c:v>114.94999999999999</c:v>
                </c:pt>
                <c:pt idx="9">
                  <c:v>140.03000000000006</c:v>
                </c:pt>
              </c:numCache>
            </c:numRef>
          </c:val>
          <c:extLst>
            <c:ext xmlns:c16="http://schemas.microsoft.com/office/drawing/2014/chart" uri="{C3380CC4-5D6E-409C-BE32-E72D297353CC}">
              <c16:uniqueId val="{00000000-4215-4849-9F6C-BAE1C120652E}"/>
            </c:ext>
          </c:extLst>
        </c:ser>
        <c:dLbls>
          <c:showLegendKey val="0"/>
          <c:showVal val="0"/>
          <c:showCatName val="0"/>
          <c:showSerName val="0"/>
          <c:showPercent val="0"/>
          <c:showBubbleSize val="0"/>
        </c:dLbls>
        <c:gapWidth val="219"/>
        <c:overlap val="-27"/>
        <c:axId val="79216127"/>
        <c:axId val="77343391"/>
      </c:barChart>
      <c:dateAx>
        <c:axId val="7921612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43391"/>
        <c:crosses val="autoZero"/>
        <c:auto val="1"/>
        <c:lblOffset val="100"/>
        <c:baseTimeUnit val="years"/>
      </c:dateAx>
      <c:valAx>
        <c:axId val="77343391"/>
        <c:scaling>
          <c:orientation val="minMax"/>
        </c:scaling>
        <c:delete val="0"/>
        <c:axPos val="l"/>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16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EBITDA Margin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KeyMetrics!$A$62</c:f>
              <c:strCache>
                <c:ptCount val="1"/>
                <c:pt idx="0">
                  <c:v>EBITDA %</c:v>
                </c:pt>
              </c:strCache>
            </c:strRef>
          </c:tx>
          <c:spPr>
            <a:solidFill>
              <a:schemeClr val="accent2">
                <a:lumMod val="75000"/>
              </a:schemeClr>
            </a:solidFill>
            <a:ln>
              <a:noFill/>
            </a:ln>
            <a:effectLst/>
          </c:spPr>
          <c:invertIfNegative val="0"/>
          <c:cat>
            <c:numRef>
              <c:f>KeyMetrics!$B$57:$K$57</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KeyMetrics!$B$62:$K$62</c:f>
              <c:numCache>
                <c:formatCode>0%</c:formatCode>
                <c:ptCount val="10"/>
                <c:pt idx="0">
                  <c:v>0.34030705592236088</c:v>
                </c:pt>
                <c:pt idx="1">
                  <c:v>0.33475882019998726</c:v>
                </c:pt>
                <c:pt idx="2">
                  <c:v>0.29019373794876507</c:v>
                </c:pt>
                <c:pt idx="3">
                  <c:v>0.29789310268352193</c:v>
                </c:pt>
                <c:pt idx="4">
                  <c:v>0.30267481849445926</c:v>
                </c:pt>
                <c:pt idx="5">
                  <c:v>0.3026399603652063</c:v>
                </c:pt>
                <c:pt idx="6">
                  <c:v>0.35800464893185258</c:v>
                </c:pt>
                <c:pt idx="7">
                  <c:v>0.35113143471974723</c:v>
                </c:pt>
                <c:pt idx="8">
                  <c:v>0.35498116237415844</c:v>
                </c:pt>
                <c:pt idx="9">
                  <c:v>0.36533695113360654</c:v>
                </c:pt>
              </c:numCache>
            </c:numRef>
          </c:val>
          <c:extLst>
            <c:ext xmlns:c16="http://schemas.microsoft.com/office/drawing/2014/chart" uri="{C3380CC4-5D6E-409C-BE32-E72D297353CC}">
              <c16:uniqueId val="{00000000-51FB-4E4F-B33D-1BAC28B4906A}"/>
            </c:ext>
          </c:extLst>
        </c:ser>
        <c:dLbls>
          <c:showLegendKey val="0"/>
          <c:showVal val="0"/>
          <c:showCatName val="0"/>
          <c:showSerName val="0"/>
          <c:showPercent val="0"/>
          <c:showBubbleSize val="0"/>
        </c:dLbls>
        <c:gapWidth val="219"/>
        <c:overlap val="-27"/>
        <c:axId val="83187327"/>
        <c:axId val="83327439"/>
      </c:barChart>
      <c:dateAx>
        <c:axId val="8318732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7439"/>
        <c:crosses val="autoZero"/>
        <c:auto val="1"/>
        <c:lblOffset val="100"/>
        <c:baseTimeUnit val="years"/>
      </c:dateAx>
      <c:valAx>
        <c:axId val="83327439"/>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87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Tax</a:t>
            </a:r>
            <a:r>
              <a:rPr lang="en-US" baseline="0"/>
              <a:t> Percentage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KeyMetrics!$A$67</c:f>
              <c:strCache>
                <c:ptCount val="1"/>
                <c:pt idx="0">
                  <c:v>Tax%</c:v>
                </c:pt>
              </c:strCache>
            </c:strRef>
          </c:tx>
          <c:spPr>
            <a:solidFill>
              <a:srgbClr val="00B050"/>
            </a:solidFill>
            <a:ln>
              <a:noFill/>
            </a:ln>
            <a:effectLst/>
          </c:spPr>
          <c:invertIfNegative val="0"/>
          <c:cat>
            <c:numRef>
              <c:f>KeyMetrics!$B$57:$K$57</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KeyMetrics!$B$67:$K$67</c:f>
              <c:numCache>
                <c:formatCode>0%</c:formatCode>
                <c:ptCount val="10"/>
                <c:pt idx="0">
                  <c:v>0.14010507880910683</c:v>
                </c:pt>
                <c:pt idx="1">
                  <c:v>0.14285714285714288</c:v>
                </c:pt>
                <c:pt idx="2">
                  <c:v>0.29303370786516852</c:v>
                </c:pt>
                <c:pt idx="3">
                  <c:v>0.31593406593406598</c:v>
                </c:pt>
                <c:pt idx="4">
                  <c:v>0.19358054226475283</c:v>
                </c:pt>
                <c:pt idx="5">
                  <c:v>0.18487928843710294</c:v>
                </c:pt>
                <c:pt idx="6">
                  <c:v>0.18190240889437923</c:v>
                </c:pt>
                <c:pt idx="7">
                  <c:v>0.27489293361884365</c:v>
                </c:pt>
                <c:pt idx="8">
                  <c:v>0.28732889614466911</c:v>
                </c:pt>
                <c:pt idx="9">
                  <c:v>0.28114642230454279</c:v>
                </c:pt>
              </c:numCache>
            </c:numRef>
          </c:val>
          <c:extLst>
            <c:ext xmlns:c16="http://schemas.microsoft.com/office/drawing/2014/chart" uri="{C3380CC4-5D6E-409C-BE32-E72D297353CC}">
              <c16:uniqueId val="{00000000-DAED-C54B-945B-D013A2EECC7A}"/>
            </c:ext>
          </c:extLst>
        </c:ser>
        <c:dLbls>
          <c:showLegendKey val="0"/>
          <c:showVal val="0"/>
          <c:showCatName val="0"/>
          <c:showSerName val="0"/>
          <c:showPercent val="0"/>
          <c:showBubbleSize val="0"/>
        </c:dLbls>
        <c:gapWidth val="219"/>
        <c:overlap val="-27"/>
        <c:axId val="27393727"/>
        <c:axId val="78855727"/>
      </c:barChart>
      <c:dateAx>
        <c:axId val="2739372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5727"/>
        <c:crosses val="autoZero"/>
        <c:auto val="1"/>
        <c:lblOffset val="100"/>
        <c:baseTimeUnit val="years"/>
      </c:dateAx>
      <c:valAx>
        <c:axId val="78855727"/>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937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 Margin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KeyMetrics!$A$70</c:f>
              <c:strCache>
                <c:ptCount val="1"/>
                <c:pt idx="0">
                  <c:v>NPM%</c:v>
                </c:pt>
              </c:strCache>
            </c:strRef>
          </c:tx>
          <c:spPr>
            <a:solidFill>
              <a:schemeClr val="bg2">
                <a:lumMod val="25000"/>
              </a:schemeClr>
            </a:solidFill>
            <a:ln>
              <a:noFill/>
            </a:ln>
            <a:effectLst/>
          </c:spPr>
          <c:invertIfNegative val="0"/>
          <c:cat>
            <c:numRef>
              <c:f>KeyMetrics!$B$57:$K$57</c:f>
              <c:numCache>
                <c:formatCode>[$-409]mmm\-yy;@</c:formatCode>
                <c:ptCount val="10"/>
                <c:pt idx="0">
                  <c:v>40268</c:v>
                </c:pt>
                <c:pt idx="1">
                  <c:v>40633</c:v>
                </c:pt>
                <c:pt idx="2">
                  <c:v>40999</c:v>
                </c:pt>
                <c:pt idx="3">
                  <c:v>41364</c:v>
                </c:pt>
                <c:pt idx="4">
                  <c:v>41729</c:v>
                </c:pt>
                <c:pt idx="5">
                  <c:v>42094</c:v>
                </c:pt>
                <c:pt idx="6">
                  <c:v>42460</c:v>
                </c:pt>
                <c:pt idx="7">
                  <c:v>42825</c:v>
                </c:pt>
                <c:pt idx="8">
                  <c:v>43190</c:v>
                </c:pt>
                <c:pt idx="9">
                  <c:v>43555</c:v>
                </c:pt>
              </c:numCache>
            </c:numRef>
          </c:cat>
          <c:val>
            <c:numRef>
              <c:f>KeyMetrics!$B$70:$K$70</c:f>
              <c:numCache>
                <c:formatCode>0%</c:formatCode>
                <c:ptCount val="10"/>
                <c:pt idx="0">
                  <c:v>0.23434889825789518</c:v>
                </c:pt>
                <c:pt idx="1">
                  <c:v>0.23507955474498463</c:v>
                </c:pt>
                <c:pt idx="2">
                  <c:v>0.14443118170966854</c:v>
                </c:pt>
                <c:pt idx="3">
                  <c:v>0.12144599689509869</c:v>
                </c:pt>
                <c:pt idx="4">
                  <c:v>0.15452808559419182</c:v>
                </c:pt>
                <c:pt idx="5">
                  <c:v>0.18161228678604291</c:v>
                </c:pt>
                <c:pt idx="6">
                  <c:v>0.19551341179943182</c:v>
                </c:pt>
                <c:pt idx="7">
                  <c:v>0.18213913452809252</c:v>
                </c:pt>
                <c:pt idx="8">
                  <c:v>0.17525168303378422</c:v>
                </c:pt>
                <c:pt idx="9">
                  <c:v>0.19238696548305459</c:v>
                </c:pt>
              </c:numCache>
            </c:numRef>
          </c:val>
          <c:extLst>
            <c:ext xmlns:c16="http://schemas.microsoft.com/office/drawing/2014/chart" uri="{C3380CC4-5D6E-409C-BE32-E72D297353CC}">
              <c16:uniqueId val="{00000000-A57A-604D-BC07-97B6D87D7E9A}"/>
            </c:ext>
          </c:extLst>
        </c:ser>
        <c:dLbls>
          <c:showLegendKey val="0"/>
          <c:showVal val="0"/>
          <c:showCatName val="0"/>
          <c:showSerName val="0"/>
          <c:showPercent val="0"/>
          <c:showBubbleSize val="0"/>
        </c:dLbls>
        <c:gapWidth val="219"/>
        <c:overlap val="-27"/>
        <c:axId val="81469727"/>
        <c:axId val="83155583"/>
      </c:barChart>
      <c:dateAx>
        <c:axId val="81469727"/>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55583"/>
        <c:crosses val="autoZero"/>
        <c:auto val="1"/>
        <c:lblOffset val="100"/>
        <c:baseTimeUnit val="years"/>
      </c:dateAx>
      <c:valAx>
        <c:axId val="83155583"/>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4697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editAs="oneCell">
    <xdr:from>
      <xdr:col>8</xdr:col>
      <xdr:colOff>381000</xdr:colOff>
      <xdr:row>8</xdr:row>
      <xdr:rowOff>76200</xdr:rowOff>
    </xdr:from>
    <xdr:to>
      <xdr:col>17</xdr:col>
      <xdr:colOff>454430</xdr:colOff>
      <xdr:row>15</xdr:row>
      <xdr:rowOff>18898</xdr:rowOff>
    </xdr:to>
    <xdr:pic>
      <xdr:nvPicPr>
        <xdr:cNvPr id="2" name="Picture 1">
          <a:extLst>
            <a:ext uri="{FF2B5EF4-FFF2-40B4-BE49-F238E27FC236}">
              <a16:creationId xmlns:a16="http://schemas.microsoft.com/office/drawing/2014/main" id="{DF3928A3-FB04-48D3-BD2A-3175AAE74E8F}"/>
            </a:ext>
          </a:extLst>
        </xdr:cNvPr>
        <xdr:cNvPicPr>
          <a:picLocks noChangeAspect="1"/>
        </xdr:cNvPicPr>
      </xdr:nvPicPr>
      <xdr:blipFill>
        <a:blip xmlns:r="http://schemas.openxmlformats.org/officeDocument/2006/relationships" r:embed="rId1"/>
        <a:stretch>
          <a:fillRect/>
        </a:stretch>
      </xdr:blipFill>
      <xdr:spPr>
        <a:xfrm>
          <a:off x="10226040" y="2270760"/>
          <a:ext cx="5742857" cy="1219048"/>
        </a:xfrm>
        <a:prstGeom prst="rect">
          <a:avLst/>
        </a:prstGeom>
      </xdr:spPr>
    </xdr:pic>
    <xdr:clientData/>
  </xdr:twoCellAnchor>
  <xdr:twoCellAnchor editAs="oneCell">
    <xdr:from>
      <xdr:col>12</xdr:col>
      <xdr:colOff>0</xdr:colOff>
      <xdr:row>18</xdr:row>
      <xdr:rowOff>0</xdr:rowOff>
    </xdr:from>
    <xdr:to>
      <xdr:col>22</xdr:col>
      <xdr:colOff>479239</xdr:colOff>
      <xdr:row>30</xdr:row>
      <xdr:rowOff>177516</xdr:rowOff>
    </xdr:to>
    <xdr:pic>
      <xdr:nvPicPr>
        <xdr:cNvPr id="3" name="Picture 2">
          <a:extLst>
            <a:ext uri="{FF2B5EF4-FFF2-40B4-BE49-F238E27FC236}">
              <a16:creationId xmlns:a16="http://schemas.microsoft.com/office/drawing/2014/main" id="{7BBEB8BF-3885-44AF-9D44-EB975DCD690E}"/>
            </a:ext>
          </a:extLst>
        </xdr:cNvPr>
        <xdr:cNvPicPr>
          <a:picLocks noChangeAspect="1"/>
        </xdr:cNvPicPr>
      </xdr:nvPicPr>
      <xdr:blipFill>
        <a:blip xmlns:r="http://schemas.openxmlformats.org/officeDocument/2006/relationships" r:embed="rId2"/>
        <a:stretch>
          <a:fillRect/>
        </a:stretch>
      </xdr:blipFill>
      <xdr:spPr>
        <a:xfrm>
          <a:off x="11064240" y="4023360"/>
          <a:ext cx="6571429" cy="3057143"/>
        </a:xfrm>
        <a:prstGeom prst="rect">
          <a:avLst/>
        </a:prstGeom>
      </xdr:spPr>
    </xdr:pic>
    <xdr:clientData/>
  </xdr:twoCellAnchor>
  <xdr:twoCellAnchor editAs="oneCell">
    <xdr:from>
      <xdr:col>11</xdr:col>
      <xdr:colOff>402982</xdr:colOff>
      <xdr:row>32</xdr:row>
      <xdr:rowOff>36635</xdr:rowOff>
    </xdr:from>
    <xdr:to>
      <xdr:col>21</xdr:col>
      <xdr:colOff>363688</xdr:colOff>
      <xdr:row>40</xdr:row>
      <xdr:rowOff>18700</xdr:rowOff>
    </xdr:to>
    <xdr:pic>
      <xdr:nvPicPr>
        <xdr:cNvPr id="5" name="Picture 4">
          <a:extLst>
            <a:ext uri="{FF2B5EF4-FFF2-40B4-BE49-F238E27FC236}">
              <a16:creationId xmlns:a16="http://schemas.microsoft.com/office/drawing/2014/main" id="{334FB8F3-3823-4EAF-B14B-0B170C6E929B}"/>
            </a:ext>
          </a:extLst>
        </xdr:cNvPr>
        <xdr:cNvPicPr>
          <a:picLocks noChangeAspect="1"/>
        </xdr:cNvPicPr>
      </xdr:nvPicPr>
      <xdr:blipFill>
        <a:blip xmlns:r="http://schemas.openxmlformats.org/officeDocument/2006/relationships" r:embed="rId3"/>
        <a:stretch>
          <a:fillRect/>
        </a:stretch>
      </xdr:blipFill>
      <xdr:spPr>
        <a:xfrm>
          <a:off x="9349155" y="7326923"/>
          <a:ext cx="6026812" cy="1638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21590</xdr:rowOff>
    </xdr:from>
    <xdr:to>
      <xdr:col>3</xdr:col>
      <xdr:colOff>399690</xdr:colOff>
      <xdr:row>10</xdr:row>
      <xdr:rowOff>110900</xdr:rowOff>
    </xdr:to>
    <xdr:graphicFrame macro="">
      <xdr:nvGraphicFramePr>
        <xdr:cNvPr id="2" name="Chart 1">
          <a:extLst>
            <a:ext uri="{FF2B5EF4-FFF2-40B4-BE49-F238E27FC236}">
              <a16:creationId xmlns:a16="http://schemas.microsoft.com/office/drawing/2014/main" id="{B3573E63-B00D-D84B-AB7C-AB668F5774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383822</xdr:colOff>
      <xdr:row>1</xdr:row>
      <xdr:rowOff>25400</xdr:rowOff>
    </xdr:from>
    <xdr:to>
      <xdr:col>6</xdr:col>
      <xdr:colOff>787322</xdr:colOff>
      <xdr:row>10</xdr:row>
      <xdr:rowOff>110900</xdr:rowOff>
    </xdr:to>
    <xdr:graphicFrame macro="">
      <xdr:nvGraphicFramePr>
        <xdr:cNvPr id="3" name="Chart 2">
          <a:extLst>
            <a:ext uri="{FF2B5EF4-FFF2-40B4-BE49-F238E27FC236}">
              <a16:creationId xmlns:a16="http://schemas.microsoft.com/office/drawing/2014/main" id="{736979B6-8936-234B-86CE-6C028EE6D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800100</xdr:colOff>
      <xdr:row>1</xdr:row>
      <xdr:rowOff>25400</xdr:rowOff>
    </xdr:from>
    <xdr:to>
      <xdr:col>10</xdr:col>
      <xdr:colOff>378100</xdr:colOff>
      <xdr:row>10</xdr:row>
      <xdr:rowOff>110900</xdr:rowOff>
    </xdr:to>
    <xdr:graphicFrame macro="">
      <xdr:nvGraphicFramePr>
        <xdr:cNvPr id="4" name="Chart 3">
          <a:extLst>
            <a:ext uri="{FF2B5EF4-FFF2-40B4-BE49-F238E27FC236}">
              <a16:creationId xmlns:a16="http://schemas.microsoft.com/office/drawing/2014/main" id="{04DAC306-E895-9445-9BFA-4454F36FD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130175</xdr:rowOff>
    </xdr:from>
    <xdr:to>
      <xdr:col>3</xdr:col>
      <xdr:colOff>403500</xdr:colOff>
      <xdr:row>39</xdr:row>
      <xdr:rowOff>25175</xdr:rowOff>
    </xdr:to>
    <xdr:graphicFrame macro="">
      <xdr:nvGraphicFramePr>
        <xdr:cNvPr id="5" name="Chart 4">
          <a:extLst>
            <a:ext uri="{FF2B5EF4-FFF2-40B4-BE49-F238E27FC236}">
              <a16:creationId xmlns:a16="http://schemas.microsoft.com/office/drawing/2014/main" id="{215BD572-D439-3B4D-A6F5-7EB3D9FC8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xdr:row>
      <xdr:rowOff>123825</xdr:rowOff>
    </xdr:from>
    <xdr:to>
      <xdr:col>3</xdr:col>
      <xdr:colOff>403500</xdr:colOff>
      <xdr:row>20</xdr:row>
      <xdr:rowOff>18825</xdr:rowOff>
    </xdr:to>
    <xdr:graphicFrame macro="">
      <xdr:nvGraphicFramePr>
        <xdr:cNvPr id="6" name="Chart 5">
          <a:extLst>
            <a:ext uri="{FF2B5EF4-FFF2-40B4-BE49-F238E27FC236}">
              <a16:creationId xmlns:a16="http://schemas.microsoft.com/office/drawing/2014/main" id="{01225346-90D7-2E48-96B0-A8CA336E4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xdr:row>
      <xdr:rowOff>31750</xdr:rowOff>
    </xdr:from>
    <xdr:to>
      <xdr:col>3</xdr:col>
      <xdr:colOff>403500</xdr:colOff>
      <xdr:row>29</xdr:row>
      <xdr:rowOff>117250</xdr:rowOff>
    </xdr:to>
    <xdr:graphicFrame macro="">
      <xdr:nvGraphicFramePr>
        <xdr:cNvPr id="7" name="Chart 6">
          <a:extLst>
            <a:ext uri="{FF2B5EF4-FFF2-40B4-BE49-F238E27FC236}">
              <a16:creationId xmlns:a16="http://schemas.microsoft.com/office/drawing/2014/main" id="{A41CF49E-0383-1341-80F5-A1B42871DC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383822</xdr:colOff>
      <xdr:row>20</xdr:row>
      <xdr:rowOff>33160</xdr:rowOff>
    </xdr:from>
    <xdr:to>
      <xdr:col>6</xdr:col>
      <xdr:colOff>787322</xdr:colOff>
      <xdr:row>29</xdr:row>
      <xdr:rowOff>118660</xdr:rowOff>
    </xdr:to>
    <xdr:graphicFrame macro="">
      <xdr:nvGraphicFramePr>
        <xdr:cNvPr id="8" name="Chart 7">
          <a:extLst>
            <a:ext uri="{FF2B5EF4-FFF2-40B4-BE49-F238E27FC236}">
              <a16:creationId xmlns:a16="http://schemas.microsoft.com/office/drawing/2014/main" id="{919EE5E8-1F75-4F40-95E9-96D45E8528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383822</xdr:colOff>
      <xdr:row>29</xdr:row>
      <xdr:rowOff>132291</xdr:rowOff>
    </xdr:from>
    <xdr:to>
      <xdr:col>6</xdr:col>
      <xdr:colOff>787322</xdr:colOff>
      <xdr:row>39</xdr:row>
      <xdr:rowOff>27291</xdr:rowOff>
    </xdr:to>
    <xdr:graphicFrame macro="">
      <xdr:nvGraphicFramePr>
        <xdr:cNvPr id="9" name="Chart 8">
          <a:extLst>
            <a:ext uri="{FF2B5EF4-FFF2-40B4-BE49-F238E27FC236}">
              <a16:creationId xmlns:a16="http://schemas.microsoft.com/office/drawing/2014/main" id="{DE7468F2-2F79-4548-92ED-243AD70C0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383822</xdr:colOff>
      <xdr:row>39</xdr:row>
      <xdr:rowOff>40922</xdr:rowOff>
    </xdr:from>
    <xdr:to>
      <xdr:col>6</xdr:col>
      <xdr:colOff>787322</xdr:colOff>
      <xdr:row>48</xdr:row>
      <xdr:rowOff>126422</xdr:rowOff>
    </xdr:to>
    <xdr:graphicFrame macro="">
      <xdr:nvGraphicFramePr>
        <xdr:cNvPr id="10" name="Chart 9">
          <a:extLst>
            <a:ext uri="{FF2B5EF4-FFF2-40B4-BE49-F238E27FC236}">
              <a16:creationId xmlns:a16="http://schemas.microsoft.com/office/drawing/2014/main" id="{8384645D-E806-2346-A008-FEB785B81C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800100</xdr:colOff>
      <xdr:row>10</xdr:row>
      <xdr:rowOff>128588</xdr:rowOff>
    </xdr:from>
    <xdr:to>
      <xdr:col>10</xdr:col>
      <xdr:colOff>378100</xdr:colOff>
      <xdr:row>20</xdr:row>
      <xdr:rowOff>23588</xdr:rowOff>
    </xdr:to>
    <xdr:graphicFrame macro="">
      <xdr:nvGraphicFramePr>
        <xdr:cNvPr id="12" name="Chart 11">
          <a:extLst>
            <a:ext uri="{FF2B5EF4-FFF2-40B4-BE49-F238E27FC236}">
              <a16:creationId xmlns:a16="http://schemas.microsoft.com/office/drawing/2014/main" id="{BE7FA989-A772-E74C-9C59-431E8F1CB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39</xdr:row>
      <xdr:rowOff>38100</xdr:rowOff>
    </xdr:from>
    <xdr:to>
      <xdr:col>3</xdr:col>
      <xdr:colOff>403500</xdr:colOff>
      <xdr:row>48</xdr:row>
      <xdr:rowOff>123600</xdr:rowOff>
    </xdr:to>
    <xdr:graphicFrame macro="">
      <xdr:nvGraphicFramePr>
        <xdr:cNvPr id="13" name="Chart 12">
          <a:extLst>
            <a:ext uri="{FF2B5EF4-FFF2-40B4-BE49-F238E27FC236}">
              <a16:creationId xmlns:a16="http://schemas.microsoft.com/office/drawing/2014/main" id="{FDAD516D-1E50-884C-9160-881EAD8DD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800100</xdr:colOff>
      <xdr:row>20</xdr:row>
      <xdr:rowOff>34926</xdr:rowOff>
    </xdr:from>
    <xdr:to>
      <xdr:col>10</xdr:col>
      <xdr:colOff>378100</xdr:colOff>
      <xdr:row>29</xdr:row>
      <xdr:rowOff>120426</xdr:rowOff>
    </xdr:to>
    <xdr:graphicFrame macro="">
      <xdr:nvGraphicFramePr>
        <xdr:cNvPr id="14" name="Chart 13">
          <a:extLst>
            <a:ext uri="{FF2B5EF4-FFF2-40B4-BE49-F238E27FC236}">
              <a16:creationId xmlns:a16="http://schemas.microsoft.com/office/drawing/2014/main" id="{255887DC-D698-1949-A472-5030F073F1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383822</xdr:colOff>
      <xdr:row>10</xdr:row>
      <xdr:rowOff>124530</xdr:rowOff>
    </xdr:from>
    <xdr:to>
      <xdr:col>6</xdr:col>
      <xdr:colOff>787322</xdr:colOff>
      <xdr:row>20</xdr:row>
      <xdr:rowOff>19530</xdr:rowOff>
    </xdr:to>
    <xdr:graphicFrame macro="">
      <xdr:nvGraphicFramePr>
        <xdr:cNvPr id="16" name="Chart 15">
          <a:extLst>
            <a:ext uri="{FF2B5EF4-FFF2-40B4-BE49-F238E27FC236}">
              <a16:creationId xmlns:a16="http://schemas.microsoft.com/office/drawing/2014/main" id="{9A45CBB0-E16D-4B46-ADCC-40ECEF6F7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800100</xdr:colOff>
      <xdr:row>29</xdr:row>
      <xdr:rowOff>131764</xdr:rowOff>
    </xdr:from>
    <xdr:to>
      <xdr:col>10</xdr:col>
      <xdr:colOff>378100</xdr:colOff>
      <xdr:row>39</xdr:row>
      <xdr:rowOff>26764</xdr:rowOff>
    </xdr:to>
    <xdr:graphicFrame macro="">
      <xdr:nvGraphicFramePr>
        <xdr:cNvPr id="17" name="Chart 16">
          <a:extLst>
            <a:ext uri="{FF2B5EF4-FFF2-40B4-BE49-F238E27FC236}">
              <a16:creationId xmlns:a16="http://schemas.microsoft.com/office/drawing/2014/main" id="{06A250E1-3C5C-C643-BFD6-D3491DCF1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800100</xdr:colOff>
      <xdr:row>39</xdr:row>
      <xdr:rowOff>38100</xdr:rowOff>
    </xdr:from>
    <xdr:to>
      <xdr:col>10</xdr:col>
      <xdr:colOff>378100</xdr:colOff>
      <xdr:row>48</xdr:row>
      <xdr:rowOff>123600</xdr:rowOff>
    </xdr:to>
    <xdr:graphicFrame macro="">
      <xdr:nvGraphicFramePr>
        <xdr:cNvPr id="18" name="Chart 17">
          <a:extLst>
            <a:ext uri="{FF2B5EF4-FFF2-40B4-BE49-F238E27FC236}">
              <a16:creationId xmlns:a16="http://schemas.microsoft.com/office/drawing/2014/main" id="{428ECD20-4918-E746-8469-1A4517DE41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381000</xdr:colOff>
      <xdr:row>1</xdr:row>
      <xdr:rowOff>38100</xdr:rowOff>
    </xdr:from>
    <xdr:to>
      <xdr:col>13</xdr:col>
      <xdr:colOff>784500</xdr:colOff>
      <xdr:row>10</xdr:row>
      <xdr:rowOff>123600</xdr:rowOff>
    </xdr:to>
    <xdr:graphicFrame macro="">
      <xdr:nvGraphicFramePr>
        <xdr:cNvPr id="19" name="Chart 18">
          <a:extLst>
            <a:ext uri="{FF2B5EF4-FFF2-40B4-BE49-F238E27FC236}">
              <a16:creationId xmlns:a16="http://schemas.microsoft.com/office/drawing/2014/main" id="{E1E433A1-575A-244C-A1E8-D956EBC19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381000</xdr:colOff>
      <xdr:row>20</xdr:row>
      <xdr:rowOff>47622</xdr:rowOff>
    </xdr:from>
    <xdr:to>
      <xdr:col>13</xdr:col>
      <xdr:colOff>784500</xdr:colOff>
      <xdr:row>29</xdr:row>
      <xdr:rowOff>133122</xdr:rowOff>
    </xdr:to>
    <xdr:graphicFrame macro="">
      <xdr:nvGraphicFramePr>
        <xdr:cNvPr id="20" name="Chart 19">
          <a:extLst>
            <a:ext uri="{FF2B5EF4-FFF2-40B4-BE49-F238E27FC236}">
              <a16:creationId xmlns:a16="http://schemas.microsoft.com/office/drawing/2014/main" id="{BB6A7BB3-50EA-4C48-AC6B-ED31AB7729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381000</xdr:colOff>
      <xdr:row>29</xdr:row>
      <xdr:rowOff>147633</xdr:rowOff>
    </xdr:from>
    <xdr:to>
      <xdr:col>13</xdr:col>
      <xdr:colOff>784500</xdr:colOff>
      <xdr:row>39</xdr:row>
      <xdr:rowOff>42633</xdr:rowOff>
    </xdr:to>
    <xdr:graphicFrame macro="">
      <xdr:nvGraphicFramePr>
        <xdr:cNvPr id="21" name="Chart 20">
          <a:extLst>
            <a:ext uri="{FF2B5EF4-FFF2-40B4-BE49-F238E27FC236}">
              <a16:creationId xmlns:a16="http://schemas.microsoft.com/office/drawing/2014/main" id="{439B90C0-8A4D-C440-B34D-10C80A51EE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381000</xdr:colOff>
      <xdr:row>39</xdr:row>
      <xdr:rowOff>57144</xdr:rowOff>
    </xdr:from>
    <xdr:to>
      <xdr:col>13</xdr:col>
      <xdr:colOff>784500</xdr:colOff>
      <xdr:row>48</xdr:row>
      <xdr:rowOff>142644</xdr:rowOff>
    </xdr:to>
    <xdr:graphicFrame macro="">
      <xdr:nvGraphicFramePr>
        <xdr:cNvPr id="22" name="Chart 21">
          <a:extLst>
            <a:ext uri="{FF2B5EF4-FFF2-40B4-BE49-F238E27FC236}">
              <a16:creationId xmlns:a16="http://schemas.microsoft.com/office/drawing/2014/main" id="{3576A9A0-DE58-AC47-A775-1150053FD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381000</xdr:colOff>
      <xdr:row>10</xdr:row>
      <xdr:rowOff>138111</xdr:rowOff>
    </xdr:from>
    <xdr:to>
      <xdr:col>13</xdr:col>
      <xdr:colOff>784500</xdr:colOff>
      <xdr:row>20</xdr:row>
      <xdr:rowOff>33111</xdr:rowOff>
    </xdr:to>
    <xdr:graphicFrame macro="">
      <xdr:nvGraphicFramePr>
        <xdr:cNvPr id="23" name="Chart 22">
          <a:extLst>
            <a:ext uri="{FF2B5EF4-FFF2-40B4-BE49-F238E27FC236}">
              <a16:creationId xmlns:a16="http://schemas.microsoft.com/office/drawing/2014/main" id="{6EF77A99-D915-FD4D-BEAB-9FE8B5FC1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14</xdr:col>
      <xdr:colOff>177800</xdr:colOff>
      <xdr:row>28</xdr:row>
      <xdr:rowOff>63500</xdr:rowOff>
    </xdr:from>
    <xdr:to>
      <xdr:col>22</xdr:col>
      <xdr:colOff>812800</xdr:colOff>
      <xdr:row>46</xdr:row>
      <xdr:rowOff>63500</xdr:rowOff>
    </xdr:to>
    <xdr:graphicFrame macro="">
      <xdr:nvGraphicFramePr>
        <xdr:cNvPr id="26" name="Chart 25">
          <a:extLst>
            <a:ext uri="{FF2B5EF4-FFF2-40B4-BE49-F238E27FC236}">
              <a16:creationId xmlns:a16="http://schemas.microsoft.com/office/drawing/2014/main" id="{D8D2098F-F831-9A4F-BFF8-9A75CB8B4C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30</xdr:col>
      <xdr:colOff>165100</xdr:colOff>
      <xdr:row>39</xdr:row>
      <xdr:rowOff>12700</xdr:rowOff>
    </xdr:from>
    <xdr:to>
      <xdr:col>33</xdr:col>
      <xdr:colOff>568600</xdr:colOff>
      <xdr:row>48</xdr:row>
      <xdr:rowOff>98200</xdr:rowOff>
    </xdr:to>
    <xdr:graphicFrame macro="">
      <xdr:nvGraphicFramePr>
        <xdr:cNvPr id="27" name="Chart 26">
          <a:extLst>
            <a:ext uri="{FF2B5EF4-FFF2-40B4-BE49-F238E27FC236}">
              <a16:creationId xmlns:a16="http://schemas.microsoft.com/office/drawing/2014/main" id="{9D05E621-0E44-1645-B2B6-03C592454C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26</xdr:col>
      <xdr:colOff>571500</xdr:colOff>
      <xdr:row>39</xdr:row>
      <xdr:rowOff>12700</xdr:rowOff>
    </xdr:from>
    <xdr:to>
      <xdr:col>30</xdr:col>
      <xdr:colOff>149500</xdr:colOff>
      <xdr:row>48</xdr:row>
      <xdr:rowOff>98200</xdr:rowOff>
    </xdr:to>
    <xdr:graphicFrame macro="">
      <xdr:nvGraphicFramePr>
        <xdr:cNvPr id="28" name="Chart 27">
          <a:extLst>
            <a:ext uri="{FF2B5EF4-FFF2-40B4-BE49-F238E27FC236}">
              <a16:creationId xmlns:a16="http://schemas.microsoft.com/office/drawing/2014/main" id="{F9DEDAF8-4038-A849-B24F-CB82ED1F08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23</xdr:col>
      <xdr:colOff>152400</xdr:colOff>
      <xdr:row>20</xdr:row>
      <xdr:rowOff>6350</xdr:rowOff>
    </xdr:from>
    <xdr:to>
      <xdr:col>26</xdr:col>
      <xdr:colOff>555900</xdr:colOff>
      <xdr:row>29</xdr:row>
      <xdr:rowOff>91850</xdr:rowOff>
    </xdr:to>
    <xdr:graphicFrame macro="">
      <xdr:nvGraphicFramePr>
        <xdr:cNvPr id="29" name="Chart 28">
          <a:extLst>
            <a:ext uri="{FF2B5EF4-FFF2-40B4-BE49-F238E27FC236}">
              <a16:creationId xmlns:a16="http://schemas.microsoft.com/office/drawing/2014/main" id="{BDC8C8A7-9AB5-1042-BAA3-387DB8AE2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30</xdr:col>
      <xdr:colOff>165100</xdr:colOff>
      <xdr:row>10</xdr:row>
      <xdr:rowOff>120650</xdr:rowOff>
    </xdr:from>
    <xdr:to>
      <xdr:col>33</xdr:col>
      <xdr:colOff>568600</xdr:colOff>
      <xdr:row>20</xdr:row>
      <xdr:rowOff>15650</xdr:rowOff>
    </xdr:to>
    <xdr:graphicFrame macro="">
      <xdr:nvGraphicFramePr>
        <xdr:cNvPr id="30" name="Chart 29">
          <a:extLst>
            <a:ext uri="{FF2B5EF4-FFF2-40B4-BE49-F238E27FC236}">
              <a16:creationId xmlns:a16="http://schemas.microsoft.com/office/drawing/2014/main" id="{AE84EB7A-3A28-C649-AA50-2A2E63B3A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30</xdr:col>
      <xdr:colOff>165100</xdr:colOff>
      <xdr:row>1</xdr:row>
      <xdr:rowOff>25400</xdr:rowOff>
    </xdr:from>
    <xdr:to>
      <xdr:col>33</xdr:col>
      <xdr:colOff>568600</xdr:colOff>
      <xdr:row>10</xdr:row>
      <xdr:rowOff>110900</xdr:rowOff>
    </xdr:to>
    <xdr:graphicFrame macro="">
      <xdr:nvGraphicFramePr>
        <xdr:cNvPr id="32" name="Chart 31">
          <a:extLst>
            <a:ext uri="{FF2B5EF4-FFF2-40B4-BE49-F238E27FC236}">
              <a16:creationId xmlns:a16="http://schemas.microsoft.com/office/drawing/2014/main" id="{71E84A0D-E89C-9047-8A0C-9504E2C15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23</xdr:col>
      <xdr:colOff>152400</xdr:colOff>
      <xdr:row>10</xdr:row>
      <xdr:rowOff>107950</xdr:rowOff>
    </xdr:from>
    <xdr:to>
      <xdr:col>26</xdr:col>
      <xdr:colOff>555900</xdr:colOff>
      <xdr:row>20</xdr:row>
      <xdr:rowOff>2950</xdr:rowOff>
    </xdr:to>
    <xdr:graphicFrame macro="">
      <xdr:nvGraphicFramePr>
        <xdr:cNvPr id="35" name="Chart 34">
          <a:extLst>
            <a:ext uri="{FF2B5EF4-FFF2-40B4-BE49-F238E27FC236}">
              <a16:creationId xmlns:a16="http://schemas.microsoft.com/office/drawing/2014/main" id="{26061004-A96C-FD4D-87B2-6DDBB5AF2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23</xdr:col>
      <xdr:colOff>152400</xdr:colOff>
      <xdr:row>1</xdr:row>
      <xdr:rowOff>12700</xdr:rowOff>
    </xdr:from>
    <xdr:to>
      <xdr:col>26</xdr:col>
      <xdr:colOff>555900</xdr:colOff>
      <xdr:row>10</xdr:row>
      <xdr:rowOff>98200</xdr:rowOff>
    </xdr:to>
    <xdr:graphicFrame macro="">
      <xdr:nvGraphicFramePr>
        <xdr:cNvPr id="36" name="Chart 35">
          <a:extLst>
            <a:ext uri="{FF2B5EF4-FFF2-40B4-BE49-F238E27FC236}">
              <a16:creationId xmlns:a16="http://schemas.microsoft.com/office/drawing/2014/main" id="{C8FE1B30-1457-1348-A859-45D0FBD8F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23</xdr:col>
      <xdr:colOff>152400</xdr:colOff>
      <xdr:row>29</xdr:row>
      <xdr:rowOff>101600</xdr:rowOff>
    </xdr:from>
    <xdr:to>
      <xdr:col>26</xdr:col>
      <xdr:colOff>555900</xdr:colOff>
      <xdr:row>38</xdr:row>
      <xdr:rowOff>187100</xdr:rowOff>
    </xdr:to>
    <xdr:graphicFrame macro="">
      <xdr:nvGraphicFramePr>
        <xdr:cNvPr id="38" name="Chart 37">
          <a:extLst>
            <a:ext uri="{FF2B5EF4-FFF2-40B4-BE49-F238E27FC236}">
              <a16:creationId xmlns:a16="http://schemas.microsoft.com/office/drawing/2014/main" id="{0CA4449E-C43C-C040-A805-B4B0FC1DE3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26</xdr:col>
      <xdr:colOff>571500</xdr:colOff>
      <xdr:row>20</xdr:row>
      <xdr:rowOff>19050</xdr:rowOff>
    </xdr:from>
    <xdr:to>
      <xdr:col>30</xdr:col>
      <xdr:colOff>149500</xdr:colOff>
      <xdr:row>29</xdr:row>
      <xdr:rowOff>104550</xdr:rowOff>
    </xdr:to>
    <xdr:graphicFrame macro="">
      <xdr:nvGraphicFramePr>
        <xdr:cNvPr id="39" name="Chart 38">
          <a:extLst>
            <a:ext uri="{FF2B5EF4-FFF2-40B4-BE49-F238E27FC236}">
              <a16:creationId xmlns:a16="http://schemas.microsoft.com/office/drawing/2014/main" id="{CA373E72-D29D-234C-8140-C5A12C08A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30</xdr:col>
      <xdr:colOff>165100</xdr:colOff>
      <xdr:row>29</xdr:row>
      <xdr:rowOff>111125</xdr:rowOff>
    </xdr:from>
    <xdr:to>
      <xdr:col>33</xdr:col>
      <xdr:colOff>568600</xdr:colOff>
      <xdr:row>39</xdr:row>
      <xdr:rowOff>6125</xdr:rowOff>
    </xdr:to>
    <xdr:graphicFrame macro="">
      <xdr:nvGraphicFramePr>
        <xdr:cNvPr id="40" name="Chart 39">
          <a:extLst>
            <a:ext uri="{FF2B5EF4-FFF2-40B4-BE49-F238E27FC236}">
              <a16:creationId xmlns:a16="http://schemas.microsoft.com/office/drawing/2014/main" id="{8D8A70A2-7DF6-D944-AF1D-98E286C37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26</xdr:col>
      <xdr:colOff>571500</xdr:colOff>
      <xdr:row>10</xdr:row>
      <xdr:rowOff>117475</xdr:rowOff>
    </xdr:from>
    <xdr:to>
      <xdr:col>30</xdr:col>
      <xdr:colOff>149500</xdr:colOff>
      <xdr:row>20</xdr:row>
      <xdr:rowOff>12475</xdr:rowOff>
    </xdr:to>
    <xdr:graphicFrame macro="">
      <xdr:nvGraphicFramePr>
        <xdr:cNvPr id="41" name="Chart 40">
          <a:extLst>
            <a:ext uri="{FF2B5EF4-FFF2-40B4-BE49-F238E27FC236}">
              <a16:creationId xmlns:a16="http://schemas.microsoft.com/office/drawing/2014/main" id="{DCAB6649-70AA-0141-BB76-8C4B3AF66F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14</xdr:col>
      <xdr:colOff>177800</xdr:colOff>
      <xdr:row>13</xdr:row>
      <xdr:rowOff>0</xdr:rowOff>
    </xdr:from>
    <xdr:to>
      <xdr:col>23</xdr:col>
      <xdr:colOff>0</xdr:colOff>
      <xdr:row>28</xdr:row>
      <xdr:rowOff>50800</xdr:rowOff>
    </xdr:to>
    <xdr:graphicFrame macro="">
      <xdr:nvGraphicFramePr>
        <xdr:cNvPr id="42" name="Chart 41">
          <a:extLst>
            <a:ext uri="{FF2B5EF4-FFF2-40B4-BE49-F238E27FC236}">
              <a16:creationId xmlns:a16="http://schemas.microsoft.com/office/drawing/2014/main" id="{A6E21129-2C80-6044-97DD-5D4BA66B39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31</xdr:col>
      <xdr:colOff>495300</xdr:colOff>
      <xdr:row>69</xdr:row>
      <xdr:rowOff>0</xdr:rowOff>
    </xdr:from>
    <xdr:to>
      <xdr:col>35</xdr:col>
      <xdr:colOff>73300</xdr:colOff>
      <xdr:row>78</xdr:row>
      <xdr:rowOff>85500</xdr:rowOff>
    </xdr:to>
    <xdr:graphicFrame macro="">
      <xdr:nvGraphicFramePr>
        <xdr:cNvPr id="43" name="Chart 42">
          <a:extLst>
            <a:ext uri="{FF2B5EF4-FFF2-40B4-BE49-F238E27FC236}">
              <a16:creationId xmlns:a16="http://schemas.microsoft.com/office/drawing/2014/main" id="{9B0F9F5E-5E36-F846-BC3A-FE9AB4B392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26</xdr:col>
      <xdr:colOff>571500</xdr:colOff>
      <xdr:row>1</xdr:row>
      <xdr:rowOff>25400</xdr:rowOff>
    </xdr:from>
    <xdr:to>
      <xdr:col>30</xdr:col>
      <xdr:colOff>149500</xdr:colOff>
      <xdr:row>10</xdr:row>
      <xdr:rowOff>110900</xdr:rowOff>
    </xdr:to>
    <xdr:graphicFrame macro="">
      <xdr:nvGraphicFramePr>
        <xdr:cNvPr id="44" name="Chart 43">
          <a:extLst>
            <a:ext uri="{FF2B5EF4-FFF2-40B4-BE49-F238E27FC236}">
              <a16:creationId xmlns:a16="http://schemas.microsoft.com/office/drawing/2014/main" id="{010915B6-BD4E-4840-9195-90946C9266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23</xdr:col>
      <xdr:colOff>152400</xdr:colOff>
      <xdr:row>39</xdr:row>
      <xdr:rowOff>9525</xdr:rowOff>
    </xdr:from>
    <xdr:to>
      <xdr:col>26</xdr:col>
      <xdr:colOff>555900</xdr:colOff>
      <xdr:row>48</xdr:row>
      <xdr:rowOff>95025</xdr:rowOff>
    </xdr:to>
    <xdr:graphicFrame macro="">
      <xdr:nvGraphicFramePr>
        <xdr:cNvPr id="45" name="Chart 44">
          <a:extLst>
            <a:ext uri="{FF2B5EF4-FFF2-40B4-BE49-F238E27FC236}">
              <a16:creationId xmlns:a16="http://schemas.microsoft.com/office/drawing/2014/main" id="{66E8E137-94F7-3846-92A5-24580E282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26</xdr:col>
      <xdr:colOff>571500</xdr:colOff>
      <xdr:row>29</xdr:row>
      <xdr:rowOff>114300</xdr:rowOff>
    </xdr:from>
    <xdr:to>
      <xdr:col>30</xdr:col>
      <xdr:colOff>149500</xdr:colOff>
      <xdr:row>39</xdr:row>
      <xdr:rowOff>9300</xdr:rowOff>
    </xdr:to>
    <xdr:graphicFrame macro="">
      <xdr:nvGraphicFramePr>
        <xdr:cNvPr id="46" name="Chart 45">
          <a:extLst>
            <a:ext uri="{FF2B5EF4-FFF2-40B4-BE49-F238E27FC236}">
              <a16:creationId xmlns:a16="http://schemas.microsoft.com/office/drawing/2014/main" id="{7AC26096-BAED-E643-B2B6-80C22880B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30</xdr:col>
      <xdr:colOff>165100</xdr:colOff>
      <xdr:row>20</xdr:row>
      <xdr:rowOff>25400</xdr:rowOff>
    </xdr:from>
    <xdr:to>
      <xdr:col>33</xdr:col>
      <xdr:colOff>568600</xdr:colOff>
      <xdr:row>29</xdr:row>
      <xdr:rowOff>110900</xdr:rowOff>
    </xdr:to>
    <xdr:graphicFrame macro="">
      <xdr:nvGraphicFramePr>
        <xdr:cNvPr id="47" name="Chart 46">
          <a:extLst>
            <a:ext uri="{FF2B5EF4-FFF2-40B4-BE49-F238E27FC236}">
              <a16:creationId xmlns:a16="http://schemas.microsoft.com/office/drawing/2014/main" id="{ADE2D32D-E7C9-F749-8814-608E16D6ED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dra.chowdhury\OneDrive\Documents\Eq%20Workspace\A_Current%20Companies\Bharat%20Rasayan\Bharat%20Rasayan_Rudr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bhisheks\Google%20Drive\Stocks%202020\Avanti_Feeds_Donald_PI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Data Sheet"/>
      <sheetName val="Calculated Data"/>
      <sheetName val="Forecast"/>
    </sheetNames>
    <sheetDataSet>
      <sheetData sheetId="0" refreshError="1"/>
      <sheetData sheetId="1" refreshError="1"/>
      <sheetData sheetId="2" refreshError="1"/>
      <sheetData sheetId="3" refreshError="1"/>
      <sheetData sheetId="4" refreshError="1"/>
      <sheetData sheetId="5">
        <row r="1">
          <cell r="E1"/>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Data Sheet"/>
      <sheetName val="Calculated Data"/>
      <sheetName val="Cost Analysis"/>
      <sheetName val="Business Robustness"/>
      <sheetName val="Price Implied Expectations"/>
      <sheetName val="Buffet-Valuation"/>
    </sheetNames>
    <sheetDataSet>
      <sheetData sheetId="0"/>
      <sheetData sheetId="1"/>
      <sheetData sheetId="2"/>
      <sheetData sheetId="3"/>
      <sheetData sheetId="4"/>
      <sheetData sheetId="5">
        <row r="1">
          <cell r="B1" t="str">
            <v>AVANTI FEEDS LTD</v>
          </cell>
          <cell r="E1" t="str">
            <v/>
          </cell>
        </row>
        <row r="16">
          <cell r="D16">
            <v>40268</v>
          </cell>
          <cell r="E16">
            <v>40633</v>
          </cell>
          <cell r="F16">
            <v>40999</v>
          </cell>
          <cell r="G16">
            <v>41364</v>
          </cell>
          <cell r="H16">
            <v>41729</v>
          </cell>
          <cell r="I16">
            <v>42094</v>
          </cell>
          <cell r="J16">
            <v>42460</v>
          </cell>
          <cell r="K16">
            <v>42825</v>
          </cell>
        </row>
      </sheetData>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nnual" displayName="Annual" ref="A3:S20" headerRowCount="0" totalsRowShown="0" headerRowDxfId="44">
  <tableColumns count="19">
    <tableColumn id="1" xr3:uid="{00000000-0010-0000-0000-000001000000}" name="Column1" headerRowDxfId="43" dataDxfId="42"/>
    <tableColumn id="2" xr3:uid="{00000000-0010-0000-0000-000002000000}" name="Column2" headerRowDxfId="41"/>
    <tableColumn id="3" xr3:uid="{00000000-0010-0000-0000-000003000000}" name="Column3" headerRowDxfId="40"/>
    <tableColumn id="4" xr3:uid="{00000000-0010-0000-0000-000004000000}" name="Column4" headerRowDxfId="39"/>
    <tableColumn id="5" xr3:uid="{00000000-0010-0000-0000-000005000000}" name="Column5" headerRowDxfId="38"/>
    <tableColumn id="6" xr3:uid="{00000000-0010-0000-0000-000006000000}" name="Column6" headerRowDxfId="37"/>
    <tableColumn id="7" xr3:uid="{00000000-0010-0000-0000-000007000000}" name="Column7" headerRowDxfId="36"/>
    <tableColumn id="8" xr3:uid="{00000000-0010-0000-0000-000008000000}" name="Column8" headerRowDxfId="35"/>
    <tableColumn id="9" xr3:uid="{00000000-0010-0000-0000-000009000000}" name="Column9" headerRowDxfId="34"/>
    <tableColumn id="10" xr3:uid="{00000000-0010-0000-0000-00000A000000}" name="Column10" headerRowDxfId="33"/>
    <tableColumn id="11" xr3:uid="{00000000-0010-0000-0000-00000B000000}" name="Column11" headerRowDxfId="32"/>
    <tableColumn id="19" xr3:uid="{47F970B2-CA1C-43DC-BAFA-A24FC3299C71}" name="Column19" headerRowDxfId="31"/>
    <tableColumn id="18" xr3:uid="{2BCEBAE2-81DF-4927-AB02-B14478A6EF85}" name="Column18" headerRowDxfId="30"/>
    <tableColumn id="17" xr3:uid="{D61853A6-F644-48A7-A8F1-E11ED70559C8}" name="Column17" headerRowDxfId="29"/>
    <tableColumn id="16" xr3:uid="{362B0198-3A25-48EF-A4A3-B027361793E0}" name="Column16" headerRowDxfId="28"/>
    <tableColumn id="15" xr3:uid="{6405A8A3-1D6D-4886-A661-D508B38601EA}" name="Column15" headerRowDxfId="27"/>
    <tableColumn id="12" xr3:uid="{00000000-0010-0000-0000-00000C000000}" name="Column12" headerRowDxfId="26"/>
    <tableColumn id="13" xr3:uid="{00000000-0010-0000-0000-00000D000000}" name="Column13" headerRowDxfId="25" dataDxfId="24"/>
    <tableColumn id="14" xr3:uid="{00000000-0010-0000-0000-00000E000000}" name="Column14" headerRowDxfId="23" dataDxfId="2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Quarters" displayName="Quarters" ref="A3:K14" headerRowCount="0" totalsRowShown="0" headerRowDxfId="21">
  <tableColumns count="11">
    <tableColumn id="1" xr3:uid="{00000000-0010-0000-0100-000001000000}" name="Column1" headerRowDxfId="20"/>
    <tableColumn id="2" xr3:uid="{00000000-0010-0000-0100-000002000000}" name="Column2" headerRowDxfId="19"/>
    <tableColumn id="3" xr3:uid="{00000000-0010-0000-0100-000003000000}" name="Column3" headerRowDxfId="18"/>
    <tableColumn id="4" xr3:uid="{00000000-0010-0000-0100-000004000000}" name="Column4" headerRowDxfId="17"/>
    <tableColumn id="5" xr3:uid="{00000000-0010-0000-0100-000005000000}" name="Column5" headerRowDxfId="16"/>
    <tableColumn id="6" xr3:uid="{00000000-0010-0000-0100-000006000000}" name="Column6" headerRowDxfId="15"/>
    <tableColumn id="7" xr3:uid="{00000000-0010-0000-0100-000007000000}" name="Column7" headerRowDxfId="14"/>
    <tableColumn id="8" xr3:uid="{00000000-0010-0000-0100-000008000000}" name="Column8" headerRowDxfId="13"/>
    <tableColumn id="9" xr3:uid="{00000000-0010-0000-0100-000009000000}" name="Column9" headerRowDxfId="12"/>
    <tableColumn id="10" xr3:uid="{00000000-0010-0000-0100-00000A000000}" name="Column10" headerRowDxfId="11"/>
    <tableColumn id="11" xr3:uid="{00000000-0010-0000-0100-00000B000000}" name="Column11" headerRowDxfId="10"/>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www.screener.in/"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www.screener.i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screener.i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creener.in/"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hyperlink" Target="https://www.screener.in/exc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609C9-F9DD-404E-8873-D9245C5D4EF5}">
  <dimension ref="A1:AE40"/>
  <sheetViews>
    <sheetView tabSelected="1" topLeftCell="P16" zoomScale="145" zoomScaleNormal="145" workbookViewId="0">
      <selection activeCell="Y21" sqref="Y21"/>
    </sheetView>
    <sheetView workbookViewId="1"/>
  </sheetViews>
  <sheetFormatPr defaultColWidth="11.44140625" defaultRowHeight="14.4" x14ac:dyDescent="0.3"/>
  <cols>
    <col min="1" max="1" width="42.44140625" bestFit="1" customWidth="1"/>
    <col min="2" max="2" width="7.88671875" customWidth="1"/>
    <col min="3" max="3" width="10.88671875" customWidth="1"/>
    <col min="4" max="7" width="7.88671875" customWidth="1"/>
    <col min="8" max="8" width="9.44140625" customWidth="1"/>
    <col min="9" max="10" width="7.88671875" customWidth="1"/>
    <col min="11" max="11" width="8.5546875" bestFit="1" customWidth="1"/>
    <col min="12" max="12" width="8.6640625" customWidth="1"/>
    <col min="13" max="13" width="8.88671875" customWidth="1"/>
    <col min="14" max="14" width="8.33203125" customWidth="1"/>
    <col min="15" max="15" width="12" bestFit="1" customWidth="1"/>
    <col min="16" max="16" width="8.33203125" customWidth="1"/>
    <col min="17" max="17" width="8.5546875" bestFit="1" customWidth="1"/>
    <col min="18" max="18" width="7.88671875" customWidth="1"/>
  </cols>
  <sheetData>
    <row r="1" spans="1:31" x14ac:dyDescent="0.3">
      <c r="A1" s="113" t="str">
        <f>'[2]Data Sheet'!B1</f>
        <v>AVANTI FEEDS LTD</v>
      </c>
    </row>
    <row r="2" spans="1:31" x14ac:dyDescent="0.3">
      <c r="A2" s="203" t="s">
        <v>397</v>
      </c>
      <c r="B2" s="204">
        <f>'[2]Data Sheet'!D16</f>
        <v>40268</v>
      </c>
      <c r="C2" s="204">
        <f>'[2]Data Sheet'!E16</f>
        <v>40633</v>
      </c>
      <c r="D2" s="204">
        <f>'[2]Data Sheet'!F16</f>
        <v>40999</v>
      </c>
      <c r="E2" s="204">
        <f>'[2]Data Sheet'!G16</f>
        <v>41364</v>
      </c>
      <c r="F2" s="204">
        <f>'[2]Data Sheet'!H16</f>
        <v>41729</v>
      </c>
      <c r="G2" s="204">
        <f>'[2]Data Sheet'!I16</f>
        <v>42094</v>
      </c>
      <c r="H2" s="204">
        <f>'[2]Data Sheet'!J16</f>
        <v>42460</v>
      </c>
      <c r="I2" s="204">
        <f>'[2]Data Sheet'!K16</f>
        <v>42825</v>
      </c>
      <c r="J2" s="204">
        <v>43160</v>
      </c>
      <c r="K2" s="204">
        <v>43525</v>
      </c>
      <c r="M2" s="260" t="s">
        <v>398</v>
      </c>
      <c r="N2" s="260"/>
      <c r="O2" s="260"/>
      <c r="P2" s="204" t="s">
        <v>399</v>
      </c>
      <c r="Q2" s="205" t="s">
        <v>400</v>
      </c>
      <c r="R2" s="204" t="s">
        <v>401</v>
      </c>
      <c r="T2" t="s">
        <v>433</v>
      </c>
    </row>
    <row r="3" spans="1:31" ht="14.4" customHeight="1" x14ac:dyDescent="0.3">
      <c r="A3" s="206" t="s">
        <v>5</v>
      </c>
      <c r="B3" s="224">
        <f>'Data Sheet'!B17</f>
        <v>125.71</v>
      </c>
      <c r="C3" s="224">
        <f>'Data Sheet'!C17</f>
        <v>159.01</v>
      </c>
      <c r="D3" s="224">
        <f>'Data Sheet'!D17</f>
        <v>217.82</v>
      </c>
      <c r="E3" s="224">
        <f>'Data Sheet'!E17</f>
        <v>225.45</v>
      </c>
      <c r="F3" s="224">
        <f>'Data Sheet'!F17</f>
        <v>261.7</v>
      </c>
      <c r="G3" s="224">
        <f>'Data Sheet'!G17</f>
        <v>282.58</v>
      </c>
      <c r="H3" s="224">
        <f>'Data Sheet'!H17</f>
        <v>271.02999999999997</v>
      </c>
      <c r="I3" s="224">
        <f>'Data Sheet'!I17</f>
        <v>297.41000000000003</v>
      </c>
      <c r="J3" s="224">
        <f>'Data Sheet'!J17</f>
        <v>323.82</v>
      </c>
      <c r="K3" s="224">
        <f>'Data Sheet'!K17</f>
        <v>383.29</v>
      </c>
      <c r="M3" s="253" t="s">
        <v>402</v>
      </c>
      <c r="N3" s="253"/>
      <c r="O3" s="253"/>
      <c r="P3" s="207">
        <f>Customization!B14</f>
        <v>7.9186532433652923E-2</v>
      </c>
      <c r="Q3" s="205">
        <v>0.05</v>
      </c>
      <c r="R3" s="207"/>
      <c r="S3" s="113">
        <v>1</v>
      </c>
      <c r="T3" t="s">
        <v>442</v>
      </c>
      <c r="Y3" s="245" t="s">
        <v>21</v>
      </c>
      <c r="Z3" s="236" t="s">
        <v>5</v>
      </c>
      <c r="AA3" s="236" t="s">
        <v>434</v>
      </c>
      <c r="AB3" s="236" t="s">
        <v>435</v>
      </c>
      <c r="AC3" s="237" t="s">
        <v>436</v>
      </c>
      <c r="AD3" s="236" t="s">
        <v>437</v>
      </c>
    </row>
    <row r="4" spans="1:31" ht="14.4" customHeight="1" x14ac:dyDescent="0.3">
      <c r="A4" s="206" t="s">
        <v>85</v>
      </c>
      <c r="B4" s="224">
        <f>'Profit &amp; Loss'!B6</f>
        <v>38.089999999999989</v>
      </c>
      <c r="C4" s="224">
        <f>'Profit &amp; Loss'!C6</f>
        <v>48.20999999999998</v>
      </c>
      <c r="D4" s="224">
        <f>'Profit &amp; Loss'!D6</f>
        <v>56.09</v>
      </c>
      <c r="E4" s="224">
        <f>'Profit &amp; Loss'!E6</f>
        <v>57.550000000000011</v>
      </c>
      <c r="F4" s="224">
        <f>'Profit &amp; Loss'!F6</f>
        <v>68.779999999999973</v>
      </c>
      <c r="G4" s="224">
        <f>'Profit &amp; Loss'!G6</f>
        <v>72.44</v>
      </c>
      <c r="H4" s="224">
        <f>'Profit &amp; Loss'!H6</f>
        <v>81.38</v>
      </c>
      <c r="I4" s="224">
        <f>'Profit &amp; Loss'!I6</f>
        <v>89.28000000000003</v>
      </c>
      <c r="J4" s="224">
        <f>'Profit &amp; Loss'!J6</f>
        <v>98.609999999999985</v>
      </c>
      <c r="K4" s="224">
        <f>'Profit &amp; Loss'!K6</f>
        <v>121.44000000000005</v>
      </c>
      <c r="M4" s="216"/>
      <c r="N4" s="216"/>
      <c r="O4" s="216"/>
      <c r="P4" s="207"/>
      <c r="Q4" s="205"/>
      <c r="R4" s="207"/>
      <c r="T4" s="246" t="s">
        <v>452</v>
      </c>
      <c r="U4" s="246"/>
      <c r="V4" s="246"/>
      <c r="W4" s="246"/>
      <c r="X4" s="246"/>
      <c r="Y4" s="245"/>
      <c r="Z4" s="238">
        <v>0</v>
      </c>
      <c r="AA4" s="238">
        <v>0.25</v>
      </c>
      <c r="AB4" s="239">
        <v>30</v>
      </c>
      <c r="AC4" s="240">
        <f>674</f>
        <v>674</v>
      </c>
      <c r="AD4" s="239">
        <f>AB4+AC4</f>
        <v>704</v>
      </c>
    </row>
    <row r="5" spans="1:31" x14ac:dyDescent="0.3">
      <c r="A5" s="206" t="s">
        <v>147</v>
      </c>
      <c r="B5" s="224">
        <f>KeyMetrics!B22</f>
        <v>30</v>
      </c>
      <c r="C5" s="224">
        <f>KeyMetrics!C22</f>
        <v>49.809999999999988</v>
      </c>
      <c r="D5" s="224">
        <f>KeyMetrics!D22</f>
        <v>73.710000000000008</v>
      </c>
      <c r="E5" s="224">
        <f>KeyMetrics!E22</f>
        <v>15.760000000000005</v>
      </c>
      <c r="F5" s="224">
        <f>KeyMetrics!F22</f>
        <v>15.329999999999998</v>
      </c>
      <c r="G5" s="224">
        <f>KeyMetrics!G22</f>
        <v>9.1300000000000061</v>
      </c>
      <c r="H5" s="224">
        <f>KeyMetrics!H22</f>
        <v>46.229999999999976</v>
      </c>
      <c r="I5" s="224">
        <f>KeyMetrics!I22</f>
        <v>101.44000000000004</v>
      </c>
      <c r="J5" s="224">
        <f>KeyMetrics!J22</f>
        <v>56.419999999999945</v>
      </c>
      <c r="K5" s="224">
        <f>KeyMetrics!K22</f>
        <v>17.570000000000046</v>
      </c>
      <c r="M5" s="250" t="s">
        <v>403</v>
      </c>
      <c r="N5" s="251"/>
      <c r="O5" s="252"/>
      <c r="P5" s="207">
        <f>AVERAGE(Customization!B36:K36)</f>
        <v>0.26348116755568296</v>
      </c>
      <c r="Q5" s="205">
        <v>0.28000000000000003</v>
      </c>
      <c r="R5" s="208"/>
      <c r="T5" s="246"/>
      <c r="U5" s="246"/>
      <c r="V5" s="246"/>
      <c r="W5" s="246"/>
      <c r="X5" s="246"/>
      <c r="Y5" s="245"/>
      <c r="Z5" s="241">
        <v>0.05</v>
      </c>
      <c r="AA5" s="241">
        <v>0.28000000000000003</v>
      </c>
      <c r="AB5" s="240">
        <v>30</v>
      </c>
      <c r="AC5" s="240">
        <f>773</f>
        <v>773</v>
      </c>
      <c r="AD5" s="240">
        <f>AB5+AC5</f>
        <v>803</v>
      </c>
    </row>
    <row r="6" spans="1:31" x14ac:dyDescent="0.3">
      <c r="A6" s="206" t="s">
        <v>9</v>
      </c>
      <c r="B6" s="224"/>
      <c r="C6" s="224">
        <f>'Profit &amp; Loss'!C8</f>
        <v>5.0199999999999996</v>
      </c>
      <c r="D6" s="224">
        <f>'Profit &amp; Loss'!D8</f>
        <v>7.12</v>
      </c>
      <c r="E6" s="224">
        <f>'Profit &amp; Loss'!E8</f>
        <v>9.61</v>
      </c>
      <c r="F6" s="224">
        <f>'Profit &amp; Loss'!F8</f>
        <v>10.43</v>
      </c>
      <c r="G6" s="224">
        <f>'Profit &amp; Loss'!G8</f>
        <v>13.08</v>
      </c>
      <c r="H6" s="224">
        <f>'Profit &amp; Loss'!H8</f>
        <v>15.65</v>
      </c>
      <c r="I6" s="224">
        <f>'Profit &amp; Loss'!I8</f>
        <v>15.15</v>
      </c>
      <c r="J6" s="224">
        <f>'Profit &amp; Loss'!J8</f>
        <v>16.34</v>
      </c>
      <c r="K6" s="224">
        <f>'Profit &amp; Loss'!K8</f>
        <v>18.59</v>
      </c>
      <c r="M6" s="250" t="s">
        <v>134</v>
      </c>
      <c r="N6" s="251"/>
      <c r="O6" s="252"/>
      <c r="P6" s="209">
        <f>AVERAGE(KeyMetrics!I25:K25)</f>
        <v>0.28112275068935183</v>
      </c>
      <c r="Q6" s="205">
        <v>0.3</v>
      </c>
      <c r="T6" s="246"/>
      <c r="U6" s="246"/>
      <c r="V6" s="246"/>
      <c r="W6" s="246"/>
      <c r="X6" s="246"/>
      <c r="Y6" s="245"/>
      <c r="Z6" s="241">
        <v>0.14000000000000001</v>
      </c>
      <c r="AA6" s="241">
        <v>0.3</v>
      </c>
      <c r="AB6" s="240">
        <v>30</v>
      </c>
      <c r="AC6" s="240">
        <v>1184</v>
      </c>
      <c r="AD6" s="240">
        <f>AB6+AC6</f>
        <v>1214</v>
      </c>
    </row>
    <row r="7" spans="1:31" x14ac:dyDescent="0.3">
      <c r="A7" s="206" t="s">
        <v>404</v>
      </c>
      <c r="B7" s="224"/>
      <c r="C7" s="224">
        <f>C5-C6</f>
        <v>44.789999999999992</v>
      </c>
      <c r="D7" s="224">
        <f t="shared" ref="D7:K7" si="0">D5-D6</f>
        <v>66.59</v>
      </c>
      <c r="E7" s="224">
        <f t="shared" si="0"/>
        <v>6.1500000000000057</v>
      </c>
      <c r="F7" s="224">
        <f t="shared" si="0"/>
        <v>4.8999999999999986</v>
      </c>
      <c r="G7" s="224">
        <f t="shared" si="0"/>
        <v>-3.949999999999994</v>
      </c>
      <c r="H7" s="224">
        <f t="shared" si="0"/>
        <v>30.579999999999977</v>
      </c>
      <c r="I7" s="224">
        <f t="shared" si="0"/>
        <v>86.290000000000035</v>
      </c>
      <c r="J7" s="224">
        <f t="shared" si="0"/>
        <v>40.079999999999941</v>
      </c>
      <c r="K7" s="224">
        <f t="shared" si="0"/>
        <v>-1.0199999999999534</v>
      </c>
      <c r="L7" s="219"/>
      <c r="M7" s="250" t="s">
        <v>405</v>
      </c>
      <c r="N7" s="251"/>
      <c r="O7" s="252"/>
      <c r="P7" s="207">
        <f>AVERAGE(G10:K10)</f>
        <v>1.1422115685257914</v>
      </c>
      <c r="Q7" s="205">
        <v>1.1499999999999999</v>
      </c>
      <c r="T7" s="246"/>
      <c r="U7" s="246"/>
      <c r="V7" s="246"/>
      <c r="W7" s="246"/>
      <c r="X7" s="246"/>
    </row>
    <row r="8" spans="1:31" ht="14.4" customHeight="1" x14ac:dyDescent="0.3">
      <c r="A8" s="206" t="s">
        <v>406</v>
      </c>
      <c r="B8" s="224"/>
      <c r="C8" s="224">
        <f>C3-B3</f>
        <v>33.299999999999997</v>
      </c>
      <c r="D8" s="224">
        <f t="shared" ref="D8:K8" si="1">D3-C3</f>
        <v>58.81</v>
      </c>
      <c r="E8" s="224">
        <f t="shared" si="1"/>
        <v>7.6299999999999955</v>
      </c>
      <c r="F8" s="224">
        <f t="shared" si="1"/>
        <v>36.25</v>
      </c>
      <c r="G8" s="224">
        <f t="shared" si="1"/>
        <v>20.879999999999995</v>
      </c>
      <c r="H8" s="224">
        <f t="shared" si="1"/>
        <v>-11.550000000000011</v>
      </c>
      <c r="I8" s="224">
        <f t="shared" si="1"/>
        <v>26.380000000000052</v>
      </c>
      <c r="J8" s="224">
        <f t="shared" si="1"/>
        <v>26.409999999999968</v>
      </c>
      <c r="K8" s="224">
        <f t="shared" si="1"/>
        <v>59.470000000000027</v>
      </c>
      <c r="L8" s="219"/>
      <c r="M8" s="250" t="s">
        <v>407</v>
      </c>
      <c r="N8" s="251"/>
      <c r="O8" s="252"/>
      <c r="P8" s="207">
        <f>AVERAGE(G16:K16)</f>
        <v>0.33334334709180263</v>
      </c>
      <c r="Q8" s="205">
        <v>0.35</v>
      </c>
      <c r="S8" s="113"/>
      <c r="T8" s="246"/>
      <c r="U8" s="246"/>
      <c r="V8" s="246"/>
      <c r="W8" s="246"/>
      <c r="X8" s="246"/>
      <c r="Y8" s="249" t="s">
        <v>438</v>
      </c>
      <c r="Z8" s="230" t="s">
        <v>5</v>
      </c>
      <c r="AA8" s="230" t="s">
        <v>434</v>
      </c>
      <c r="AB8" s="230" t="s">
        <v>435</v>
      </c>
      <c r="AC8" s="231" t="s">
        <v>436</v>
      </c>
      <c r="AD8" s="230" t="s">
        <v>437</v>
      </c>
    </row>
    <row r="9" spans="1:31" x14ac:dyDescent="0.3">
      <c r="A9" s="203" t="s">
        <v>408</v>
      </c>
      <c r="B9" s="206"/>
      <c r="C9" s="227">
        <f>C7/C8</f>
        <v>1.3450450450450449</v>
      </c>
      <c r="D9" s="227">
        <f t="shared" ref="D9:K9" si="2">D7/D8</f>
        <v>1.1322904267981635</v>
      </c>
      <c r="E9" s="227">
        <f t="shared" si="2"/>
        <v>0.80602883355177057</v>
      </c>
      <c r="F9" s="227">
        <f t="shared" si="2"/>
        <v>0.13517241379310341</v>
      </c>
      <c r="G9" s="227">
        <f t="shared" si="2"/>
        <v>-0.18917624521072773</v>
      </c>
      <c r="H9" s="227">
        <f t="shared" si="2"/>
        <v>-2.6476190476190431</v>
      </c>
      <c r="I9" s="227">
        <f t="shared" si="2"/>
        <v>3.2710386656557948</v>
      </c>
      <c r="J9" s="227">
        <f t="shared" si="2"/>
        <v>1.5176069670579322</v>
      </c>
      <c r="K9" s="227">
        <f t="shared" si="2"/>
        <v>-1.7151504960483486E-2</v>
      </c>
      <c r="L9" s="220"/>
      <c r="M9" s="250" t="s">
        <v>409</v>
      </c>
      <c r="N9" s="251"/>
      <c r="O9" s="252"/>
      <c r="P9" s="206"/>
      <c r="Q9" s="205">
        <v>0.12</v>
      </c>
      <c r="Y9" s="249"/>
      <c r="Z9" s="232">
        <v>0.05</v>
      </c>
      <c r="AA9" s="232">
        <v>0.24</v>
      </c>
      <c r="AB9" s="233">
        <v>30</v>
      </c>
      <c r="AC9" s="234">
        <v>678</v>
      </c>
      <c r="AD9" s="233">
        <f>AB9+AC9</f>
        <v>708</v>
      </c>
    </row>
    <row r="10" spans="1:31" s="113" customFormat="1" ht="14.4" customHeight="1" x14ac:dyDescent="0.3">
      <c r="A10" s="210" t="s">
        <v>399</v>
      </c>
      <c r="B10" s="203"/>
      <c r="C10" s="203"/>
      <c r="D10" s="227"/>
      <c r="E10" s="227"/>
      <c r="F10" s="227"/>
      <c r="G10" s="228">
        <f>SUMIF(C7:G7,"&gt;0")/SUMIF(C8:G8,"&gt;0")</f>
        <v>0.7804551539491299</v>
      </c>
      <c r="H10" s="228">
        <f t="shared" ref="H10:J10" si="3">SUMIF(D7:H7,"&gt;0")/SUMIF(D8:H8,"&gt;0")</f>
        <v>0.8757789107388525</v>
      </c>
      <c r="I10" s="228">
        <f t="shared" si="3"/>
        <v>1.4035549703752463</v>
      </c>
      <c r="J10" s="228">
        <f t="shared" si="3"/>
        <v>1.4724344978165933</v>
      </c>
      <c r="K10" s="228">
        <f>SUMIF(G7:K7,"&gt;0")/SUMIF(G8:K8,"&gt;0")</f>
        <v>1.1788343097491354</v>
      </c>
      <c r="M10" s="250" t="s">
        <v>410</v>
      </c>
      <c r="N10" s="251"/>
      <c r="O10" s="252"/>
      <c r="P10" s="203"/>
      <c r="Q10" s="205">
        <v>0.05</v>
      </c>
      <c r="S10" s="113">
        <v>2</v>
      </c>
      <c r="T10" s="246" t="s">
        <v>443</v>
      </c>
      <c r="U10" s="246"/>
      <c r="V10" s="246"/>
      <c r="W10" s="246"/>
      <c r="X10" s="246"/>
      <c r="Y10" s="249"/>
      <c r="Z10" s="235">
        <v>0.05</v>
      </c>
      <c r="AA10" s="235">
        <v>0.28000000000000003</v>
      </c>
      <c r="AB10" s="234">
        <v>30</v>
      </c>
      <c r="AC10" s="234">
        <f>773</f>
        <v>773</v>
      </c>
      <c r="AD10" s="234">
        <f>AB10+AC10</f>
        <v>803</v>
      </c>
    </row>
    <row r="11" spans="1:31" s="113" customFormat="1" x14ac:dyDescent="0.3">
      <c r="A11" s="210" t="s">
        <v>411</v>
      </c>
      <c r="B11" s="203"/>
      <c r="C11" s="203"/>
      <c r="D11" s="227"/>
      <c r="E11" s="227"/>
      <c r="F11" s="227"/>
      <c r="G11" s="228"/>
      <c r="H11" s="228"/>
      <c r="I11" s="228"/>
      <c r="J11" s="228"/>
      <c r="K11" s="228">
        <f>SUMIF(C7:K7,"&gt;0")/SUMIF(C8:K8,"&gt;0")</f>
        <v>1.0380856834986805</v>
      </c>
      <c r="M11" s="250" t="s">
        <v>282</v>
      </c>
      <c r="N11" s="251"/>
      <c r="O11" s="252"/>
      <c r="P11" s="203"/>
      <c r="Q11" s="211">
        <v>0</v>
      </c>
      <c r="T11" s="246"/>
      <c r="U11" s="246"/>
      <c r="V11" s="246"/>
      <c r="W11" s="246"/>
      <c r="X11" s="246"/>
      <c r="Y11" s="249"/>
      <c r="Z11" s="235">
        <v>0.05</v>
      </c>
      <c r="AA11" s="235">
        <v>0.41</v>
      </c>
      <c r="AB11" s="234">
        <v>30</v>
      </c>
      <c r="AC11" s="234">
        <v>1189</v>
      </c>
      <c r="AD11" s="234">
        <f>AB11+AC11</f>
        <v>1219</v>
      </c>
    </row>
    <row r="12" spans="1:31" ht="14.4" customHeight="1" x14ac:dyDescent="0.3">
      <c r="A12" s="257"/>
      <c r="B12" s="258"/>
      <c r="C12" s="258"/>
      <c r="D12" s="258"/>
      <c r="E12" s="258"/>
      <c r="F12" s="258"/>
      <c r="G12" s="258"/>
      <c r="H12" s="258"/>
      <c r="I12" s="258"/>
      <c r="J12" s="258"/>
      <c r="K12" s="259"/>
      <c r="M12" s="250" t="s">
        <v>28</v>
      </c>
      <c r="N12" s="251"/>
      <c r="O12" s="252"/>
      <c r="P12" s="206"/>
      <c r="Q12" s="211">
        <v>117</v>
      </c>
      <c r="T12" s="246"/>
      <c r="U12" s="246"/>
      <c r="V12" s="246"/>
      <c r="W12" s="246"/>
      <c r="X12" s="246"/>
    </row>
    <row r="13" spans="1:31" x14ac:dyDescent="0.3">
      <c r="A13" s="206" t="s">
        <v>29</v>
      </c>
      <c r="B13" s="224">
        <f>KeyMetrics!B13</f>
        <v>37.64</v>
      </c>
      <c r="C13" s="224">
        <f>KeyMetrics!C13</f>
        <v>55.739999999999995</v>
      </c>
      <c r="D13" s="224">
        <f>KeyMetrics!D13</f>
        <v>67.86</v>
      </c>
      <c r="E13" s="224">
        <f>KeyMetrics!E13</f>
        <v>79.8</v>
      </c>
      <c r="F13" s="224">
        <f>KeyMetrics!F13</f>
        <v>86.18</v>
      </c>
      <c r="G13" s="224">
        <f>KeyMetrics!G13</f>
        <v>101.77000000000001</v>
      </c>
      <c r="H13" s="224">
        <f>KeyMetrics!H13</f>
        <v>106.74000000000001</v>
      </c>
      <c r="I13" s="224">
        <f>KeyMetrics!I13</f>
        <v>83.94</v>
      </c>
      <c r="J13" s="224">
        <f>KeyMetrics!J13</f>
        <v>80.62</v>
      </c>
      <c r="K13" s="224">
        <f>KeyMetrics!K13</f>
        <v>83.159999999999982</v>
      </c>
      <c r="M13" s="250" t="s">
        <v>412</v>
      </c>
      <c r="N13" s="251"/>
      <c r="O13" s="252"/>
      <c r="P13" s="206"/>
      <c r="Q13" s="211">
        <f>SUM(Q11:Q12)</f>
        <v>117</v>
      </c>
      <c r="T13" s="246"/>
      <c r="U13" s="246"/>
      <c r="V13" s="246"/>
      <c r="W13" s="246"/>
      <c r="X13" s="246"/>
      <c r="Y13" s="247" t="s">
        <v>440</v>
      </c>
      <c r="Z13" s="236" t="s">
        <v>5</v>
      </c>
      <c r="AA13" s="236" t="s">
        <v>434</v>
      </c>
      <c r="AB13" s="236" t="s">
        <v>435</v>
      </c>
      <c r="AC13" s="242" t="s">
        <v>436</v>
      </c>
      <c r="AD13" s="236" t="s">
        <v>437</v>
      </c>
      <c r="AE13" s="236" t="s">
        <v>439</v>
      </c>
    </row>
    <row r="14" spans="1:31" x14ac:dyDescent="0.3">
      <c r="A14" s="206" t="s">
        <v>413</v>
      </c>
      <c r="B14" s="224"/>
      <c r="C14" s="224">
        <f>C13-B13</f>
        <v>18.099999999999994</v>
      </c>
      <c r="D14" s="224">
        <f t="shared" ref="D14:K14" si="4">D13-C13</f>
        <v>12.120000000000005</v>
      </c>
      <c r="E14" s="224">
        <f t="shared" si="4"/>
        <v>11.939999999999998</v>
      </c>
      <c r="F14" s="224">
        <f t="shared" si="4"/>
        <v>6.3800000000000097</v>
      </c>
      <c r="G14" s="224">
        <f t="shared" si="4"/>
        <v>15.590000000000003</v>
      </c>
      <c r="H14" s="224">
        <f t="shared" si="4"/>
        <v>4.9699999999999989</v>
      </c>
      <c r="I14" s="224">
        <f t="shared" si="4"/>
        <v>-22.800000000000011</v>
      </c>
      <c r="J14" s="224">
        <f t="shared" si="4"/>
        <v>-3.3199999999999932</v>
      </c>
      <c r="K14" s="224">
        <f t="shared" si="4"/>
        <v>2.5399999999999778</v>
      </c>
      <c r="M14" s="250" t="s">
        <v>414</v>
      </c>
      <c r="N14" s="251"/>
      <c r="O14" s="252"/>
      <c r="P14" s="206"/>
      <c r="Q14" s="211">
        <v>135</v>
      </c>
      <c r="T14" s="246"/>
      <c r="U14" s="246"/>
      <c r="V14" s="246"/>
      <c r="W14" s="246"/>
      <c r="X14" s="246"/>
      <c r="Y14" s="247"/>
      <c r="Z14" s="244">
        <v>0.05</v>
      </c>
      <c r="AA14" s="244">
        <v>0.28000000000000003</v>
      </c>
      <c r="AB14" s="243">
        <v>30</v>
      </c>
      <c r="AC14" s="243">
        <f>773</f>
        <v>773</v>
      </c>
      <c r="AD14" s="243">
        <f>AB14+AC14</f>
        <v>803</v>
      </c>
      <c r="AE14" s="244">
        <v>0.15</v>
      </c>
    </row>
    <row r="15" spans="1:31" ht="14.4" customHeight="1" x14ac:dyDescent="0.3">
      <c r="A15" s="203" t="s">
        <v>415</v>
      </c>
      <c r="B15" s="206"/>
      <c r="C15" s="227">
        <f>C14/C8</f>
        <v>0.54354354354354339</v>
      </c>
      <c r="D15" s="227">
        <f t="shared" ref="D15:K15" si="5">D14/D8</f>
        <v>0.20608740010202353</v>
      </c>
      <c r="E15" s="227">
        <f t="shared" si="5"/>
        <v>1.5648754914809968</v>
      </c>
      <c r="F15" s="227">
        <f t="shared" si="5"/>
        <v>0.17600000000000027</v>
      </c>
      <c r="G15" s="227">
        <f t="shared" si="5"/>
        <v>0.74664750957854442</v>
      </c>
      <c r="H15" s="227">
        <f t="shared" si="5"/>
        <v>-0.4303030303030298</v>
      </c>
      <c r="I15" s="227">
        <f t="shared" si="5"/>
        <v>-0.86429112964366817</v>
      </c>
      <c r="J15" s="227">
        <f t="shared" si="5"/>
        <v>-0.12570995834911008</v>
      </c>
      <c r="K15" s="227">
        <f t="shared" si="5"/>
        <v>4.2710610391793788E-2</v>
      </c>
      <c r="M15" s="250" t="s">
        <v>416</v>
      </c>
      <c r="N15" s="251"/>
      <c r="O15" s="252"/>
      <c r="P15" s="206"/>
      <c r="Q15" s="212">
        <v>1.0429999999999999</v>
      </c>
      <c r="Y15" s="247"/>
      <c r="Z15" s="244">
        <v>7.0000000000000007E-2</v>
      </c>
      <c r="AA15" s="244">
        <v>0.33</v>
      </c>
      <c r="AB15" s="243">
        <v>30</v>
      </c>
      <c r="AC15" s="243">
        <v>1005</v>
      </c>
      <c r="AD15" s="243">
        <f>AB15+AC15</f>
        <v>1035</v>
      </c>
      <c r="AE15" s="244">
        <v>0.5</v>
      </c>
    </row>
    <row r="16" spans="1:31" x14ac:dyDescent="0.3">
      <c r="A16" s="210" t="s">
        <v>399</v>
      </c>
      <c r="B16" s="206"/>
      <c r="C16" s="206"/>
      <c r="D16" s="206"/>
      <c r="E16" s="206"/>
      <c r="F16" s="206"/>
      <c r="G16" s="228">
        <f>SUMIF(C14:G14,"&gt;0")/SUMIF(C8:G8,"&gt;0")</f>
        <v>0.40880984254478236</v>
      </c>
      <c r="H16" s="228">
        <f t="shared" ref="H16:J16" si="6">SUMIF(D14:H14,"&gt;0")/SUMIF(D8:H8,"&gt;0")</f>
        <v>0.41272153435299846</v>
      </c>
      <c r="I16" s="228">
        <f t="shared" si="6"/>
        <v>0.42659644502962468</v>
      </c>
      <c r="J16" s="228">
        <f t="shared" si="6"/>
        <v>0.24508733624454157</v>
      </c>
      <c r="K16" s="228">
        <f>SUMIF(G14:K14,"&gt;0")/SUMIF(G8:K8,"&gt;0")</f>
        <v>0.17350157728706603</v>
      </c>
      <c r="M16" s="253" t="s">
        <v>417</v>
      </c>
      <c r="N16" s="253"/>
      <c r="O16" s="253"/>
      <c r="P16" s="206"/>
      <c r="Q16" s="211">
        <v>800</v>
      </c>
      <c r="S16">
        <v>3</v>
      </c>
      <c r="T16" s="246" t="s">
        <v>453</v>
      </c>
      <c r="U16" s="246"/>
      <c r="V16" s="246"/>
      <c r="W16" s="246"/>
      <c r="X16" s="246"/>
      <c r="Y16" s="247"/>
      <c r="Z16" s="244">
        <v>0.1</v>
      </c>
      <c r="AA16" s="244">
        <v>0.33</v>
      </c>
      <c r="AB16" s="243">
        <v>30</v>
      </c>
      <c r="AC16" s="243">
        <v>1133</v>
      </c>
      <c r="AD16" s="243">
        <f t="shared" ref="AD16:AD17" si="7">AB16+AC16</f>
        <v>1163</v>
      </c>
      <c r="AE16" s="244">
        <v>0.3</v>
      </c>
    </row>
    <row r="17" spans="1:31" ht="14.4" customHeight="1" x14ac:dyDescent="0.3">
      <c r="A17" s="210" t="s">
        <v>411</v>
      </c>
      <c r="B17" s="206"/>
      <c r="C17" s="206"/>
      <c r="D17" s="206"/>
      <c r="E17" s="206"/>
      <c r="F17" s="206"/>
      <c r="G17" s="228"/>
      <c r="H17" s="228"/>
      <c r="I17" s="228"/>
      <c r="J17" s="228"/>
      <c r="K17" s="228">
        <f>SUMIF(C14:K14,"&gt;0")/SUMIF(C8:K8,"&gt;0")</f>
        <v>0.26619106008248794</v>
      </c>
      <c r="T17" s="246"/>
      <c r="U17" s="246"/>
      <c r="V17" s="246"/>
      <c r="W17" s="246"/>
      <c r="X17" s="246"/>
      <c r="Y17" s="247"/>
      <c r="Z17" s="244">
        <v>0.14000000000000001</v>
      </c>
      <c r="AA17" s="244">
        <v>0.33</v>
      </c>
      <c r="AB17" s="243">
        <v>30</v>
      </c>
      <c r="AC17" s="243">
        <v>1350</v>
      </c>
      <c r="AD17" s="243">
        <f t="shared" si="7"/>
        <v>1380</v>
      </c>
      <c r="AE17" s="244">
        <v>0.05</v>
      </c>
    </row>
    <row r="18" spans="1:31" x14ac:dyDescent="0.3">
      <c r="A18" s="221" t="s">
        <v>420</v>
      </c>
      <c r="B18" s="224">
        <f>KeyMetrics!B26</f>
        <v>31.54094570928196</v>
      </c>
      <c r="C18" s="224">
        <f>KeyMetrics!C26</f>
        <v>39.685714285714283</v>
      </c>
      <c r="D18" s="224">
        <f>KeyMetrics!D26</f>
        <v>37.33488988764045</v>
      </c>
      <c r="E18" s="224">
        <f>KeyMetrics!E26</f>
        <v>36.13236263736264</v>
      </c>
      <c r="F18" s="224">
        <f>KeyMetrics!F26</f>
        <v>49.360935007974476</v>
      </c>
      <c r="G18" s="224">
        <f>KeyMetrics!G26</f>
        <v>57.922477763659472</v>
      </c>
      <c r="H18" s="224">
        <f>KeyMetrics!H26</f>
        <v>58.174919703520693</v>
      </c>
      <c r="I18" s="224">
        <f>KeyMetrics!I26</f>
        <v>57.812786402569593</v>
      </c>
      <c r="J18" s="224">
        <f>KeyMetrics!J26</f>
        <v>62.344468165264331</v>
      </c>
      <c r="K18" s="224">
        <f>KeyMetrics!K26</f>
        <v>79.670542015987522</v>
      </c>
      <c r="T18" s="246"/>
      <c r="U18" s="246"/>
      <c r="V18" s="246"/>
      <c r="W18" s="246"/>
      <c r="X18" s="246"/>
    </row>
    <row r="19" spans="1:31" x14ac:dyDescent="0.3">
      <c r="A19" s="221" t="s">
        <v>432</v>
      </c>
      <c r="B19" s="224">
        <f>KeyMetrics!B19</f>
        <v>36.31</v>
      </c>
      <c r="C19" s="224">
        <f>KeyMetrics!C19</f>
        <v>29.28</v>
      </c>
      <c r="D19" s="224">
        <f>KeyMetrics!D19</f>
        <v>30.41</v>
      </c>
      <c r="E19" s="224">
        <f>KeyMetrics!E19</f>
        <v>46.63</v>
      </c>
      <c r="F19" s="224">
        <f>KeyMetrics!F19</f>
        <v>51.53</v>
      </c>
      <c r="G19" s="224">
        <f>KeyMetrics!G19</f>
        <v>69.97</v>
      </c>
      <c r="H19" s="224">
        <f>KeyMetrics!H19</f>
        <v>68.400000000000006</v>
      </c>
      <c r="I19" s="224">
        <f>KeyMetrics!I19</f>
        <v>77.13</v>
      </c>
      <c r="J19" s="224">
        <f>KeyMetrics!J19</f>
        <v>86.7</v>
      </c>
      <c r="K19" s="224">
        <f>KeyMetrics!K19</f>
        <v>88.51</v>
      </c>
      <c r="L19" s="224">
        <f>SUM(C19:K19)</f>
        <v>548.56000000000006</v>
      </c>
      <c r="T19" s="246"/>
      <c r="U19" s="246"/>
      <c r="V19" s="246"/>
      <c r="W19" s="246"/>
      <c r="X19" s="246"/>
    </row>
    <row r="20" spans="1:31" ht="14.4" customHeight="1" x14ac:dyDescent="0.3">
      <c r="A20" s="221" t="s">
        <v>82</v>
      </c>
      <c r="B20" s="222"/>
      <c r="C20" s="224">
        <f>C18-(C7+C14)</f>
        <v>-23.204285714285703</v>
      </c>
      <c r="D20" s="224">
        <f t="shared" ref="D20:K20" si="8">D18-(D7+D14)</f>
        <v>-41.375110112359557</v>
      </c>
      <c r="E20" s="224">
        <f t="shared" si="8"/>
        <v>18.042362637362636</v>
      </c>
      <c r="F20" s="224">
        <f t="shared" si="8"/>
        <v>38.080935007974468</v>
      </c>
      <c r="G20" s="224">
        <f t="shared" si="8"/>
        <v>46.282477763659465</v>
      </c>
      <c r="H20" s="224">
        <f t="shared" si="8"/>
        <v>22.624919703520717</v>
      </c>
      <c r="I20" s="224">
        <f t="shared" si="8"/>
        <v>-5.6772135974304305</v>
      </c>
      <c r="J20" s="224">
        <f t="shared" si="8"/>
        <v>25.584468165264383</v>
      </c>
      <c r="K20" s="224">
        <f t="shared" si="8"/>
        <v>78.150542015987497</v>
      </c>
      <c r="L20" s="224">
        <f>SUM(C20:K20)</f>
        <v>158.50909586969348</v>
      </c>
      <c r="M20" s="229">
        <f>L20/L19</f>
        <v>0.288954892572724</v>
      </c>
      <c r="T20" s="246"/>
      <c r="U20" s="246"/>
      <c r="V20" s="246"/>
      <c r="W20" s="246"/>
      <c r="X20" s="246"/>
    </row>
    <row r="21" spans="1:31" x14ac:dyDescent="0.3">
      <c r="A21" s="221" t="s">
        <v>431</v>
      </c>
      <c r="B21" s="222"/>
      <c r="C21" s="227">
        <f>C20/C19</f>
        <v>-0.79249609679937505</v>
      </c>
      <c r="D21" s="227">
        <f t="shared" ref="D21:K21" si="9">D20/D19</f>
        <v>-1.360575801129877</v>
      </c>
      <c r="E21" s="227">
        <f t="shared" si="9"/>
        <v>0.38692606985551437</v>
      </c>
      <c r="F21" s="223">
        <f t="shared" si="9"/>
        <v>0.73900514279011187</v>
      </c>
      <c r="G21" s="223">
        <f t="shared" si="9"/>
        <v>0.66146173736829306</v>
      </c>
      <c r="H21" s="223">
        <f t="shared" si="9"/>
        <v>0.33077367987603384</v>
      </c>
      <c r="I21" s="223">
        <f t="shared" si="9"/>
        <v>-7.3605777225858038E-2</v>
      </c>
      <c r="J21" s="223">
        <f t="shared" si="9"/>
        <v>0.29509190502035043</v>
      </c>
      <c r="K21" s="223">
        <f t="shared" si="9"/>
        <v>0.88295720275660938</v>
      </c>
      <c r="T21" s="246"/>
      <c r="U21" s="246"/>
      <c r="V21" s="246"/>
      <c r="W21" s="246"/>
      <c r="X21" s="246"/>
    </row>
    <row r="22" spans="1:31" x14ac:dyDescent="0.3">
      <c r="A22" s="213" t="s">
        <v>418</v>
      </c>
      <c r="B22" s="214">
        <v>0</v>
      </c>
      <c r="C22" s="214">
        <v>1</v>
      </c>
      <c r="D22" s="214">
        <v>2</v>
      </c>
      <c r="E22" s="214">
        <v>3</v>
      </c>
      <c r="F22" s="214">
        <v>4</v>
      </c>
      <c r="G22" s="214">
        <v>5</v>
      </c>
      <c r="H22" s="214">
        <v>6</v>
      </c>
      <c r="I22" s="214">
        <v>7</v>
      </c>
      <c r="J22" s="214">
        <v>8</v>
      </c>
      <c r="K22" s="214">
        <v>9</v>
      </c>
      <c r="L22" s="215">
        <v>10</v>
      </c>
      <c r="M22" s="215">
        <v>11</v>
      </c>
      <c r="N22" s="215">
        <v>12</v>
      </c>
      <c r="O22" s="215">
        <v>13</v>
      </c>
      <c r="P22" s="215">
        <v>14</v>
      </c>
      <c r="Q22" s="215">
        <v>15</v>
      </c>
      <c r="T22" s="246"/>
      <c r="U22" s="246"/>
      <c r="V22" s="246"/>
      <c r="W22" s="246"/>
      <c r="X22" s="246"/>
    </row>
    <row r="23" spans="1:31" x14ac:dyDescent="0.3">
      <c r="A23" s="216" t="s">
        <v>419</v>
      </c>
      <c r="B23" s="204">
        <v>43525</v>
      </c>
      <c r="C23" s="204">
        <v>43891</v>
      </c>
      <c r="D23" s="204">
        <v>44256</v>
      </c>
      <c r="E23" s="204">
        <v>44621</v>
      </c>
      <c r="F23" s="204">
        <v>44986</v>
      </c>
      <c r="G23" s="204">
        <v>45352</v>
      </c>
      <c r="H23" s="204">
        <v>45717</v>
      </c>
      <c r="I23" s="204">
        <v>46082</v>
      </c>
      <c r="J23" s="204">
        <v>46447</v>
      </c>
      <c r="K23" s="204">
        <v>46813</v>
      </c>
      <c r="L23" s="204">
        <v>47178</v>
      </c>
      <c r="M23" s="204">
        <v>47543</v>
      </c>
      <c r="N23" s="204">
        <v>47908</v>
      </c>
      <c r="O23" s="204">
        <v>48274</v>
      </c>
      <c r="P23" s="204">
        <v>48639</v>
      </c>
      <c r="Q23" s="204">
        <v>49004</v>
      </c>
    </row>
    <row r="24" spans="1:31" x14ac:dyDescent="0.3">
      <c r="A24" s="216" t="s">
        <v>5</v>
      </c>
      <c r="B24" s="224">
        <f>K3</f>
        <v>383.29</v>
      </c>
      <c r="C24" s="225">
        <v>353</v>
      </c>
      <c r="D24" s="225">
        <v>250</v>
      </c>
      <c r="E24" s="225">
        <v>383</v>
      </c>
      <c r="F24" s="224">
        <f t="shared" ref="F24:Q24" si="10">E24*(1+$Q$3)</f>
        <v>402.15000000000003</v>
      </c>
      <c r="G24" s="224">
        <f t="shared" si="10"/>
        <v>422.25750000000005</v>
      </c>
      <c r="H24" s="224">
        <f t="shared" si="10"/>
        <v>443.37037500000008</v>
      </c>
      <c r="I24" s="224">
        <f t="shared" si="10"/>
        <v>465.53889375000011</v>
      </c>
      <c r="J24" s="224">
        <f t="shared" si="10"/>
        <v>488.81583843750013</v>
      </c>
      <c r="K24" s="224">
        <f t="shared" si="10"/>
        <v>513.25663035937521</v>
      </c>
      <c r="L24" s="224">
        <f t="shared" si="10"/>
        <v>538.91946187734402</v>
      </c>
      <c r="M24" s="224">
        <f t="shared" si="10"/>
        <v>565.86543497121124</v>
      </c>
      <c r="N24" s="224">
        <f t="shared" si="10"/>
        <v>594.15870671977189</v>
      </c>
      <c r="O24" s="224">
        <f t="shared" si="10"/>
        <v>623.86664205576051</v>
      </c>
      <c r="P24" s="224">
        <f t="shared" si="10"/>
        <v>655.05997415854858</v>
      </c>
      <c r="Q24" s="224">
        <f t="shared" si="10"/>
        <v>687.812972866476</v>
      </c>
      <c r="S24">
        <v>4</v>
      </c>
      <c r="T24" s="248" t="s">
        <v>441</v>
      </c>
      <c r="U24" s="248"/>
      <c r="V24" s="248"/>
      <c r="W24" s="248"/>
      <c r="X24" s="248"/>
    </row>
    <row r="25" spans="1:31" x14ac:dyDescent="0.3">
      <c r="A25" s="216" t="s">
        <v>85</v>
      </c>
      <c r="B25" s="224">
        <f>B24*0.36</f>
        <v>137.98439999999999</v>
      </c>
      <c r="C25" s="224">
        <f>C24*0.31</f>
        <v>109.42999999999999</v>
      </c>
      <c r="D25" s="224">
        <f t="shared" ref="D25:Q25" si="11">D24*$Q$5</f>
        <v>70</v>
      </c>
      <c r="E25" s="224">
        <f t="shared" si="11"/>
        <v>107.24000000000001</v>
      </c>
      <c r="F25" s="224">
        <f t="shared" si="11"/>
        <v>112.60200000000002</v>
      </c>
      <c r="G25" s="224">
        <f t="shared" si="11"/>
        <v>118.23210000000003</v>
      </c>
      <c r="H25" s="224">
        <f t="shared" si="11"/>
        <v>124.14370500000004</v>
      </c>
      <c r="I25" s="224">
        <f t="shared" si="11"/>
        <v>130.35089025000005</v>
      </c>
      <c r="J25" s="224">
        <f t="shared" si="11"/>
        <v>136.86843476250004</v>
      </c>
      <c r="K25" s="224">
        <f t="shared" si="11"/>
        <v>143.71185650062506</v>
      </c>
      <c r="L25" s="224">
        <f t="shared" si="11"/>
        <v>150.89744932565634</v>
      </c>
      <c r="M25" s="224">
        <f t="shared" si="11"/>
        <v>158.44232179193915</v>
      </c>
      <c r="N25" s="224">
        <f t="shared" si="11"/>
        <v>166.36443788153613</v>
      </c>
      <c r="O25" s="224">
        <f t="shared" si="11"/>
        <v>174.68265977561296</v>
      </c>
      <c r="P25" s="224">
        <f t="shared" si="11"/>
        <v>183.41679276439362</v>
      </c>
      <c r="Q25" s="224">
        <f t="shared" si="11"/>
        <v>192.58763240261331</v>
      </c>
      <c r="T25" s="248"/>
      <c r="U25" s="248"/>
      <c r="V25" s="248"/>
      <c r="W25" s="248"/>
      <c r="X25" s="248"/>
    </row>
    <row r="26" spans="1:31" x14ac:dyDescent="0.3">
      <c r="A26" s="216" t="s">
        <v>420</v>
      </c>
      <c r="B26" s="224">
        <f>KeyMetrics!K26</f>
        <v>79.670542015987522</v>
      </c>
      <c r="C26" s="224">
        <f t="shared" ref="C26:Q26" si="12">C25*(1-$Q$6)</f>
        <v>76.600999999999985</v>
      </c>
      <c r="D26" s="224">
        <f t="shared" si="12"/>
        <v>49</v>
      </c>
      <c r="E26" s="224">
        <f t="shared" si="12"/>
        <v>75.067999999999998</v>
      </c>
      <c r="F26" s="224">
        <f t="shared" si="12"/>
        <v>78.821400000000011</v>
      </c>
      <c r="G26" s="224">
        <f t="shared" si="12"/>
        <v>82.762470000000022</v>
      </c>
      <c r="H26" s="224">
        <f t="shared" si="12"/>
        <v>86.900593500000028</v>
      </c>
      <c r="I26" s="224">
        <f t="shared" si="12"/>
        <v>91.245623175000034</v>
      </c>
      <c r="J26" s="224">
        <f t="shared" si="12"/>
        <v>95.807904333750031</v>
      </c>
      <c r="K26" s="224">
        <f t="shared" si="12"/>
        <v>100.59829955043753</v>
      </c>
      <c r="L26" s="224">
        <f t="shared" si="12"/>
        <v>105.62821452795943</v>
      </c>
      <c r="M26" s="224">
        <f t="shared" si="12"/>
        <v>110.90962525435739</v>
      </c>
      <c r="N26" s="224">
        <f t="shared" si="12"/>
        <v>116.45510651707528</v>
      </c>
      <c r="O26" s="224">
        <f t="shared" si="12"/>
        <v>122.27786184292907</v>
      </c>
      <c r="P26" s="224">
        <f t="shared" si="12"/>
        <v>128.39175493507554</v>
      </c>
      <c r="Q26" s="224">
        <f t="shared" si="12"/>
        <v>134.8113426818293</v>
      </c>
      <c r="T26" s="248"/>
      <c r="U26" s="248"/>
      <c r="V26" s="248"/>
      <c r="W26" s="248"/>
      <c r="X26" s="248"/>
    </row>
    <row r="27" spans="1:31" ht="14.4" customHeight="1" x14ac:dyDescent="0.3">
      <c r="A27" s="216" t="s">
        <v>404</v>
      </c>
      <c r="B27" s="224">
        <f>K7</f>
        <v>-1.0199999999999534</v>
      </c>
      <c r="C27" s="225">
        <v>10</v>
      </c>
      <c r="D27" s="225">
        <v>20</v>
      </c>
      <c r="E27" s="225">
        <v>20</v>
      </c>
      <c r="F27" s="224">
        <f t="shared" ref="F27:Q27" si="13">(F24-E24)*$Q$7</f>
        <v>22.022500000000036</v>
      </c>
      <c r="G27" s="224">
        <f t="shared" si="13"/>
        <v>23.123625000000015</v>
      </c>
      <c r="H27" s="224">
        <f t="shared" si="13"/>
        <v>24.279806250000032</v>
      </c>
      <c r="I27" s="224">
        <f t="shared" si="13"/>
        <v>25.493796562500034</v>
      </c>
      <c r="J27" s="224">
        <f t="shared" si="13"/>
        <v>26.768486390625021</v>
      </c>
      <c r="K27" s="224">
        <f t="shared" si="13"/>
        <v>28.106910710156335</v>
      </c>
      <c r="L27" s="224">
        <f t="shared" si="13"/>
        <v>29.51225624566413</v>
      </c>
      <c r="M27" s="224">
        <f t="shared" si="13"/>
        <v>30.987869057947304</v>
      </c>
      <c r="N27" s="224">
        <f t="shared" si="13"/>
        <v>32.537262510844734</v>
      </c>
      <c r="O27" s="224">
        <f t="shared" si="13"/>
        <v>34.164125636386913</v>
      </c>
      <c r="P27" s="224">
        <f t="shared" si="13"/>
        <v>35.872331918206285</v>
      </c>
      <c r="Q27" s="224">
        <f t="shared" si="13"/>
        <v>37.665948514116529</v>
      </c>
    </row>
    <row r="28" spans="1:31" x14ac:dyDescent="0.3">
      <c r="A28" s="216" t="s">
        <v>421</v>
      </c>
      <c r="B28" s="224">
        <f>K14</f>
        <v>2.5399999999999778</v>
      </c>
      <c r="C28" s="225">
        <v>5</v>
      </c>
      <c r="D28" s="225">
        <v>5</v>
      </c>
      <c r="E28" s="225">
        <v>5</v>
      </c>
      <c r="F28" s="224">
        <f t="shared" ref="F28:Q28" si="14">(F24-E24)*$Q$8</f>
        <v>6.7025000000000112</v>
      </c>
      <c r="G28" s="224">
        <f t="shared" si="14"/>
        <v>7.0376250000000047</v>
      </c>
      <c r="H28" s="224">
        <f t="shared" si="14"/>
        <v>7.3895062500000099</v>
      </c>
      <c r="I28" s="224">
        <f t="shared" si="14"/>
        <v>7.7589815625000105</v>
      </c>
      <c r="J28" s="224">
        <f t="shared" si="14"/>
        <v>8.1469306406250066</v>
      </c>
      <c r="K28" s="224">
        <f t="shared" si="14"/>
        <v>8.5542771726562759</v>
      </c>
      <c r="L28" s="224">
        <f t="shared" si="14"/>
        <v>8.981991031289084</v>
      </c>
      <c r="M28" s="224">
        <f t="shared" si="14"/>
        <v>9.4310905828535283</v>
      </c>
      <c r="N28" s="224">
        <f t="shared" si="14"/>
        <v>9.9026451119962235</v>
      </c>
      <c r="O28" s="224">
        <f t="shared" si="14"/>
        <v>10.397777367596017</v>
      </c>
      <c r="P28" s="224">
        <f t="shared" si="14"/>
        <v>10.917666235975826</v>
      </c>
      <c r="Q28" s="224">
        <f t="shared" si="14"/>
        <v>11.463549547774596</v>
      </c>
      <c r="S28">
        <v>5</v>
      </c>
      <c r="T28" t="s">
        <v>444</v>
      </c>
    </row>
    <row r="29" spans="1:31" x14ac:dyDescent="0.3">
      <c r="A29" s="216" t="s">
        <v>82</v>
      </c>
      <c r="B29" s="224">
        <f>B26-(B27+B28)</f>
        <v>78.150542015987497</v>
      </c>
      <c r="C29" s="224">
        <f>C26-(C27+C28)</f>
        <v>61.600999999999985</v>
      </c>
      <c r="D29" s="224">
        <f t="shared" ref="D29:Q29" si="15">D26-(D27+D28)</f>
        <v>24</v>
      </c>
      <c r="E29" s="224">
        <f>E26-(E27+E28)</f>
        <v>50.067999999999998</v>
      </c>
      <c r="F29" s="224">
        <f t="shared" si="15"/>
        <v>50.09639999999996</v>
      </c>
      <c r="G29" s="224">
        <f t="shared" si="15"/>
        <v>52.601219999999998</v>
      </c>
      <c r="H29" s="224">
        <f t="shared" si="15"/>
        <v>55.231280999999981</v>
      </c>
      <c r="I29" s="224">
        <f t="shared" si="15"/>
        <v>57.992845049999993</v>
      </c>
      <c r="J29" s="224">
        <f t="shared" si="15"/>
        <v>60.892487302500001</v>
      </c>
      <c r="K29" s="224">
        <f t="shared" si="15"/>
        <v>63.937111667624919</v>
      </c>
      <c r="L29" s="224">
        <f t="shared" si="15"/>
        <v>67.133967251006212</v>
      </c>
      <c r="M29" s="224">
        <f t="shared" si="15"/>
        <v>70.490665613556558</v>
      </c>
      <c r="N29" s="224">
        <f t="shared" si="15"/>
        <v>74.015198894234317</v>
      </c>
      <c r="O29" s="224">
        <f t="shared" si="15"/>
        <v>77.715958838946136</v>
      </c>
      <c r="P29" s="224">
        <f t="shared" si="15"/>
        <v>81.601756780893425</v>
      </c>
      <c r="Q29" s="224">
        <f t="shared" si="15"/>
        <v>85.681844619938175</v>
      </c>
      <c r="T29" t="s">
        <v>445</v>
      </c>
    </row>
    <row r="30" spans="1:31" x14ac:dyDescent="0.3">
      <c r="A30" s="216" t="s">
        <v>422</v>
      </c>
      <c r="B30" s="224"/>
      <c r="C30" s="224">
        <f t="shared" ref="C30:Q30" si="16">C29/((1+$Q$9)^C22)</f>
        <v>55.000892857142837</v>
      </c>
      <c r="D30" s="224">
        <f t="shared" si="16"/>
        <v>19.132653061224488</v>
      </c>
      <c r="E30" s="224">
        <f t="shared" si="16"/>
        <v>35.637413447521851</v>
      </c>
      <c r="F30" s="224">
        <f t="shared" si="16"/>
        <v>31.83716786299976</v>
      </c>
      <c r="G30" s="224">
        <f t="shared" si="16"/>
        <v>29.847344871562296</v>
      </c>
      <c r="H30" s="224">
        <f t="shared" si="16"/>
        <v>27.981885817089641</v>
      </c>
      <c r="I30" s="224">
        <f t="shared" si="16"/>
        <v>26.233017953521543</v>
      </c>
      <c r="J30" s="224">
        <f t="shared" si="16"/>
        <v>24.593454331426447</v>
      </c>
      <c r="K30" s="224">
        <f t="shared" si="16"/>
        <v>23.056363435712264</v>
      </c>
      <c r="L30" s="224">
        <f t="shared" si="16"/>
        <v>21.61534072098026</v>
      </c>
      <c r="M30" s="224">
        <f t="shared" si="16"/>
        <v>20.264381925919</v>
      </c>
      <c r="N30" s="224">
        <f t="shared" si="16"/>
        <v>18.997858055549049</v>
      </c>
      <c r="O30" s="224">
        <f t="shared" si="16"/>
        <v>17.810491927077251</v>
      </c>
      <c r="P30" s="224">
        <f t="shared" si="16"/>
        <v>16.69733618163492</v>
      </c>
      <c r="Q30" s="224">
        <f t="shared" si="16"/>
        <v>15.653752670282753</v>
      </c>
      <c r="T30" t="s">
        <v>446</v>
      </c>
    </row>
    <row r="31" spans="1:31" x14ac:dyDescent="0.3">
      <c r="A31" s="216" t="s">
        <v>423</v>
      </c>
      <c r="B31" s="224"/>
      <c r="C31" s="224">
        <f>C30</f>
        <v>55.000892857142837</v>
      </c>
      <c r="D31" s="224">
        <f>D30+C31</f>
        <v>74.133545918367332</v>
      </c>
      <c r="E31" s="224">
        <f t="shared" ref="E31:Q31" si="17">E30+D31</f>
        <v>109.77095936588918</v>
      </c>
      <c r="F31" s="224">
        <f t="shared" si="17"/>
        <v>141.60812722888895</v>
      </c>
      <c r="G31" s="224">
        <f t="shared" si="17"/>
        <v>171.45547210045123</v>
      </c>
      <c r="H31" s="224">
        <f t="shared" si="17"/>
        <v>199.43735791754088</v>
      </c>
      <c r="I31" s="224">
        <f t="shared" si="17"/>
        <v>225.67037587106242</v>
      </c>
      <c r="J31" s="224">
        <f t="shared" si="17"/>
        <v>250.26383020248886</v>
      </c>
      <c r="K31" s="224">
        <f t="shared" si="17"/>
        <v>273.32019363820115</v>
      </c>
      <c r="L31" s="224">
        <f t="shared" si="17"/>
        <v>294.93553435918142</v>
      </c>
      <c r="M31" s="224">
        <f t="shared" si="17"/>
        <v>315.19991628510041</v>
      </c>
      <c r="N31" s="224">
        <f t="shared" si="17"/>
        <v>334.19777434064946</v>
      </c>
      <c r="O31" s="224">
        <f t="shared" si="17"/>
        <v>352.0082662677267</v>
      </c>
      <c r="P31" s="224">
        <f t="shared" si="17"/>
        <v>368.70560244936161</v>
      </c>
      <c r="Q31" s="224">
        <f t="shared" si="17"/>
        <v>384.35935511964436</v>
      </c>
      <c r="R31" s="109"/>
      <c r="T31" t="s">
        <v>447</v>
      </c>
    </row>
    <row r="32" spans="1:31" x14ac:dyDescent="0.3">
      <c r="A32" s="216" t="s">
        <v>424</v>
      </c>
      <c r="B32" s="224"/>
      <c r="C32" s="224">
        <f t="shared" ref="C32:Q32" si="18">((C26*(1+$Q$10))/($Q$9-$Q$10))/((1+$Q$9)^C22)</f>
        <v>1025.9062499999998</v>
      </c>
      <c r="D32" s="224">
        <f t="shared" si="18"/>
        <v>585.9375</v>
      </c>
      <c r="E32" s="224">
        <f t="shared" si="18"/>
        <v>801.47879464285688</v>
      </c>
      <c r="F32" s="224">
        <f t="shared" si="18"/>
        <v>751.38636997767867</v>
      </c>
      <c r="G32" s="224">
        <f t="shared" si="18"/>
        <v>704.42472185407371</v>
      </c>
      <c r="H32" s="224">
        <f t="shared" si="18"/>
        <v>660.39817673819414</v>
      </c>
      <c r="I32" s="224">
        <f t="shared" si="18"/>
        <v>619.12329069205703</v>
      </c>
      <c r="J32" s="224">
        <f t="shared" si="18"/>
        <v>580.42808502380331</v>
      </c>
      <c r="K32" s="224">
        <f t="shared" si="18"/>
        <v>544.15132970981563</v>
      </c>
      <c r="L32" s="224">
        <f t="shared" si="18"/>
        <v>510.14187160295216</v>
      </c>
      <c r="M32" s="224">
        <f t="shared" si="18"/>
        <v>478.25800462776755</v>
      </c>
      <c r="N32" s="224">
        <f t="shared" si="18"/>
        <v>448.36687933853216</v>
      </c>
      <c r="O32" s="224">
        <f t="shared" si="18"/>
        <v>420.343949379874</v>
      </c>
      <c r="P32" s="224">
        <f t="shared" si="18"/>
        <v>394.07245254363187</v>
      </c>
      <c r="Q32" s="224">
        <f t="shared" si="18"/>
        <v>369.44292425965483</v>
      </c>
    </row>
    <row r="33" spans="1:21" x14ac:dyDescent="0.3">
      <c r="A33" s="217"/>
      <c r="B33" s="254"/>
      <c r="C33" s="255"/>
      <c r="D33" s="255"/>
      <c r="E33" s="255"/>
      <c r="F33" s="255"/>
      <c r="G33" s="255"/>
      <c r="H33" s="255"/>
      <c r="I33" s="255"/>
      <c r="J33" s="255"/>
      <c r="K33" s="255"/>
      <c r="L33" s="255"/>
      <c r="M33" s="255"/>
      <c r="N33" s="255"/>
      <c r="O33" s="255"/>
      <c r="P33" s="255"/>
      <c r="Q33" s="256"/>
    </row>
    <row r="34" spans="1:21" x14ac:dyDescent="0.3">
      <c r="A34" s="216" t="s">
        <v>425</v>
      </c>
      <c r="B34" s="224"/>
      <c r="C34" s="224">
        <f>C32+C31</f>
        <v>1080.9071428571426</v>
      </c>
      <c r="D34" s="224">
        <f t="shared" ref="D34:Q34" si="19">D32+D31</f>
        <v>660.0710459183673</v>
      </c>
      <c r="E34" s="224">
        <f t="shared" si="19"/>
        <v>911.24975400874609</v>
      </c>
      <c r="F34" s="224">
        <f t="shared" si="19"/>
        <v>892.99449720656764</v>
      </c>
      <c r="G34" s="224">
        <f t="shared" si="19"/>
        <v>875.88019395452488</v>
      </c>
      <c r="H34" s="224">
        <f t="shared" si="19"/>
        <v>859.83553465573505</v>
      </c>
      <c r="I34" s="224">
        <f t="shared" si="19"/>
        <v>844.79366656311947</v>
      </c>
      <c r="J34" s="224">
        <f t="shared" si="19"/>
        <v>830.69191522629217</v>
      </c>
      <c r="K34" s="224">
        <f t="shared" si="19"/>
        <v>817.47152334801672</v>
      </c>
      <c r="L34" s="224">
        <f t="shared" si="19"/>
        <v>805.07740596213353</v>
      </c>
      <c r="M34" s="224">
        <f t="shared" si="19"/>
        <v>793.45792091286796</v>
      </c>
      <c r="N34" s="224">
        <f t="shared" si="19"/>
        <v>782.56465367918167</v>
      </c>
      <c r="O34" s="224">
        <f t="shared" si="19"/>
        <v>772.3522156476007</v>
      </c>
      <c r="P34" s="224">
        <f t="shared" si="19"/>
        <v>762.77805499299348</v>
      </c>
      <c r="Q34" s="224">
        <f t="shared" si="19"/>
        <v>753.80227937929919</v>
      </c>
      <c r="T34" t="s">
        <v>448</v>
      </c>
      <c r="U34" t="s">
        <v>449</v>
      </c>
    </row>
    <row r="35" spans="1:21" x14ac:dyDescent="0.3">
      <c r="A35" s="216" t="s">
        <v>426</v>
      </c>
      <c r="B35" s="224"/>
      <c r="C35" s="224">
        <f t="shared" ref="C35:Q35" si="20">$Q$13</f>
        <v>117</v>
      </c>
      <c r="D35" s="224">
        <f t="shared" si="20"/>
        <v>117</v>
      </c>
      <c r="E35" s="224">
        <f t="shared" si="20"/>
        <v>117</v>
      </c>
      <c r="F35" s="224">
        <f t="shared" si="20"/>
        <v>117</v>
      </c>
      <c r="G35" s="224">
        <f t="shared" si="20"/>
        <v>117</v>
      </c>
      <c r="H35" s="224">
        <f t="shared" si="20"/>
        <v>117</v>
      </c>
      <c r="I35" s="224">
        <f t="shared" si="20"/>
        <v>117</v>
      </c>
      <c r="J35" s="224">
        <f t="shared" si="20"/>
        <v>117</v>
      </c>
      <c r="K35" s="224">
        <f t="shared" si="20"/>
        <v>117</v>
      </c>
      <c r="L35" s="224">
        <f t="shared" si="20"/>
        <v>117</v>
      </c>
      <c r="M35" s="224">
        <f t="shared" si="20"/>
        <v>117</v>
      </c>
      <c r="N35" s="224">
        <f t="shared" si="20"/>
        <v>117</v>
      </c>
      <c r="O35" s="224">
        <f t="shared" si="20"/>
        <v>117</v>
      </c>
      <c r="P35" s="224">
        <f t="shared" si="20"/>
        <v>117</v>
      </c>
      <c r="Q35" s="224">
        <f t="shared" si="20"/>
        <v>117</v>
      </c>
    </row>
    <row r="36" spans="1:21" x14ac:dyDescent="0.3">
      <c r="A36" s="216" t="s">
        <v>427</v>
      </c>
      <c r="B36" s="224"/>
      <c r="C36" s="224">
        <f t="shared" ref="C36:Q36" si="21">$Q$14</f>
        <v>135</v>
      </c>
      <c r="D36" s="224">
        <f t="shared" si="21"/>
        <v>135</v>
      </c>
      <c r="E36" s="224">
        <f t="shared" si="21"/>
        <v>135</v>
      </c>
      <c r="F36" s="224">
        <f t="shared" si="21"/>
        <v>135</v>
      </c>
      <c r="G36" s="224">
        <f t="shared" si="21"/>
        <v>135</v>
      </c>
      <c r="H36" s="224">
        <f t="shared" si="21"/>
        <v>135</v>
      </c>
      <c r="I36" s="224">
        <f t="shared" si="21"/>
        <v>135</v>
      </c>
      <c r="J36" s="224">
        <f t="shared" si="21"/>
        <v>135</v>
      </c>
      <c r="K36" s="224">
        <f t="shared" si="21"/>
        <v>135</v>
      </c>
      <c r="L36" s="224">
        <f t="shared" si="21"/>
        <v>135</v>
      </c>
      <c r="M36" s="224">
        <f t="shared" si="21"/>
        <v>135</v>
      </c>
      <c r="N36" s="224">
        <f t="shared" si="21"/>
        <v>135</v>
      </c>
      <c r="O36" s="224">
        <f t="shared" si="21"/>
        <v>135</v>
      </c>
      <c r="P36" s="224">
        <f t="shared" si="21"/>
        <v>135</v>
      </c>
      <c r="Q36" s="224">
        <f t="shared" si="21"/>
        <v>135</v>
      </c>
      <c r="T36" t="s">
        <v>450</v>
      </c>
      <c r="U36" t="s">
        <v>451</v>
      </c>
    </row>
    <row r="37" spans="1:21" x14ac:dyDescent="0.3">
      <c r="A37" s="216" t="s">
        <v>428</v>
      </c>
      <c r="B37" s="224"/>
      <c r="C37" s="224">
        <f>C34+C35-C36</f>
        <v>1062.9071428571426</v>
      </c>
      <c r="D37" s="224">
        <f t="shared" ref="D37:Q37" si="22">D34+D35-D36</f>
        <v>642.0710459183673</v>
      </c>
      <c r="E37" s="224">
        <f t="shared" si="22"/>
        <v>893.24975400874609</v>
      </c>
      <c r="F37" s="224">
        <f t="shared" si="22"/>
        <v>874.99449720656764</v>
      </c>
      <c r="G37" s="224">
        <f t="shared" si="22"/>
        <v>857.88019395452488</v>
      </c>
      <c r="H37" s="224">
        <f t="shared" si="22"/>
        <v>841.83553465573505</v>
      </c>
      <c r="I37" s="224">
        <f t="shared" si="22"/>
        <v>826.79366656311947</v>
      </c>
      <c r="J37" s="224">
        <f t="shared" si="22"/>
        <v>812.69191522629217</v>
      </c>
      <c r="K37" s="224">
        <f t="shared" si="22"/>
        <v>799.47152334801672</v>
      </c>
      <c r="L37" s="224">
        <f t="shared" si="22"/>
        <v>787.07740596213353</v>
      </c>
      <c r="M37" s="224">
        <f t="shared" si="22"/>
        <v>775.45792091286796</v>
      </c>
      <c r="N37" s="226">
        <f t="shared" si="22"/>
        <v>764.56465367918167</v>
      </c>
      <c r="O37" s="224">
        <f t="shared" si="22"/>
        <v>754.3522156476007</v>
      </c>
      <c r="P37" s="224">
        <f t="shared" si="22"/>
        <v>744.77805499299348</v>
      </c>
      <c r="Q37" s="224">
        <f t="shared" si="22"/>
        <v>735.80227937929919</v>
      </c>
    </row>
    <row r="38" spans="1:21" x14ac:dyDescent="0.3">
      <c r="A38" s="217"/>
      <c r="B38" s="254"/>
      <c r="C38" s="255"/>
      <c r="D38" s="255"/>
      <c r="E38" s="255"/>
      <c r="F38" s="255"/>
      <c r="G38" s="255"/>
      <c r="H38" s="255"/>
      <c r="I38" s="255"/>
      <c r="J38" s="255"/>
      <c r="K38" s="255"/>
      <c r="L38" s="255"/>
      <c r="M38" s="255"/>
      <c r="N38" s="255"/>
      <c r="O38" s="255"/>
      <c r="P38" s="255"/>
      <c r="Q38" s="256"/>
    </row>
    <row r="39" spans="1:21" x14ac:dyDescent="0.3">
      <c r="A39" s="216" t="s">
        <v>429</v>
      </c>
      <c r="B39" s="224"/>
      <c r="C39" s="224">
        <f t="shared" ref="C39:Q39" si="23">C37/$Q$15</f>
        <v>1019.0864265169154</v>
      </c>
      <c r="D39" s="224">
        <f t="shared" si="23"/>
        <v>615.60023577983452</v>
      </c>
      <c r="E39" s="224">
        <f t="shared" si="23"/>
        <v>856.42354171500108</v>
      </c>
      <c r="F39" s="224">
        <f t="shared" si="23"/>
        <v>838.92089856813777</v>
      </c>
      <c r="G39" s="224">
        <f t="shared" si="23"/>
        <v>822.51217061795296</v>
      </c>
      <c r="H39" s="224">
        <f t="shared" si="23"/>
        <v>807.12898816465497</v>
      </c>
      <c r="I39" s="224">
        <f t="shared" si="23"/>
        <v>792.70725461468794</v>
      </c>
      <c r="J39" s="224">
        <f t="shared" si="23"/>
        <v>779.18687941159374</v>
      </c>
      <c r="K39" s="224">
        <f t="shared" si="23"/>
        <v>766.51152765869301</v>
      </c>
      <c r="L39" s="224">
        <f t="shared" si="23"/>
        <v>754.62838539034863</v>
      </c>
      <c r="M39" s="224">
        <f t="shared" si="23"/>
        <v>743.4879395137757</v>
      </c>
      <c r="N39" s="224">
        <f t="shared" si="23"/>
        <v>733.04377150448875</v>
      </c>
      <c r="O39" s="224">
        <f t="shared" si="23"/>
        <v>723.25236399578216</v>
      </c>
      <c r="P39" s="224">
        <f t="shared" si="23"/>
        <v>714.07291945636962</v>
      </c>
      <c r="Q39" s="224">
        <f t="shared" si="23"/>
        <v>705.46719020067042</v>
      </c>
    </row>
    <row r="40" spans="1:21" s="113" customFormat="1" x14ac:dyDescent="0.3">
      <c r="A40" s="218" t="s">
        <v>430</v>
      </c>
      <c r="C40" s="113" t="str">
        <f>IF(Q16&gt;Q39,"15+",IF(Q16&lt;C39,"&lt;1",LOOKUP(Q16,C39:Q39,C22:Q22)))</f>
        <v>15+</v>
      </c>
    </row>
  </sheetData>
  <mergeCells count="23">
    <mergeCell ref="M2:O2"/>
    <mergeCell ref="M3:O3"/>
    <mergeCell ref="M16:O16"/>
    <mergeCell ref="B33:Q33"/>
    <mergeCell ref="B38:Q38"/>
    <mergeCell ref="M8:O8"/>
    <mergeCell ref="M9:O9"/>
    <mergeCell ref="M10:O10"/>
    <mergeCell ref="M11:O11"/>
    <mergeCell ref="A12:K12"/>
    <mergeCell ref="M12:O12"/>
    <mergeCell ref="M13:O13"/>
    <mergeCell ref="M7:O7"/>
    <mergeCell ref="M6:O6"/>
    <mergeCell ref="M5:O5"/>
    <mergeCell ref="M14:O14"/>
    <mergeCell ref="M15:O15"/>
    <mergeCell ref="T4:X8"/>
    <mergeCell ref="T10:X14"/>
    <mergeCell ref="T16:X22"/>
    <mergeCell ref="Y13:Y17"/>
    <mergeCell ref="T24:X26"/>
    <mergeCell ref="Y8:Y11"/>
  </mergeCells>
  <pageMargins left="0.75" right="0.75" top="1" bottom="1" header="0.5" footer="0.5"/>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5"/>
  <sheetViews>
    <sheetView showGridLines="0" topLeftCell="A25" zoomScale="115" zoomScaleNormal="115" workbookViewId="0">
      <selection activeCell="K4" sqref="K4"/>
    </sheetView>
    <sheetView tabSelected="1" workbookViewId="1">
      <pane xSplit="14604" ySplit="5712" topLeftCell="M16"/>
      <selection activeCell="G18" sqref="G18"/>
      <selection pane="topRight" activeCell="M1" sqref="M1"/>
      <selection pane="bottomLeft" activeCell="K24" sqref="K24"/>
      <selection pane="bottomRight" activeCell="M19" sqref="M19"/>
    </sheetView>
  </sheetViews>
  <sheetFormatPr defaultColWidth="8.77734375" defaultRowHeight="13.8" x14ac:dyDescent="0.3"/>
  <cols>
    <col min="1" max="1" width="35.77734375" style="74" customWidth="1"/>
    <col min="2" max="2" width="9.6640625" style="74" customWidth="1"/>
    <col min="3" max="3" width="10.33203125" style="74" customWidth="1"/>
    <col min="4" max="6" width="9" style="74" bestFit="1" customWidth="1"/>
    <col min="7" max="9" width="9.109375" style="74" bestFit="1" customWidth="1"/>
    <col min="10" max="11" width="10" style="74" bestFit="1" customWidth="1"/>
    <col min="12" max="12" width="12.21875" style="74" customWidth="1"/>
    <col min="13" max="15" width="8.77734375" style="74"/>
    <col min="16" max="16" width="24.6640625" style="74" bestFit="1" customWidth="1"/>
    <col min="17" max="16384" width="8.77734375" style="74"/>
  </cols>
  <sheetData>
    <row r="1" spans="1:17" s="30" customFormat="1" ht="14.4" x14ac:dyDescent="0.3">
      <c r="A1" s="28" t="str">
        <f>'Data Sheet'!B1</f>
        <v>ORIENTAL CARBON &amp; CHEMICALS LTD</v>
      </c>
      <c r="B1" s="29"/>
      <c r="C1" s="29"/>
      <c r="D1" s="29"/>
      <c r="E1" s="29"/>
      <c r="F1" s="29"/>
      <c r="G1" s="29"/>
      <c r="H1" s="29"/>
      <c r="I1" s="29"/>
      <c r="J1" s="29"/>
      <c r="K1" s="29"/>
      <c r="L1" s="29"/>
    </row>
    <row r="2" spans="1:17" s="30" customFormat="1" ht="21" x14ac:dyDescent="0.4">
      <c r="A2" s="28"/>
      <c r="B2" s="29"/>
      <c r="C2" s="29"/>
      <c r="D2" s="29"/>
      <c r="E2" s="29"/>
      <c r="F2" s="29"/>
      <c r="G2" s="29"/>
      <c r="H2" s="29"/>
      <c r="I2" s="29"/>
      <c r="J2" s="29"/>
      <c r="K2" s="29"/>
      <c r="L2" s="29"/>
      <c r="P2" s="268" t="s">
        <v>318</v>
      </c>
      <c r="Q2" s="268"/>
    </row>
    <row r="3" spans="1:17" ht="14.4" x14ac:dyDescent="0.3">
      <c r="A3" s="16"/>
      <c r="B3" s="16">
        <f>'Data Sheet'!B16</f>
        <v>40268</v>
      </c>
      <c r="C3" s="16">
        <f>'Data Sheet'!C16</f>
        <v>40633</v>
      </c>
      <c r="D3" s="16">
        <f>'Data Sheet'!D16</f>
        <v>40999</v>
      </c>
      <c r="E3" s="16">
        <f>'Data Sheet'!E16</f>
        <v>41364</v>
      </c>
      <c r="F3" s="16">
        <f>'Data Sheet'!F16</f>
        <v>41729</v>
      </c>
      <c r="G3" s="16">
        <f>'Data Sheet'!G16</f>
        <v>42094</v>
      </c>
      <c r="H3" s="16">
        <f>'Data Sheet'!H16</f>
        <v>42460</v>
      </c>
      <c r="I3" s="16">
        <f>'Data Sheet'!I16</f>
        <v>42825</v>
      </c>
      <c r="J3" s="16">
        <f>'Data Sheet'!J16</f>
        <v>43190</v>
      </c>
      <c r="K3" s="16">
        <f>'Data Sheet'!K16</f>
        <v>43555</v>
      </c>
      <c r="L3" s="75"/>
      <c r="P3" s="143" t="s">
        <v>42</v>
      </c>
      <c r="Q3" s="163">
        <f>'Data Sheet'!B8</f>
        <v>690.15</v>
      </c>
    </row>
    <row r="4" spans="1:17" ht="14.4" x14ac:dyDescent="0.3">
      <c r="A4" s="76" t="s">
        <v>148</v>
      </c>
      <c r="B4" s="76">
        <f>'Data Sheet'!B17-'Data Sheet'!B18</f>
        <v>96.22999999999999</v>
      </c>
      <c r="C4" s="76">
        <f>'Data Sheet'!C17-'Data Sheet'!C18</f>
        <v>105.78999999999999</v>
      </c>
      <c r="D4" s="76">
        <f>'Data Sheet'!D17-'Data Sheet'!D18</f>
        <v>143.47999999999999</v>
      </c>
      <c r="E4" s="76">
        <f>'Data Sheet'!E17-'Data Sheet'!E18</f>
        <v>150.35999999999999</v>
      </c>
      <c r="F4" s="76">
        <f>'Data Sheet'!F17-'Data Sheet'!F18</f>
        <v>194.89</v>
      </c>
      <c r="G4" s="76">
        <f>'Data Sheet'!G17-'Data Sheet'!G18</f>
        <v>196.39999999999998</v>
      </c>
      <c r="H4" s="76">
        <f>'Data Sheet'!H17-'Data Sheet'!H18</f>
        <v>197.92999999999998</v>
      </c>
      <c r="I4" s="76">
        <f>'Data Sheet'!I17-'Data Sheet'!I18</f>
        <v>235.86</v>
      </c>
      <c r="J4" s="76">
        <f>'Data Sheet'!J17-'Data Sheet'!J18</f>
        <v>242.62</v>
      </c>
      <c r="K4" s="76">
        <f>'Data Sheet'!K17-'Data Sheet'!K18</f>
        <v>275.91000000000003</v>
      </c>
      <c r="P4" s="143" t="s">
        <v>308</v>
      </c>
      <c r="Q4" s="163">
        <f>KeyMetrics!K98/'Data Sheet'!B6</f>
        <v>108.29424554589208</v>
      </c>
    </row>
    <row r="5" spans="1:17" ht="14.4" x14ac:dyDescent="0.3">
      <c r="A5" s="76" t="s">
        <v>315</v>
      </c>
      <c r="B5" s="167">
        <f>B4/'Data Sheet'!B17</f>
        <v>0.76549200540927531</v>
      </c>
      <c r="C5" s="167">
        <f>C4/'Data Sheet'!C17</f>
        <v>0.66530406892648264</v>
      </c>
      <c r="D5" s="167">
        <f>D4/'Data Sheet'!D17</f>
        <v>0.65870902580112012</v>
      </c>
      <c r="E5" s="167">
        <f>E4/'Data Sheet'!E17</f>
        <v>0.66693280106453756</v>
      </c>
      <c r="F5" s="167">
        <f>F4/'Data Sheet'!F17</f>
        <v>0.74470768055024839</v>
      </c>
      <c r="G5" s="167">
        <f>G4/'Data Sheet'!G17</f>
        <v>0.69502441786396774</v>
      </c>
      <c r="H5" s="167">
        <f>H4/'Data Sheet'!H17</f>
        <v>0.7302881599822898</v>
      </c>
      <c r="I5" s="167">
        <f>I4/'Data Sheet'!I17</f>
        <v>0.79304663595709624</v>
      </c>
      <c r="J5" s="167">
        <f>J4/'Data Sheet'!J17</f>
        <v>0.74924340683095547</v>
      </c>
      <c r="K5" s="167">
        <f>K4/'Data Sheet'!K17</f>
        <v>0.71984659135380524</v>
      </c>
      <c r="L5" s="90"/>
      <c r="P5" s="143" t="s">
        <v>307</v>
      </c>
      <c r="Q5" s="144">
        <f>KeyMetrics!K95/'Data Sheet'!B6</f>
        <v>11.664698556109093</v>
      </c>
    </row>
    <row r="6" spans="1:17" ht="14.4" x14ac:dyDescent="0.3">
      <c r="A6" s="76" t="s">
        <v>85</v>
      </c>
      <c r="B6" s="76">
        <f>'Data Sheet'!B28+'Data Sheet'!B27</f>
        <v>36.68</v>
      </c>
      <c r="C6" s="76">
        <f>'Data Sheet'!C28+'Data Sheet'!C27</f>
        <v>46.3</v>
      </c>
      <c r="D6" s="76">
        <f>'Data Sheet'!D28+'Data Sheet'!D27</f>
        <v>52.81</v>
      </c>
      <c r="E6" s="76">
        <f>'Data Sheet'!E28+'Data Sheet'!E27</f>
        <v>52.82</v>
      </c>
      <c r="F6" s="76">
        <f>'Data Sheet'!F28+'Data Sheet'!F27</f>
        <v>61.209999999999994</v>
      </c>
      <c r="G6" s="76">
        <f>'Data Sheet'!G28+'Data Sheet'!G27</f>
        <v>71.06</v>
      </c>
      <c r="H6" s="76">
        <f>'Data Sheet'!H28+'Data Sheet'!H27</f>
        <v>71.11</v>
      </c>
      <c r="I6" s="76">
        <f>'Data Sheet'!I28+'Data Sheet'!I27</f>
        <v>79.73</v>
      </c>
      <c r="J6" s="76">
        <f>'Data Sheet'!J28+'Data Sheet'!J27</f>
        <v>87.47999999999999</v>
      </c>
      <c r="K6" s="76">
        <f>'Data Sheet'!K28+'Data Sheet'!K27</f>
        <v>110.83</v>
      </c>
      <c r="P6" s="143" t="s">
        <v>306</v>
      </c>
      <c r="Q6" s="162">
        <f>KeyMetrics!K96</f>
        <v>0.16286954163276376</v>
      </c>
    </row>
    <row r="7" spans="1:17" ht="14.4" x14ac:dyDescent="0.3">
      <c r="A7" s="76" t="s">
        <v>149</v>
      </c>
      <c r="B7" s="76">
        <f>KeyMetrics!B6+'Data Sheet'!B26</f>
        <v>41.37</v>
      </c>
      <c r="C7" s="76">
        <f>KeyMetrics!C6+'Data Sheet'!C26</f>
        <v>51.319999999999993</v>
      </c>
      <c r="D7" s="76">
        <f>KeyMetrics!D6+'Data Sheet'!D26</f>
        <v>59.93</v>
      </c>
      <c r="E7" s="76">
        <f>KeyMetrics!E6+'Data Sheet'!E26</f>
        <v>62.43</v>
      </c>
      <c r="F7" s="76">
        <f>KeyMetrics!F6+'Data Sheet'!F26</f>
        <v>71.639999999999986</v>
      </c>
      <c r="G7" s="76">
        <f>KeyMetrics!G6+'Data Sheet'!G26</f>
        <v>84.14</v>
      </c>
      <c r="H7" s="76">
        <f>KeyMetrics!H6+'Data Sheet'!H26</f>
        <v>86.76</v>
      </c>
      <c r="I7" s="76">
        <f>KeyMetrics!I6+'Data Sheet'!I26</f>
        <v>94.88000000000001</v>
      </c>
      <c r="J7" s="76">
        <f>KeyMetrics!J6+'Data Sheet'!J26</f>
        <v>103.82</v>
      </c>
      <c r="K7" s="76">
        <f>KeyMetrics!K6+'Data Sheet'!K26</f>
        <v>129.41999999999999</v>
      </c>
      <c r="P7" s="143" t="s">
        <v>305</v>
      </c>
      <c r="Q7" s="144">
        <f>KeyMetrics!K69/'Data Sheet'!B6</f>
        <v>71.619889386135256</v>
      </c>
    </row>
    <row r="8" spans="1:17" ht="14.4" x14ac:dyDescent="0.3">
      <c r="A8" s="76" t="s">
        <v>170</v>
      </c>
      <c r="B8" s="76">
        <f>B7-'Data Sheet'!B25</f>
        <v>38.089999999999996</v>
      </c>
      <c r="C8" s="76">
        <f>C7-'Data Sheet'!C25</f>
        <v>48.209999999999994</v>
      </c>
      <c r="D8" s="76">
        <f>D7-'Data Sheet'!D25</f>
        <v>56.09</v>
      </c>
      <c r="E8" s="76">
        <f>E7-'Data Sheet'!E25</f>
        <v>57.55</v>
      </c>
      <c r="F8" s="76">
        <f>F7-'Data Sheet'!F25</f>
        <v>68.779999999999987</v>
      </c>
      <c r="G8" s="76">
        <f>G7-'Data Sheet'!G25</f>
        <v>72.44</v>
      </c>
      <c r="H8" s="76">
        <f>H7-'Data Sheet'!H25</f>
        <v>81.38000000000001</v>
      </c>
      <c r="I8" s="76">
        <f>I7-'Data Sheet'!I25</f>
        <v>89.280000000000015</v>
      </c>
      <c r="J8" s="76">
        <f>J7-'Data Sheet'!J25</f>
        <v>98.61</v>
      </c>
      <c r="K8" s="76">
        <f>K7-'Data Sheet'!K25</f>
        <v>121.43999999999998</v>
      </c>
      <c r="P8" s="143" t="s">
        <v>304</v>
      </c>
      <c r="Q8" s="144">
        <f>KeyMetrics!K108/'Data Sheet'!B6</f>
        <v>85.965234737819813</v>
      </c>
    </row>
    <row r="9" spans="1:17" ht="14.4" x14ac:dyDescent="0.3">
      <c r="A9" s="91" t="s">
        <v>81</v>
      </c>
      <c r="B9" s="92">
        <f>'Data Sheet'!B30</f>
        <v>29.46</v>
      </c>
      <c r="C9" s="92">
        <f>'Data Sheet'!C30</f>
        <v>37.380000000000003</v>
      </c>
      <c r="D9" s="92">
        <f>'Data Sheet'!D30</f>
        <v>31.46</v>
      </c>
      <c r="E9" s="92">
        <f>'Data Sheet'!E30</f>
        <v>27.38</v>
      </c>
      <c r="F9" s="92">
        <f>'Data Sheet'!F30</f>
        <v>40.44</v>
      </c>
      <c r="G9" s="92">
        <f>'Data Sheet'!G30</f>
        <v>51.32</v>
      </c>
      <c r="H9" s="92">
        <f>'Data Sheet'!H30</f>
        <v>52.99</v>
      </c>
      <c r="I9" s="92">
        <f>'Data Sheet'!I30</f>
        <v>54.17</v>
      </c>
      <c r="J9" s="92">
        <f>'Data Sheet'!J30</f>
        <v>56.75</v>
      </c>
      <c r="K9" s="92">
        <f>'Data Sheet'!K30</f>
        <v>73.739999999999995</v>
      </c>
      <c r="P9" s="143" t="s">
        <v>303</v>
      </c>
      <c r="Q9" s="148">
        <f>Q8/Q3</f>
        <v>0.12456021841312731</v>
      </c>
    </row>
    <row r="10" spans="1:17" ht="15" thickBot="1" x14ac:dyDescent="0.35">
      <c r="A10" s="93" t="s">
        <v>84</v>
      </c>
      <c r="B10" s="93">
        <f>'Data Sheet'!B31</f>
        <v>4.12</v>
      </c>
      <c r="C10" s="93">
        <f>'Data Sheet'!C31</f>
        <v>4.12</v>
      </c>
      <c r="D10" s="93">
        <f>'Data Sheet'!D31</f>
        <v>5.16</v>
      </c>
      <c r="E10" s="93">
        <f>'Data Sheet'!E31</f>
        <v>5.16</v>
      </c>
      <c r="F10" s="93">
        <f>'Data Sheet'!F31</f>
        <v>7.22</v>
      </c>
      <c r="G10" s="93">
        <f>'Data Sheet'!G31</f>
        <v>8.76</v>
      </c>
      <c r="H10" s="93">
        <f>'Data Sheet'!H31</f>
        <v>8.76</v>
      </c>
      <c r="I10" s="93">
        <f>'Data Sheet'!I31</f>
        <v>10.31</v>
      </c>
      <c r="J10" s="93">
        <f>'Data Sheet'!J31</f>
        <v>10.31</v>
      </c>
      <c r="K10" s="93">
        <f>'Data Sheet'!K31</f>
        <v>12.01</v>
      </c>
      <c r="P10" s="161"/>
      <c r="Q10" s="160"/>
    </row>
    <row r="11" spans="1:17" ht="14.4" x14ac:dyDescent="0.3">
      <c r="A11" s="16"/>
      <c r="B11" s="16">
        <f t="shared" ref="B11:K11" si="0">B3</f>
        <v>40268</v>
      </c>
      <c r="C11" s="16">
        <f t="shared" si="0"/>
        <v>40633</v>
      </c>
      <c r="D11" s="16">
        <f t="shared" si="0"/>
        <v>40999</v>
      </c>
      <c r="E11" s="16">
        <f t="shared" si="0"/>
        <v>41364</v>
      </c>
      <c r="F11" s="16">
        <f t="shared" si="0"/>
        <v>41729</v>
      </c>
      <c r="G11" s="16">
        <f t="shared" si="0"/>
        <v>42094</v>
      </c>
      <c r="H11" s="16">
        <f t="shared" si="0"/>
        <v>42460</v>
      </c>
      <c r="I11" s="16">
        <f t="shared" si="0"/>
        <v>42825</v>
      </c>
      <c r="J11" s="16">
        <f t="shared" si="0"/>
        <v>43190</v>
      </c>
      <c r="K11" s="16">
        <f t="shared" si="0"/>
        <v>43555</v>
      </c>
      <c r="P11" s="159" t="s">
        <v>302</v>
      </c>
      <c r="Q11" s="158">
        <f>KeyMetrics!K70</f>
        <v>0.19238696548305459</v>
      </c>
    </row>
    <row r="12" spans="1:17" ht="14.4" x14ac:dyDescent="0.3">
      <c r="A12" s="77" t="s">
        <v>150</v>
      </c>
      <c r="B12" s="76">
        <f>'Data Sheet'!B57+'Data Sheet'!B58</f>
        <v>92.78</v>
      </c>
      <c r="C12" s="76">
        <f>'Data Sheet'!C57+'Data Sheet'!C58</f>
        <v>125.28</v>
      </c>
      <c r="D12" s="76">
        <f>'Data Sheet'!D57+'Data Sheet'!D58</f>
        <v>150.65</v>
      </c>
      <c r="E12" s="76">
        <f>'Data Sheet'!E57+'Data Sheet'!E58</f>
        <v>171.94</v>
      </c>
      <c r="F12" s="76">
        <f>'Data Sheet'!F57+'Data Sheet'!F58</f>
        <v>203.86</v>
      </c>
      <c r="G12" s="76">
        <f>'Data Sheet'!G57+'Data Sheet'!G58</f>
        <v>244.18</v>
      </c>
      <c r="H12" s="76">
        <f>'Data Sheet'!H57+'Data Sheet'!H58</f>
        <v>286.64</v>
      </c>
      <c r="I12" s="76">
        <f>'Data Sheet'!I57+'Data Sheet'!I58</f>
        <v>342.88</v>
      </c>
      <c r="J12" s="76">
        <f>'Data Sheet'!J57+'Data Sheet'!J58</f>
        <v>387.81</v>
      </c>
      <c r="K12" s="76">
        <f>'Data Sheet'!K57+'Data Sheet'!K58</f>
        <v>413.53999999999996</v>
      </c>
      <c r="P12" s="157" t="s">
        <v>301</v>
      </c>
      <c r="Q12" s="144">
        <f>KeyMetrics!K49</f>
        <v>0.62638296481508726</v>
      </c>
    </row>
    <row r="13" spans="1:17" ht="14.4" x14ac:dyDescent="0.3">
      <c r="A13" s="76" t="s">
        <v>29</v>
      </c>
      <c r="B13" s="76">
        <f>'Data Sheet'!B65-'Data Sheet'!B60</f>
        <v>37.64</v>
      </c>
      <c r="C13" s="76">
        <f>'Data Sheet'!C65-'Data Sheet'!C60</f>
        <v>55.739999999999995</v>
      </c>
      <c r="D13" s="76">
        <f>'Data Sheet'!D65-'Data Sheet'!D60</f>
        <v>67.86</v>
      </c>
      <c r="E13" s="76">
        <f>'Data Sheet'!E65-'Data Sheet'!E60</f>
        <v>79.8</v>
      </c>
      <c r="F13" s="76">
        <f>'Data Sheet'!F65-'Data Sheet'!F60</f>
        <v>86.18</v>
      </c>
      <c r="G13" s="76">
        <f>'Data Sheet'!G65-'Data Sheet'!G60</f>
        <v>101.77000000000001</v>
      </c>
      <c r="H13" s="76">
        <f>'Data Sheet'!H65-'Data Sheet'!H60</f>
        <v>106.74000000000001</v>
      </c>
      <c r="I13" s="76">
        <f>'Data Sheet'!I65-'Data Sheet'!I60</f>
        <v>83.94</v>
      </c>
      <c r="J13" s="76">
        <f>'Data Sheet'!J65-'Data Sheet'!J60</f>
        <v>80.62</v>
      </c>
      <c r="K13" s="76">
        <f>'Data Sheet'!K65-'Data Sheet'!K60</f>
        <v>83.159999999999982</v>
      </c>
      <c r="P13" s="157" t="s">
        <v>300</v>
      </c>
      <c r="Q13" s="144">
        <f>(KeyMetrics!K100+KeyMetrics!K101)/KeyMetrics!K101</f>
        <v>1.3025342167625864</v>
      </c>
    </row>
    <row r="14" spans="1:17" ht="15" thickBot="1" x14ac:dyDescent="0.35">
      <c r="A14" s="76" t="s">
        <v>151</v>
      </c>
      <c r="B14" s="76">
        <f>'Data Sheet'!B62+'Data Sheet'!B63+KeyMetrics!B13</f>
        <v>110.91000000000001</v>
      </c>
      <c r="C14" s="76">
        <f>'Data Sheet'!C62+'Data Sheet'!C63+KeyMetrics!C13</f>
        <v>173.8</v>
      </c>
      <c r="D14" s="76">
        <f>'Data Sheet'!D62+'Data Sheet'!D63+KeyMetrics!D13</f>
        <v>252.51</v>
      </c>
      <c r="E14" s="76">
        <f>'Data Sheet'!E62+'Data Sheet'!E63+KeyMetrics!E13</f>
        <v>270.60000000000002</v>
      </c>
      <c r="F14" s="76">
        <f>'Data Sheet'!F62+'Data Sheet'!F63+KeyMetrics!F13</f>
        <v>281.88</v>
      </c>
      <c r="G14" s="76">
        <f>'Data Sheet'!G62+'Data Sheet'!G63+KeyMetrics!G13</f>
        <v>293.52</v>
      </c>
      <c r="H14" s="76">
        <f>'Data Sheet'!H62+'Data Sheet'!H63+KeyMetrics!H13</f>
        <v>329.07</v>
      </c>
      <c r="I14" s="76">
        <f>'Data Sheet'!I62+'Data Sheet'!I63+KeyMetrics!I13</f>
        <v>392.56</v>
      </c>
      <c r="J14" s="76">
        <f>'Data Sheet'!J62+'Data Sheet'!J63+KeyMetrics!J13</f>
        <v>429.32</v>
      </c>
      <c r="K14" s="76">
        <f>'Data Sheet'!K62+'Data Sheet'!K63+KeyMetrics!K13</f>
        <v>430.84</v>
      </c>
      <c r="P14" s="156" t="s">
        <v>299</v>
      </c>
      <c r="Q14" s="155">
        <f>Q11*Q12*Q13</f>
        <v>0.15696568636576153</v>
      </c>
    </row>
    <row r="15" spans="1:17" ht="14.4" x14ac:dyDescent="0.3">
      <c r="A15" s="76" t="s">
        <v>152</v>
      </c>
      <c r="B15" s="76">
        <f>B12+'Data Sheet'!B59</f>
        <v>111.42</v>
      </c>
      <c r="C15" s="76">
        <f>C12+'Data Sheet'!C59</f>
        <v>179.31</v>
      </c>
      <c r="D15" s="76">
        <f>D12+'Data Sheet'!D59</f>
        <v>267.5</v>
      </c>
      <c r="E15" s="76">
        <f>E12+'Data Sheet'!E59</f>
        <v>290.44</v>
      </c>
      <c r="F15" s="76">
        <f>F12+'Data Sheet'!F59</f>
        <v>307.74</v>
      </c>
      <c r="G15" s="76">
        <f>G12+'Data Sheet'!G59</f>
        <v>334.83000000000004</v>
      </c>
      <c r="H15" s="76">
        <f>H12+'Data Sheet'!H59</f>
        <v>359.26</v>
      </c>
      <c r="I15" s="76">
        <f>I12+'Data Sheet'!I59</f>
        <v>445.5</v>
      </c>
      <c r="J15" s="76">
        <f>J12+'Data Sheet'!J59</f>
        <v>505.13</v>
      </c>
      <c r="K15" s="76">
        <f>K12+'Data Sheet'!K59</f>
        <v>538.65</v>
      </c>
      <c r="P15" s="154"/>
      <c r="Q15" s="153"/>
    </row>
    <row r="16" spans="1:17" ht="14.4" x14ac:dyDescent="0.3">
      <c r="A16" s="76" t="s">
        <v>80</v>
      </c>
      <c r="B16" s="78">
        <f>'Data Sheet'!B61</f>
        <v>131.9</v>
      </c>
      <c r="C16" s="78">
        <f>'Data Sheet'!C61</f>
        <v>209.04</v>
      </c>
      <c r="D16" s="78">
        <f>'Data Sheet'!D61</f>
        <v>305.7</v>
      </c>
      <c r="E16" s="78">
        <f>'Data Sheet'!E61</f>
        <v>334.25</v>
      </c>
      <c r="F16" s="78">
        <f>'Data Sheet'!F61</f>
        <v>356.4</v>
      </c>
      <c r="G16" s="78">
        <f>'Data Sheet'!G61</f>
        <v>391.11</v>
      </c>
      <c r="H16" s="78">
        <f>'Data Sheet'!H61</f>
        <v>417.33</v>
      </c>
      <c r="I16" s="78">
        <f>'Data Sheet'!I61</f>
        <v>507.41</v>
      </c>
      <c r="J16" s="78">
        <f>'Data Sheet'!J61</f>
        <v>572.76</v>
      </c>
      <c r="K16" s="78">
        <f>'Data Sheet'!K61</f>
        <v>611.91</v>
      </c>
      <c r="P16" s="143" t="s">
        <v>172</v>
      </c>
      <c r="Q16" s="164">
        <f>Q3/Q7</f>
        <v>9.6362896663954452</v>
      </c>
    </row>
    <row r="17" spans="1:17" ht="14.4" x14ac:dyDescent="0.3">
      <c r="A17" s="16"/>
      <c r="B17" s="16">
        <f t="shared" ref="B17:K17" si="1">B3</f>
        <v>40268</v>
      </c>
      <c r="C17" s="16">
        <f t="shared" si="1"/>
        <v>40633</v>
      </c>
      <c r="D17" s="16">
        <f t="shared" si="1"/>
        <v>40999</v>
      </c>
      <c r="E17" s="16">
        <f t="shared" si="1"/>
        <v>41364</v>
      </c>
      <c r="F17" s="16">
        <f t="shared" si="1"/>
        <v>41729</v>
      </c>
      <c r="G17" s="16">
        <f t="shared" si="1"/>
        <v>42094</v>
      </c>
      <c r="H17" s="16">
        <f t="shared" si="1"/>
        <v>42460</v>
      </c>
      <c r="I17" s="16">
        <f t="shared" si="1"/>
        <v>42825</v>
      </c>
      <c r="J17" s="16">
        <f t="shared" si="1"/>
        <v>43190</v>
      </c>
      <c r="K17" s="16">
        <f t="shared" si="1"/>
        <v>43555</v>
      </c>
      <c r="P17" s="143" t="s">
        <v>298</v>
      </c>
      <c r="Q17" s="164">
        <f>(Q3-Q4)/Q7</f>
        <v>8.1242202332519682</v>
      </c>
    </row>
    <row r="18" spans="1:17" ht="14.4" x14ac:dyDescent="0.3">
      <c r="A18" s="77" t="s">
        <v>81</v>
      </c>
      <c r="B18" s="77">
        <v>29.46</v>
      </c>
      <c r="C18" s="77">
        <v>37.380000000000003</v>
      </c>
      <c r="D18" s="77">
        <v>31.46</v>
      </c>
      <c r="E18" s="77">
        <v>27.38</v>
      </c>
      <c r="F18" s="77">
        <v>40.44</v>
      </c>
      <c r="G18" s="77">
        <v>51.32</v>
      </c>
      <c r="H18" s="77">
        <v>52.99</v>
      </c>
      <c r="I18" s="77">
        <v>54.17</v>
      </c>
      <c r="J18" s="77">
        <v>56.75</v>
      </c>
      <c r="K18" s="77">
        <v>73.739999999999995</v>
      </c>
      <c r="L18" s="74">
        <f>SUM(C18:K18)</f>
        <v>425.63</v>
      </c>
      <c r="P18" s="143"/>
      <c r="Q18" s="164"/>
    </row>
    <row r="19" spans="1:17" ht="14.4" x14ac:dyDescent="0.3">
      <c r="A19" s="77" t="s">
        <v>153</v>
      </c>
      <c r="B19" s="76">
        <f>'Data Sheet'!B82</f>
        <v>36.31</v>
      </c>
      <c r="C19" s="76">
        <f>'Data Sheet'!C82</f>
        <v>29.28</v>
      </c>
      <c r="D19" s="76">
        <f>'Data Sheet'!D82</f>
        <v>30.41</v>
      </c>
      <c r="E19" s="76">
        <f>'Data Sheet'!E82</f>
        <v>46.63</v>
      </c>
      <c r="F19" s="76">
        <f>'Data Sheet'!F82</f>
        <v>51.53</v>
      </c>
      <c r="G19" s="76">
        <f>'Data Sheet'!G82</f>
        <v>69.97</v>
      </c>
      <c r="H19" s="76">
        <f>'Data Sheet'!H82</f>
        <v>68.400000000000006</v>
      </c>
      <c r="I19" s="76">
        <f>'Data Sheet'!I82</f>
        <v>77.13</v>
      </c>
      <c r="J19" s="76">
        <f>'Data Sheet'!J82</f>
        <v>86.7</v>
      </c>
      <c r="K19" s="76">
        <f>'Data Sheet'!K82</f>
        <v>88.51</v>
      </c>
      <c r="L19" s="74">
        <f>SUM(C19:K19)</f>
        <v>548.56000000000006</v>
      </c>
      <c r="P19" s="143" t="s">
        <v>297</v>
      </c>
      <c r="Q19" s="152">
        <f>Q3/(KeyMetrics!K101/'Data Sheet'!B6)</f>
        <v>1.7182860182811823</v>
      </c>
    </row>
    <row r="20" spans="1:17" ht="14.4" x14ac:dyDescent="0.3">
      <c r="A20" s="77"/>
      <c r="B20" s="76"/>
      <c r="C20" s="167">
        <f>(C19-B19)/B19</f>
        <v>-0.19361057559900854</v>
      </c>
      <c r="D20" s="167">
        <f t="shared" ref="D20:K20" si="2">(D19-C19)/C19</f>
        <v>3.8592896174863354E-2</v>
      </c>
      <c r="E20" s="167">
        <f t="shared" si="2"/>
        <v>0.53337717855968436</v>
      </c>
      <c r="F20" s="167">
        <f t="shared" si="2"/>
        <v>0.10508256487239971</v>
      </c>
      <c r="G20" s="167">
        <f t="shared" si="2"/>
        <v>0.35784979623520274</v>
      </c>
      <c r="H20" s="167">
        <f t="shared" si="2"/>
        <v>-2.2438187794769089E-2</v>
      </c>
      <c r="I20" s="167">
        <f t="shared" si="2"/>
        <v>0.12763157894736826</v>
      </c>
      <c r="J20" s="167">
        <f t="shared" si="2"/>
        <v>0.12407623492804366</v>
      </c>
      <c r="K20" s="167">
        <f t="shared" si="2"/>
        <v>2.087658592848907E-2</v>
      </c>
      <c r="P20" s="143"/>
      <c r="Q20" s="152"/>
    </row>
    <row r="21" spans="1:17" ht="14.4" x14ac:dyDescent="0.3">
      <c r="A21" s="77"/>
      <c r="B21" s="167">
        <f>B19/B18</f>
        <v>1.2325186693822132</v>
      </c>
      <c r="C21" s="167">
        <f t="shared" ref="C21:K21" si="3">C19/C18</f>
        <v>0.78330658105938999</v>
      </c>
      <c r="D21" s="167">
        <f t="shared" si="3"/>
        <v>0.96662428480610296</v>
      </c>
      <c r="E21" s="167">
        <f t="shared" si="3"/>
        <v>1.7030679327976628</v>
      </c>
      <c r="F21" s="167">
        <f t="shared" si="3"/>
        <v>1.2742334322453017</v>
      </c>
      <c r="G21" s="167">
        <f t="shared" si="3"/>
        <v>1.3634060795011691</v>
      </c>
      <c r="H21" s="167">
        <f t="shared" si="3"/>
        <v>1.2908095867144744</v>
      </c>
      <c r="I21" s="167">
        <f t="shared" si="3"/>
        <v>1.4238508399483107</v>
      </c>
      <c r="J21" s="167">
        <f t="shared" si="3"/>
        <v>1.5277533039647577</v>
      </c>
      <c r="K21" s="167">
        <f t="shared" si="3"/>
        <v>1.2002983455383782</v>
      </c>
      <c r="P21" s="143"/>
      <c r="Q21" s="152"/>
    </row>
    <row r="22" spans="1:17" ht="14.4" x14ac:dyDescent="0.3">
      <c r="A22" s="77" t="s">
        <v>147</v>
      </c>
      <c r="B22" s="76">
        <v>30</v>
      </c>
      <c r="C22" s="76">
        <f>('Data Sheet'!C62-'Data Sheet'!B62)+('Data Sheet'!C63-'Data Sheet'!B63)+'Data Sheet'!C26</f>
        <v>49.809999999999988</v>
      </c>
      <c r="D22" s="76">
        <f>('Data Sheet'!D62-'Data Sheet'!C62)+('Data Sheet'!D63-'Data Sheet'!C63)+'Data Sheet'!D26</f>
        <v>73.710000000000008</v>
      </c>
      <c r="E22" s="76">
        <f>('Data Sheet'!E62-'Data Sheet'!D62)+('Data Sheet'!E63-'Data Sheet'!D63)+'Data Sheet'!E26</f>
        <v>15.760000000000005</v>
      </c>
      <c r="F22" s="76">
        <f>('Data Sheet'!F62-'Data Sheet'!E62)+('Data Sheet'!F63-'Data Sheet'!E63)+'Data Sheet'!F26</f>
        <v>15.329999999999998</v>
      </c>
      <c r="G22" s="76">
        <f>('Data Sheet'!G62-'Data Sheet'!F62)+('Data Sheet'!G63-'Data Sheet'!F63)+'Data Sheet'!G26</f>
        <v>9.1300000000000061</v>
      </c>
      <c r="H22" s="76">
        <f>('Data Sheet'!H62-'Data Sheet'!G62)+('Data Sheet'!H63-'Data Sheet'!G63)+'Data Sheet'!H26</f>
        <v>46.229999999999976</v>
      </c>
      <c r="I22" s="76">
        <f>('Data Sheet'!I62-'Data Sheet'!H62)+('Data Sheet'!I63-'Data Sheet'!H63)+'Data Sheet'!I26</f>
        <v>101.44000000000004</v>
      </c>
      <c r="J22" s="76">
        <f>('Data Sheet'!J62-'Data Sheet'!I62)+('Data Sheet'!J63-'Data Sheet'!I63)+'Data Sheet'!J26</f>
        <v>56.419999999999945</v>
      </c>
      <c r="K22" s="76">
        <f>('Data Sheet'!K62-'Data Sheet'!J62)+('Data Sheet'!K63-'Data Sheet'!J63)+'Data Sheet'!K26</f>
        <v>17.570000000000046</v>
      </c>
      <c r="L22" s="74">
        <f t="shared" ref="L22:L23" si="4">SUM(C22:K22)</f>
        <v>385.40000000000003</v>
      </c>
      <c r="P22" s="143" t="s">
        <v>160</v>
      </c>
      <c r="Q22" s="148">
        <f>Q5/Q3</f>
        <v>1.6901685946691433E-2</v>
      </c>
    </row>
    <row r="23" spans="1:17" ht="14.4" x14ac:dyDescent="0.3">
      <c r="A23" s="77" t="s">
        <v>82</v>
      </c>
      <c r="B23" s="79"/>
      <c r="C23" s="79">
        <f>C19-C22</f>
        <v>-20.529999999999987</v>
      </c>
      <c r="D23" s="79">
        <f t="shared" ref="D23:K23" si="5">D19-D22</f>
        <v>-43.300000000000011</v>
      </c>
      <c r="E23" s="79">
        <f t="shared" si="5"/>
        <v>30.869999999999997</v>
      </c>
      <c r="F23" s="79">
        <f t="shared" si="5"/>
        <v>36.200000000000003</v>
      </c>
      <c r="G23" s="79">
        <f t="shared" si="5"/>
        <v>60.839999999999989</v>
      </c>
      <c r="H23" s="79">
        <f t="shared" si="5"/>
        <v>22.17000000000003</v>
      </c>
      <c r="I23" s="79">
        <f t="shared" si="5"/>
        <v>-24.310000000000045</v>
      </c>
      <c r="J23" s="79">
        <f t="shared" si="5"/>
        <v>30.280000000000058</v>
      </c>
      <c r="K23" s="79">
        <f t="shared" si="5"/>
        <v>70.939999999999955</v>
      </c>
      <c r="L23" s="74">
        <f t="shared" si="4"/>
        <v>163.15999999999997</v>
      </c>
      <c r="M23" s="74">
        <f>L23/L19</f>
        <v>0.29743327985999701</v>
      </c>
      <c r="P23" s="143" t="s">
        <v>296</v>
      </c>
      <c r="Q23" s="148">
        <f>Q93/Q92-1</f>
        <v>0.29938325991189418</v>
      </c>
    </row>
    <row r="24" spans="1:17" ht="14.4" x14ac:dyDescent="0.3">
      <c r="A24" s="77"/>
      <c r="B24" s="79"/>
      <c r="C24" s="79"/>
      <c r="D24" s="167">
        <f>(D23-C23)/C23</f>
        <v>1.109108621529471</v>
      </c>
      <c r="E24" s="167">
        <f t="shared" ref="E24:K24" si="6">(E23-D23)/D23</f>
        <v>-1.712933025404157</v>
      </c>
      <c r="F24" s="167">
        <f t="shared" si="6"/>
        <v>0.17265954000647898</v>
      </c>
      <c r="G24" s="167">
        <f t="shared" si="6"/>
        <v>0.68066298342541398</v>
      </c>
      <c r="H24" s="167">
        <f t="shared" si="6"/>
        <v>-0.63560157790926963</v>
      </c>
      <c r="I24" s="167">
        <f t="shared" si="6"/>
        <v>-2.0965268380694639</v>
      </c>
      <c r="J24" s="167">
        <f t="shared" si="6"/>
        <v>-2.2455779514603047</v>
      </c>
      <c r="K24" s="167">
        <f t="shared" si="6"/>
        <v>1.3428005284015792</v>
      </c>
      <c r="P24" s="143"/>
      <c r="Q24" s="148"/>
    </row>
    <row r="25" spans="1:17" ht="14.4" x14ac:dyDescent="0.3">
      <c r="A25" s="77" t="s">
        <v>134</v>
      </c>
      <c r="B25" s="80">
        <f>'Data Sheet'!B29/'Data Sheet'!B28</f>
        <v>0.14010507880910683</v>
      </c>
      <c r="C25" s="80">
        <f>'Data Sheet'!C29/'Data Sheet'!C28</f>
        <v>0.14285714285714288</v>
      </c>
      <c r="D25" s="80">
        <f>'Data Sheet'!D29/'Data Sheet'!D28</f>
        <v>0.29303370786516852</v>
      </c>
      <c r="E25" s="80">
        <f>'Data Sheet'!E29/'Data Sheet'!E28</f>
        <v>0.31593406593406598</v>
      </c>
      <c r="F25" s="80">
        <f>'Data Sheet'!F29/'Data Sheet'!F28</f>
        <v>0.19358054226475283</v>
      </c>
      <c r="G25" s="80">
        <f>'Data Sheet'!G29/'Data Sheet'!G28</f>
        <v>0.18487928843710294</v>
      </c>
      <c r="H25" s="80">
        <f>'Data Sheet'!H29/'Data Sheet'!H28</f>
        <v>0.18190240889437923</v>
      </c>
      <c r="I25" s="80">
        <f>'Data Sheet'!I29/'Data Sheet'!I28</f>
        <v>0.27489293361884365</v>
      </c>
      <c r="J25" s="80">
        <f>'Data Sheet'!J29/'Data Sheet'!J28</f>
        <v>0.28732889614466911</v>
      </c>
      <c r="K25" s="80">
        <f>'Data Sheet'!K29/'Data Sheet'!K28</f>
        <v>0.28114642230454279</v>
      </c>
      <c r="P25" s="143" t="s">
        <v>295</v>
      </c>
      <c r="Q25" s="144">
        <f>(Q23+Q22)/Q16</f>
        <v>3.2822274631444874E-2</v>
      </c>
    </row>
    <row r="26" spans="1:17" ht="14.4" x14ac:dyDescent="0.3">
      <c r="A26" s="77" t="s">
        <v>154</v>
      </c>
      <c r="B26" s="79">
        <f t="shared" ref="B26:K26" si="7">B6*(1-B25)</f>
        <v>31.54094570928196</v>
      </c>
      <c r="C26" s="79">
        <f t="shared" si="7"/>
        <v>39.685714285714283</v>
      </c>
      <c r="D26" s="79">
        <f t="shared" si="7"/>
        <v>37.33488988764045</v>
      </c>
      <c r="E26" s="79">
        <f t="shared" si="7"/>
        <v>36.13236263736264</v>
      </c>
      <c r="F26" s="79">
        <f t="shared" si="7"/>
        <v>49.360935007974476</v>
      </c>
      <c r="G26" s="79">
        <f t="shared" si="7"/>
        <v>57.922477763659472</v>
      </c>
      <c r="H26" s="79">
        <f t="shared" si="7"/>
        <v>58.174919703520693</v>
      </c>
      <c r="I26" s="79">
        <f t="shared" si="7"/>
        <v>57.812786402569593</v>
      </c>
      <c r="J26" s="79">
        <f t="shared" si="7"/>
        <v>62.344468165264331</v>
      </c>
      <c r="K26" s="79">
        <f t="shared" si="7"/>
        <v>79.670542015987522</v>
      </c>
      <c r="P26" s="143"/>
      <c r="Q26" s="144"/>
    </row>
    <row r="27" spans="1:17" ht="14.4" x14ac:dyDescent="0.3">
      <c r="A27" s="77" t="s">
        <v>132</v>
      </c>
      <c r="B27" s="80">
        <f t="shared" ref="B27:K27" si="8">(B6/B14)*(1-B25)</f>
        <v>0.28438324505709095</v>
      </c>
      <c r="C27" s="80">
        <f t="shared" si="8"/>
        <v>0.22834127897419032</v>
      </c>
      <c r="D27" s="80">
        <f t="shared" si="8"/>
        <v>0.14785509440275812</v>
      </c>
      <c r="E27" s="80">
        <f t="shared" si="8"/>
        <v>0.13352683901464391</v>
      </c>
      <c r="F27" s="80">
        <f t="shared" si="8"/>
        <v>0.17511329291888206</v>
      </c>
      <c r="G27" s="80">
        <f t="shared" si="8"/>
        <v>0.19733741402173438</v>
      </c>
      <c r="H27" s="80">
        <f t="shared" si="8"/>
        <v>0.17678585013377304</v>
      </c>
      <c r="I27" s="80">
        <f t="shared" si="8"/>
        <v>0.14727121052213571</v>
      </c>
      <c r="J27" s="80">
        <f t="shared" si="8"/>
        <v>0.14521678040916877</v>
      </c>
      <c r="K27" s="80">
        <f t="shared" si="8"/>
        <v>0.18491909297183995</v>
      </c>
      <c r="P27" s="145" t="s">
        <v>294</v>
      </c>
      <c r="Q27" s="144"/>
    </row>
    <row r="28" spans="1:17" ht="14.4" x14ac:dyDescent="0.3">
      <c r="A28" s="76" t="s">
        <v>137</v>
      </c>
      <c r="B28" s="94">
        <v>0.12</v>
      </c>
      <c r="C28" s="94">
        <v>0.12</v>
      </c>
      <c r="D28" s="94">
        <v>0.12</v>
      </c>
      <c r="E28" s="94">
        <v>0.12</v>
      </c>
      <c r="F28" s="94">
        <v>0.12</v>
      </c>
      <c r="G28" s="94">
        <v>0.12</v>
      </c>
      <c r="H28" s="94">
        <v>0.12</v>
      </c>
      <c r="I28" s="94">
        <v>0.12</v>
      </c>
      <c r="J28" s="94">
        <v>0.12</v>
      </c>
      <c r="K28" s="94">
        <v>0.12</v>
      </c>
      <c r="P28" s="143" t="s">
        <v>293</v>
      </c>
      <c r="Q28" s="149">
        <f>RATE(3,,-Q62,Q65,0,)</f>
        <v>0.12245784906647815</v>
      </c>
    </row>
    <row r="29" spans="1:17" ht="14.4" x14ac:dyDescent="0.3">
      <c r="A29" s="76" t="s">
        <v>174</v>
      </c>
      <c r="B29" s="79">
        <f t="shared" ref="B29:K29" si="9">B14*(B27-B28)</f>
        <v>18.231745709281959</v>
      </c>
      <c r="C29" s="79">
        <f t="shared" si="9"/>
        <v>18.829714285714278</v>
      </c>
      <c r="D29" s="79">
        <f t="shared" si="9"/>
        <v>7.0336898876404552</v>
      </c>
      <c r="E29" s="79">
        <f t="shared" si="9"/>
        <v>3.6603626373626423</v>
      </c>
      <c r="F29" s="79">
        <f t="shared" si="9"/>
        <v>15.535335007974476</v>
      </c>
      <c r="G29" s="79">
        <f t="shared" si="9"/>
        <v>22.700077763659475</v>
      </c>
      <c r="H29" s="79">
        <f t="shared" si="9"/>
        <v>18.686519703520695</v>
      </c>
      <c r="I29" s="79">
        <f t="shared" si="9"/>
        <v>10.705586402569596</v>
      </c>
      <c r="J29" s="79">
        <f t="shared" si="9"/>
        <v>10.826068165264338</v>
      </c>
      <c r="K29" s="79">
        <f t="shared" si="9"/>
        <v>27.969742015987524</v>
      </c>
      <c r="P29" s="143" t="s">
        <v>292</v>
      </c>
      <c r="Q29" s="149">
        <f>RATE(3,,-Q90,Q93,0,)</f>
        <v>0.11644261315368641</v>
      </c>
    </row>
    <row r="30" spans="1:17" ht="14.4" x14ac:dyDescent="0.3">
      <c r="A30" s="16"/>
      <c r="B30" s="16">
        <f t="shared" ref="B30:K30" si="10">B3</f>
        <v>40268</v>
      </c>
      <c r="C30" s="16">
        <f t="shared" si="10"/>
        <v>40633</v>
      </c>
      <c r="D30" s="16">
        <f t="shared" si="10"/>
        <v>40999</v>
      </c>
      <c r="E30" s="16">
        <f t="shared" si="10"/>
        <v>41364</v>
      </c>
      <c r="F30" s="16">
        <f t="shared" si="10"/>
        <v>41729</v>
      </c>
      <c r="G30" s="16">
        <f t="shared" si="10"/>
        <v>42094</v>
      </c>
      <c r="H30" s="16">
        <f t="shared" si="10"/>
        <v>42460</v>
      </c>
      <c r="I30" s="16">
        <f t="shared" si="10"/>
        <v>42825</v>
      </c>
      <c r="J30" s="16">
        <f t="shared" si="10"/>
        <v>43190</v>
      </c>
      <c r="K30" s="16">
        <f t="shared" si="10"/>
        <v>43555</v>
      </c>
      <c r="L30" s="16" t="s">
        <v>173</v>
      </c>
      <c r="P30" s="143" t="s">
        <v>291</v>
      </c>
      <c r="Q30" s="149">
        <f>RATE(1,,-Q64,Q65,0,)</f>
        <v>0.18365141127787038</v>
      </c>
    </row>
    <row r="31" spans="1:17" ht="14.4" x14ac:dyDescent="0.3">
      <c r="A31" s="85" t="s">
        <v>139</v>
      </c>
      <c r="B31" s="86">
        <f>'Data Sheet'!B90*'Data Sheet'!B93</f>
        <v>92.751499999999993</v>
      </c>
      <c r="C31" s="86">
        <f>'Data Sheet'!C90*'Data Sheet'!C93</f>
        <v>104.751</v>
      </c>
      <c r="D31" s="86">
        <f>'Data Sheet'!D90*'Data Sheet'!D93</f>
        <v>110.10700000000001</v>
      </c>
      <c r="E31" s="86">
        <f>'Data Sheet'!E90*'Data Sheet'!E93</f>
        <v>94.451000000000008</v>
      </c>
      <c r="F31" s="86">
        <f>'Data Sheet'!F90*'Data Sheet'!F93</f>
        <v>163.10050000000001</v>
      </c>
      <c r="G31" s="86">
        <f>'Data Sheet'!G90*'Data Sheet'!G93</f>
        <v>464.11800000000005</v>
      </c>
      <c r="H31" s="86">
        <f>'Data Sheet'!H90*'Data Sheet'!H93</f>
        <v>521.95249999999999</v>
      </c>
      <c r="I31" s="86">
        <f>'Data Sheet'!I90*'Data Sheet'!I93</f>
        <v>942.65600000000006</v>
      </c>
      <c r="J31" s="86">
        <f>'Data Sheet'!J90*'Data Sheet'!J93</f>
        <v>1040.0425</v>
      </c>
      <c r="K31" s="86">
        <f>'Data Sheet'!K90*'Data Sheet'!K93</f>
        <v>1174.0454999999999</v>
      </c>
      <c r="L31" s="76">
        <f>'Data Sheet'!B9</f>
        <v>710.58</v>
      </c>
      <c r="P31" s="143" t="s">
        <v>290</v>
      </c>
      <c r="Q31" s="149">
        <f>RATE(1,,-Q85,Q86,0,)</f>
        <v>0.21818181818181881</v>
      </c>
    </row>
    <row r="32" spans="1:17" ht="14.4" x14ac:dyDescent="0.3">
      <c r="A32" s="87" t="s">
        <v>155</v>
      </c>
      <c r="B32" s="79">
        <f>B31+'Data Sheet'!B31</f>
        <v>96.871499999999997</v>
      </c>
      <c r="C32" s="79">
        <f>C31+'Data Sheet'!C31</f>
        <v>108.87100000000001</v>
      </c>
      <c r="D32" s="79">
        <f>D31+'Data Sheet'!D31</f>
        <v>115.26700000000001</v>
      </c>
      <c r="E32" s="79">
        <f>E31+'Data Sheet'!E31</f>
        <v>99.611000000000004</v>
      </c>
      <c r="F32" s="79">
        <f>F31+'Data Sheet'!F31</f>
        <v>170.32050000000001</v>
      </c>
      <c r="G32" s="79">
        <f>G31+'Data Sheet'!G31</f>
        <v>472.87800000000004</v>
      </c>
      <c r="H32" s="79">
        <f>H31+'Data Sheet'!H31</f>
        <v>530.71249999999998</v>
      </c>
      <c r="I32" s="79">
        <f>I31+'Data Sheet'!I31</f>
        <v>952.96600000000001</v>
      </c>
      <c r="J32" s="79">
        <f>J31+'Data Sheet'!J31</f>
        <v>1050.3525</v>
      </c>
      <c r="K32" s="79">
        <f>K31+'Data Sheet'!K31</f>
        <v>1186.0554999999999</v>
      </c>
      <c r="P32" s="143" t="s">
        <v>289</v>
      </c>
      <c r="Q32" s="149">
        <f>RATE(1,,-Q92,Q93,0,)</f>
        <v>0.29938325991189407</v>
      </c>
    </row>
    <row r="33" spans="1:17" ht="14.4" x14ac:dyDescent="0.3">
      <c r="A33" s="76" t="s">
        <v>156</v>
      </c>
      <c r="B33" s="76">
        <f>'Data Sheet'!B30-'Data Sheet'!B31</f>
        <v>25.34</v>
      </c>
      <c r="C33" s="76">
        <f>'Data Sheet'!C30-'Data Sheet'!C31</f>
        <v>33.260000000000005</v>
      </c>
      <c r="D33" s="76">
        <f>'Data Sheet'!D30-'Data Sheet'!D31</f>
        <v>26.3</v>
      </c>
      <c r="E33" s="76">
        <f>'Data Sheet'!E30-'Data Sheet'!E31</f>
        <v>22.22</v>
      </c>
      <c r="F33" s="76">
        <f>'Data Sheet'!F30-'Data Sheet'!F31</f>
        <v>33.22</v>
      </c>
      <c r="G33" s="76">
        <f>'Data Sheet'!G30-'Data Sheet'!G31</f>
        <v>42.56</v>
      </c>
      <c r="H33" s="76">
        <f>'Data Sheet'!H30-'Data Sheet'!H31</f>
        <v>44.230000000000004</v>
      </c>
      <c r="I33" s="76">
        <f>'Data Sheet'!I30-'Data Sheet'!I31</f>
        <v>43.86</v>
      </c>
      <c r="J33" s="76">
        <f>'Data Sheet'!J30-'Data Sheet'!J31</f>
        <v>46.44</v>
      </c>
      <c r="K33" s="76">
        <f>'Data Sheet'!K30-'Data Sheet'!K31</f>
        <v>61.73</v>
      </c>
      <c r="L33" s="74">
        <f>SUM(B33:K33)</f>
        <v>379.16</v>
      </c>
      <c r="P33" s="143" t="s">
        <v>288</v>
      </c>
      <c r="Q33" s="151">
        <f>Q79/Q65</f>
        <v>0.28015340864619476</v>
      </c>
    </row>
    <row r="34" spans="1:17" ht="14.4" x14ac:dyDescent="0.3">
      <c r="A34" s="88" t="s">
        <v>316</v>
      </c>
      <c r="B34" s="89">
        <f>'Data Sheet'!B70/10^6</f>
        <v>10.329814000000001</v>
      </c>
      <c r="C34" s="89">
        <f>'Data Sheet'!C70/10^6</f>
        <v>10.329814000000001</v>
      </c>
      <c r="D34" s="89">
        <f>'Data Sheet'!D70/10^6</f>
        <v>10.329814000000001</v>
      </c>
      <c r="E34" s="89">
        <f>'Data Sheet'!E70/10^6</f>
        <v>10.329814000000001</v>
      </c>
      <c r="F34" s="89">
        <f>'Data Sheet'!F70/10^6</f>
        <v>10.329814000000001</v>
      </c>
      <c r="G34" s="89">
        <f>'Data Sheet'!G70/10^6</f>
        <v>10.329814000000001</v>
      </c>
      <c r="H34" s="89">
        <f>'Data Sheet'!H70/10^6</f>
        <v>10.329814000000001</v>
      </c>
      <c r="I34" s="89">
        <f>'Data Sheet'!I70/10^6</f>
        <v>10.329814000000001</v>
      </c>
      <c r="J34" s="89">
        <f>'Data Sheet'!J70/10^6</f>
        <v>10.329814000000001</v>
      </c>
      <c r="K34" s="89">
        <f>'Data Sheet'!K70/10^6</f>
        <v>10.023844</v>
      </c>
      <c r="P34" s="143" t="s">
        <v>287</v>
      </c>
      <c r="Q34" s="151">
        <f>AVERAGE(Q75/Q61,Q76/Q62,Q77/Q63,Q78/Q64,Q79/Q65)</f>
        <v>0.26251015760237711</v>
      </c>
    </row>
    <row r="35" spans="1:17" ht="14.4" x14ac:dyDescent="0.3">
      <c r="A35" s="88" t="s">
        <v>47</v>
      </c>
      <c r="B35" s="89">
        <f t="shared" ref="B35:K35" si="11">B9/B34*10</f>
        <v>28.519390571795388</v>
      </c>
      <c r="C35" s="89">
        <f t="shared" si="11"/>
        <v>36.186517976025513</v>
      </c>
      <c r="D35" s="89">
        <f t="shared" si="11"/>
        <v>30.455533855691883</v>
      </c>
      <c r="E35" s="89">
        <f t="shared" si="11"/>
        <v>26.50580155654303</v>
      </c>
      <c r="F35" s="89">
        <f t="shared" si="11"/>
        <v>39.14881720038715</v>
      </c>
      <c r="G35" s="89">
        <f t="shared" si="11"/>
        <v>49.681436664784087</v>
      </c>
      <c r="H35" s="89">
        <f t="shared" si="11"/>
        <v>51.29811630683767</v>
      </c>
      <c r="I35" s="89">
        <f t="shared" si="11"/>
        <v>52.440440844336599</v>
      </c>
      <c r="J35" s="89">
        <f t="shared" si="11"/>
        <v>54.938065680563071</v>
      </c>
      <c r="K35" s="89">
        <f t="shared" si="11"/>
        <v>73.564592585439271</v>
      </c>
      <c r="P35" s="143" t="s">
        <v>286</v>
      </c>
      <c r="Q35" s="151">
        <f>Q72/Q65</f>
        <v>0.12082235383130267</v>
      </c>
    </row>
    <row r="36" spans="1:17" ht="14.4" x14ac:dyDescent="0.3">
      <c r="A36" s="88" t="s">
        <v>171</v>
      </c>
      <c r="B36" s="89">
        <f>B31+'Data Sheet'!B59-'Data Sheet'!B69</f>
        <v>100.5415</v>
      </c>
      <c r="C36" s="89">
        <f>C31+'Data Sheet'!C59-'Data Sheet'!C69</f>
        <v>145.261</v>
      </c>
      <c r="D36" s="89">
        <f>D31+'Data Sheet'!D59-'Data Sheet'!D69</f>
        <v>215.447</v>
      </c>
      <c r="E36" s="89">
        <f>E31+'Data Sheet'!E59-'Data Sheet'!E69</f>
        <v>200.12100000000001</v>
      </c>
      <c r="F36" s="89">
        <f>F31+'Data Sheet'!F59-'Data Sheet'!F69</f>
        <v>256.76049999999998</v>
      </c>
      <c r="G36" s="89">
        <f>G31+'Data Sheet'!G59-'Data Sheet'!G69</f>
        <v>537.048</v>
      </c>
      <c r="H36" s="89">
        <f>H31+'Data Sheet'!H59-'Data Sheet'!H69</f>
        <v>584.57249999999999</v>
      </c>
      <c r="I36" s="89">
        <f>I31+'Data Sheet'!I59-'Data Sheet'!I69</f>
        <v>1031.9260000000002</v>
      </c>
      <c r="J36" s="89">
        <f>J31+'Data Sheet'!J59-'Data Sheet'!J69</f>
        <v>1145.8724999999999</v>
      </c>
      <c r="K36" s="89">
        <f>K31+'Data Sheet'!K59-'Data Sheet'!K69</f>
        <v>1295.4654999999998</v>
      </c>
      <c r="P36" s="143" t="s">
        <v>285</v>
      </c>
      <c r="Q36" s="151">
        <f>AVERAGE(Q68/Q61,Q69/Q62,Q70/Q63,Q71/Q64,Q72/Q65)</f>
        <v>0.15439115881644705</v>
      </c>
    </row>
    <row r="37" spans="1:17" ht="14.4" x14ac:dyDescent="0.3">
      <c r="A37" s="16"/>
      <c r="B37" s="16">
        <f t="shared" ref="B37:K37" si="12">B3</f>
        <v>40268</v>
      </c>
      <c r="C37" s="16">
        <f t="shared" si="12"/>
        <v>40633</v>
      </c>
      <c r="D37" s="16">
        <f t="shared" si="12"/>
        <v>40999</v>
      </c>
      <c r="E37" s="16">
        <f t="shared" si="12"/>
        <v>41364</v>
      </c>
      <c r="F37" s="16">
        <f t="shared" si="12"/>
        <v>41729</v>
      </c>
      <c r="G37" s="16">
        <f t="shared" si="12"/>
        <v>42094</v>
      </c>
      <c r="H37" s="16">
        <f t="shared" si="12"/>
        <v>42460</v>
      </c>
      <c r="I37" s="16">
        <f t="shared" si="12"/>
        <v>42825</v>
      </c>
      <c r="J37" s="16">
        <f t="shared" si="12"/>
        <v>43190</v>
      </c>
      <c r="K37" s="16">
        <f t="shared" si="12"/>
        <v>43555</v>
      </c>
      <c r="P37" s="143"/>
      <c r="Q37" s="144"/>
    </row>
    <row r="38" spans="1:17" ht="14.4" x14ac:dyDescent="0.3">
      <c r="A38" s="74" t="s">
        <v>172</v>
      </c>
      <c r="B38" s="84">
        <f>B31/'Data Sheet'!B30</f>
        <v>3.1483876442634076</v>
      </c>
      <c r="C38" s="84">
        <f>C31/'Data Sheet'!C30</f>
        <v>2.8023274478330658</v>
      </c>
      <c r="D38" s="84">
        <f>D31/'Data Sheet'!D30</f>
        <v>3.4999046408137322</v>
      </c>
      <c r="E38" s="84">
        <f>E31/'Data Sheet'!E30</f>
        <v>3.4496347699050407</v>
      </c>
      <c r="F38" s="84">
        <f>F31/'Data Sheet'!F30</f>
        <v>4.0331478733926813</v>
      </c>
      <c r="G38" s="84">
        <f>G31/'Data Sheet'!G30</f>
        <v>9.0436087295401411</v>
      </c>
      <c r="H38" s="84">
        <f>H31/'Data Sheet'!H30</f>
        <v>9.8500188714851848</v>
      </c>
      <c r="I38" s="84">
        <f>I31/'Data Sheet'!I30</f>
        <v>17.401809119438806</v>
      </c>
      <c r="J38" s="84">
        <f>J31/'Data Sheet'!J30</f>
        <v>18.326740088105726</v>
      </c>
      <c r="K38" s="84">
        <f>K31/'Data Sheet'!K30</f>
        <v>15.921419853539463</v>
      </c>
      <c r="P38" s="143" t="s">
        <v>284</v>
      </c>
      <c r="Q38" s="150">
        <f>Q40/Q39</f>
        <v>0.30253421676258646</v>
      </c>
    </row>
    <row r="39" spans="1:17" ht="14.4" x14ac:dyDescent="0.3">
      <c r="A39" s="81" t="s">
        <v>157</v>
      </c>
      <c r="B39" s="82">
        <f t="shared" ref="B39:K39" si="13">B31/B12</f>
        <v>0.99969282172882079</v>
      </c>
      <c r="C39" s="82">
        <f t="shared" si="13"/>
        <v>0.83613505747126438</v>
      </c>
      <c r="D39" s="82">
        <f t="shared" si="13"/>
        <v>0.73087952207102558</v>
      </c>
      <c r="E39" s="82">
        <f t="shared" si="13"/>
        <v>0.54932534605094807</v>
      </c>
      <c r="F39" s="82">
        <f t="shared" si="13"/>
        <v>0.8000613165898165</v>
      </c>
      <c r="G39" s="82">
        <f t="shared" si="13"/>
        <v>1.9007207797526418</v>
      </c>
      <c r="H39" s="82">
        <f t="shared" si="13"/>
        <v>1.8209339240859614</v>
      </c>
      <c r="I39" s="82">
        <f t="shared" si="13"/>
        <v>2.7492300513299117</v>
      </c>
      <c r="J39" s="82">
        <f t="shared" si="13"/>
        <v>2.6818351770196744</v>
      </c>
      <c r="K39" s="82">
        <f t="shared" si="13"/>
        <v>2.839013154712966</v>
      </c>
      <c r="P39" s="143" t="s">
        <v>150</v>
      </c>
      <c r="Q39" s="144">
        <f>Q113</f>
        <v>413.53999999999996</v>
      </c>
    </row>
    <row r="40" spans="1:17" ht="14.4" x14ac:dyDescent="0.3">
      <c r="A40" s="81" t="s">
        <v>158</v>
      </c>
      <c r="B40" s="82">
        <f t="shared" ref="B40:K40" si="14">B31/B19</f>
        <v>2.5544340402093084</v>
      </c>
      <c r="C40" s="82">
        <f t="shared" si="14"/>
        <v>3.5775614754098362</v>
      </c>
      <c r="D40" s="82">
        <f t="shared" si="14"/>
        <v>3.6207497533706023</v>
      </c>
      <c r="E40" s="82">
        <f t="shared" si="14"/>
        <v>2.0255414968904137</v>
      </c>
      <c r="F40" s="82">
        <f t="shared" si="14"/>
        <v>3.1651562196778578</v>
      </c>
      <c r="G40" s="82">
        <f t="shared" si="14"/>
        <v>6.6330998999571253</v>
      </c>
      <c r="H40" s="82">
        <f t="shared" si="14"/>
        <v>7.6308845029239754</v>
      </c>
      <c r="I40" s="82">
        <f t="shared" si="14"/>
        <v>12.221651756774278</v>
      </c>
      <c r="J40" s="82">
        <f t="shared" si="14"/>
        <v>11.995876585928489</v>
      </c>
      <c r="K40" s="82">
        <f t="shared" si="14"/>
        <v>13.264552028019432</v>
      </c>
      <c r="P40" s="143" t="s">
        <v>283</v>
      </c>
      <c r="Q40" s="144">
        <f>Q111</f>
        <v>125.11</v>
      </c>
    </row>
    <row r="41" spans="1:17" ht="14.4" x14ac:dyDescent="0.3">
      <c r="A41" s="81" t="s">
        <v>159</v>
      </c>
      <c r="B41" s="82">
        <f>B31/'Data Sheet'!B17</f>
        <v>0.73782117572189954</v>
      </c>
      <c r="C41" s="82">
        <f>C31/'Data Sheet'!C17</f>
        <v>0.6587698886862462</v>
      </c>
      <c r="D41" s="82">
        <f>D31/'Data Sheet'!D17</f>
        <v>0.50549536314388033</v>
      </c>
      <c r="E41" s="82">
        <f>E31/'Data Sheet'!E17</f>
        <v>0.41894433355511207</v>
      </c>
      <c r="F41" s="82">
        <f>F31/'Data Sheet'!F17</f>
        <v>0.62323461979365691</v>
      </c>
      <c r="G41" s="82">
        <f>G31/'Data Sheet'!G17</f>
        <v>1.6424304621700052</v>
      </c>
      <c r="H41" s="82">
        <f>H31/'Data Sheet'!H17</f>
        <v>1.9258107958528579</v>
      </c>
      <c r="I41" s="82">
        <f>I31/'Data Sheet'!I17</f>
        <v>3.1695504522376519</v>
      </c>
      <c r="J41" s="82">
        <f>J31/'Data Sheet'!J17</f>
        <v>3.2117920449632513</v>
      </c>
      <c r="K41" s="82">
        <f>K31/'Data Sheet'!K17</f>
        <v>3.0630736518041166</v>
      </c>
      <c r="P41" s="143" t="s">
        <v>282</v>
      </c>
      <c r="Q41" s="144">
        <f>'Data Sheet'!K69</f>
        <v>3.69</v>
      </c>
    </row>
    <row r="42" spans="1:17" ht="12.75" customHeight="1" x14ac:dyDescent="0.3">
      <c r="A42" s="81" t="s">
        <v>95</v>
      </c>
      <c r="B42" s="82">
        <f t="shared" ref="B42:K42" si="15">B36/B7</f>
        <v>2.4302997341068409</v>
      </c>
      <c r="C42" s="82">
        <f t="shared" si="15"/>
        <v>2.8304949337490259</v>
      </c>
      <c r="D42" s="82">
        <f t="shared" si="15"/>
        <v>3.5949774737193394</v>
      </c>
      <c r="E42" s="82">
        <f t="shared" si="15"/>
        <v>3.2055261893320521</v>
      </c>
      <c r="F42" s="82">
        <f t="shared" si="15"/>
        <v>3.5840382467895036</v>
      </c>
      <c r="G42" s="82">
        <f t="shared" si="15"/>
        <v>6.3827905871167099</v>
      </c>
      <c r="H42" s="82">
        <f t="shared" si="15"/>
        <v>6.7378112033195015</v>
      </c>
      <c r="I42" s="82">
        <f t="shared" si="15"/>
        <v>10.876117200674537</v>
      </c>
      <c r="J42" s="82">
        <f t="shared" si="15"/>
        <v>11.037107493739164</v>
      </c>
      <c r="K42" s="82">
        <f t="shared" si="15"/>
        <v>10.009778241384639</v>
      </c>
      <c r="P42" s="143" t="s">
        <v>28</v>
      </c>
      <c r="Q42" s="144">
        <f>'Data Sheet'!K64</f>
        <v>107.81</v>
      </c>
    </row>
    <row r="43" spans="1:17" ht="12.75" customHeight="1" x14ac:dyDescent="0.3">
      <c r="A43" s="81" t="s">
        <v>160</v>
      </c>
      <c r="B43" s="83">
        <f>'Data Sheet'!B31/KeyMetrics!B31</f>
        <v>4.4419766796224322E-2</v>
      </c>
      <c r="C43" s="83">
        <f>'Data Sheet'!C31/KeyMetrics!C31</f>
        <v>3.9331366764995081E-2</v>
      </c>
      <c r="D43" s="83">
        <f>'Data Sheet'!D31/KeyMetrics!D31</f>
        <v>4.6863505499196233E-2</v>
      </c>
      <c r="E43" s="83">
        <f>'Data Sheet'!E31/KeyMetrics!E31</f>
        <v>5.4631502048681321E-2</v>
      </c>
      <c r="F43" s="83">
        <f>'Data Sheet'!F31/KeyMetrics!F31</f>
        <v>4.4267184956514535E-2</v>
      </c>
      <c r="G43" s="83">
        <f>'Data Sheet'!G31/KeyMetrics!G31</f>
        <v>1.8874510361589075E-2</v>
      </c>
      <c r="H43" s="83">
        <f>'Data Sheet'!H31/KeyMetrics!H31</f>
        <v>1.6783136396511175E-2</v>
      </c>
      <c r="I43" s="83">
        <f>'Data Sheet'!I31/KeyMetrics!I31</f>
        <v>1.0937181750288546E-2</v>
      </c>
      <c r="J43" s="83">
        <f>'Data Sheet'!J31/KeyMetrics!J31</f>
        <v>9.9130564375975016E-3</v>
      </c>
      <c r="K43" s="83">
        <f>'Data Sheet'!K31/KeyMetrics!K31</f>
        <v>1.0229586502397053E-2</v>
      </c>
      <c r="P43" s="143"/>
      <c r="Q43" s="144"/>
    </row>
    <row r="44" spans="1:17" ht="12.75" customHeight="1" x14ac:dyDescent="0.3">
      <c r="A44" s="16"/>
      <c r="B44" s="16">
        <f t="shared" ref="B44:K44" si="16">B3</f>
        <v>40268</v>
      </c>
      <c r="C44" s="16">
        <f t="shared" si="16"/>
        <v>40633</v>
      </c>
      <c r="D44" s="16">
        <f t="shared" si="16"/>
        <v>40999</v>
      </c>
      <c r="E44" s="16">
        <f t="shared" si="16"/>
        <v>41364</v>
      </c>
      <c r="F44" s="16">
        <f t="shared" si="16"/>
        <v>41729</v>
      </c>
      <c r="G44" s="16">
        <f t="shared" si="16"/>
        <v>42094</v>
      </c>
      <c r="H44" s="16">
        <f t="shared" si="16"/>
        <v>42460</v>
      </c>
      <c r="I44" s="16">
        <f t="shared" si="16"/>
        <v>42825</v>
      </c>
      <c r="J44" s="16">
        <f t="shared" si="16"/>
        <v>43190</v>
      </c>
      <c r="K44" s="16">
        <f t="shared" si="16"/>
        <v>43555</v>
      </c>
      <c r="L44" s="74" t="s">
        <v>161</v>
      </c>
      <c r="P44" s="145" t="s">
        <v>281</v>
      </c>
      <c r="Q44" s="144"/>
    </row>
    <row r="45" spans="1:17" ht="12.75" customHeight="1" x14ac:dyDescent="0.3">
      <c r="A45" s="76" t="s">
        <v>162</v>
      </c>
      <c r="B45" s="79">
        <f t="shared" ref="B45:K45" si="17">B13/B16</f>
        <v>0.28536770280515539</v>
      </c>
      <c r="C45" s="79">
        <f t="shared" si="17"/>
        <v>0.26664753157290472</v>
      </c>
      <c r="D45" s="79">
        <f t="shared" si="17"/>
        <v>0.22198233562315997</v>
      </c>
      <c r="E45" s="79">
        <f t="shared" si="17"/>
        <v>0.23874345549738218</v>
      </c>
      <c r="F45" s="79">
        <f t="shared" si="17"/>
        <v>0.24180695847362518</v>
      </c>
      <c r="G45" s="79">
        <f t="shared" si="17"/>
        <v>0.26020812559126588</v>
      </c>
      <c r="H45" s="79">
        <f t="shared" si="17"/>
        <v>0.25576881604485663</v>
      </c>
      <c r="I45" s="79">
        <f t="shared" si="17"/>
        <v>0.16542835182593957</v>
      </c>
      <c r="J45" s="79">
        <f t="shared" si="17"/>
        <v>0.14075703610587331</v>
      </c>
      <c r="K45" s="79">
        <f t="shared" si="17"/>
        <v>0.13590233857920281</v>
      </c>
      <c r="L45" s="76">
        <v>1.2</v>
      </c>
      <c r="P45" s="146" t="s">
        <v>280</v>
      </c>
      <c r="Q45" s="144">
        <f>KeyMetrics!K101/'Data Sheet'!B6</f>
        <v>401.6502448703875</v>
      </c>
    </row>
    <row r="46" spans="1:17" ht="12.75" customHeight="1" x14ac:dyDescent="0.3">
      <c r="A46" s="76" t="s">
        <v>163</v>
      </c>
      <c r="B46" s="79">
        <f t="shared" ref="B46:K46" si="18">B33/B16</f>
        <v>0.19211523881728582</v>
      </c>
      <c r="C46" s="79">
        <f t="shared" si="18"/>
        <v>0.15910830463069273</v>
      </c>
      <c r="D46" s="79">
        <f t="shared" si="18"/>
        <v>8.6032057572783774E-2</v>
      </c>
      <c r="E46" s="79">
        <f t="shared" si="18"/>
        <v>6.6477187733732235E-2</v>
      </c>
      <c r="F46" s="79">
        <f t="shared" si="18"/>
        <v>9.3209876543209877E-2</v>
      </c>
      <c r="G46" s="79">
        <f t="shared" si="18"/>
        <v>0.10881849096162205</v>
      </c>
      <c r="H46" s="79">
        <f t="shared" si="18"/>
        <v>0.10598327462679416</v>
      </c>
      <c r="I46" s="79">
        <f t="shared" si="18"/>
        <v>8.6438974399400875E-2</v>
      </c>
      <c r="J46" s="79">
        <f t="shared" si="18"/>
        <v>8.1081081081081072E-2</v>
      </c>
      <c r="K46" s="79">
        <f t="shared" si="18"/>
        <v>0.10088084849079113</v>
      </c>
      <c r="L46" s="76">
        <v>1.4</v>
      </c>
      <c r="P46" s="146" t="s">
        <v>279</v>
      </c>
      <c r="Q46" s="149">
        <f>Q7/Q45</f>
        <v>0.17831406877206557</v>
      </c>
    </row>
    <row r="47" spans="1:17" ht="12.75" customHeight="1" x14ac:dyDescent="0.3">
      <c r="A47" s="76" t="s">
        <v>164</v>
      </c>
      <c r="B47" s="79">
        <f t="shared" ref="B47:K47" si="19">B6/B16</f>
        <v>0.27808946171341925</v>
      </c>
      <c r="C47" s="79">
        <f t="shared" si="19"/>
        <v>0.22148871029468045</v>
      </c>
      <c r="D47" s="79">
        <f t="shared" si="19"/>
        <v>0.17275106313379132</v>
      </c>
      <c r="E47" s="79">
        <f t="shared" si="19"/>
        <v>0.1580254300673149</v>
      </c>
      <c r="F47" s="79">
        <f t="shared" si="19"/>
        <v>0.1717452300785634</v>
      </c>
      <c r="G47" s="79">
        <f t="shared" si="19"/>
        <v>0.18168801615913682</v>
      </c>
      <c r="H47" s="79">
        <f t="shared" si="19"/>
        <v>0.17039273476625214</v>
      </c>
      <c r="I47" s="79">
        <f t="shared" si="19"/>
        <v>0.15713131392759308</v>
      </c>
      <c r="J47" s="79">
        <f t="shared" si="19"/>
        <v>0.15273412947831552</v>
      </c>
      <c r="K47" s="79">
        <f t="shared" si="19"/>
        <v>0.18112140674282165</v>
      </c>
      <c r="L47" s="76">
        <v>3.3</v>
      </c>
      <c r="P47" s="143" t="s">
        <v>278</v>
      </c>
      <c r="Q47" s="149">
        <f>Q54/(AVERAGE(Q110,Q111)+AVERAGE(Q112,Q113))</f>
        <v>0.14968671559140817</v>
      </c>
    </row>
    <row r="48" spans="1:17" ht="14.4" x14ac:dyDescent="0.3">
      <c r="A48" s="76" t="s">
        <v>165</v>
      </c>
      <c r="B48" s="79">
        <f t="shared" ref="B48:K48" si="20">B31/B16</f>
        <v>0.70319560272934034</v>
      </c>
      <c r="C48" s="79">
        <f t="shared" si="20"/>
        <v>0.50110505166475316</v>
      </c>
      <c r="D48" s="79">
        <f t="shared" si="20"/>
        <v>0.36017991494929674</v>
      </c>
      <c r="E48" s="79">
        <f t="shared" si="20"/>
        <v>0.28257591623036654</v>
      </c>
      <c r="F48" s="79">
        <f t="shared" si="20"/>
        <v>0.45763327721661062</v>
      </c>
      <c r="G48" s="79">
        <f t="shared" si="20"/>
        <v>1.1866687121270232</v>
      </c>
      <c r="H48" s="79">
        <f t="shared" si="20"/>
        <v>1.2506948937291831</v>
      </c>
      <c r="I48" s="79">
        <f t="shared" si="20"/>
        <v>1.8577797047752311</v>
      </c>
      <c r="J48" s="79">
        <f t="shared" si="20"/>
        <v>1.8158434597388087</v>
      </c>
      <c r="K48" s="79">
        <f t="shared" si="20"/>
        <v>1.9186571554640388</v>
      </c>
      <c r="L48" s="76">
        <v>0.6</v>
      </c>
      <c r="P48" s="143" t="s">
        <v>277</v>
      </c>
      <c r="Q48" s="144">
        <f>'Data Sheet'!B6</f>
        <v>1.0296022603781787</v>
      </c>
    </row>
    <row r="49" spans="1:17" ht="14.4" x14ac:dyDescent="0.3">
      <c r="A49" s="76" t="s">
        <v>166</v>
      </c>
      <c r="B49" s="79">
        <f>'Data Sheet'!B17/KeyMetrics!B16</f>
        <v>0.95307050796057613</v>
      </c>
      <c r="C49" s="79">
        <f>'Data Sheet'!C17/KeyMetrics!C16</f>
        <v>0.76066781477229239</v>
      </c>
      <c r="D49" s="79">
        <f>'Data Sheet'!D17/KeyMetrics!D16</f>
        <v>0.71252862283284268</v>
      </c>
      <c r="E49" s="79">
        <f>'Data Sheet'!E17/KeyMetrics!E16</f>
        <v>0.67449513836948394</v>
      </c>
      <c r="F49" s="79">
        <f>'Data Sheet'!F17/KeyMetrics!F16</f>
        <v>0.73428731762065091</v>
      </c>
      <c r="G49" s="79">
        <f>'Data Sheet'!G17/KeyMetrics!G16</f>
        <v>0.72250773439697269</v>
      </c>
      <c r="H49" s="79">
        <f>'Data Sheet'!H17/KeyMetrics!H16</f>
        <v>0.64943809455347079</v>
      </c>
      <c r="I49" s="79">
        <f>'Data Sheet'!I17/KeyMetrics!I16</f>
        <v>0.58613350150765653</v>
      </c>
      <c r="J49" s="79">
        <f>'Data Sheet'!J17/KeyMetrics!J16</f>
        <v>0.56536769327467007</v>
      </c>
      <c r="K49" s="79">
        <f>'Data Sheet'!K17/KeyMetrics!K16</f>
        <v>0.62638296481508726</v>
      </c>
      <c r="L49" s="76">
        <v>1</v>
      </c>
      <c r="P49" s="145" t="s">
        <v>276</v>
      </c>
      <c r="Q49" s="144"/>
    </row>
    <row r="50" spans="1:17" ht="14.4" x14ac:dyDescent="0.3">
      <c r="A50" s="76" t="s">
        <v>133</v>
      </c>
      <c r="B50" s="79">
        <f t="shared" ref="B50:K50" si="21">$L$45*B45+$L$46*B46+$L$47*B47+$L$48*B48+$L$49*B49</f>
        <v>2.9040856709628504</v>
      </c>
      <c r="C50" s="79">
        <f t="shared" si="21"/>
        <v>2.334972254114045</v>
      </c>
      <c r="D50" s="79">
        <f t="shared" si="21"/>
        <v>1.8855387634936214</v>
      </c>
      <c r="E50" s="79">
        <f t="shared" si="21"/>
        <v>1.7450848167539268</v>
      </c>
      <c r="F50" s="79">
        <f t="shared" si="21"/>
        <v>1.9962887205387205</v>
      </c>
      <c r="G50" s="79">
        <f t="shared" si="21"/>
        <v>2.4986750530541282</v>
      </c>
      <c r="H50" s="79">
        <f t="shared" si="21"/>
        <v>2.4174502192509522</v>
      </c>
      <c r="I50" s="79">
        <f t="shared" si="21"/>
        <v>2.5388632466841408</v>
      </c>
      <c r="J50" s="79">
        <f t="shared" si="21"/>
        <v>2.4413183532369578</v>
      </c>
      <c r="K50" s="79">
        <f t="shared" si="21"/>
        <v>2.6795938945269726</v>
      </c>
      <c r="L50" s="76"/>
      <c r="P50" s="143" t="s">
        <v>275</v>
      </c>
      <c r="Q50" s="148">
        <f>Q86/Q65</f>
        <v>0.36533695113360654</v>
      </c>
    </row>
    <row r="51" spans="1:17" ht="14.4" x14ac:dyDescent="0.3">
      <c r="A51" s="74" t="s">
        <v>167</v>
      </c>
      <c r="P51" s="143" t="s">
        <v>274</v>
      </c>
      <c r="Q51" s="147">
        <f>Q93/Q65</f>
        <v>0.19238696548305459</v>
      </c>
    </row>
    <row r="52" spans="1:17" ht="14.4" x14ac:dyDescent="0.3">
      <c r="A52" s="74" t="s">
        <v>168</v>
      </c>
      <c r="P52" s="146"/>
      <c r="Q52" s="144"/>
    </row>
    <row r="53" spans="1:17" ht="14.4" x14ac:dyDescent="0.3">
      <c r="A53" s="74" t="s">
        <v>169</v>
      </c>
      <c r="P53" s="180" t="s">
        <v>273</v>
      </c>
      <c r="Q53" s="181"/>
    </row>
    <row r="54" spans="1:17" ht="14.4" x14ac:dyDescent="0.3">
      <c r="P54" s="182" t="s">
        <v>272</v>
      </c>
      <c r="Q54" s="181">
        <f>SUM(Q55:Q58)</f>
        <v>78.12</v>
      </c>
    </row>
    <row r="55" spans="1:17" ht="36.6" x14ac:dyDescent="0.7">
      <c r="A55" s="267" t="s">
        <v>317</v>
      </c>
      <c r="B55" s="267"/>
      <c r="C55" s="267"/>
      <c r="D55" s="267"/>
      <c r="E55" s="267"/>
      <c r="F55" s="267"/>
      <c r="G55" s="267"/>
      <c r="H55" s="267"/>
      <c r="I55" s="267"/>
      <c r="J55" s="267"/>
      <c r="K55" s="267"/>
      <c r="L55" s="267"/>
      <c r="P55" s="182" t="s">
        <v>271</v>
      </c>
      <c r="Q55" s="181">
        <f>'Data Sheet'!G49</f>
        <v>20.66</v>
      </c>
    </row>
    <row r="56" spans="1:17" ht="14.4" x14ac:dyDescent="0.3">
      <c r="P56" s="182" t="s">
        <v>270</v>
      </c>
      <c r="Q56" s="181">
        <f>'Data Sheet'!H49</f>
        <v>19.02</v>
      </c>
    </row>
    <row r="57" spans="1:17" ht="14.4" x14ac:dyDescent="0.3">
      <c r="A57" s="114"/>
      <c r="B57" s="115">
        <f>'Profit &amp; Loss'!B3</f>
        <v>40268</v>
      </c>
      <c r="C57" s="115">
        <f>'Profit &amp; Loss'!C3</f>
        <v>40633</v>
      </c>
      <c r="D57" s="115">
        <f>'Profit &amp; Loss'!D3</f>
        <v>40999</v>
      </c>
      <c r="E57" s="115">
        <f>'Profit &amp; Loss'!E3</f>
        <v>41364</v>
      </c>
      <c r="F57" s="115">
        <f>'Profit &amp; Loss'!F3</f>
        <v>41729</v>
      </c>
      <c r="G57" s="115">
        <f>'Profit &amp; Loss'!G3</f>
        <v>42094</v>
      </c>
      <c r="H57" s="115">
        <f>'Profit &amp; Loss'!H3</f>
        <v>42460</v>
      </c>
      <c r="I57" s="115">
        <f>'Profit &amp; Loss'!I3</f>
        <v>42825</v>
      </c>
      <c r="J57" s="115">
        <f>'Profit &amp; Loss'!J3</f>
        <v>43190</v>
      </c>
      <c r="K57" s="115">
        <f>'Profit &amp; Loss'!K3</f>
        <v>43555</v>
      </c>
      <c r="L57" s="115" t="s">
        <v>222</v>
      </c>
      <c r="M57" s="115" t="s">
        <v>241</v>
      </c>
      <c r="P57" s="182" t="s">
        <v>269</v>
      </c>
      <c r="Q57" s="181">
        <f>'Data Sheet'!I49</f>
        <v>22.69</v>
      </c>
    </row>
    <row r="58" spans="1:17" ht="14.4" x14ac:dyDescent="0.3">
      <c r="A58" s="116" t="str">
        <f>'Profit &amp; Loss'!A4</f>
        <v>Sales</v>
      </c>
      <c r="B58" s="117">
        <f>'Profit &amp; Loss'!B4</f>
        <v>125.71</v>
      </c>
      <c r="C58" s="117">
        <f>'Profit &amp; Loss'!C4</f>
        <v>159.01</v>
      </c>
      <c r="D58" s="117">
        <f>'Profit &amp; Loss'!D4</f>
        <v>217.82</v>
      </c>
      <c r="E58" s="117">
        <f>'Profit &amp; Loss'!E4</f>
        <v>225.45</v>
      </c>
      <c r="F58" s="117">
        <f>'Profit &amp; Loss'!F4</f>
        <v>261.7</v>
      </c>
      <c r="G58" s="117">
        <f>'Profit &amp; Loss'!G4</f>
        <v>282.58</v>
      </c>
      <c r="H58" s="117">
        <f>'Profit &amp; Loss'!H4</f>
        <v>271.02999999999997</v>
      </c>
      <c r="I58" s="117">
        <f>'Profit &amp; Loss'!I4</f>
        <v>297.41000000000003</v>
      </c>
      <c r="J58" s="117">
        <f>'Profit &amp; Loss'!J4</f>
        <v>323.82</v>
      </c>
      <c r="K58" s="117">
        <f>'Profit &amp; Loss'!K4</f>
        <v>383.29</v>
      </c>
      <c r="L58" s="122">
        <f>SUM(B58:K58)</f>
        <v>2547.8200000000002</v>
      </c>
      <c r="M58" s="7"/>
      <c r="P58" s="182" t="s">
        <v>268</v>
      </c>
      <c r="Q58" s="181">
        <f>'Data Sheet'!J49</f>
        <v>15.75</v>
      </c>
    </row>
    <row r="59" spans="1:17" ht="14.4" x14ac:dyDescent="0.3">
      <c r="A59" s="120" t="s">
        <v>68</v>
      </c>
      <c r="B59" s="121">
        <f>'Data Sheet'!B67</f>
        <v>19.149999999999999</v>
      </c>
      <c r="C59" s="121">
        <f>'Data Sheet'!C67</f>
        <v>28.94</v>
      </c>
      <c r="D59" s="121">
        <f>'Data Sheet'!D67</f>
        <v>45.3</v>
      </c>
      <c r="E59" s="121">
        <f>'Data Sheet'!E67</f>
        <v>39.58</v>
      </c>
      <c r="F59" s="121">
        <f>'Data Sheet'!F67</f>
        <v>47.12</v>
      </c>
      <c r="G59" s="121">
        <f>'Data Sheet'!G67</f>
        <v>51.49</v>
      </c>
      <c r="H59" s="121">
        <f>'Data Sheet'!H67</f>
        <v>48.05</v>
      </c>
      <c r="I59" s="121">
        <f>'Data Sheet'!I67</f>
        <v>76.58</v>
      </c>
      <c r="J59" s="121">
        <f>'Data Sheet'!J67</f>
        <v>75.58</v>
      </c>
      <c r="K59" s="121">
        <f>'Data Sheet'!K67</f>
        <v>83.66</v>
      </c>
      <c r="L59" s="122"/>
      <c r="M59" s="109">
        <f>RATE(9,,-B59,K59,0,0.2)</f>
        <v>0.17801249777233086</v>
      </c>
      <c r="P59" s="182"/>
      <c r="Q59" s="181"/>
    </row>
    <row r="60" spans="1:17" ht="14.4" x14ac:dyDescent="0.3">
      <c r="A60" s="120" t="s">
        <v>242</v>
      </c>
      <c r="B60" s="137">
        <f t="shared" ref="B60:K60" si="22">B59/B58</f>
        <v>0.15233473868427333</v>
      </c>
      <c r="C60" s="137">
        <f t="shared" si="22"/>
        <v>0.18200113200427648</v>
      </c>
      <c r="D60" s="137">
        <f t="shared" si="22"/>
        <v>0.20796988338995501</v>
      </c>
      <c r="E60" s="137">
        <f t="shared" si="22"/>
        <v>0.1755599911288534</v>
      </c>
      <c r="F60" s="137">
        <f t="shared" si="22"/>
        <v>0.18005349636988918</v>
      </c>
      <c r="G60" s="137">
        <f t="shared" si="22"/>
        <v>0.18221388633307384</v>
      </c>
      <c r="H60" s="137">
        <f t="shared" si="22"/>
        <v>0.17728664723462348</v>
      </c>
      <c r="I60" s="137">
        <f t="shared" si="22"/>
        <v>0.25748966073770213</v>
      </c>
      <c r="J60" s="137">
        <f t="shared" si="22"/>
        <v>0.23340127231177815</v>
      </c>
      <c r="K60" s="137">
        <f t="shared" si="22"/>
        <v>0.21826815205197106</v>
      </c>
      <c r="L60" s="122"/>
      <c r="M60" s="109"/>
      <c r="P60" s="182" t="s">
        <v>267</v>
      </c>
      <c r="Q60" s="181"/>
    </row>
    <row r="61" spans="1:17" ht="14.4" x14ac:dyDescent="0.3">
      <c r="A61" s="116" t="s">
        <v>149</v>
      </c>
      <c r="B61" s="117">
        <f>'Profit &amp; Loss'!B6+'Data Sheet'!B26</f>
        <v>42.779999999999987</v>
      </c>
      <c r="C61" s="117">
        <f>'Profit &amp; Loss'!C6+'Data Sheet'!C26</f>
        <v>53.229999999999976</v>
      </c>
      <c r="D61" s="117">
        <f>'Profit &amp; Loss'!D6+'Data Sheet'!D26</f>
        <v>63.21</v>
      </c>
      <c r="E61" s="117">
        <f>'Profit &amp; Loss'!E6+'Data Sheet'!E26</f>
        <v>67.160000000000011</v>
      </c>
      <c r="F61" s="117">
        <f>'Profit &amp; Loss'!F6+'Data Sheet'!F26</f>
        <v>79.20999999999998</v>
      </c>
      <c r="G61" s="117">
        <f>'Profit &amp; Loss'!G6+'Data Sheet'!G26</f>
        <v>85.52</v>
      </c>
      <c r="H61" s="117">
        <f>'Profit &amp; Loss'!H6+'Data Sheet'!H26</f>
        <v>97.03</v>
      </c>
      <c r="I61" s="117">
        <f>'Profit &amp; Loss'!I6+'Data Sheet'!I26</f>
        <v>104.43000000000004</v>
      </c>
      <c r="J61" s="117">
        <f>'Profit &amp; Loss'!J6+'Data Sheet'!J26</f>
        <v>114.94999999999999</v>
      </c>
      <c r="K61" s="117">
        <f>'Profit &amp; Loss'!K6+'Data Sheet'!K26</f>
        <v>140.03000000000006</v>
      </c>
      <c r="L61" s="118"/>
      <c r="M61" s="109">
        <f>RATE(9,,-B61,K61,0,0.2)</f>
        <v>0.14082763882753924</v>
      </c>
      <c r="P61" s="182">
        <v>2014</v>
      </c>
      <c r="Q61" s="181">
        <f>KeyMetrics!G58</f>
        <v>282.58</v>
      </c>
    </row>
    <row r="62" spans="1:17" ht="14.4" x14ac:dyDescent="0.3">
      <c r="A62" s="116" t="s">
        <v>314</v>
      </c>
      <c r="B62" s="119">
        <f t="shared" ref="B62:K62" si="23">B61/B58</f>
        <v>0.34030705592236088</v>
      </c>
      <c r="C62" s="119">
        <f t="shared" si="23"/>
        <v>0.33475882019998726</v>
      </c>
      <c r="D62" s="119">
        <f t="shared" si="23"/>
        <v>0.29019373794876507</v>
      </c>
      <c r="E62" s="119">
        <f t="shared" si="23"/>
        <v>0.29789310268352193</v>
      </c>
      <c r="F62" s="119">
        <f t="shared" si="23"/>
        <v>0.30267481849445926</v>
      </c>
      <c r="G62" s="119">
        <f t="shared" si="23"/>
        <v>0.3026399603652063</v>
      </c>
      <c r="H62" s="119">
        <f t="shared" si="23"/>
        <v>0.35800464893185258</v>
      </c>
      <c r="I62" s="119">
        <f t="shared" si="23"/>
        <v>0.35113143471974723</v>
      </c>
      <c r="J62" s="119">
        <f t="shared" si="23"/>
        <v>0.35498116237415844</v>
      </c>
      <c r="K62" s="119">
        <f t="shared" si="23"/>
        <v>0.36533695113360654</v>
      </c>
      <c r="L62" s="118"/>
      <c r="M62"/>
      <c r="P62" s="182">
        <f>P61+1</f>
        <v>2015</v>
      </c>
      <c r="Q62" s="181">
        <f>KeyMetrics!H58</f>
        <v>271.02999999999997</v>
      </c>
    </row>
    <row r="63" spans="1:17" ht="14.4" x14ac:dyDescent="0.3">
      <c r="A63" s="120" t="str">
        <f>'Profit &amp; Loss'!A7</f>
        <v>Other Income</v>
      </c>
      <c r="B63" s="121">
        <f>'Profit &amp; Loss'!B7</f>
        <v>3.28</v>
      </c>
      <c r="C63" s="121">
        <f>'Profit &amp; Loss'!C7</f>
        <v>3.11</v>
      </c>
      <c r="D63" s="121">
        <f>'Profit &amp; Loss'!D7</f>
        <v>3.84</v>
      </c>
      <c r="E63" s="121">
        <f>'Profit &amp; Loss'!E7</f>
        <v>4.88</v>
      </c>
      <c r="F63" s="121">
        <f>'Profit &amp; Loss'!F7</f>
        <v>2.86</v>
      </c>
      <c r="G63" s="121">
        <f>'Profit &amp; Loss'!G7</f>
        <v>11.7</v>
      </c>
      <c r="H63" s="121">
        <f>'Profit &amp; Loss'!H7</f>
        <v>5.38</v>
      </c>
      <c r="I63" s="121">
        <f>'Profit &amp; Loss'!I7</f>
        <v>5.6</v>
      </c>
      <c r="J63" s="121">
        <f>'Profit &amp; Loss'!J7</f>
        <v>5.21</v>
      </c>
      <c r="K63" s="121">
        <f>'Profit &amp; Loss'!K7</f>
        <v>7.98</v>
      </c>
      <c r="L63" s="118"/>
      <c r="M63"/>
      <c r="P63" s="182">
        <f>P62+1</f>
        <v>2016</v>
      </c>
      <c r="Q63" s="181">
        <f>KeyMetrics!I58</f>
        <v>297.41000000000003</v>
      </c>
    </row>
    <row r="64" spans="1:17" ht="14.4" x14ac:dyDescent="0.3">
      <c r="A64" s="120" t="str">
        <f>'Profit &amp; Loss'!A8</f>
        <v>Depreciation</v>
      </c>
      <c r="B64" s="121">
        <f>'Profit &amp; Loss'!B8</f>
        <v>4.6900000000000004</v>
      </c>
      <c r="C64" s="121">
        <f>'Profit &amp; Loss'!C8</f>
        <v>5.0199999999999996</v>
      </c>
      <c r="D64" s="121">
        <f>'Profit &amp; Loss'!D8</f>
        <v>7.12</v>
      </c>
      <c r="E64" s="121">
        <f>'Profit &amp; Loss'!E8</f>
        <v>9.61</v>
      </c>
      <c r="F64" s="121">
        <f>'Profit &amp; Loss'!F8</f>
        <v>10.43</v>
      </c>
      <c r="G64" s="121">
        <f>'Profit &amp; Loss'!G8</f>
        <v>13.08</v>
      </c>
      <c r="H64" s="121">
        <f>'Profit &amp; Loss'!H8</f>
        <v>15.65</v>
      </c>
      <c r="I64" s="121">
        <f>'Profit &amp; Loss'!I8</f>
        <v>15.15</v>
      </c>
      <c r="J64" s="121">
        <f>'Profit &amp; Loss'!J8</f>
        <v>16.34</v>
      </c>
      <c r="K64" s="121">
        <f>'Profit &amp; Loss'!K8</f>
        <v>18.59</v>
      </c>
      <c r="L64" s="122">
        <f>SUM(B64:K64)</f>
        <v>115.68000000000002</v>
      </c>
      <c r="M64"/>
      <c r="P64" s="182">
        <f>P63+1</f>
        <v>2017</v>
      </c>
      <c r="Q64" s="181">
        <f>KeyMetrics!J58</f>
        <v>323.82</v>
      </c>
    </row>
    <row r="65" spans="1:17" ht="14.4" x14ac:dyDescent="0.3">
      <c r="A65" s="120" t="str">
        <f>'Profit &amp; Loss'!A10</f>
        <v>Interest</v>
      </c>
      <c r="B65" s="121">
        <f>'Profit &amp; Loss'!B10</f>
        <v>2.42</v>
      </c>
      <c r="C65" s="121">
        <f>'Profit &amp; Loss'!C10</f>
        <v>2.69</v>
      </c>
      <c r="D65" s="121">
        <f>'Profit &amp; Loss'!D10</f>
        <v>8.31</v>
      </c>
      <c r="E65" s="121">
        <f>'Profit &amp; Loss'!E10</f>
        <v>12.78</v>
      </c>
      <c r="F65" s="121">
        <f>'Profit &amp; Loss'!F10</f>
        <v>11.05</v>
      </c>
      <c r="G65" s="121">
        <f>'Profit &amp; Loss'!G10</f>
        <v>8.1</v>
      </c>
      <c r="H65" s="121">
        <f>'Profit &amp; Loss'!H10</f>
        <v>6.35</v>
      </c>
      <c r="I65" s="121">
        <f>'Profit &amp; Loss'!I10</f>
        <v>5.01</v>
      </c>
      <c r="J65" s="121">
        <f>'Profit &amp; Loss'!J10</f>
        <v>7.85</v>
      </c>
      <c r="K65" s="121">
        <f>'Profit &amp; Loss'!K10</f>
        <v>8.25</v>
      </c>
      <c r="L65" s="122">
        <f>SUM(B65:K65)</f>
        <v>72.81</v>
      </c>
      <c r="M65"/>
      <c r="P65" s="182">
        <f>P64+1</f>
        <v>2018</v>
      </c>
      <c r="Q65" s="181">
        <f>KeyMetrics!K58</f>
        <v>383.29</v>
      </c>
    </row>
    <row r="66" spans="1:17" ht="14.4" x14ac:dyDescent="0.3">
      <c r="A66" s="120" t="str">
        <f>'Profit &amp; Loss'!A11</f>
        <v>Profit before tax</v>
      </c>
      <c r="B66" s="121">
        <f>'Profit &amp; Loss'!B11</f>
        <v>34.26</v>
      </c>
      <c r="C66" s="121">
        <f>'Profit &amp; Loss'!C11</f>
        <v>43.61</v>
      </c>
      <c r="D66" s="121">
        <f>'Profit &amp; Loss'!D11</f>
        <v>44.5</v>
      </c>
      <c r="E66" s="121">
        <f>'Profit &amp; Loss'!E11</f>
        <v>40.04</v>
      </c>
      <c r="F66" s="121">
        <f>'Profit &amp; Loss'!F11</f>
        <v>50.16</v>
      </c>
      <c r="G66" s="121">
        <f>'Profit &amp; Loss'!G11</f>
        <v>62.96</v>
      </c>
      <c r="H66" s="121">
        <f>'Profit &amp; Loss'!H11</f>
        <v>64.760000000000005</v>
      </c>
      <c r="I66" s="121">
        <f>'Profit &amp; Loss'!I11</f>
        <v>74.72</v>
      </c>
      <c r="J66" s="121">
        <f>'Profit &amp; Loss'!J11</f>
        <v>79.63</v>
      </c>
      <c r="K66" s="121">
        <f>'Profit &amp; Loss'!K11</f>
        <v>102.58</v>
      </c>
      <c r="L66" s="118"/>
      <c r="M66" s="109">
        <f>RATE(9,,-B66,K66,0,0.2)</f>
        <v>0.12958646988957703</v>
      </c>
      <c r="P66" s="182"/>
      <c r="Q66" s="181"/>
    </row>
    <row r="67" spans="1:17" ht="14.4" x14ac:dyDescent="0.3">
      <c r="A67" s="116" t="s">
        <v>217</v>
      </c>
      <c r="B67" s="119">
        <f t="shared" ref="B67:K67" si="24">B68/B66</f>
        <v>0.14010507880910683</v>
      </c>
      <c r="C67" s="119">
        <f t="shared" si="24"/>
        <v>0.14285714285714288</v>
      </c>
      <c r="D67" s="119">
        <f t="shared" si="24"/>
        <v>0.29303370786516852</v>
      </c>
      <c r="E67" s="119">
        <f t="shared" si="24"/>
        <v>0.31593406593406598</v>
      </c>
      <c r="F67" s="119">
        <f t="shared" si="24"/>
        <v>0.19358054226475283</v>
      </c>
      <c r="G67" s="119">
        <f t="shared" si="24"/>
        <v>0.18487928843710294</v>
      </c>
      <c r="H67" s="119">
        <f t="shared" si="24"/>
        <v>0.18190240889437923</v>
      </c>
      <c r="I67" s="119">
        <f t="shared" si="24"/>
        <v>0.27489293361884365</v>
      </c>
      <c r="J67" s="119">
        <f t="shared" si="24"/>
        <v>0.28732889614466911</v>
      </c>
      <c r="K67" s="119">
        <f t="shared" si="24"/>
        <v>0.28114642230454279</v>
      </c>
      <c r="L67" s="118"/>
      <c r="M67"/>
      <c r="P67" s="182" t="s">
        <v>266</v>
      </c>
      <c r="Q67" s="181"/>
    </row>
    <row r="68" spans="1:17" ht="14.4" x14ac:dyDescent="0.3">
      <c r="A68" s="120" t="str">
        <f>'Profit &amp; Loss'!A12</f>
        <v>Tax</v>
      </c>
      <c r="B68" s="121">
        <f>'Profit &amp; Loss'!B12</f>
        <v>4.8</v>
      </c>
      <c r="C68" s="121">
        <f>'Profit &amp; Loss'!C12</f>
        <v>6.23</v>
      </c>
      <c r="D68" s="121">
        <f>'Profit &amp; Loss'!D12</f>
        <v>13.04</v>
      </c>
      <c r="E68" s="121">
        <f>'Profit &amp; Loss'!E12</f>
        <v>12.65</v>
      </c>
      <c r="F68" s="121">
        <f>'Profit &amp; Loss'!F12</f>
        <v>9.7100000000000009</v>
      </c>
      <c r="G68" s="121">
        <f>'Profit &amp; Loss'!G12</f>
        <v>11.64</v>
      </c>
      <c r="H68" s="121">
        <f>'Profit &amp; Loss'!H12</f>
        <v>11.78</v>
      </c>
      <c r="I68" s="121">
        <f>'Profit &amp; Loss'!I12</f>
        <v>20.54</v>
      </c>
      <c r="J68" s="121">
        <f>'Profit &amp; Loss'!J12</f>
        <v>22.88</v>
      </c>
      <c r="K68" s="121">
        <f>'Profit &amp; Loss'!K12</f>
        <v>28.84</v>
      </c>
      <c r="L68" s="118"/>
      <c r="M68"/>
      <c r="P68" s="182">
        <f>P61</f>
        <v>2014</v>
      </c>
      <c r="Q68" s="181">
        <f>'Data Sheet'!G68</f>
        <v>37.26</v>
      </c>
    </row>
    <row r="69" spans="1:17" ht="14.4" x14ac:dyDescent="0.3">
      <c r="A69" s="120" t="s">
        <v>218</v>
      </c>
      <c r="B69" s="117">
        <f>'Profit &amp; Loss'!B13</f>
        <v>29.46</v>
      </c>
      <c r="C69" s="117">
        <f>'Profit &amp; Loss'!C13</f>
        <v>37.380000000000003</v>
      </c>
      <c r="D69" s="117">
        <f>'Profit &amp; Loss'!D13</f>
        <v>31.46</v>
      </c>
      <c r="E69" s="117">
        <f>'Profit &amp; Loss'!E13</f>
        <v>27.38</v>
      </c>
      <c r="F69" s="117">
        <f>'Profit &amp; Loss'!F13</f>
        <v>40.44</v>
      </c>
      <c r="G69" s="117">
        <f>'Profit &amp; Loss'!G13</f>
        <v>51.32</v>
      </c>
      <c r="H69" s="117">
        <f>'Profit &amp; Loss'!H13</f>
        <v>52.99</v>
      </c>
      <c r="I69" s="117">
        <f>'Profit &amp; Loss'!I13</f>
        <v>54.17</v>
      </c>
      <c r="J69" s="117">
        <f>'Profit &amp; Loss'!J13</f>
        <v>56.75</v>
      </c>
      <c r="K69" s="117">
        <f>'Profit &amp; Loss'!K13</f>
        <v>73.739999999999995</v>
      </c>
      <c r="L69" s="122">
        <f>SUM(B69:K69)</f>
        <v>455.09000000000003</v>
      </c>
      <c r="M69" s="109">
        <f>RATE(9,,-B69,K69,0,0.2)</f>
        <v>0.10732342632186381</v>
      </c>
      <c r="P69" s="182">
        <f>P62</f>
        <v>2015</v>
      </c>
      <c r="Q69" s="181">
        <f>'Data Sheet'!H68</f>
        <v>38.67</v>
      </c>
    </row>
    <row r="70" spans="1:17" ht="14.4" x14ac:dyDescent="0.3">
      <c r="A70" s="116" t="s">
        <v>221</v>
      </c>
      <c r="B70" s="119">
        <f t="shared" ref="B70:K70" si="25">B69/B58</f>
        <v>0.23434889825789518</v>
      </c>
      <c r="C70" s="119">
        <f t="shared" si="25"/>
        <v>0.23507955474498463</v>
      </c>
      <c r="D70" s="119">
        <f t="shared" si="25"/>
        <v>0.14443118170966854</v>
      </c>
      <c r="E70" s="119">
        <f t="shared" si="25"/>
        <v>0.12144599689509869</v>
      </c>
      <c r="F70" s="119">
        <f t="shared" si="25"/>
        <v>0.15452808559419182</v>
      </c>
      <c r="G70" s="119">
        <f t="shared" si="25"/>
        <v>0.18161228678604291</v>
      </c>
      <c r="H70" s="119">
        <f t="shared" si="25"/>
        <v>0.19551341179943182</v>
      </c>
      <c r="I70" s="119">
        <f t="shared" si="25"/>
        <v>0.18213913452809252</v>
      </c>
      <c r="J70" s="119">
        <f t="shared" si="25"/>
        <v>0.17525168303378422</v>
      </c>
      <c r="K70" s="119">
        <f t="shared" si="25"/>
        <v>0.19238696548305459</v>
      </c>
      <c r="L70" s="118"/>
      <c r="M70"/>
      <c r="P70" s="182">
        <f>P63</f>
        <v>2016</v>
      </c>
      <c r="Q70" s="181">
        <f>'Data Sheet'!I67</f>
        <v>76.58</v>
      </c>
    </row>
    <row r="71" spans="1:17" ht="14.4" x14ac:dyDescent="0.3">
      <c r="A71" s="123" t="s">
        <v>219</v>
      </c>
      <c r="B71" s="121">
        <f>'Cash Flow'!B4</f>
        <v>36.31</v>
      </c>
      <c r="C71" s="121">
        <f>'Cash Flow'!C4</f>
        <v>29.28</v>
      </c>
      <c r="D71" s="121">
        <f>'Cash Flow'!D4</f>
        <v>30.41</v>
      </c>
      <c r="E71" s="121">
        <f>'Cash Flow'!E4</f>
        <v>46.63</v>
      </c>
      <c r="F71" s="121">
        <f>'Cash Flow'!F4</f>
        <v>51.53</v>
      </c>
      <c r="G71" s="121">
        <f>'Cash Flow'!G4</f>
        <v>69.97</v>
      </c>
      <c r="H71" s="121">
        <f>'Cash Flow'!H4</f>
        <v>68.400000000000006</v>
      </c>
      <c r="I71" s="121">
        <f>'Cash Flow'!I4</f>
        <v>77.13</v>
      </c>
      <c r="J71" s="121">
        <f>'Cash Flow'!J4</f>
        <v>86.7</v>
      </c>
      <c r="K71" s="121">
        <f>'Cash Flow'!K4</f>
        <v>88.51</v>
      </c>
      <c r="L71" s="124">
        <f>SUM(B71:K71)</f>
        <v>584.87</v>
      </c>
      <c r="M71" s="109">
        <f>RATE(9,,-B71,K71,0,0.2)</f>
        <v>0.1040690418886057</v>
      </c>
      <c r="P71" s="182">
        <f>P64</f>
        <v>2017</v>
      </c>
      <c r="Q71" s="181">
        <f>'Data Sheet'!J68</f>
        <v>38.57</v>
      </c>
    </row>
    <row r="72" spans="1:17" ht="14.4" x14ac:dyDescent="0.3">
      <c r="A72" s="125" t="s">
        <v>220</v>
      </c>
      <c r="B72" s="121"/>
      <c r="C72" s="121">
        <f>('Balance Sheet'!C10-'Balance Sheet'!B10)+('Balance Sheet'!C11-'Balance Sheet'!B11)+C64</f>
        <v>49.809999999999988</v>
      </c>
      <c r="D72" s="121">
        <f>('Balance Sheet'!D10-'Balance Sheet'!C10)+('Balance Sheet'!D11-'Balance Sheet'!C11)+D64</f>
        <v>73.710000000000008</v>
      </c>
      <c r="E72" s="121">
        <f>('Balance Sheet'!E10-'Balance Sheet'!D10)+('Balance Sheet'!E11-'Balance Sheet'!D11)+E64</f>
        <v>15.760000000000005</v>
      </c>
      <c r="F72" s="121">
        <f>('Balance Sheet'!F10-'Balance Sheet'!E10)+('Balance Sheet'!F11-'Balance Sheet'!E11)+F64</f>
        <v>15.329999999999998</v>
      </c>
      <c r="G72" s="121">
        <f>('Balance Sheet'!G10-'Balance Sheet'!F10)+('Balance Sheet'!G11-'Balance Sheet'!F11)+G64</f>
        <v>9.1300000000000061</v>
      </c>
      <c r="H72" s="121">
        <f>('Balance Sheet'!H10-'Balance Sheet'!G10)+('Balance Sheet'!H11-'Balance Sheet'!G11)+H64</f>
        <v>46.229999999999976</v>
      </c>
      <c r="I72" s="121">
        <f>('Balance Sheet'!I10-'Balance Sheet'!H10)+('Balance Sheet'!I11-'Balance Sheet'!H11)+I64</f>
        <v>101.44000000000004</v>
      </c>
      <c r="J72" s="121">
        <f>('Balance Sheet'!J10-'Balance Sheet'!I10)+('Balance Sheet'!J11-'Balance Sheet'!I11)+J64</f>
        <v>56.419999999999945</v>
      </c>
      <c r="K72" s="121">
        <f>('Balance Sheet'!K10-'Balance Sheet'!J10)+('Balance Sheet'!K11-'Balance Sheet'!J11)+K64</f>
        <v>17.570000000000046</v>
      </c>
      <c r="L72" s="126">
        <f>SUM(B72:K72)</f>
        <v>385.40000000000003</v>
      </c>
      <c r="M72" s="109">
        <f>L72/L71</f>
        <v>0.65894985210388635</v>
      </c>
      <c r="P72" s="182">
        <f>P65</f>
        <v>2018</v>
      </c>
      <c r="Q72" s="181">
        <f>'Data Sheet'!K68</f>
        <v>46.31</v>
      </c>
    </row>
    <row r="73" spans="1:17" ht="14.4" x14ac:dyDescent="0.3">
      <c r="A73" s="116"/>
      <c r="B73" s="117"/>
      <c r="C73" s="117"/>
      <c r="D73" s="117"/>
      <c r="E73" s="117"/>
      <c r="F73" s="117"/>
      <c r="G73" s="117"/>
      <c r="H73" s="117"/>
      <c r="I73" s="117"/>
      <c r="J73" s="117"/>
      <c r="K73" s="117" t="s">
        <v>223</v>
      </c>
      <c r="L73" s="124">
        <f>L71-L72</f>
        <v>199.46999999999997</v>
      </c>
      <c r="M73"/>
      <c r="P73" s="182"/>
      <c r="Q73" s="181"/>
    </row>
    <row r="74" spans="1:17" ht="14.4" x14ac:dyDescent="0.3">
      <c r="A74" s="120" t="s">
        <v>309</v>
      </c>
      <c r="B74" s="117"/>
      <c r="C74" s="137">
        <f t="shared" ref="C74:K74" si="26">C58/B58-1</f>
        <v>0.26489539416116448</v>
      </c>
      <c r="D74" s="137">
        <f t="shared" si="26"/>
        <v>0.36985095277026603</v>
      </c>
      <c r="E74" s="137">
        <f t="shared" si="26"/>
        <v>3.5028922963915132E-2</v>
      </c>
      <c r="F74" s="137">
        <f t="shared" si="26"/>
        <v>0.16078953204701718</v>
      </c>
      <c r="G74" s="137">
        <f t="shared" si="26"/>
        <v>7.9786014520443205E-2</v>
      </c>
      <c r="H74" s="137">
        <f t="shared" si="26"/>
        <v>-4.0873380989454366E-2</v>
      </c>
      <c r="I74" s="137">
        <f t="shared" si="26"/>
        <v>9.733239862745835E-2</v>
      </c>
      <c r="J74" s="137">
        <f t="shared" si="26"/>
        <v>8.8799973101106211E-2</v>
      </c>
      <c r="K74" s="137">
        <f t="shared" si="26"/>
        <v>0.18365141127787044</v>
      </c>
      <c r="L74" s="124"/>
      <c r="M74" s="109"/>
      <c r="P74" s="182" t="s">
        <v>265</v>
      </c>
      <c r="Q74" s="181"/>
    </row>
    <row r="75" spans="1:17" ht="14.4" x14ac:dyDescent="0.3">
      <c r="A75" s="120" t="s">
        <v>312</v>
      </c>
      <c r="B75" s="117"/>
      <c r="C75" s="137">
        <f t="shared" ref="C75:K75" si="27">C61/B61-1</f>
        <v>0.24427302477793345</v>
      </c>
      <c r="D75" s="137">
        <f t="shared" si="27"/>
        <v>0.18748825850084594</v>
      </c>
      <c r="E75" s="137">
        <f t="shared" si="27"/>
        <v>6.2490112323999591E-2</v>
      </c>
      <c r="F75" s="137">
        <f t="shared" si="27"/>
        <v>0.1794222751637875</v>
      </c>
      <c r="G75" s="137">
        <f t="shared" si="27"/>
        <v>7.9661658881454489E-2</v>
      </c>
      <c r="H75" s="137">
        <f t="shared" si="27"/>
        <v>0.13458840037418152</v>
      </c>
      <c r="I75" s="137">
        <f t="shared" si="27"/>
        <v>7.6265072657941246E-2</v>
      </c>
      <c r="J75" s="137">
        <f t="shared" si="27"/>
        <v>0.1007373360145547</v>
      </c>
      <c r="K75" s="137">
        <f t="shared" si="27"/>
        <v>0.2181818181818187</v>
      </c>
      <c r="L75" s="124" t="s">
        <v>313</v>
      </c>
      <c r="M75" s="109"/>
      <c r="P75" s="182">
        <f>P61</f>
        <v>2014</v>
      </c>
      <c r="Q75" s="181">
        <f>'Data Sheet'!G18</f>
        <v>86.18</v>
      </c>
    </row>
    <row r="76" spans="1:17" ht="14.4" x14ac:dyDescent="0.3">
      <c r="A76" s="116" t="s">
        <v>310</v>
      </c>
      <c r="B76" s="117"/>
      <c r="C76" s="165">
        <f t="shared" ref="C76:K76" si="28">C75/C74-1</f>
        <v>-7.7850992647626849E-2</v>
      </c>
      <c r="D76" s="165">
        <f t="shared" si="28"/>
        <v>-0.49307077054549375</v>
      </c>
      <c r="E76" s="165">
        <f t="shared" si="28"/>
        <v>0.78395757095853225</v>
      </c>
      <c r="F76" s="165">
        <f t="shared" si="28"/>
        <v>0.11588281201864459</v>
      </c>
      <c r="G76" s="165">
        <f t="shared" si="28"/>
        <v>-1.5586144982445704E-3</v>
      </c>
      <c r="H76" s="165">
        <f t="shared" si="28"/>
        <v>-4.2928130024013988</v>
      </c>
      <c r="I76" s="165">
        <f t="shared" si="28"/>
        <v>-0.21644720839720288</v>
      </c>
      <c r="J76" s="165">
        <f t="shared" si="28"/>
        <v>0.13442980325970155</v>
      </c>
      <c r="K76" s="165">
        <f t="shared" si="28"/>
        <v>0.18802146231102279</v>
      </c>
      <c r="L76" s="166">
        <f>AVERAGE(C76:K76)</f>
        <v>-0.42882765999356293</v>
      </c>
      <c r="M76"/>
      <c r="P76" s="182">
        <f>P62</f>
        <v>2015</v>
      </c>
      <c r="Q76" s="181">
        <f>'Data Sheet'!H18</f>
        <v>73.099999999999994</v>
      </c>
    </row>
    <row r="77" spans="1:17" ht="14.4" x14ac:dyDescent="0.3">
      <c r="A77" s="118"/>
      <c r="B77" s="118"/>
      <c r="C77" s="118"/>
      <c r="D77" s="118"/>
      <c r="E77" s="118"/>
      <c r="F77" s="118"/>
      <c r="G77" s="118"/>
      <c r="H77" s="118"/>
      <c r="I77" s="118"/>
      <c r="J77" s="118"/>
      <c r="K77" s="118"/>
      <c r="L77" s="118"/>
      <c r="M77"/>
      <c r="P77" s="182">
        <f>P63</f>
        <v>2016</v>
      </c>
      <c r="Q77" s="181">
        <f>'Data Sheet'!I18</f>
        <v>61.55</v>
      </c>
    </row>
    <row r="78" spans="1:17" ht="14.4" x14ac:dyDescent="0.3">
      <c r="A78" s="125" t="s">
        <v>224</v>
      </c>
      <c r="B78" s="118"/>
      <c r="C78" s="128">
        <f>((1-C86) + C85*C70*(1-'Profit &amp; Loss'!B19)) - 1</f>
        <v>0.40000564487773893</v>
      </c>
      <c r="D78" s="128">
        <f>((1-D86) + D85*D70*(1-'Profit &amp; Loss'!C19)) - 1</f>
        <v>0.14843193473464877</v>
      </c>
      <c r="E78" s="128">
        <f>((1-E86) + E85*E70*(1-'Profit &amp; Loss'!D19)) - 1</f>
        <v>7.0743128365863717E-2</v>
      </c>
      <c r="F78" s="128">
        <f>((1-F86) + F85*F70*(1-'Profit &amp; Loss'!E19)) - 1</f>
        <v>0.11574589773700827</v>
      </c>
      <c r="G78" s="128">
        <f>((1-G86) + G85*G70*(1-'Profit &amp; Loss'!F19)) - 1</f>
        <v>0.15501400576176194</v>
      </c>
      <c r="H78" s="128">
        <f>((1-H86) + H85*H70*(1-'Profit &amp; Loss'!G19)) - 1</f>
        <v>0.1547693990988841</v>
      </c>
      <c r="I78" s="128">
        <f>((1-I86) + I85*I70*(1-'Profit &amp; Loss'!H19)) - 1</f>
        <v>9.8219304906666194E-2</v>
      </c>
      <c r="J78" s="128">
        <f>((1-J86) + J85*J70*(1-'Profit &amp; Loss'!I19)) - 1</f>
        <v>9.6026973429533369E-2</v>
      </c>
      <c r="K78" s="128">
        <f>((1-K86) + K85*K70*(1-'Profit &amp; Loss'!J19)) - 1</f>
        <v>0.12125267486658453</v>
      </c>
      <c r="L78" s="118"/>
      <c r="M78"/>
      <c r="P78" s="182">
        <f>P64</f>
        <v>2017</v>
      </c>
      <c r="Q78" s="181">
        <f>'Data Sheet'!J18</f>
        <v>81.2</v>
      </c>
    </row>
    <row r="79" spans="1:17" ht="14.4" x14ac:dyDescent="0.3">
      <c r="A79" s="118" t="s">
        <v>255</v>
      </c>
      <c r="B79" s="118"/>
      <c r="C79" s="128">
        <f t="shared" ref="C79:K79" si="29">C58/B58-1</f>
        <v>0.26489539416116448</v>
      </c>
      <c r="D79" s="128">
        <f t="shared" si="29"/>
        <v>0.36985095277026603</v>
      </c>
      <c r="E79" s="128">
        <f t="shared" si="29"/>
        <v>3.5028922963915132E-2</v>
      </c>
      <c r="F79" s="128">
        <f t="shared" si="29"/>
        <v>0.16078953204701718</v>
      </c>
      <c r="G79" s="128">
        <f t="shared" si="29"/>
        <v>7.9786014520443205E-2</v>
      </c>
      <c r="H79" s="128">
        <f t="shared" si="29"/>
        <v>-4.0873380989454366E-2</v>
      </c>
      <c r="I79" s="128">
        <f t="shared" si="29"/>
        <v>9.733239862745835E-2</v>
      </c>
      <c r="J79" s="128">
        <f t="shared" si="29"/>
        <v>8.8799973101106211E-2</v>
      </c>
      <c r="K79" s="128">
        <f t="shared" si="29"/>
        <v>0.18365141127787044</v>
      </c>
      <c r="L79" s="141" t="s">
        <v>257</v>
      </c>
      <c r="M79"/>
      <c r="P79" s="182">
        <f>P65</f>
        <v>2018</v>
      </c>
      <c r="Q79" s="181">
        <f>'Data Sheet'!K18</f>
        <v>107.38</v>
      </c>
    </row>
    <row r="80" spans="1:17" ht="14.4" x14ac:dyDescent="0.3">
      <c r="A80" s="118" t="s">
        <v>256</v>
      </c>
      <c r="B80" s="118"/>
      <c r="C80" s="142" t="str">
        <f t="shared" ref="C80:K80" si="30">IF(C79&gt;C78,"YES","NO")</f>
        <v>NO</v>
      </c>
      <c r="D80" s="142" t="str">
        <f t="shared" si="30"/>
        <v>YES</v>
      </c>
      <c r="E80" s="142" t="str">
        <f t="shared" si="30"/>
        <v>NO</v>
      </c>
      <c r="F80" s="142" t="str">
        <f t="shared" si="30"/>
        <v>YES</v>
      </c>
      <c r="G80" s="142" t="str">
        <f t="shared" si="30"/>
        <v>NO</v>
      </c>
      <c r="H80" s="142" t="str">
        <f t="shared" si="30"/>
        <v>NO</v>
      </c>
      <c r="I80" s="142" t="str">
        <f t="shared" si="30"/>
        <v>NO</v>
      </c>
      <c r="J80" s="142" t="str">
        <f t="shared" si="30"/>
        <v>NO</v>
      </c>
      <c r="K80" s="142" t="str">
        <f t="shared" si="30"/>
        <v>YES</v>
      </c>
      <c r="L80" s="141" t="str">
        <f>IF(COUNTIF(C80:K80,"YES")&gt;6,"Yes","No")</f>
        <v>No</v>
      </c>
      <c r="M80"/>
      <c r="P80" s="182"/>
      <c r="Q80" s="181"/>
    </row>
    <row r="81" spans="1:17" ht="14.4" x14ac:dyDescent="0.3">
      <c r="A81" s="118" t="s">
        <v>258</v>
      </c>
      <c r="B81" s="128">
        <f>KeyMetrics!B27</f>
        <v>0.28438324505709095</v>
      </c>
      <c r="C81" s="128">
        <f>KeyMetrics!C27</f>
        <v>0.22834127897419032</v>
      </c>
      <c r="D81" s="128">
        <f>KeyMetrics!D27</f>
        <v>0.14785509440275812</v>
      </c>
      <c r="E81" s="128">
        <f>KeyMetrics!E27</f>
        <v>0.13352683901464391</v>
      </c>
      <c r="F81" s="128">
        <f>KeyMetrics!F27</f>
        <v>0.17511329291888206</v>
      </c>
      <c r="G81" s="128">
        <f>KeyMetrics!G27</f>
        <v>0.19733741402173438</v>
      </c>
      <c r="H81" s="128">
        <f>KeyMetrics!H27</f>
        <v>0.17678585013377304</v>
      </c>
      <c r="I81" s="128">
        <f>KeyMetrics!I27</f>
        <v>0.14727121052213571</v>
      </c>
      <c r="J81" s="128">
        <f>KeyMetrics!J27</f>
        <v>0.14521678040916877</v>
      </c>
      <c r="K81" s="128">
        <f>KeyMetrics!K27</f>
        <v>0.18491909297183995</v>
      </c>
      <c r="L81" s="118"/>
      <c r="M81"/>
      <c r="P81" s="182" t="s">
        <v>264</v>
      </c>
      <c r="Q81" s="181"/>
    </row>
    <row r="82" spans="1:17" ht="14.4" x14ac:dyDescent="0.3">
      <c r="A82" s="118"/>
      <c r="B82" s="118"/>
      <c r="C82" s="142"/>
      <c r="D82" s="142"/>
      <c r="E82" s="142"/>
      <c r="F82" s="142"/>
      <c r="G82" s="142"/>
      <c r="H82" s="142"/>
      <c r="I82" s="142"/>
      <c r="J82" s="142"/>
      <c r="K82" s="142"/>
      <c r="L82" s="141"/>
      <c r="M82"/>
      <c r="P82" s="182">
        <f>P61</f>
        <v>2014</v>
      </c>
      <c r="Q82" s="181">
        <f>KeyMetrics!G61</f>
        <v>85.52</v>
      </c>
    </row>
    <row r="83" spans="1:17" ht="14.4" x14ac:dyDescent="0.3">
      <c r="A83" s="114"/>
      <c r="B83" s="115">
        <f t="shared" ref="B83:K83" si="31">B57</f>
        <v>40268</v>
      </c>
      <c r="C83" s="115">
        <f t="shared" si="31"/>
        <v>40633</v>
      </c>
      <c r="D83" s="115">
        <f t="shared" si="31"/>
        <v>40999</v>
      </c>
      <c r="E83" s="115">
        <f t="shared" si="31"/>
        <v>41364</v>
      </c>
      <c r="F83" s="115">
        <f t="shared" si="31"/>
        <v>41729</v>
      </c>
      <c r="G83" s="115">
        <f t="shared" si="31"/>
        <v>42094</v>
      </c>
      <c r="H83" s="115">
        <f t="shared" si="31"/>
        <v>42460</v>
      </c>
      <c r="I83" s="115">
        <f t="shared" si="31"/>
        <v>42825</v>
      </c>
      <c r="J83" s="115">
        <f t="shared" si="31"/>
        <v>43190</v>
      </c>
      <c r="K83" s="115">
        <f t="shared" si="31"/>
        <v>43555</v>
      </c>
      <c r="L83" s="118"/>
      <c r="M83"/>
      <c r="P83" s="182">
        <f>P62</f>
        <v>2015</v>
      </c>
      <c r="Q83" s="181">
        <f>KeyMetrics!H61</f>
        <v>97.03</v>
      </c>
    </row>
    <row r="84" spans="1:17" ht="14.4" x14ac:dyDescent="0.3">
      <c r="A84" s="118" t="s">
        <v>311</v>
      </c>
      <c r="B84" s="127">
        <f t="shared" ref="B84:K84" si="32">(B61)/(B61-B64)</f>
        <v>1.1231294302966657</v>
      </c>
      <c r="C84" s="127">
        <f t="shared" si="32"/>
        <v>1.1041277743206803</v>
      </c>
      <c r="D84" s="127">
        <f t="shared" si="32"/>
        <v>1.1269388482795506</v>
      </c>
      <c r="E84" s="127">
        <f t="shared" si="32"/>
        <v>1.1669852302345787</v>
      </c>
      <c r="F84" s="127">
        <f t="shared" si="32"/>
        <v>1.1516429194533295</v>
      </c>
      <c r="G84" s="127">
        <f t="shared" si="32"/>
        <v>1.180563224737714</v>
      </c>
      <c r="H84" s="127">
        <f t="shared" si="32"/>
        <v>1.1923076923076923</v>
      </c>
      <c r="I84" s="127">
        <f t="shared" si="32"/>
        <v>1.1696908602150538</v>
      </c>
      <c r="J84" s="127">
        <f t="shared" si="32"/>
        <v>1.1657032755298651</v>
      </c>
      <c r="K84" s="127">
        <f t="shared" si="32"/>
        <v>1.1530797101449275</v>
      </c>
      <c r="L84" s="118"/>
      <c r="M84"/>
      <c r="P84" s="182">
        <f>P63</f>
        <v>2016</v>
      </c>
      <c r="Q84" s="181">
        <f>KeyMetrics!I61</f>
        <v>104.43000000000004</v>
      </c>
    </row>
    <row r="85" spans="1:17" ht="14.4" x14ac:dyDescent="0.3">
      <c r="A85" s="123" t="s">
        <v>246</v>
      </c>
      <c r="B85" s="127">
        <f>'Profit &amp; Loss'!B4/'Balance Sheet'!B10</f>
        <v>1.9337025073065679</v>
      </c>
      <c r="C85" s="127">
        <f>'Profit &amp; Loss'!C4/'Balance Sheet'!C10</f>
        <v>2.3442429603420316</v>
      </c>
      <c r="D85" s="127">
        <f>'Profit &amp; Loss'!D4/'Balance Sheet'!D10</f>
        <v>1.5489972976816953</v>
      </c>
      <c r="E85" s="127">
        <f>'Profit &amp; Loss'!E4/'Balance Sheet'!E10</f>
        <v>1.2010548186031644</v>
      </c>
      <c r="F85" s="127">
        <f>'Profit &amp; Loss'!F4/'Balance Sheet'!F10</f>
        <v>1.352944217546399</v>
      </c>
      <c r="G85" s="127">
        <f>'Profit &amp; Loss'!G4/'Balance Sheet'!G10</f>
        <v>1.5064505810854034</v>
      </c>
      <c r="H85" s="127">
        <f>'Profit &amp; Loss'!H4/'Balance Sheet'!H10</f>
        <v>1.4824964445903073</v>
      </c>
      <c r="I85" s="127">
        <f>'Profit &amp; Loss'!I4/'Balance Sheet'!I10</f>
        <v>0.97161058477621698</v>
      </c>
      <c r="J85" s="127">
        <f>'Profit &amp; Loss'!J4/'Balance Sheet'!J10</f>
        <v>1.0502043199065967</v>
      </c>
      <c r="K85" s="127">
        <f>'Profit &amp; Loss'!K4/'Balance Sheet'!K10</f>
        <v>1.1130826194279075</v>
      </c>
      <c r="L85" s="118"/>
      <c r="M85"/>
      <c r="P85" s="182">
        <f>P64</f>
        <v>2017</v>
      </c>
      <c r="Q85" s="181">
        <f>KeyMetrics!J61</f>
        <v>114.94999999999999</v>
      </c>
    </row>
    <row r="86" spans="1:17" ht="14.4" x14ac:dyDescent="0.3">
      <c r="A86" s="123" t="s">
        <v>247</v>
      </c>
      <c r="B86" s="128">
        <f>B64/'Balance Sheet'!B10</f>
        <v>7.2142747269650823E-2</v>
      </c>
      <c r="C86" s="128">
        <f>C64/'Balance Sheet'!C10</f>
        <v>7.4008550788736541E-2</v>
      </c>
      <c r="D86" s="128">
        <f>D64/'Balance Sheet'!D10</f>
        <v>5.0632911392405063E-2</v>
      </c>
      <c r="E86" s="128">
        <f>E64/'Balance Sheet'!E10</f>
        <v>5.1195993820254644E-2</v>
      </c>
      <c r="F86" s="128">
        <f>F64/'Balance Sheet'!F10</f>
        <v>5.3921315204466726E-2</v>
      </c>
      <c r="G86" s="128">
        <f>G64/'Balance Sheet'!G10</f>
        <v>6.973024842733766E-2</v>
      </c>
      <c r="H86" s="128">
        <f>H64/'Balance Sheet'!H10</f>
        <v>8.560332567552785E-2</v>
      </c>
      <c r="I86" s="128">
        <f>I64/'Balance Sheet'!I10</f>
        <v>4.9493629532832407E-2</v>
      </c>
      <c r="J86" s="128">
        <f>J64/'Balance Sheet'!J10</f>
        <v>5.2993448790296431E-2</v>
      </c>
      <c r="K86" s="128">
        <f>K64/'Balance Sheet'!K10</f>
        <v>5.3985770291854217E-2</v>
      </c>
      <c r="L86" s="118"/>
      <c r="M86"/>
      <c r="P86" s="182">
        <f>P65</f>
        <v>2018</v>
      </c>
      <c r="Q86" s="181">
        <f>KeyMetrics!K61</f>
        <v>140.03000000000006</v>
      </c>
    </row>
    <row r="87" spans="1:17" ht="14.4" x14ac:dyDescent="0.3">
      <c r="A87" s="118" t="s">
        <v>248</v>
      </c>
      <c r="B87" s="127">
        <f>'Balance Sheet'!B22</f>
        <v>55.602179619759767</v>
      </c>
      <c r="C87" s="127">
        <f>'Balance Sheet'!C22</f>
        <v>66.430413181560922</v>
      </c>
      <c r="D87" s="127">
        <f>'Balance Sheet'!D22</f>
        <v>75.909007437333571</v>
      </c>
      <c r="E87" s="127">
        <f>'Balance Sheet'!E22</f>
        <v>64.079396762031493</v>
      </c>
      <c r="F87" s="127">
        <f>'Balance Sheet'!F22</f>
        <v>65.719526175009548</v>
      </c>
      <c r="G87" s="127">
        <f>'Balance Sheet'!G22</f>
        <v>66.508068511571949</v>
      </c>
      <c r="H87" s="127">
        <f>'Balance Sheet'!H22</f>
        <v>64.709626240637576</v>
      </c>
      <c r="I87" s="127">
        <f>'Balance Sheet'!I22</f>
        <v>93.983726169261288</v>
      </c>
      <c r="J87" s="127">
        <f>'Balance Sheet'!J22</f>
        <v>85.191464393799023</v>
      </c>
      <c r="K87" s="127">
        <f>'Balance Sheet'!K22</f>
        <v>79.667875498969451</v>
      </c>
      <c r="L87" s="118"/>
      <c r="M87"/>
      <c r="P87" s="182"/>
      <c r="Q87" s="181"/>
    </row>
    <row r="88" spans="1:17" ht="14.4" x14ac:dyDescent="0.3">
      <c r="A88" s="118" t="s">
        <v>259</v>
      </c>
      <c r="B88" s="127">
        <f>'Balance Sheet'!B20</f>
        <v>9.3883495145631066</v>
      </c>
      <c r="C88" s="127">
        <f>'Balance Sheet'!C20</f>
        <v>8.4043340380549676</v>
      </c>
      <c r="D88" s="127">
        <f>'Balance Sheet'!D20</f>
        <v>7.8155722999641188</v>
      </c>
      <c r="E88" s="127">
        <f>'Balance Sheet'!E20</f>
        <v>6.13135708457982</v>
      </c>
      <c r="F88" s="127">
        <f>'Balance Sheet'!F20</f>
        <v>6.901371308016877</v>
      </c>
      <c r="G88" s="127">
        <f>'Balance Sheet'!G20</f>
        <v>7.5840042941492216</v>
      </c>
      <c r="H88" s="127">
        <f>'Balance Sheet'!H20</f>
        <v>7.008792345487457</v>
      </c>
      <c r="I88" s="127">
        <f>'Balance Sheet'!I20</f>
        <v>9.2392047219633433</v>
      </c>
      <c r="J88" s="127">
        <f>'Balance Sheet'!J20</f>
        <v>8.3956442831215963</v>
      </c>
      <c r="K88" s="127">
        <f>'Balance Sheet'!K20</f>
        <v>8.2766141222198222</v>
      </c>
      <c r="L88" s="118"/>
      <c r="M88"/>
      <c r="P88" s="182" t="s">
        <v>263</v>
      </c>
      <c r="Q88" s="181"/>
    </row>
    <row r="89" spans="1:17" ht="14.4" x14ac:dyDescent="0.3">
      <c r="A89" s="118" t="s">
        <v>225</v>
      </c>
      <c r="B89" s="127">
        <f>'Balance Sheet'!B22+'Balance Sheet'!B21</f>
        <v>94.480152732479525</v>
      </c>
      <c r="C89" s="127">
        <f>'Balance Sheet'!C22+'Balance Sheet'!C21</f>
        <v>109.86038613923654</v>
      </c>
      <c r="D89" s="127">
        <f>'Balance Sheet'!D22+'Balance Sheet'!D21</f>
        <v>122.6106418143421</v>
      </c>
      <c r="E89" s="127">
        <f>'Balance Sheet'!E22+'Balance Sheet'!E21</f>
        <v>123.60944777112442</v>
      </c>
      <c r="F89" s="127">
        <f>'Balance Sheet'!F22+'Balance Sheet'!F21</f>
        <v>118.60756591517004</v>
      </c>
      <c r="G89" s="127">
        <f>'Balance Sheet'!G22+'Balance Sheet'!G21</f>
        <v>114.6356783919598</v>
      </c>
      <c r="H89" s="127">
        <f>'Balance Sheet'!H22+'Balance Sheet'!H21</f>
        <v>116.78707154189574</v>
      </c>
      <c r="I89" s="127">
        <f>'Balance Sheet'!I22+'Balance Sheet'!I21</f>
        <v>133.48929087791265</v>
      </c>
      <c r="J89" s="127">
        <f>'Balance Sheet'!J22+'Balance Sheet'!J21</f>
        <v>128.66638873448213</v>
      </c>
      <c r="K89" s="127">
        <f>'Balance Sheet'!K22+'Balance Sheet'!K21</f>
        <v>123.76803464739493</v>
      </c>
      <c r="L89" s="118"/>
      <c r="M89"/>
      <c r="P89" s="182">
        <f>P61</f>
        <v>2014</v>
      </c>
      <c r="Q89" s="181">
        <f>KeyMetrics!G69</f>
        <v>51.32</v>
      </c>
    </row>
    <row r="90" spans="1:17" ht="14.4" x14ac:dyDescent="0.3">
      <c r="A90" s="118"/>
      <c r="B90" s="118"/>
      <c r="C90" s="118"/>
      <c r="D90" s="118"/>
      <c r="E90" s="118"/>
      <c r="F90" s="118"/>
      <c r="G90" s="118"/>
      <c r="H90" s="118"/>
      <c r="I90" s="118"/>
      <c r="J90" s="118"/>
      <c r="K90" s="118"/>
      <c r="L90" s="118"/>
      <c r="M90"/>
      <c r="P90" s="182">
        <f>P62</f>
        <v>2015</v>
      </c>
      <c r="Q90" s="181">
        <f>KeyMetrics!H69</f>
        <v>52.99</v>
      </c>
    </row>
    <row r="91" spans="1:17" ht="14.4" x14ac:dyDescent="0.3">
      <c r="A91" s="118" t="s">
        <v>226</v>
      </c>
      <c r="B91" s="118">
        <f>'Balance Sheet'!B10</f>
        <v>65.010000000000005</v>
      </c>
      <c r="C91" s="118">
        <f>'Balance Sheet'!C10</f>
        <v>67.83</v>
      </c>
      <c r="D91" s="118">
        <f>'Balance Sheet'!D10</f>
        <v>140.62</v>
      </c>
      <c r="E91" s="118">
        <f>'Balance Sheet'!E10</f>
        <v>187.71</v>
      </c>
      <c r="F91" s="118">
        <f>'Balance Sheet'!F10</f>
        <v>193.43</v>
      </c>
      <c r="G91" s="118">
        <f>'Balance Sheet'!G10</f>
        <v>187.58</v>
      </c>
      <c r="H91" s="118">
        <f>'Balance Sheet'!H10</f>
        <v>182.82</v>
      </c>
      <c r="I91" s="118">
        <f>'Balance Sheet'!I10</f>
        <v>306.10000000000002</v>
      </c>
      <c r="J91" s="118">
        <f>'Balance Sheet'!J10</f>
        <v>308.33999999999997</v>
      </c>
      <c r="K91" s="118">
        <f>'Balance Sheet'!K10</f>
        <v>344.35</v>
      </c>
      <c r="L91" s="183">
        <f>K58/K91</f>
        <v>1.1130826194279075</v>
      </c>
      <c r="M91"/>
      <c r="P91" s="182">
        <f>P63</f>
        <v>2016</v>
      </c>
      <c r="Q91" s="181">
        <f>KeyMetrics!I69</f>
        <v>54.17</v>
      </c>
    </row>
    <row r="92" spans="1:17" ht="14.4" x14ac:dyDescent="0.3">
      <c r="A92" s="118" t="s">
        <v>227</v>
      </c>
      <c r="B92" s="118">
        <f>'Balance Sheet'!B11</f>
        <v>8.26</v>
      </c>
      <c r="C92" s="118">
        <f>'Balance Sheet'!C11</f>
        <v>50.23</v>
      </c>
      <c r="D92" s="118">
        <f>'Balance Sheet'!D11</f>
        <v>44.03</v>
      </c>
      <c r="E92" s="118">
        <f>'Balance Sheet'!E11</f>
        <v>3.09</v>
      </c>
      <c r="F92" s="118">
        <f>'Balance Sheet'!F11</f>
        <v>2.27</v>
      </c>
      <c r="G92" s="118">
        <f>'Balance Sheet'!G11</f>
        <v>4.17</v>
      </c>
      <c r="H92" s="118">
        <f>'Balance Sheet'!H11</f>
        <v>39.51</v>
      </c>
      <c r="I92" s="118">
        <f>'Balance Sheet'!I11</f>
        <v>2.52</v>
      </c>
      <c r="J92" s="118">
        <f>'Balance Sheet'!J11</f>
        <v>40.36</v>
      </c>
      <c r="K92" s="118">
        <f>'Balance Sheet'!K11</f>
        <v>3.33</v>
      </c>
      <c r="L92" s="118"/>
      <c r="M92"/>
      <c r="P92" s="182">
        <f>P64</f>
        <v>2017</v>
      </c>
      <c r="Q92" s="181">
        <f>KeyMetrics!J69</f>
        <v>56.75</v>
      </c>
    </row>
    <row r="93" spans="1:17" ht="14.4" x14ac:dyDescent="0.3">
      <c r="A93" s="118" t="s">
        <v>228</v>
      </c>
      <c r="B93" s="118">
        <f>'Balance Sheet'!B4</f>
        <v>10.31</v>
      </c>
      <c r="C93" s="118">
        <f>'Balance Sheet'!C4</f>
        <v>10.31</v>
      </c>
      <c r="D93" s="118">
        <f>'Balance Sheet'!D4</f>
        <v>10.31</v>
      </c>
      <c r="E93" s="118">
        <f>'Balance Sheet'!E4</f>
        <v>10.31</v>
      </c>
      <c r="F93" s="118">
        <f>'Balance Sheet'!F4</f>
        <v>10.31</v>
      </c>
      <c r="G93" s="118">
        <f>'Balance Sheet'!G4</f>
        <v>10.31</v>
      </c>
      <c r="H93" s="118">
        <f>'Balance Sheet'!H4</f>
        <v>10.31</v>
      </c>
      <c r="I93" s="118">
        <f>'Balance Sheet'!I4</f>
        <v>10.31</v>
      </c>
      <c r="J93" s="118">
        <f>'Balance Sheet'!J4</f>
        <v>10.31</v>
      </c>
      <c r="K93" s="118">
        <f>'Balance Sheet'!K4</f>
        <v>10.01</v>
      </c>
      <c r="L93" s="118"/>
      <c r="M93"/>
      <c r="P93" s="182">
        <f>P65</f>
        <v>2018</v>
      </c>
      <c r="Q93" s="181">
        <f>KeyMetrics!K69</f>
        <v>73.739999999999995</v>
      </c>
    </row>
    <row r="94" spans="1:17" ht="14.4" x14ac:dyDescent="0.3">
      <c r="A94" s="118"/>
      <c r="B94" s="118"/>
      <c r="C94" s="118"/>
      <c r="D94" s="118"/>
      <c r="E94" s="118"/>
      <c r="F94" s="118"/>
      <c r="G94" s="118"/>
      <c r="H94" s="118"/>
      <c r="I94" s="118"/>
      <c r="J94" s="118"/>
      <c r="K94" s="118"/>
      <c r="L94" s="118"/>
      <c r="M94"/>
      <c r="P94" s="182"/>
      <c r="Q94" s="181"/>
    </row>
    <row r="95" spans="1:17" ht="14.4" x14ac:dyDescent="0.3">
      <c r="A95" s="118" t="s">
        <v>249</v>
      </c>
      <c r="B95" s="129">
        <f>'Data Sheet'!B31</f>
        <v>4.12</v>
      </c>
      <c r="C95" s="129">
        <f>'Data Sheet'!C31</f>
        <v>4.12</v>
      </c>
      <c r="D95" s="129">
        <f>'Data Sheet'!D31</f>
        <v>5.16</v>
      </c>
      <c r="E95" s="129">
        <f>'Data Sheet'!E31</f>
        <v>5.16</v>
      </c>
      <c r="F95" s="129">
        <f>'Data Sheet'!F31</f>
        <v>7.22</v>
      </c>
      <c r="G95" s="129">
        <f>'Data Sheet'!G31</f>
        <v>8.76</v>
      </c>
      <c r="H95" s="129">
        <f>'Data Sheet'!H31</f>
        <v>8.76</v>
      </c>
      <c r="I95" s="129">
        <f>'Data Sheet'!I31</f>
        <v>10.31</v>
      </c>
      <c r="J95" s="129">
        <f>'Data Sheet'!J31</f>
        <v>10.31</v>
      </c>
      <c r="K95" s="129">
        <f>'Data Sheet'!K31</f>
        <v>12.01</v>
      </c>
      <c r="L95" s="118"/>
      <c r="M95"/>
      <c r="P95" s="182" t="s">
        <v>262</v>
      </c>
      <c r="Q95" s="181"/>
    </row>
    <row r="96" spans="1:17" ht="14.4" x14ac:dyDescent="0.3">
      <c r="A96" s="118" t="s">
        <v>250</v>
      </c>
      <c r="B96" s="128">
        <f t="shared" ref="B96:K96" si="33">B95/B69</f>
        <v>0.13985064494229463</v>
      </c>
      <c r="C96" s="128">
        <f t="shared" si="33"/>
        <v>0.11021936864633493</v>
      </c>
      <c r="D96" s="128">
        <f t="shared" si="33"/>
        <v>0.16401780038143673</v>
      </c>
      <c r="E96" s="128">
        <f t="shared" si="33"/>
        <v>0.18845872899926955</v>
      </c>
      <c r="F96" s="128">
        <f t="shared" si="33"/>
        <v>0.17853610286844709</v>
      </c>
      <c r="G96" s="128">
        <f t="shared" si="33"/>
        <v>0.17069368667186283</v>
      </c>
      <c r="H96" s="128">
        <f t="shared" si="33"/>
        <v>0.16531421022834497</v>
      </c>
      <c r="I96" s="128">
        <f t="shared" si="33"/>
        <v>0.19032674912313088</v>
      </c>
      <c r="J96" s="128">
        <f t="shared" si="33"/>
        <v>0.18167400881057269</v>
      </c>
      <c r="K96" s="128">
        <f t="shared" si="33"/>
        <v>0.16286954163276376</v>
      </c>
      <c r="L96" s="118"/>
      <c r="M96"/>
      <c r="P96" s="182">
        <f>P61</f>
        <v>2014</v>
      </c>
      <c r="Q96" s="181">
        <f>'Data Sheet'!G31</f>
        <v>8.76</v>
      </c>
    </row>
    <row r="97" spans="1:17" ht="14.4" x14ac:dyDescent="0.3">
      <c r="A97" s="118" t="s">
        <v>229</v>
      </c>
      <c r="B97" s="129">
        <f t="shared" ref="B97:K97" si="34">B69-B95</f>
        <v>25.34</v>
      </c>
      <c r="C97" s="129">
        <f t="shared" si="34"/>
        <v>33.260000000000005</v>
      </c>
      <c r="D97" s="129">
        <f t="shared" si="34"/>
        <v>26.3</v>
      </c>
      <c r="E97" s="129">
        <f t="shared" si="34"/>
        <v>22.22</v>
      </c>
      <c r="F97" s="129">
        <f t="shared" si="34"/>
        <v>33.22</v>
      </c>
      <c r="G97" s="129">
        <f t="shared" si="34"/>
        <v>42.56</v>
      </c>
      <c r="H97" s="129">
        <f t="shared" si="34"/>
        <v>44.230000000000004</v>
      </c>
      <c r="I97" s="129">
        <f t="shared" si="34"/>
        <v>43.86</v>
      </c>
      <c r="J97" s="129">
        <f t="shared" si="34"/>
        <v>46.44</v>
      </c>
      <c r="K97" s="129">
        <f t="shared" si="34"/>
        <v>61.73</v>
      </c>
      <c r="L97" s="124">
        <f>SUM(B97:K97)</f>
        <v>379.16</v>
      </c>
      <c r="M97"/>
      <c r="P97" s="182">
        <f>P62</f>
        <v>2015</v>
      </c>
      <c r="Q97" s="181">
        <f>'Data Sheet'!H31</f>
        <v>8.76</v>
      </c>
    </row>
    <row r="98" spans="1:17" ht="14.4" x14ac:dyDescent="0.3">
      <c r="A98" s="118" t="s">
        <v>251</v>
      </c>
      <c r="B98" s="129">
        <f>'Data Sheet'!B69+'Data Sheet'!B64</f>
        <v>11.36</v>
      </c>
      <c r="C98" s="129">
        <f>'Data Sheet'!C69+'Data Sheet'!C64</f>
        <v>19.03</v>
      </c>
      <c r="D98" s="129">
        <f>'Data Sheet'!D69+'Data Sheet'!D64</f>
        <v>26.5</v>
      </c>
      <c r="E98" s="129">
        <f>'Data Sheet'!E69+'Data Sheet'!E64</f>
        <v>32.67</v>
      </c>
      <c r="F98" s="129">
        <f>'Data Sheet'!F69+'Data Sheet'!F64</f>
        <v>36.08</v>
      </c>
      <c r="G98" s="129">
        <f>'Data Sheet'!G69+'Data Sheet'!G64</f>
        <v>59.03</v>
      </c>
      <c r="H98" s="129">
        <f>'Data Sheet'!H69+'Data Sheet'!H64</f>
        <v>40.19</v>
      </c>
      <c r="I98" s="129">
        <f>'Data Sheet'!I69+'Data Sheet'!I64</f>
        <v>66.289999999999992</v>
      </c>
      <c r="J98" s="129">
        <f>'Data Sheet'!J69+'Data Sheet'!J64</f>
        <v>87.3</v>
      </c>
      <c r="K98" s="129">
        <f>'Data Sheet'!K69+'Data Sheet'!K64</f>
        <v>111.5</v>
      </c>
      <c r="L98" s="124"/>
      <c r="M98"/>
      <c r="P98" s="182">
        <f>P63</f>
        <v>2016</v>
      </c>
      <c r="Q98" s="181">
        <f>'Data Sheet'!I31</f>
        <v>10.31</v>
      </c>
    </row>
    <row r="99" spans="1:17" ht="14.4" x14ac:dyDescent="0.3">
      <c r="A99" s="114"/>
      <c r="B99" s="115">
        <f t="shared" ref="B99:K99" si="35">B57</f>
        <v>40268</v>
      </c>
      <c r="C99" s="115">
        <f t="shared" si="35"/>
        <v>40633</v>
      </c>
      <c r="D99" s="115">
        <f t="shared" si="35"/>
        <v>40999</v>
      </c>
      <c r="E99" s="115">
        <f t="shared" si="35"/>
        <v>41364</v>
      </c>
      <c r="F99" s="115">
        <f t="shared" si="35"/>
        <v>41729</v>
      </c>
      <c r="G99" s="115">
        <f t="shared" si="35"/>
        <v>42094</v>
      </c>
      <c r="H99" s="115">
        <f t="shared" si="35"/>
        <v>42460</v>
      </c>
      <c r="I99" s="115">
        <f t="shared" si="35"/>
        <v>42825</v>
      </c>
      <c r="J99" s="115">
        <f t="shared" si="35"/>
        <v>43190</v>
      </c>
      <c r="K99" s="115">
        <f t="shared" si="35"/>
        <v>43555</v>
      </c>
      <c r="L99" s="118"/>
      <c r="M99"/>
      <c r="P99" s="182">
        <f>P64</f>
        <v>2017</v>
      </c>
      <c r="Q99" s="181">
        <f>'Data Sheet'!J31</f>
        <v>10.31</v>
      </c>
    </row>
    <row r="100" spans="1:17" ht="14.4" x14ac:dyDescent="0.3">
      <c r="A100" s="118" t="s">
        <v>230</v>
      </c>
      <c r="B100" s="129">
        <f>'Balance Sheet'!B6</f>
        <v>18.64</v>
      </c>
      <c r="C100" s="129">
        <f>'Balance Sheet'!C6</f>
        <v>54.03</v>
      </c>
      <c r="D100" s="129">
        <f>'Balance Sheet'!D6</f>
        <v>116.85</v>
      </c>
      <c r="E100" s="129">
        <f>'Balance Sheet'!E6</f>
        <v>118.5</v>
      </c>
      <c r="F100" s="129">
        <f>'Balance Sheet'!F6</f>
        <v>103.88</v>
      </c>
      <c r="G100" s="129">
        <f>'Balance Sheet'!G6</f>
        <v>90.65</v>
      </c>
      <c r="H100" s="129">
        <f>'Balance Sheet'!H6</f>
        <v>72.62</v>
      </c>
      <c r="I100" s="129">
        <f>'Balance Sheet'!I6</f>
        <v>102.62</v>
      </c>
      <c r="J100" s="129">
        <f>'Balance Sheet'!J6</f>
        <v>117.32</v>
      </c>
      <c r="K100" s="129">
        <f>'Balance Sheet'!K6</f>
        <v>125.11</v>
      </c>
      <c r="L100" s="118"/>
      <c r="M100"/>
      <c r="P100" s="182">
        <f>P65</f>
        <v>2018</v>
      </c>
      <c r="Q100" s="181">
        <f>'Data Sheet'!K31</f>
        <v>12.01</v>
      </c>
    </row>
    <row r="101" spans="1:17" ht="14.4" x14ac:dyDescent="0.3">
      <c r="A101" s="118" t="s">
        <v>231</v>
      </c>
      <c r="B101" s="129">
        <f>'Balance Sheet'!B4+'Balance Sheet'!B5</f>
        <v>92.78</v>
      </c>
      <c r="C101" s="129">
        <f>'Balance Sheet'!C4+'Balance Sheet'!C5</f>
        <v>125.28</v>
      </c>
      <c r="D101" s="129">
        <f>'Balance Sheet'!D4+'Balance Sheet'!D5</f>
        <v>150.65</v>
      </c>
      <c r="E101" s="129">
        <f>'Balance Sheet'!E4+'Balance Sheet'!E5</f>
        <v>171.94</v>
      </c>
      <c r="F101" s="129">
        <f>'Balance Sheet'!F4+'Balance Sheet'!F5</f>
        <v>203.86</v>
      </c>
      <c r="G101" s="129">
        <f>'Balance Sheet'!G4+'Balance Sheet'!G5</f>
        <v>244.18</v>
      </c>
      <c r="H101" s="129">
        <f>'Balance Sheet'!H4+'Balance Sheet'!H5</f>
        <v>286.64</v>
      </c>
      <c r="I101" s="129">
        <f>'Balance Sheet'!I4+'Balance Sheet'!I5</f>
        <v>342.88</v>
      </c>
      <c r="J101" s="129">
        <f>'Balance Sheet'!J4+'Balance Sheet'!J5</f>
        <v>387.81</v>
      </c>
      <c r="K101" s="129">
        <f>'Balance Sheet'!K4+'Balance Sheet'!K5</f>
        <v>413.53999999999996</v>
      </c>
      <c r="L101" s="118"/>
      <c r="M101"/>
      <c r="P101" s="182"/>
      <c r="Q101" s="181"/>
    </row>
    <row r="102" spans="1:17" ht="14.4" x14ac:dyDescent="0.3">
      <c r="A102" s="118" t="s">
        <v>232</v>
      </c>
      <c r="B102" s="127">
        <f t="shared" ref="B102:K102" si="36">B100/B101</f>
        <v>0.20090536753610691</v>
      </c>
      <c r="C102" s="127">
        <f t="shared" si="36"/>
        <v>0.43127394636015326</v>
      </c>
      <c r="D102" s="127">
        <f t="shared" si="36"/>
        <v>0.77563889810819775</v>
      </c>
      <c r="E102" s="127">
        <f t="shared" si="36"/>
        <v>0.68919390485052923</v>
      </c>
      <c r="F102" s="127">
        <f t="shared" si="36"/>
        <v>0.50956538801138029</v>
      </c>
      <c r="G102" s="127">
        <f t="shared" si="36"/>
        <v>0.37124252600540586</v>
      </c>
      <c r="H102" s="127">
        <f t="shared" si="36"/>
        <v>0.25334914875802406</v>
      </c>
      <c r="I102" s="127">
        <f t="shared" si="36"/>
        <v>0.29928838077461506</v>
      </c>
      <c r="J102" s="127">
        <f t="shared" si="36"/>
        <v>0.30251927490265851</v>
      </c>
      <c r="K102" s="127">
        <f t="shared" si="36"/>
        <v>0.30253421676258646</v>
      </c>
      <c r="L102" s="118"/>
      <c r="M102"/>
      <c r="P102" s="182" t="s">
        <v>261</v>
      </c>
      <c r="Q102" s="181"/>
    </row>
    <row r="103" spans="1:17" ht="14.4" x14ac:dyDescent="0.3">
      <c r="A103" s="118" t="s">
        <v>233</v>
      </c>
      <c r="B103" s="128">
        <v>0.12</v>
      </c>
      <c r="C103" s="128"/>
      <c r="D103" s="128"/>
      <c r="E103" s="128"/>
      <c r="F103" s="128"/>
      <c r="G103" s="128"/>
      <c r="H103" s="128"/>
      <c r="I103" s="128"/>
      <c r="J103" s="128"/>
      <c r="K103" s="128"/>
      <c r="L103" s="118"/>
      <c r="M103"/>
      <c r="P103" s="182">
        <f>P61</f>
        <v>2014</v>
      </c>
      <c r="Q103" s="181">
        <f>KeyMetrics!G108</f>
        <v>69.97</v>
      </c>
    </row>
    <row r="104" spans="1:17" ht="14.4" x14ac:dyDescent="0.3">
      <c r="A104" s="118" t="s">
        <v>252</v>
      </c>
      <c r="B104" s="122">
        <f t="shared" ref="B104:K104" si="37">$B$103*B100</f>
        <v>2.2368000000000001</v>
      </c>
      <c r="C104" s="122">
        <f t="shared" si="37"/>
        <v>6.4836</v>
      </c>
      <c r="D104" s="122">
        <f t="shared" si="37"/>
        <v>14.021999999999998</v>
      </c>
      <c r="E104" s="122">
        <f t="shared" si="37"/>
        <v>14.219999999999999</v>
      </c>
      <c r="F104" s="122">
        <f t="shared" si="37"/>
        <v>12.465599999999998</v>
      </c>
      <c r="G104" s="122">
        <f t="shared" si="37"/>
        <v>10.878</v>
      </c>
      <c r="H104" s="122">
        <f t="shared" si="37"/>
        <v>8.7143999999999995</v>
      </c>
      <c r="I104" s="122">
        <f t="shared" si="37"/>
        <v>12.314400000000001</v>
      </c>
      <c r="J104" s="122">
        <f t="shared" si="37"/>
        <v>14.078399999999998</v>
      </c>
      <c r="K104" s="122">
        <f t="shared" si="37"/>
        <v>15.013199999999999</v>
      </c>
      <c r="L104" s="124">
        <f>SUM(B104:K104)</f>
        <v>110.4264</v>
      </c>
      <c r="M104"/>
      <c r="P104" s="182">
        <f>P62</f>
        <v>2015</v>
      </c>
      <c r="Q104" s="181">
        <f>KeyMetrics!H108</f>
        <v>68.400000000000006</v>
      </c>
    </row>
    <row r="105" spans="1:17" ht="14.4" x14ac:dyDescent="0.3">
      <c r="A105" s="118" t="s">
        <v>253</v>
      </c>
      <c r="B105" s="127">
        <f t="shared" ref="B105:K105" si="38">B61/B104</f>
        <v>19.125536480686687</v>
      </c>
      <c r="C105" s="127">
        <f t="shared" si="38"/>
        <v>8.2099450922327062</v>
      </c>
      <c r="D105" s="127">
        <f t="shared" si="38"/>
        <v>4.5079161317928973</v>
      </c>
      <c r="E105" s="127">
        <f t="shared" si="38"/>
        <v>4.7229254571026731</v>
      </c>
      <c r="F105" s="127">
        <f t="shared" si="38"/>
        <v>6.3542869978179946</v>
      </c>
      <c r="G105" s="127">
        <f t="shared" si="38"/>
        <v>7.8617392903107186</v>
      </c>
      <c r="H105" s="127">
        <f t="shared" si="38"/>
        <v>11.13444413843753</v>
      </c>
      <c r="I105" s="127">
        <f t="shared" si="38"/>
        <v>8.4803157279282821</v>
      </c>
      <c r="J105" s="127">
        <f t="shared" si="38"/>
        <v>8.164990339811343</v>
      </c>
      <c r="K105" s="127">
        <f t="shared" si="38"/>
        <v>9.327125462925963</v>
      </c>
      <c r="L105" s="118"/>
      <c r="M105"/>
      <c r="P105" s="182">
        <f>P63</f>
        <v>2016</v>
      </c>
      <c r="Q105" s="181">
        <f>KeyMetrics!I108</f>
        <v>77.13</v>
      </c>
    </row>
    <row r="106" spans="1:17" ht="14.4" x14ac:dyDescent="0.3">
      <c r="A106" s="118"/>
      <c r="B106" s="118"/>
      <c r="C106" s="118"/>
      <c r="D106" s="118"/>
      <c r="E106" s="118"/>
      <c r="F106" s="118"/>
      <c r="G106" s="118"/>
      <c r="H106" s="118"/>
      <c r="I106" s="118"/>
      <c r="J106" s="118"/>
      <c r="K106" s="118"/>
      <c r="L106" s="118"/>
      <c r="M106"/>
      <c r="P106" s="182">
        <f>P64</f>
        <v>2017</v>
      </c>
      <c r="Q106" s="181">
        <f>KeyMetrics!J108</f>
        <v>86.7</v>
      </c>
    </row>
    <row r="107" spans="1:17" ht="14.4" x14ac:dyDescent="0.3">
      <c r="A107" s="114"/>
      <c r="B107" s="115">
        <f>'Cash Flow'!B3</f>
        <v>40268</v>
      </c>
      <c r="C107" s="115">
        <f>'Cash Flow'!C3</f>
        <v>40633</v>
      </c>
      <c r="D107" s="115">
        <f>'Cash Flow'!D3</f>
        <v>40999</v>
      </c>
      <c r="E107" s="115">
        <f>'Cash Flow'!E3</f>
        <v>41364</v>
      </c>
      <c r="F107" s="115">
        <f>'Cash Flow'!F3</f>
        <v>41729</v>
      </c>
      <c r="G107" s="115">
        <f>'Cash Flow'!G3</f>
        <v>42094</v>
      </c>
      <c r="H107" s="115">
        <f>'Cash Flow'!H3</f>
        <v>42460</v>
      </c>
      <c r="I107" s="115">
        <f>'Cash Flow'!I3</f>
        <v>42825</v>
      </c>
      <c r="J107" s="115">
        <f>'Cash Flow'!J3</f>
        <v>43190</v>
      </c>
      <c r="K107" s="115">
        <f>'Cash Flow'!K3</f>
        <v>43555</v>
      </c>
      <c r="L107" s="115" t="s">
        <v>222</v>
      </c>
      <c r="M107"/>
      <c r="P107" s="182">
        <f>P65</f>
        <v>2018</v>
      </c>
      <c r="Q107" s="181">
        <f>KeyMetrics!K108</f>
        <v>88.51</v>
      </c>
    </row>
    <row r="108" spans="1:17" ht="14.4" x14ac:dyDescent="0.3">
      <c r="A108" s="116" t="str">
        <f>'Cash Flow'!A4</f>
        <v>Cash from Operating Activity</v>
      </c>
      <c r="B108" s="117">
        <f>'Cash Flow'!B4</f>
        <v>36.31</v>
      </c>
      <c r="C108" s="117">
        <f>'Cash Flow'!C4</f>
        <v>29.28</v>
      </c>
      <c r="D108" s="117">
        <f>'Cash Flow'!D4</f>
        <v>30.41</v>
      </c>
      <c r="E108" s="117">
        <f>'Cash Flow'!E4</f>
        <v>46.63</v>
      </c>
      <c r="F108" s="117">
        <f>'Cash Flow'!F4</f>
        <v>51.53</v>
      </c>
      <c r="G108" s="117">
        <f>'Cash Flow'!G4</f>
        <v>69.97</v>
      </c>
      <c r="H108" s="117">
        <f>'Cash Flow'!H4</f>
        <v>68.400000000000006</v>
      </c>
      <c r="I108" s="117">
        <f>'Cash Flow'!I4</f>
        <v>77.13</v>
      </c>
      <c r="J108" s="117">
        <f>'Cash Flow'!J4</f>
        <v>86.7</v>
      </c>
      <c r="K108" s="117">
        <f>'Cash Flow'!K4</f>
        <v>88.51</v>
      </c>
      <c r="L108" s="124">
        <f>SUM(B108:K108)</f>
        <v>584.87</v>
      </c>
      <c r="M108"/>
      <c r="P108" s="182"/>
      <c r="Q108" s="181"/>
    </row>
    <row r="109" spans="1:17" ht="14.4" x14ac:dyDescent="0.3">
      <c r="A109" s="120" t="str">
        <f>'Cash Flow'!A5</f>
        <v>Cash from Investing Activity</v>
      </c>
      <c r="B109" s="121">
        <f>'Cash Flow'!B5</f>
        <v>-19.96</v>
      </c>
      <c r="C109" s="121">
        <f>'Cash Flow'!C5</f>
        <v>-63.25</v>
      </c>
      <c r="D109" s="121">
        <f>'Cash Flow'!D5</f>
        <v>-77.3</v>
      </c>
      <c r="E109" s="121">
        <f>'Cash Flow'!E5</f>
        <v>-26.58</v>
      </c>
      <c r="F109" s="121">
        <f>'Cash Flow'!F5</f>
        <v>-23.24</v>
      </c>
      <c r="G109" s="121">
        <f>'Cash Flow'!G5</f>
        <v>-31.39</v>
      </c>
      <c r="H109" s="121">
        <f>'Cash Flow'!H5</f>
        <v>-42.06</v>
      </c>
      <c r="I109" s="121">
        <f>'Cash Flow'!I5</f>
        <v>-83.87</v>
      </c>
      <c r="J109" s="121">
        <f>'Cash Flow'!J5</f>
        <v>-71.55</v>
      </c>
      <c r="K109" s="121">
        <f>'Cash Flow'!K5</f>
        <v>-45</v>
      </c>
      <c r="L109" s="124">
        <f>SUM(B109:K109)</f>
        <v>-484.2</v>
      </c>
      <c r="M109"/>
      <c r="P109" s="182" t="s">
        <v>260</v>
      </c>
      <c r="Q109" s="181"/>
    </row>
    <row r="110" spans="1:17" ht="14.4" x14ac:dyDescent="0.3">
      <c r="A110" s="120" t="str">
        <f>'Cash Flow'!A6</f>
        <v>Cash from Financing Activity</v>
      </c>
      <c r="B110" s="121">
        <f>'Cash Flow'!B6</f>
        <v>-11.16</v>
      </c>
      <c r="C110" s="121">
        <f>'Cash Flow'!C6</f>
        <v>31</v>
      </c>
      <c r="D110" s="121">
        <f>'Cash Flow'!D6</f>
        <v>50.78</v>
      </c>
      <c r="E110" s="121">
        <f>'Cash Flow'!E6</f>
        <v>-19.61</v>
      </c>
      <c r="F110" s="121">
        <f>'Cash Flow'!F6</f>
        <v>-31.69</v>
      </c>
      <c r="G110" s="121">
        <f>'Cash Flow'!G6</f>
        <v>-31.56</v>
      </c>
      <c r="H110" s="121">
        <f>'Cash Flow'!H6</f>
        <v>-35.020000000000003</v>
      </c>
      <c r="I110" s="121">
        <f>'Cash Flow'!I6</f>
        <v>4.71</v>
      </c>
      <c r="J110" s="121">
        <f>'Cash Flow'!J6</f>
        <v>-7.33</v>
      </c>
      <c r="K110" s="121">
        <f>'Cash Flow'!K6</f>
        <v>-51.37</v>
      </c>
      <c r="L110" s="124">
        <f>SUM(B110:K110)</f>
        <v>-101.25</v>
      </c>
      <c r="M110"/>
      <c r="P110" s="182" t="str">
        <f>CONCATENATE("Debt FY",P106)</f>
        <v>Debt FY2017</v>
      </c>
      <c r="Q110" s="181">
        <f>KeyMetrics!J100</f>
        <v>117.32</v>
      </c>
    </row>
    <row r="111" spans="1:17" ht="14.4" x14ac:dyDescent="0.3">
      <c r="A111" s="116" t="str">
        <f>'Cash Flow'!A7</f>
        <v>Net Cash Flow</v>
      </c>
      <c r="B111" s="117">
        <f>'Cash Flow'!B7</f>
        <v>5.19</v>
      </c>
      <c r="C111" s="117">
        <f>'Cash Flow'!C7</f>
        <v>-2.97</v>
      </c>
      <c r="D111" s="117">
        <f>'Cash Flow'!D7</f>
        <v>3.89</v>
      </c>
      <c r="E111" s="117">
        <f>'Cash Flow'!E7</f>
        <v>0.44</v>
      </c>
      <c r="F111" s="117">
        <f>'Cash Flow'!F7</f>
        <v>-3.4</v>
      </c>
      <c r="G111" s="117">
        <f>'Cash Flow'!G7</f>
        <v>7.02</v>
      </c>
      <c r="H111" s="117">
        <f>'Cash Flow'!H7</f>
        <v>-8.68</v>
      </c>
      <c r="I111" s="117">
        <f>'Cash Flow'!I7</f>
        <v>-2.0299999999999998</v>
      </c>
      <c r="J111" s="117">
        <f>'Cash Flow'!J7</f>
        <v>7.82</v>
      </c>
      <c r="K111" s="117">
        <f>'Cash Flow'!K7</f>
        <v>-7.86</v>
      </c>
      <c r="L111" s="124">
        <f>SUM(B111:K111)</f>
        <v>-0.57999999999999918</v>
      </c>
      <c r="M111"/>
      <c r="P111" s="182" t="str">
        <f>CONCATENATE("Debt FY",P107)</f>
        <v>Debt FY2018</v>
      </c>
      <c r="Q111" s="181">
        <f>KeyMetrics!K100</f>
        <v>125.11</v>
      </c>
    </row>
    <row r="112" spans="1:17" ht="14.4" x14ac:dyDescent="0.3">
      <c r="A112" s="118" t="s">
        <v>234</v>
      </c>
      <c r="B112" s="129">
        <f>'Data Sheet'!B69</f>
        <v>10.85</v>
      </c>
      <c r="C112" s="129">
        <f>'Data Sheet'!C69</f>
        <v>13.52</v>
      </c>
      <c r="D112" s="129">
        <f>'Data Sheet'!D69</f>
        <v>11.51</v>
      </c>
      <c r="E112" s="129">
        <f>'Data Sheet'!E69</f>
        <v>12.83</v>
      </c>
      <c r="F112" s="129">
        <f>'Data Sheet'!F69</f>
        <v>10.220000000000001</v>
      </c>
      <c r="G112" s="129">
        <f>'Data Sheet'!G69</f>
        <v>17.72</v>
      </c>
      <c r="H112" s="129">
        <f>'Data Sheet'!H69</f>
        <v>10</v>
      </c>
      <c r="I112" s="129">
        <f>'Data Sheet'!I69</f>
        <v>13.35</v>
      </c>
      <c r="J112" s="129">
        <f>'Data Sheet'!J69</f>
        <v>11.49</v>
      </c>
      <c r="K112" s="129">
        <f>'Data Sheet'!K69</f>
        <v>3.69</v>
      </c>
      <c r="L112" s="118"/>
      <c r="M112"/>
      <c r="P112" s="182" t="str">
        <f>CONCATENATE("Equity FY",P106)</f>
        <v>Equity FY2017</v>
      </c>
      <c r="Q112" s="181">
        <f>KeyMetrics!J101</f>
        <v>387.81</v>
      </c>
    </row>
    <row r="113" spans="1:17" ht="14.4" x14ac:dyDescent="0.3">
      <c r="A113" s="118"/>
      <c r="B113" s="118"/>
      <c r="C113" s="118"/>
      <c r="D113" s="118"/>
      <c r="E113" s="118"/>
      <c r="F113" s="118"/>
      <c r="G113" s="118"/>
      <c r="H113" s="118"/>
      <c r="I113" s="118"/>
      <c r="J113" s="118"/>
      <c r="K113" s="118"/>
      <c r="L113" s="118"/>
      <c r="M113"/>
      <c r="P113" s="182" t="str">
        <f>CONCATENATE("Equity FY",P107)</f>
        <v>Equity FY2018</v>
      </c>
      <c r="Q113" s="181">
        <f>KeyMetrics!K101</f>
        <v>413.53999999999996</v>
      </c>
    </row>
    <row r="114" spans="1:17" ht="14.4" x14ac:dyDescent="0.3">
      <c r="A114" s="118" t="s">
        <v>319</v>
      </c>
      <c r="B114" s="129">
        <f>'Data Sheet'!B90*'Data Sheet'!B93</f>
        <v>92.751499999999993</v>
      </c>
      <c r="C114" s="129">
        <f>'Data Sheet'!C90*'Data Sheet'!C93</f>
        <v>104.751</v>
      </c>
      <c r="D114" s="129">
        <f>'Data Sheet'!D90*'Data Sheet'!D93</f>
        <v>110.10700000000001</v>
      </c>
      <c r="E114" s="129">
        <f>'Data Sheet'!E90*'Data Sheet'!E93</f>
        <v>94.451000000000008</v>
      </c>
      <c r="F114" s="129">
        <f>'Data Sheet'!F90*'Data Sheet'!F93</f>
        <v>163.10050000000001</v>
      </c>
      <c r="G114" s="129">
        <f>'Data Sheet'!G90*'Data Sheet'!G93</f>
        <v>464.11800000000005</v>
      </c>
      <c r="H114" s="129">
        <f>'Data Sheet'!H90*'Data Sheet'!H93</f>
        <v>521.95249999999999</v>
      </c>
      <c r="I114" s="129">
        <f>'Data Sheet'!I90*'Data Sheet'!I93</f>
        <v>942.65600000000006</v>
      </c>
      <c r="J114" s="129">
        <f>'Data Sheet'!J90*'Data Sheet'!J93</f>
        <v>1040.0425</v>
      </c>
      <c r="K114" s="129">
        <f>'Data Sheet'!K90*'Data Sheet'!K93</f>
        <v>1174.0454999999999</v>
      </c>
    </row>
    <row r="115" spans="1:17" ht="14.4" x14ac:dyDescent="0.3">
      <c r="A115" s="118" t="s">
        <v>94</v>
      </c>
      <c r="B115" s="129">
        <f>B114/B101</f>
        <v>0.99969282172882079</v>
      </c>
      <c r="C115" s="129">
        <f t="shared" ref="C115:K115" si="39">C114/C101</f>
        <v>0.83613505747126438</v>
      </c>
      <c r="D115" s="129">
        <f t="shared" si="39"/>
        <v>0.73087952207102558</v>
      </c>
      <c r="E115" s="129">
        <f t="shared" si="39"/>
        <v>0.54932534605094807</v>
      </c>
      <c r="F115" s="129">
        <f t="shared" si="39"/>
        <v>0.8000613165898165</v>
      </c>
      <c r="G115" s="129">
        <f t="shared" si="39"/>
        <v>1.9007207797526418</v>
      </c>
      <c r="H115" s="129">
        <f t="shared" si="39"/>
        <v>1.8209339240859614</v>
      </c>
      <c r="I115" s="129">
        <f t="shared" si="39"/>
        <v>2.7492300513299117</v>
      </c>
      <c r="J115" s="129">
        <f t="shared" si="39"/>
        <v>2.6818351770196744</v>
      </c>
      <c r="K115" s="129">
        <f t="shared" si="39"/>
        <v>2.839013154712966</v>
      </c>
    </row>
  </sheetData>
  <mergeCells count="2">
    <mergeCell ref="A55:L55"/>
    <mergeCell ref="P2:Q2"/>
  </mergeCells>
  <conditionalFormatting sqref="Q29">
    <cfRule type="cellIs" dxfId="8" priority="9" operator="lessThan">
      <formula>0.3</formula>
    </cfRule>
  </conditionalFormatting>
  <conditionalFormatting sqref="Q9">
    <cfRule type="cellIs" dxfId="7" priority="8" operator="lessThan">
      <formula>0.05</formula>
    </cfRule>
  </conditionalFormatting>
  <conditionalFormatting sqref="Q25">
    <cfRule type="cellIs" dxfId="6" priority="7" operator="lessThan">
      <formula>2</formula>
    </cfRule>
  </conditionalFormatting>
  <conditionalFormatting sqref="Q51">
    <cfRule type="cellIs" dxfId="5" priority="6" operator="lessThan">
      <formula>0.07</formula>
    </cfRule>
  </conditionalFormatting>
  <conditionalFormatting sqref="Q6">
    <cfRule type="cellIs" dxfId="4" priority="5" operator="lessThan">
      <formula>0.4</formula>
    </cfRule>
  </conditionalFormatting>
  <conditionalFormatting sqref="Q30:Q32 Q28">
    <cfRule type="cellIs" dxfId="3" priority="4" operator="lessThan">
      <formula>0.2</formula>
    </cfRule>
  </conditionalFormatting>
  <conditionalFormatting sqref="Q46">
    <cfRule type="cellIs" dxfId="2" priority="1" operator="lessThan">
      <formula>0.3</formula>
    </cfRule>
    <cfRule type="cellIs" dxfId="1" priority="3" operator="lessThan">
      <formula>0.25</formula>
    </cfRule>
  </conditionalFormatting>
  <conditionalFormatting sqref="Q47 Q14">
    <cfRule type="cellIs" dxfId="0" priority="2" operator="lessThan">
      <formula>0.25</formula>
    </cfRule>
  </conditionalFormatting>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7CA9D-FBC1-4A22-AFFE-346E895DFA2B}">
  <dimension ref="D7:K8"/>
  <sheetViews>
    <sheetView workbookViewId="0">
      <selection activeCell="D7" sqref="D7"/>
    </sheetView>
    <sheetView workbookViewId="1"/>
  </sheetViews>
  <sheetFormatPr defaultRowHeight="14.4" x14ac:dyDescent="0.3"/>
  <sheetData>
    <row r="7" spans="4:11" x14ac:dyDescent="0.3">
      <c r="D7">
        <v>60000</v>
      </c>
      <c r="E7">
        <v>20000</v>
      </c>
      <c r="F7">
        <v>20000</v>
      </c>
      <c r="G7">
        <v>20000</v>
      </c>
      <c r="H7">
        <v>20000</v>
      </c>
      <c r="I7">
        <v>20000</v>
      </c>
      <c r="J7">
        <v>20000</v>
      </c>
      <c r="K7">
        <v>20000</v>
      </c>
    </row>
    <row r="8" spans="4:11" x14ac:dyDescent="0.3">
      <c r="D8">
        <v>25000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B6BBE-E143-8D4E-84DC-3DEBFA090CD1}">
  <dimension ref="A1:W20"/>
  <sheetViews>
    <sheetView showGridLines="0" topLeftCell="X37" zoomScale="145" zoomScaleNormal="145" workbookViewId="0">
      <selection activeCell="T10" sqref="T10:V10"/>
    </sheetView>
    <sheetView workbookViewId="1">
      <selection sqref="A1:B1"/>
    </sheetView>
  </sheetViews>
  <sheetFormatPr defaultColWidth="11.5546875" defaultRowHeight="14.4" x14ac:dyDescent="0.3"/>
  <cols>
    <col min="15" max="15" width="2.44140625" customWidth="1"/>
    <col min="16" max="16" width="11.77734375" customWidth="1"/>
    <col min="19" max="19" width="10.77734375" customWidth="1"/>
    <col min="21" max="22" width="10.77734375" customWidth="1"/>
  </cols>
  <sheetData>
    <row r="1" spans="1:23" x14ac:dyDescent="0.3">
      <c r="A1" s="269" t="str">
        <f>'Data Sheet'!B1</f>
        <v>ORIENTAL CARBON &amp; CHEMICALS LTD</v>
      </c>
      <c r="B1" s="269"/>
    </row>
    <row r="2" spans="1:23" x14ac:dyDescent="0.3">
      <c r="Q2" s="178">
        <f>KeyMetrics!F57</f>
        <v>41729</v>
      </c>
      <c r="R2" s="178">
        <f>KeyMetrics!G57</f>
        <v>42094</v>
      </c>
      <c r="S2" s="178">
        <f>KeyMetrics!H57</f>
        <v>42460</v>
      </c>
      <c r="T2" s="178">
        <f>KeyMetrics!I57</f>
        <v>42825</v>
      </c>
      <c r="U2" s="178">
        <f>KeyMetrics!J57</f>
        <v>43190</v>
      </c>
      <c r="V2" s="178">
        <f>KeyMetrics!K57</f>
        <v>43555</v>
      </c>
      <c r="W2" s="179" t="s">
        <v>326</v>
      </c>
    </row>
    <row r="3" spans="1:23" x14ac:dyDescent="0.3">
      <c r="P3" s="118" t="s">
        <v>320</v>
      </c>
      <c r="Q3" s="130">
        <f>KeyMetrics!F58</f>
        <v>261.7</v>
      </c>
      <c r="R3" s="130">
        <f>KeyMetrics!G58</f>
        <v>282.58</v>
      </c>
      <c r="S3" s="130">
        <f>KeyMetrics!H58</f>
        <v>271.02999999999997</v>
      </c>
      <c r="T3" s="130">
        <f>KeyMetrics!I58</f>
        <v>297.41000000000003</v>
      </c>
      <c r="U3" s="130">
        <f>KeyMetrics!J58</f>
        <v>323.82</v>
      </c>
      <c r="V3" s="130">
        <f>KeyMetrics!K58</f>
        <v>383.29</v>
      </c>
      <c r="W3" s="168">
        <f>V3/Q3</f>
        <v>1.4646159724875814</v>
      </c>
    </row>
    <row r="4" spans="1:23" x14ac:dyDescent="0.3">
      <c r="P4" s="118" t="s">
        <v>321</v>
      </c>
      <c r="Q4" s="130">
        <f>KeyMetrics!F69</f>
        <v>40.44</v>
      </c>
      <c r="R4" s="130">
        <f>KeyMetrics!G69</f>
        <v>51.32</v>
      </c>
      <c r="S4" s="130">
        <f>KeyMetrics!H69</f>
        <v>52.99</v>
      </c>
      <c r="T4" s="130">
        <f>KeyMetrics!I69</f>
        <v>54.17</v>
      </c>
      <c r="U4" s="130">
        <f>KeyMetrics!J69</f>
        <v>56.75</v>
      </c>
      <c r="V4" s="130">
        <f>KeyMetrics!K69</f>
        <v>73.739999999999995</v>
      </c>
      <c r="W4" s="168">
        <f t="shared" ref="W4:W8" si="0">V4/Q4</f>
        <v>1.8234421364985163</v>
      </c>
    </row>
    <row r="5" spans="1:23" x14ac:dyDescent="0.3">
      <c r="P5" s="118" t="s">
        <v>322</v>
      </c>
      <c r="Q5" s="169">
        <f>Q4/KeyMetrics!F101</f>
        <v>0.19837143137447266</v>
      </c>
      <c r="R5" s="169">
        <f>R4/KeyMetrics!G101</f>
        <v>0.21017282332705381</v>
      </c>
      <c r="S5" s="169">
        <f>S4/KeyMetrics!H101</f>
        <v>0.18486603404967905</v>
      </c>
      <c r="T5" s="169">
        <f>T4/KeyMetrics!I101</f>
        <v>0.15798530097993468</v>
      </c>
      <c r="U5" s="169">
        <f>U4/KeyMetrics!J101</f>
        <v>0.1463345452670122</v>
      </c>
      <c r="V5" s="169">
        <f>V4/KeyMetrics!K101</f>
        <v>0.17831406877206557</v>
      </c>
      <c r="W5" s="168">
        <f t="shared" si="0"/>
        <v>0.89888986300379059</v>
      </c>
    </row>
    <row r="6" spans="1:23" x14ac:dyDescent="0.3">
      <c r="P6" s="118" t="s">
        <v>323</v>
      </c>
      <c r="Q6" s="177">
        <f t="shared" ref="Q6:V6" si="1">Q8/Q4</f>
        <v>4.0331478733926813</v>
      </c>
      <c r="R6" s="170">
        <f t="shared" si="1"/>
        <v>9.0436087295401411</v>
      </c>
      <c r="S6" s="170">
        <f t="shared" si="1"/>
        <v>9.8500188714851848</v>
      </c>
      <c r="T6" s="170">
        <f t="shared" si="1"/>
        <v>17.401809119438806</v>
      </c>
      <c r="U6" s="170">
        <f t="shared" si="1"/>
        <v>18.326740088105726</v>
      </c>
      <c r="V6" s="177">
        <f t="shared" si="1"/>
        <v>15.921419853539463</v>
      </c>
      <c r="W6" s="168">
        <f t="shared" si="0"/>
        <v>3.9476409874717477</v>
      </c>
    </row>
    <row r="7" spans="1:23" x14ac:dyDescent="0.3">
      <c r="P7" s="118" t="s">
        <v>324</v>
      </c>
      <c r="Q7" s="177">
        <f>KeyMetrics!F115</f>
        <v>0.8000613165898165</v>
      </c>
      <c r="R7" s="170">
        <f>KeyMetrics!G115</f>
        <v>1.9007207797526418</v>
      </c>
      <c r="S7" s="170">
        <f>KeyMetrics!H115</f>
        <v>1.8209339240859614</v>
      </c>
      <c r="T7" s="170">
        <f>KeyMetrics!I115</f>
        <v>2.7492300513299117</v>
      </c>
      <c r="U7" s="170">
        <f>KeyMetrics!J115</f>
        <v>2.6818351770196744</v>
      </c>
      <c r="V7" s="177">
        <f>KeyMetrics!K115</f>
        <v>2.839013154712966</v>
      </c>
      <c r="W7" s="168">
        <f t="shared" si="0"/>
        <v>3.5484944664166282</v>
      </c>
    </row>
    <row r="8" spans="1:23" x14ac:dyDescent="0.3">
      <c r="P8" s="118" t="s">
        <v>325</v>
      </c>
      <c r="Q8" s="171">
        <f>KeyMetrics!F114</f>
        <v>163.10050000000001</v>
      </c>
      <c r="R8" s="171">
        <f>KeyMetrics!G114</f>
        <v>464.11800000000005</v>
      </c>
      <c r="S8" s="171">
        <f>KeyMetrics!H114</f>
        <v>521.95249999999999</v>
      </c>
      <c r="T8" s="171">
        <f>KeyMetrics!I114</f>
        <v>942.65600000000006</v>
      </c>
      <c r="U8" s="171">
        <f>KeyMetrics!J114</f>
        <v>1040.0425</v>
      </c>
      <c r="V8" s="171">
        <f>KeyMetrics!K114</f>
        <v>1174.0454999999999</v>
      </c>
      <c r="W8" s="168">
        <f t="shared" si="0"/>
        <v>7.1982949163245964</v>
      </c>
    </row>
    <row r="10" spans="1:23" x14ac:dyDescent="0.3">
      <c r="P10" s="270"/>
      <c r="Q10" s="270"/>
      <c r="R10" s="172" t="s">
        <v>239</v>
      </c>
      <c r="S10" s="174" t="s">
        <v>240</v>
      </c>
      <c r="T10" s="270" t="s">
        <v>235</v>
      </c>
      <c r="U10" s="270"/>
      <c r="V10" s="270"/>
      <c r="W10" s="175">
        <f>KeyMetrics!L97</f>
        <v>379.16</v>
      </c>
    </row>
    <row r="11" spans="1:23" x14ac:dyDescent="0.3">
      <c r="P11" s="271" t="s">
        <v>327</v>
      </c>
      <c r="Q11" s="271"/>
      <c r="R11" s="173">
        <f>KeyMetrics!L108/KeyMetrics!L58</f>
        <v>0.22955703307141007</v>
      </c>
      <c r="S11" s="173">
        <f>SUM(KeyMetrics!I108:K108)/SUM(KeyMetrics!I58:K58)</f>
        <v>0.25120455540954884</v>
      </c>
      <c r="T11" s="270" t="s">
        <v>254</v>
      </c>
      <c r="U11" s="270"/>
      <c r="V11" s="270"/>
      <c r="W11" s="175">
        <f>Customization!C5</f>
        <v>1081.2939999999999</v>
      </c>
    </row>
    <row r="12" spans="1:23" x14ac:dyDescent="0.3">
      <c r="P12" s="271" t="s">
        <v>328</v>
      </c>
      <c r="Q12" s="271"/>
      <c r="R12" s="173">
        <f>KeyMetrics!L108/KeyMetrics!L69</f>
        <v>1.2851743611153836</v>
      </c>
      <c r="S12" s="173">
        <f>SUM(KeyMetrics!I108:K108)/SUM(KeyMetrics!I69:K69)</f>
        <v>1.3665114264052853</v>
      </c>
      <c r="T12" s="271" t="s">
        <v>236</v>
      </c>
      <c r="U12" s="271"/>
      <c r="V12" s="271"/>
      <c r="W12" s="176">
        <f>W11/W10</f>
        <v>2.8518145373984591</v>
      </c>
    </row>
    <row r="20" spans="16:16" x14ac:dyDescent="0.3">
      <c r="P20" s="113"/>
    </row>
  </sheetData>
  <mergeCells count="7">
    <mergeCell ref="A1:B1"/>
    <mergeCell ref="P10:Q10"/>
    <mergeCell ref="P11:Q11"/>
    <mergeCell ref="P12:Q12"/>
    <mergeCell ref="T10:V10"/>
    <mergeCell ref="T11:V11"/>
    <mergeCell ref="T12:V1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Y53"/>
  <sheetViews>
    <sheetView showGridLines="0" topLeftCell="B22" workbookViewId="0">
      <selection activeCell="N28" sqref="N28:S28"/>
    </sheetView>
    <sheetView workbookViewId="1"/>
  </sheetViews>
  <sheetFormatPr defaultColWidth="11.44140625" defaultRowHeight="14.4" x14ac:dyDescent="0.3"/>
  <cols>
    <col min="2" max="2" width="15.6640625" bestFit="1" customWidth="1"/>
  </cols>
  <sheetData>
    <row r="1" spans="2:25" x14ac:dyDescent="0.3">
      <c r="B1" s="113" t="s">
        <v>213</v>
      </c>
    </row>
    <row r="2" spans="2:25" x14ac:dyDescent="0.3">
      <c r="B2" s="6" t="s">
        <v>209</v>
      </c>
      <c r="C2" s="1"/>
      <c r="D2" s="10">
        <f t="shared" ref="D2:L2" si="0">D10/C10-1</f>
        <v>0.26489539416116448</v>
      </c>
      <c r="E2" s="10">
        <f t="shared" si="0"/>
        <v>0.36985095277026603</v>
      </c>
      <c r="F2" s="10">
        <f t="shared" si="0"/>
        <v>3.5028922963915132E-2</v>
      </c>
      <c r="G2" s="10">
        <f t="shared" si="0"/>
        <v>0.16078953204701718</v>
      </c>
      <c r="H2" s="10">
        <f t="shared" si="0"/>
        <v>7.9786014520443205E-2</v>
      </c>
      <c r="I2" s="10">
        <f t="shared" si="0"/>
        <v>-4.0873380989454366E-2</v>
      </c>
      <c r="J2" s="10">
        <f t="shared" si="0"/>
        <v>9.733239862745835E-2</v>
      </c>
      <c r="K2" s="10">
        <f t="shared" si="0"/>
        <v>8.8799973101106211E-2</v>
      </c>
      <c r="L2" s="10">
        <f t="shared" si="0"/>
        <v>0.18365141127787044</v>
      </c>
      <c r="M2" s="131">
        <v>0.15</v>
      </c>
      <c r="N2" s="131"/>
      <c r="O2" s="131"/>
      <c r="P2" s="131"/>
      <c r="Q2" s="131"/>
      <c r="R2" s="131"/>
      <c r="S2" s="131"/>
      <c r="T2" s="131">
        <v>0.15</v>
      </c>
      <c r="U2" s="131">
        <f t="shared" ref="U2" si="1">MEDIAN(L2:T2)</f>
        <v>0.15</v>
      </c>
      <c r="V2" s="131">
        <f t="shared" ref="V2" si="2">MEDIAN(M2:U2)</f>
        <v>0.15</v>
      </c>
      <c r="W2" s="131">
        <f t="shared" ref="W2" si="3">MEDIAN(T2:V2)</f>
        <v>0.15</v>
      </c>
      <c r="X2" s="109"/>
      <c r="Y2" s="109"/>
    </row>
    <row r="3" spans="2:25" x14ac:dyDescent="0.3">
      <c r="B3" s="6" t="s">
        <v>214</v>
      </c>
      <c r="C3" s="10">
        <f t="shared" ref="C3:M3" si="4">C11/C10</f>
        <v>0.69700103412616343</v>
      </c>
      <c r="D3" s="10">
        <f t="shared" si="4"/>
        <v>0.69681152128796942</v>
      </c>
      <c r="E3" s="10">
        <f t="shared" si="4"/>
        <v>0.74249380222201811</v>
      </c>
      <c r="F3" s="10">
        <f t="shared" si="4"/>
        <v>0.74473275670880457</v>
      </c>
      <c r="G3" s="10">
        <f t="shared" si="4"/>
        <v>0.73717997707298444</v>
      </c>
      <c r="H3" s="10">
        <f t="shared" si="4"/>
        <v>0.74364781654752632</v>
      </c>
      <c r="I3" s="10">
        <f t="shared" si="4"/>
        <v>0.69973803637973653</v>
      </c>
      <c r="J3" s="10">
        <f t="shared" si="4"/>
        <v>0.69980834538179615</v>
      </c>
      <c r="K3" s="10">
        <f t="shared" si="4"/>
        <v>0.69547896979803603</v>
      </c>
      <c r="L3" s="10">
        <f t="shared" si="4"/>
        <v>0.68316418377729649</v>
      </c>
      <c r="M3" s="10">
        <f t="shared" si="4"/>
        <v>0.89</v>
      </c>
      <c r="N3" s="10"/>
      <c r="O3" s="10"/>
      <c r="P3" s="10"/>
      <c r="Q3" s="10"/>
      <c r="R3" s="10"/>
      <c r="S3" s="10"/>
      <c r="T3" s="10">
        <f>1-T4</f>
        <v>0.88800000000000001</v>
      </c>
      <c r="U3" s="10">
        <f>1-U4</f>
        <v>0.88700000000000001</v>
      </c>
      <c r="V3" s="10">
        <f>1-V4</f>
        <v>0.88600000000000001</v>
      </c>
      <c r="W3" s="10">
        <f>1-W4</f>
        <v>0.88500000000000001</v>
      </c>
      <c r="X3" s="109"/>
      <c r="Y3" s="109"/>
    </row>
    <row r="4" spans="2:25" x14ac:dyDescent="0.3">
      <c r="B4" s="8" t="s">
        <v>210</v>
      </c>
      <c r="C4" s="138">
        <f t="shared" ref="C4:L4" si="5">C12/C10</f>
        <v>0.30299896587383651</v>
      </c>
      <c r="D4" s="138">
        <f t="shared" si="5"/>
        <v>0.30318847871203058</v>
      </c>
      <c r="E4" s="138">
        <f t="shared" si="5"/>
        <v>0.25750619777798184</v>
      </c>
      <c r="F4" s="138">
        <f t="shared" si="5"/>
        <v>0.25526724329119543</v>
      </c>
      <c r="G4" s="138">
        <f t="shared" si="5"/>
        <v>0.26282002292701556</v>
      </c>
      <c r="H4" s="138">
        <f t="shared" si="5"/>
        <v>0.25635218345247363</v>
      </c>
      <c r="I4" s="138">
        <f t="shared" si="5"/>
        <v>0.30026196362026347</v>
      </c>
      <c r="J4" s="138">
        <f t="shared" si="5"/>
        <v>0.30019165461820391</v>
      </c>
      <c r="K4" s="138">
        <f t="shared" si="5"/>
        <v>0.30452103020196403</v>
      </c>
      <c r="L4" s="138">
        <f t="shared" si="5"/>
        <v>0.31683581622270357</v>
      </c>
      <c r="M4" s="139">
        <v>0.11</v>
      </c>
      <c r="N4" s="139"/>
      <c r="O4" s="139"/>
      <c r="P4" s="139"/>
      <c r="Q4" s="139"/>
      <c r="R4" s="139"/>
      <c r="S4" s="139"/>
      <c r="T4" s="139">
        <v>0.112</v>
      </c>
      <c r="U4" s="139">
        <v>0.113</v>
      </c>
      <c r="V4" s="139">
        <v>0.114</v>
      </c>
      <c r="W4" s="139">
        <v>0.115</v>
      </c>
      <c r="X4" s="109"/>
      <c r="Y4" s="109"/>
    </row>
    <row r="5" spans="2:25" x14ac:dyDescent="0.3">
      <c r="B5" s="25" t="s">
        <v>211</v>
      </c>
      <c r="C5" s="111">
        <f t="shared" ref="C5:L5" si="6">C17/C16</f>
        <v>0.14010507880910683</v>
      </c>
      <c r="D5" s="111">
        <f t="shared" si="6"/>
        <v>0.14285714285714288</v>
      </c>
      <c r="E5" s="111">
        <f t="shared" si="6"/>
        <v>0.29303370786516852</v>
      </c>
      <c r="F5" s="111">
        <f t="shared" si="6"/>
        <v>0.31593406593406598</v>
      </c>
      <c r="G5" s="111">
        <f t="shared" si="6"/>
        <v>0.19358054226475283</v>
      </c>
      <c r="H5" s="111">
        <f t="shared" si="6"/>
        <v>0.18487928843710294</v>
      </c>
      <c r="I5" s="111">
        <f t="shared" si="6"/>
        <v>0.18190240889437923</v>
      </c>
      <c r="J5" s="111">
        <f t="shared" si="6"/>
        <v>0.27489293361884365</v>
      </c>
      <c r="K5" s="111">
        <f t="shared" si="6"/>
        <v>0.28732889614466911</v>
      </c>
      <c r="L5" s="111">
        <f t="shared" si="6"/>
        <v>0.28114642230454279</v>
      </c>
      <c r="M5" s="111">
        <v>0.35</v>
      </c>
      <c r="N5" s="111"/>
      <c r="O5" s="111"/>
      <c r="P5" s="111"/>
      <c r="Q5" s="111"/>
      <c r="R5" s="111"/>
      <c r="S5" s="111"/>
      <c r="T5" s="111">
        <v>0.35</v>
      </c>
      <c r="U5" s="111">
        <v>0.35</v>
      </c>
      <c r="V5" s="111">
        <v>0.35</v>
      </c>
      <c r="W5" s="111">
        <v>0.35</v>
      </c>
      <c r="X5" s="109"/>
      <c r="Y5" s="109"/>
    </row>
    <row r="6" spans="2:25" x14ac:dyDescent="0.3">
      <c r="B6" s="25" t="s">
        <v>215</v>
      </c>
      <c r="C6" s="111">
        <f>C18/C10</f>
        <v>0.23434889825789518</v>
      </c>
      <c r="D6" s="111">
        <f t="shared" ref="D6:W6" si="7">D18/D10</f>
        <v>0.23507955474498463</v>
      </c>
      <c r="E6" s="111">
        <f t="shared" si="7"/>
        <v>0.14443118170966854</v>
      </c>
      <c r="F6" s="111">
        <f t="shared" si="7"/>
        <v>0.12144599689509869</v>
      </c>
      <c r="G6" s="111">
        <f t="shared" si="7"/>
        <v>0.15452808559419182</v>
      </c>
      <c r="H6" s="111">
        <f t="shared" si="7"/>
        <v>0.18161228678604291</v>
      </c>
      <c r="I6" s="111">
        <f t="shared" si="7"/>
        <v>0.19551341179943182</v>
      </c>
      <c r="J6" s="111">
        <f t="shared" si="7"/>
        <v>0.18213913452809252</v>
      </c>
      <c r="K6" s="111">
        <f t="shared" si="7"/>
        <v>0.17525168303378422</v>
      </c>
      <c r="L6" s="111">
        <f t="shared" si="7"/>
        <v>0.19238696548305459</v>
      </c>
      <c r="M6" s="111">
        <f t="shared" si="7"/>
        <v>4.1515268266620685E-2</v>
      </c>
      <c r="N6" s="111"/>
      <c r="O6" s="111"/>
      <c r="P6" s="111"/>
      <c r="Q6" s="111"/>
      <c r="R6" s="111"/>
      <c r="S6" s="111"/>
      <c r="T6" s="111">
        <f t="shared" si="7"/>
        <v>4.5785142908322196E-2</v>
      </c>
      <c r="U6" s="111">
        <f t="shared" si="7"/>
        <v>4.8986120278072545E-2</v>
      </c>
      <c r="V6" s="111">
        <f t="shared" si="7"/>
        <v>5.107878097539581E-2</v>
      </c>
      <c r="W6" s="111">
        <f t="shared" si="7"/>
        <v>5.3075759576931822E-2</v>
      </c>
      <c r="X6" s="109"/>
      <c r="Y6" s="109"/>
    </row>
    <row r="9" spans="2:25" x14ac:dyDescent="0.3">
      <c r="B9" s="15" t="s">
        <v>2</v>
      </c>
      <c r="C9" s="16">
        <f>'Profit &amp; Loss'!B3</f>
        <v>40268</v>
      </c>
      <c r="D9" s="16">
        <f>'Profit &amp; Loss'!C3</f>
        <v>40633</v>
      </c>
      <c r="E9" s="16">
        <f>'Profit &amp; Loss'!D3</f>
        <v>40999</v>
      </c>
      <c r="F9" s="16">
        <f>'Profit &amp; Loss'!E3</f>
        <v>41364</v>
      </c>
      <c r="G9" s="16">
        <f>'Profit &amp; Loss'!F3</f>
        <v>41729</v>
      </c>
      <c r="H9" s="16">
        <f>'Profit &amp; Loss'!G3</f>
        <v>42094</v>
      </c>
      <c r="I9" s="16">
        <f>'Profit &amp; Loss'!H3</f>
        <v>42460</v>
      </c>
      <c r="J9" s="16">
        <f>'Profit &amp; Loss'!I3</f>
        <v>42825</v>
      </c>
      <c r="K9" s="16">
        <f>'Profit &amp; Loss'!J3</f>
        <v>43190</v>
      </c>
      <c r="L9" s="16">
        <f>'Profit &amp; Loss'!K3</f>
        <v>43555</v>
      </c>
      <c r="M9" s="132">
        <f>L9+365</f>
        <v>43920</v>
      </c>
      <c r="N9" s="132"/>
      <c r="O9" s="132"/>
      <c r="P9" s="132"/>
      <c r="Q9" s="132"/>
      <c r="R9" s="132"/>
      <c r="S9" s="132"/>
      <c r="T9" s="132">
        <f>M9+365</f>
        <v>44285</v>
      </c>
      <c r="U9" s="132">
        <f t="shared" ref="U9:W9" si="8">T9+365</f>
        <v>44650</v>
      </c>
      <c r="V9" s="132">
        <f t="shared" si="8"/>
        <v>45015</v>
      </c>
      <c r="W9" s="132">
        <f t="shared" si="8"/>
        <v>45380</v>
      </c>
      <c r="Y9" s="133" t="s">
        <v>237</v>
      </c>
    </row>
    <row r="10" spans="2:25" x14ac:dyDescent="0.3">
      <c r="B10" s="8" t="s">
        <v>5</v>
      </c>
      <c r="C10" s="1">
        <f>'Profit &amp; Loss'!B4</f>
        <v>125.71</v>
      </c>
      <c r="D10" s="1">
        <f>'Profit &amp; Loss'!C4</f>
        <v>159.01</v>
      </c>
      <c r="E10" s="1">
        <f>'Profit &amp; Loss'!D4</f>
        <v>217.82</v>
      </c>
      <c r="F10" s="1">
        <f>'Profit &amp; Loss'!E4</f>
        <v>225.45</v>
      </c>
      <c r="G10" s="1">
        <f>'Profit &amp; Loss'!F4</f>
        <v>261.7</v>
      </c>
      <c r="H10" s="1">
        <f>'Profit &amp; Loss'!G4</f>
        <v>282.58</v>
      </c>
      <c r="I10" s="1">
        <f>'Profit &amp; Loss'!H4</f>
        <v>271.02999999999997</v>
      </c>
      <c r="J10" s="1">
        <f>'Profit &amp; Loss'!I4</f>
        <v>297.41000000000003</v>
      </c>
      <c r="K10" s="1">
        <f>'Profit &amp; Loss'!J4</f>
        <v>323.82</v>
      </c>
      <c r="L10" s="1">
        <f>'Profit &amp; Loss'!K4</f>
        <v>383.29</v>
      </c>
      <c r="M10" s="1">
        <f>L10*(1+M2)</f>
        <v>440.7835</v>
      </c>
      <c r="N10" s="1"/>
      <c r="O10" s="1"/>
      <c r="P10" s="1"/>
      <c r="Q10" s="1"/>
      <c r="R10" s="1"/>
      <c r="S10" s="1"/>
      <c r="T10" s="1">
        <f>M10*(1+T2)</f>
        <v>506.90102499999995</v>
      </c>
      <c r="U10" s="1">
        <f t="shared" ref="U10:W10" si="9">T10*(1+U2)</f>
        <v>582.93617874999984</v>
      </c>
      <c r="V10" s="1">
        <f t="shared" si="9"/>
        <v>670.37660556249978</v>
      </c>
      <c r="W10" s="1">
        <f t="shared" si="9"/>
        <v>770.9330963968747</v>
      </c>
      <c r="Y10" s="134">
        <f>RATE(5,,-L10,W10,1,)</f>
        <v>0.14999999999516306</v>
      </c>
    </row>
    <row r="11" spans="2:25" x14ac:dyDescent="0.3">
      <c r="B11" s="6" t="s">
        <v>6</v>
      </c>
      <c r="C11" s="9">
        <f>'Profit &amp; Loss'!B5</f>
        <v>87.62</v>
      </c>
      <c r="D11" s="9">
        <f>'Profit &amp; Loss'!C5</f>
        <v>110.80000000000001</v>
      </c>
      <c r="E11" s="9">
        <f>'Profit &amp; Loss'!D5</f>
        <v>161.72999999999999</v>
      </c>
      <c r="F11" s="9">
        <f>'Profit &amp; Loss'!E5</f>
        <v>167.89999999999998</v>
      </c>
      <c r="G11" s="9">
        <f>'Profit &amp; Loss'!F5</f>
        <v>192.92000000000002</v>
      </c>
      <c r="H11" s="9">
        <f>'Profit &amp; Loss'!G5</f>
        <v>210.14</v>
      </c>
      <c r="I11" s="9">
        <f>'Profit &amp; Loss'!H5</f>
        <v>189.64999999999998</v>
      </c>
      <c r="J11" s="9">
        <f>'Profit &amp; Loss'!I5</f>
        <v>208.13</v>
      </c>
      <c r="K11" s="9">
        <f>'Profit &amp; Loss'!J5</f>
        <v>225.21</v>
      </c>
      <c r="L11" s="9">
        <f>'Profit &amp; Loss'!K5</f>
        <v>261.84999999999997</v>
      </c>
      <c r="M11" s="1">
        <f>M10-M12</f>
        <v>392.29731500000003</v>
      </c>
      <c r="N11" s="1"/>
      <c r="O11" s="1"/>
      <c r="P11" s="1"/>
      <c r="Q11" s="1"/>
      <c r="R11" s="1"/>
      <c r="S11" s="1"/>
      <c r="T11" s="1">
        <f t="shared" ref="T11:W11" si="10">T10-T12</f>
        <v>450.12811019999992</v>
      </c>
      <c r="U11" s="1">
        <f t="shared" si="10"/>
        <v>517.06439055124986</v>
      </c>
      <c r="V11" s="1">
        <f t="shared" si="10"/>
        <v>593.9536725283748</v>
      </c>
      <c r="W11" s="1">
        <f t="shared" si="10"/>
        <v>682.27579031123412</v>
      </c>
      <c r="Y11" s="134">
        <f t="shared" ref="Y11:Y21" si="11">RATE(5,,-L11,W11,1,)</f>
        <v>0.21110410618651976</v>
      </c>
    </row>
    <row r="12" spans="2:25" x14ac:dyDescent="0.3">
      <c r="B12" s="8" t="s">
        <v>7</v>
      </c>
      <c r="C12" s="1">
        <f>'Profit &amp; Loss'!B6</f>
        <v>38.089999999999989</v>
      </c>
      <c r="D12" s="1">
        <f>'Profit &amp; Loss'!C6</f>
        <v>48.20999999999998</v>
      </c>
      <c r="E12" s="1">
        <f>'Profit &amp; Loss'!D6</f>
        <v>56.09</v>
      </c>
      <c r="F12" s="1">
        <f>'Profit &amp; Loss'!E6</f>
        <v>57.550000000000011</v>
      </c>
      <c r="G12" s="1">
        <f>'Profit &amp; Loss'!F6</f>
        <v>68.779999999999973</v>
      </c>
      <c r="H12" s="1">
        <f>'Profit &amp; Loss'!G6</f>
        <v>72.44</v>
      </c>
      <c r="I12" s="1">
        <f>'Profit &amp; Loss'!H6</f>
        <v>81.38</v>
      </c>
      <c r="J12" s="1">
        <f>'Profit &amp; Loss'!I6</f>
        <v>89.28000000000003</v>
      </c>
      <c r="K12" s="1">
        <f>'Profit &amp; Loss'!J6</f>
        <v>98.609999999999985</v>
      </c>
      <c r="L12" s="1">
        <f>'Profit &amp; Loss'!K6</f>
        <v>121.44000000000005</v>
      </c>
      <c r="M12" s="1">
        <f>M4*M10</f>
        <v>48.486184999999999</v>
      </c>
      <c r="N12" s="1"/>
      <c r="O12" s="1"/>
      <c r="P12" s="1"/>
      <c r="Q12" s="1"/>
      <c r="R12" s="1"/>
      <c r="S12" s="1"/>
      <c r="T12" s="1">
        <f t="shared" ref="T12:W12" si="12">T4*T10</f>
        <v>56.772914799999995</v>
      </c>
      <c r="U12" s="1">
        <f t="shared" si="12"/>
        <v>65.871788198749982</v>
      </c>
      <c r="V12" s="1">
        <f t="shared" si="12"/>
        <v>76.422933034124981</v>
      </c>
      <c r="W12" s="1">
        <f t="shared" si="12"/>
        <v>88.657306085640599</v>
      </c>
      <c r="Y12" s="134">
        <f t="shared" si="11"/>
        <v>-6.0989271055490908E-2</v>
      </c>
    </row>
    <row r="13" spans="2:25" x14ac:dyDescent="0.3">
      <c r="B13" s="6" t="s">
        <v>8</v>
      </c>
      <c r="C13" s="9">
        <f>'Profit &amp; Loss'!B7</f>
        <v>3.28</v>
      </c>
      <c r="D13" s="9">
        <f>'Profit &amp; Loss'!C7</f>
        <v>3.11</v>
      </c>
      <c r="E13" s="9">
        <f>'Profit &amp; Loss'!D7</f>
        <v>3.84</v>
      </c>
      <c r="F13" s="9">
        <f>'Profit &amp; Loss'!E7</f>
        <v>4.88</v>
      </c>
      <c r="G13" s="9">
        <f>'Profit &amp; Loss'!F7</f>
        <v>2.86</v>
      </c>
      <c r="H13" s="9">
        <f>'Profit &amp; Loss'!G7</f>
        <v>11.7</v>
      </c>
      <c r="I13" s="9">
        <f>'Profit &amp; Loss'!H7</f>
        <v>5.38</v>
      </c>
      <c r="J13" s="9">
        <f>'Profit &amp; Loss'!I7</f>
        <v>5.6</v>
      </c>
      <c r="K13" s="9">
        <f>'Profit &amp; Loss'!J7</f>
        <v>5.21</v>
      </c>
      <c r="L13" s="9">
        <f>'Profit &amp; Loss'!K7</f>
        <v>7.98</v>
      </c>
      <c r="M13" s="9">
        <f>L13*1.1</f>
        <v>8.7780000000000005</v>
      </c>
      <c r="N13" s="9"/>
      <c r="O13" s="9"/>
      <c r="P13" s="9"/>
      <c r="Q13" s="9"/>
      <c r="R13" s="9"/>
      <c r="S13" s="9"/>
      <c r="T13" s="9">
        <f>M13*1.1</f>
        <v>9.655800000000001</v>
      </c>
      <c r="U13" s="9">
        <f t="shared" ref="U13:W14" si="13">T13*1.1</f>
        <v>10.621380000000002</v>
      </c>
      <c r="V13" s="9">
        <f t="shared" si="13"/>
        <v>11.683518000000003</v>
      </c>
      <c r="W13" s="9">
        <f t="shared" si="13"/>
        <v>12.851869800000005</v>
      </c>
      <c r="Y13" s="134">
        <f t="shared" si="11"/>
        <v>9.9999999999998854E-2</v>
      </c>
    </row>
    <row r="14" spans="2:25" x14ac:dyDescent="0.3">
      <c r="B14" s="6" t="s">
        <v>9</v>
      </c>
      <c r="C14" s="9">
        <f>'Profit &amp; Loss'!B8</f>
        <v>4.6900000000000004</v>
      </c>
      <c r="D14" s="9">
        <f>'Profit &amp; Loss'!C8</f>
        <v>5.0199999999999996</v>
      </c>
      <c r="E14" s="9">
        <f>'Profit &amp; Loss'!D8</f>
        <v>7.12</v>
      </c>
      <c r="F14" s="9">
        <f>'Profit &amp; Loss'!E8</f>
        <v>9.61</v>
      </c>
      <c r="G14" s="9">
        <f>'Profit &amp; Loss'!F8</f>
        <v>10.43</v>
      </c>
      <c r="H14" s="9">
        <f>'Profit &amp; Loss'!G8</f>
        <v>13.08</v>
      </c>
      <c r="I14" s="9">
        <f>'Profit &amp; Loss'!H8</f>
        <v>15.65</v>
      </c>
      <c r="J14" s="9">
        <f>'Profit &amp; Loss'!I8</f>
        <v>15.15</v>
      </c>
      <c r="K14" s="9">
        <f>'Profit &amp; Loss'!J8</f>
        <v>16.34</v>
      </c>
      <c r="L14" s="9">
        <f>'Profit &amp; Loss'!K8</f>
        <v>18.59</v>
      </c>
      <c r="M14" s="9">
        <f>L14*1.1</f>
        <v>20.449000000000002</v>
      </c>
      <c r="N14" s="9"/>
      <c r="O14" s="9"/>
      <c r="P14" s="9"/>
      <c r="Q14" s="9"/>
      <c r="R14" s="9"/>
      <c r="S14" s="9"/>
      <c r="T14" s="9">
        <f>M14*1.1</f>
        <v>22.493900000000004</v>
      </c>
      <c r="U14" s="9">
        <f t="shared" si="13"/>
        <v>24.743290000000005</v>
      </c>
      <c r="V14" s="9">
        <f t="shared" si="13"/>
        <v>27.21761900000001</v>
      </c>
      <c r="W14" s="9">
        <f t="shared" si="13"/>
        <v>29.939380900000014</v>
      </c>
      <c r="Y14" s="134">
        <f t="shared" si="11"/>
        <v>9.9999999999998854E-2</v>
      </c>
    </row>
    <row r="15" spans="2:25" x14ac:dyDescent="0.3">
      <c r="B15" s="6" t="s">
        <v>10</v>
      </c>
      <c r="C15" s="9">
        <f>'Profit &amp; Loss'!B10</f>
        <v>2.42</v>
      </c>
      <c r="D15" s="9">
        <f>'Profit &amp; Loss'!C10</f>
        <v>2.69</v>
      </c>
      <c r="E15" s="9">
        <f>'Profit &amp; Loss'!D10</f>
        <v>8.31</v>
      </c>
      <c r="F15" s="9">
        <f>'Profit &amp; Loss'!E10</f>
        <v>12.78</v>
      </c>
      <c r="G15" s="9">
        <f>'Profit &amp; Loss'!F10</f>
        <v>11.05</v>
      </c>
      <c r="H15" s="9">
        <f>'Profit &amp; Loss'!G10</f>
        <v>8.1</v>
      </c>
      <c r="I15" s="9">
        <f>'Profit &amp; Loss'!H10</f>
        <v>6.35</v>
      </c>
      <c r="J15" s="9">
        <f>'Profit &amp; Loss'!I10</f>
        <v>5.01</v>
      </c>
      <c r="K15" s="9">
        <f>'Profit &amp; Loss'!J10</f>
        <v>7.85</v>
      </c>
      <c r="L15" s="9">
        <f>'Profit &amp; Loss'!K10</f>
        <v>8.25</v>
      </c>
      <c r="M15" s="9">
        <f>L15*1.05</f>
        <v>8.6624999999999996</v>
      </c>
      <c r="N15" s="9"/>
      <c r="O15" s="9"/>
      <c r="P15" s="9"/>
      <c r="Q15" s="9"/>
      <c r="R15" s="9"/>
      <c r="S15" s="9"/>
      <c r="T15" s="9">
        <f>M15*0.95</f>
        <v>8.2293749999999992</v>
      </c>
      <c r="U15" s="9">
        <f>T15*0.95</f>
        <v>7.8179062499999992</v>
      </c>
      <c r="V15" s="9">
        <f t="shared" ref="V15:W15" si="14">U15*1.05</f>
        <v>8.2088015624999997</v>
      </c>
      <c r="W15" s="9">
        <f t="shared" si="14"/>
        <v>8.6192416406250008</v>
      </c>
      <c r="Y15" s="134">
        <f t="shared" si="11"/>
        <v>8.7952335100218663E-3</v>
      </c>
    </row>
    <row r="16" spans="2:25" x14ac:dyDescent="0.3">
      <c r="B16" s="6" t="s">
        <v>11</v>
      </c>
      <c r="C16" s="9">
        <f>'Profit &amp; Loss'!B11</f>
        <v>34.26</v>
      </c>
      <c r="D16" s="9">
        <f>'Profit &amp; Loss'!C11</f>
        <v>43.61</v>
      </c>
      <c r="E16" s="9">
        <f>'Profit &amp; Loss'!D11</f>
        <v>44.5</v>
      </c>
      <c r="F16" s="9">
        <f>'Profit &amp; Loss'!E11</f>
        <v>40.04</v>
      </c>
      <c r="G16" s="9">
        <f>'Profit &amp; Loss'!F11</f>
        <v>50.16</v>
      </c>
      <c r="H16" s="9">
        <f>'Profit &amp; Loss'!G11</f>
        <v>62.96</v>
      </c>
      <c r="I16" s="9">
        <f>'Profit &amp; Loss'!H11</f>
        <v>64.760000000000005</v>
      </c>
      <c r="J16" s="9">
        <f>'Profit &amp; Loss'!I11</f>
        <v>74.72</v>
      </c>
      <c r="K16" s="9">
        <f>'Profit &amp; Loss'!J11</f>
        <v>79.63</v>
      </c>
      <c r="L16" s="9">
        <f>'Profit &amp; Loss'!K11</f>
        <v>102.58</v>
      </c>
      <c r="M16" s="9">
        <f>M12+M13-M14-M15</f>
        <v>28.152684999999998</v>
      </c>
      <c r="N16" s="9"/>
      <c r="O16" s="9"/>
      <c r="P16" s="9"/>
      <c r="Q16" s="9"/>
      <c r="R16" s="9"/>
      <c r="S16" s="9"/>
      <c r="T16" s="9">
        <f t="shared" ref="T16:W16" si="15">T12+T13-T14-T15</f>
        <v>35.705439799999994</v>
      </c>
      <c r="U16" s="9">
        <f t="shared" si="15"/>
        <v>43.931971948749982</v>
      </c>
      <c r="V16" s="9">
        <f t="shared" si="15"/>
        <v>52.680030471624974</v>
      </c>
      <c r="W16" s="9">
        <f t="shared" si="15"/>
        <v>62.950553345015585</v>
      </c>
      <c r="Y16" s="134">
        <f>RATE(5,,-L16,W16,1,)</f>
        <v>-9.3041591697956116E-2</v>
      </c>
    </row>
    <row r="17" spans="2:25" x14ac:dyDescent="0.3">
      <c r="B17" s="6" t="s">
        <v>12</v>
      </c>
      <c r="C17" s="9">
        <f>'Profit &amp; Loss'!B12</f>
        <v>4.8</v>
      </c>
      <c r="D17" s="9">
        <f>'Profit &amp; Loss'!C12</f>
        <v>6.23</v>
      </c>
      <c r="E17" s="9">
        <f>'Profit &amp; Loss'!D12</f>
        <v>13.04</v>
      </c>
      <c r="F17" s="9">
        <f>'Profit &amp; Loss'!E12</f>
        <v>12.65</v>
      </c>
      <c r="G17" s="9">
        <f>'Profit &amp; Loss'!F12</f>
        <v>9.7100000000000009</v>
      </c>
      <c r="H17" s="9">
        <f>'Profit &amp; Loss'!G12</f>
        <v>11.64</v>
      </c>
      <c r="I17" s="9">
        <f>'Profit &amp; Loss'!H12</f>
        <v>11.78</v>
      </c>
      <c r="J17" s="9">
        <f>'Profit &amp; Loss'!I12</f>
        <v>20.54</v>
      </c>
      <c r="K17" s="9">
        <f>'Profit &amp; Loss'!J12</f>
        <v>22.88</v>
      </c>
      <c r="L17" s="9">
        <f>'Profit &amp; Loss'!K12</f>
        <v>28.84</v>
      </c>
      <c r="M17" s="9">
        <f>M16*M5</f>
        <v>9.8534397499999979</v>
      </c>
      <c r="N17" s="9"/>
      <c r="O17" s="9"/>
      <c r="P17" s="9"/>
      <c r="Q17" s="9"/>
      <c r="R17" s="9"/>
      <c r="S17" s="9"/>
      <c r="T17" s="9">
        <f t="shared" ref="T17:W17" si="16">T16*T5</f>
        <v>12.496903929999997</v>
      </c>
      <c r="U17" s="9">
        <f t="shared" si="16"/>
        <v>15.376190182062492</v>
      </c>
      <c r="V17" s="9">
        <f t="shared" si="16"/>
        <v>18.438010665068738</v>
      </c>
      <c r="W17" s="9">
        <f t="shared" si="16"/>
        <v>22.032693670755453</v>
      </c>
      <c r="Y17" s="134">
        <f t="shared" si="11"/>
        <v>-5.2423093250845265E-2</v>
      </c>
    </row>
    <row r="18" spans="2:25" x14ac:dyDescent="0.3">
      <c r="B18" s="8" t="s">
        <v>13</v>
      </c>
      <c r="C18" s="1">
        <f>'Profit &amp; Loss'!B13</f>
        <v>29.46</v>
      </c>
      <c r="D18" s="1">
        <f>'Profit &amp; Loss'!C13</f>
        <v>37.380000000000003</v>
      </c>
      <c r="E18" s="1">
        <f>'Profit &amp; Loss'!D13</f>
        <v>31.46</v>
      </c>
      <c r="F18" s="1">
        <f>'Profit &amp; Loss'!E13</f>
        <v>27.38</v>
      </c>
      <c r="G18" s="1">
        <f>'Profit &amp; Loss'!F13</f>
        <v>40.44</v>
      </c>
      <c r="H18" s="1">
        <f>'Profit &amp; Loss'!G13</f>
        <v>51.32</v>
      </c>
      <c r="I18" s="1">
        <f>'Profit &amp; Loss'!H13</f>
        <v>52.99</v>
      </c>
      <c r="J18" s="1">
        <f>'Profit &amp; Loss'!I13</f>
        <v>54.17</v>
      </c>
      <c r="K18" s="1">
        <f>'Profit &amp; Loss'!J13</f>
        <v>56.75</v>
      </c>
      <c r="L18" s="1">
        <f>'Profit &amp; Loss'!K13</f>
        <v>73.739999999999995</v>
      </c>
      <c r="M18" s="1">
        <f>M16-M17</f>
        <v>18.299245249999998</v>
      </c>
      <c r="N18" s="1"/>
      <c r="O18" s="1"/>
      <c r="P18" s="1"/>
      <c r="Q18" s="1"/>
      <c r="R18" s="1"/>
      <c r="S18" s="1"/>
      <c r="T18" s="1">
        <f t="shared" ref="T18:W18" si="17">T16-T17</f>
        <v>23.208535869999999</v>
      </c>
      <c r="U18" s="1">
        <f t="shared" si="17"/>
        <v>28.555781766687488</v>
      </c>
      <c r="V18" s="1">
        <f t="shared" si="17"/>
        <v>34.242019806556236</v>
      </c>
      <c r="W18" s="1">
        <f t="shared" si="17"/>
        <v>40.917859674260129</v>
      </c>
      <c r="Y18" s="134">
        <f t="shared" si="11"/>
        <v>-0.11112241413865606</v>
      </c>
    </row>
    <row r="19" spans="2:25" x14ac:dyDescent="0.3">
      <c r="B19" s="11" t="s">
        <v>47</v>
      </c>
      <c r="C19" s="9">
        <f>'Profit &amp; Loss'!B14</f>
        <v>28.601941747572816</v>
      </c>
      <c r="D19" s="9">
        <f>'Profit &amp; Loss'!C14</f>
        <v>36.291262135922331</v>
      </c>
      <c r="E19" s="9">
        <f>'Profit &amp; Loss'!D14</f>
        <v>30.543689320388349</v>
      </c>
      <c r="F19" s="9">
        <f>'Profit &amp; Loss'!E14</f>
        <v>26.582524271844658</v>
      </c>
      <c r="G19" s="9">
        <f>'Profit &amp; Loss'!F14</f>
        <v>39.262135922330096</v>
      </c>
      <c r="H19" s="9">
        <f>'Profit &amp; Loss'!G14</f>
        <v>49.825242718446603</v>
      </c>
      <c r="I19" s="9">
        <f>'Profit &amp; Loss'!H14</f>
        <v>51.446601941747574</v>
      </c>
      <c r="J19" s="9">
        <f>'Profit &amp; Loss'!I14</f>
        <v>52.592233009708735</v>
      </c>
      <c r="K19" s="9">
        <f>'Profit &amp; Loss'!J14</f>
        <v>55.097087378640772</v>
      </c>
      <c r="L19" s="9">
        <f>'Profit &amp; Loss'!K14</f>
        <v>71.592233009708735</v>
      </c>
      <c r="M19" s="9">
        <f>M18/$M$23</f>
        <v>17.773120703210754</v>
      </c>
      <c r="N19" s="9"/>
      <c r="O19" s="9"/>
      <c r="P19" s="9"/>
      <c r="Q19" s="9"/>
      <c r="R19" s="9"/>
      <c r="S19" s="9"/>
      <c r="T19" s="9">
        <f t="shared" ref="T19:W19" si="18">T18/$M$23</f>
        <v>22.54126351808452</v>
      </c>
      <c r="U19" s="9">
        <f t="shared" si="18"/>
        <v>27.734769886964688</v>
      </c>
      <c r="V19" s="9">
        <f t="shared" si="18"/>
        <v>33.257521981331848</v>
      </c>
      <c r="W19" s="9">
        <f t="shared" si="18"/>
        <v>39.741423702033025</v>
      </c>
      <c r="Y19" s="134">
        <f t="shared" si="11"/>
        <v>-0.11105374932871218</v>
      </c>
    </row>
    <row r="20" spans="2:25" x14ac:dyDescent="0.3">
      <c r="B20" s="6" t="s">
        <v>15</v>
      </c>
      <c r="C20" s="9">
        <f>'Profit &amp; Loss'!B15</f>
        <v>3.148387644263408</v>
      </c>
      <c r="D20" s="9">
        <f>'Profit &amp; Loss'!C15</f>
        <v>2.8023274478330658</v>
      </c>
      <c r="E20" s="9">
        <f>'Profit &amp; Loss'!D15</f>
        <v>3.4999046408137318</v>
      </c>
      <c r="F20" s="9">
        <f>'Profit &amp; Loss'!E15</f>
        <v>3.4496347699050407</v>
      </c>
      <c r="G20" s="9">
        <f>'Profit &amp; Loss'!F15</f>
        <v>4.0331478733926804</v>
      </c>
      <c r="H20" s="9">
        <f>'Profit &amp; Loss'!G15</f>
        <v>9.0436087295401411</v>
      </c>
      <c r="I20" s="9">
        <f>'Profit &amp; Loss'!H15</f>
        <v>9.8500188714851866</v>
      </c>
      <c r="J20" s="9">
        <f>'Profit &amp; Loss'!I15</f>
        <v>17.401809119438806</v>
      </c>
      <c r="K20" s="9">
        <f>'Profit &amp; Loss'!J15</f>
        <v>18.32674008810573</v>
      </c>
      <c r="L20" s="9">
        <f>'Profit &amp; Loss'!K15</f>
        <v>15.921419853539462</v>
      </c>
      <c r="M20" s="9">
        <f>M21/M19</f>
        <v>38.831109714757233</v>
      </c>
      <c r="N20" s="9"/>
      <c r="O20" s="9"/>
      <c r="P20" s="9"/>
      <c r="Q20" s="9"/>
      <c r="R20" s="9"/>
      <c r="S20" s="9"/>
      <c r="T20" s="9">
        <v>20</v>
      </c>
      <c r="U20" s="9">
        <v>20</v>
      </c>
      <c r="V20" s="9">
        <v>20</v>
      </c>
      <c r="W20" s="9">
        <v>20</v>
      </c>
    </row>
    <row r="21" spans="2:25" x14ac:dyDescent="0.3">
      <c r="B21" s="8" t="s">
        <v>48</v>
      </c>
      <c r="C21" s="1">
        <f>'Profit &amp; Loss'!B16</f>
        <v>90.05</v>
      </c>
      <c r="D21" s="1">
        <f>'Profit &amp; Loss'!C16</f>
        <v>101.7</v>
      </c>
      <c r="E21" s="1">
        <f>'Profit &amp; Loss'!D16</f>
        <v>106.9</v>
      </c>
      <c r="F21" s="1">
        <f>'Profit &amp; Loss'!E16</f>
        <v>91.7</v>
      </c>
      <c r="G21" s="1">
        <f>'Profit &amp; Loss'!F16</f>
        <v>158.35</v>
      </c>
      <c r="H21" s="1">
        <f>'Profit &amp; Loss'!G16</f>
        <v>450.6</v>
      </c>
      <c r="I21" s="1">
        <f>'Profit &amp; Loss'!H16</f>
        <v>506.75</v>
      </c>
      <c r="J21" s="1">
        <f>'Profit &amp; Loss'!I16</f>
        <v>915.2</v>
      </c>
      <c r="K21" s="1">
        <f>'Profit &amp; Loss'!J16</f>
        <v>1009.75</v>
      </c>
      <c r="L21" s="1">
        <f>'Profit &amp; Loss'!K16</f>
        <v>1139.8499999999999</v>
      </c>
      <c r="M21" s="1">
        <f>'Profit &amp; Loss'!Q16</f>
        <v>690.15</v>
      </c>
      <c r="N21" s="1"/>
      <c r="O21" s="1"/>
      <c r="P21" s="1"/>
      <c r="Q21" s="1"/>
      <c r="R21" s="1"/>
      <c r="S21" s="1"/>
      <c r="T21" s="1">
        <f>T20*T19</f>
        <v>450.8252703616904</v>
      </c>
      <c r="U21" s="1">
        <f t="shared" ref="U21:W21" si="19">U20*U19</f>
        <v>554.69539773929375</v>
      </c>
      <c r="V21" s="1">
        <f t="shared" si="19"/>
        <v>665.15043962663697</v>
      </c>
      <c r="W21" s="1">
        <f t="shared" si="19"/>
        <v>794.82847404066047</v>
      </c>
      <c r="Y21" s="136">
        <f t="shared" si="11"/>
        <v>-6.956691986316417E-2</v>
      </c>
    </row>
    <row r="22" spans="2:25" x14ac:dyDescent="0.3">
      <c r="T22" s="109"/>
      <c r="U22" s="109"/>
      <c r="V22" s="109"/>
      <c r="W22" s="109"/>
    </row>
    <row r="23" spans="2:25" x14ac:dyDescent="0.3">
      <c r="L23" s="109" t="s">
        <v>238</v>
      </c>
      <c r="M23" s="135">
        <f>'Data Sheet'!B6</f>
        <v>1.0296022603781787</v>
      </c>
      <c r="N23" s="135"/>
      <c r="O23" s="135"/>
      <c r="P23" s="135"/>
      <c r="Q23" s="135"/>
      <c r="R23" s="135"/>
      <c r="S23" s="135"/>
    </row>
    <row r="24" spans="2:25" x14ac:dyDescent="0.3">
      <c r="B24" s="113" t="s">
        <v>216</v>
      </c>
      <c r="W24" s="112"/>
    </row>
    <row r="25" spans="2:25" x14ac:dyDescent="0.3">
      <c r="B25" t="s">
        <v>212</v>
      </c>
      <c r="D25" s="109">
        <f>D29/C29-1</f>
        <v>0.15430942184154173</v>
      </c>
      <c r="E25" s="109">
        <f t="shared" ref="E25:L25" si="20">E29/D29-1</f>
        <v>4.1391304347826008E-2</v>
      </c>
      <c r="F25" s="109">
        <f t="shared" si="20"/>
        <v>2.4604765085727065E-2</v>
      </c>
      <c r="G25" s="109">
        <f t="shared" si="20"/>
        <v>6.9977181353906293E-2</v>
      </c>
      <c r="H25" s="109">
        <f t="shared" si="20"/>
        <v>-4.0519955316339895E-2</v>
      </c>
      <c r="I25" s="109">
        <f t="shared" si="20"/>
        <v>8.6579170194750033E-2</v>
      </c>
      <c r="J25" s="109">
        <f t="shared" si="20"/>
        <v>-9.2343658679134966E-2</v>
      </c>
      <c r="K25" s="109">
        <f t="shared" si="20"/>
        <v>-8.8645632109894845E-2</v>
      </c>
      <c r="L25" s="109">
        <f t="shared" si="20"/>
        <v>-5.6641544983513925E-2</v>
      </c>
      <c r="M25" s="110">
        <v>0.3</v>
      </c>
      <c r="N25" s="110"/>
      <c r="O25" s="110"/>
      <c r="P25" s="110"/>
      <c r="Q25" s="110"/>
      <c r="R25" s="110"/>
      <c r="S25" s="110"/>
      <c r="W25" s="109"/>
    </row>
    <row r="26" spans="2:25" x14ac:dyDescent="0.3">
      <c r="B26" t="s">
        <v>211</v>
      </c>
      <c r="D26" s="109">
        <f>D36/D35</f>
        <v>0.28397375820056231</v>
      </c>
      <c r="E26" s="109">
        <f t="shared" ref="E26:L26" si="21">E36/E35</f>
        <v>0.27039274924471302</v>
      </c>
      <c r="F26" s="109">
        <f t="shared" si="21"/>
        <v>0.2756183745583039</v>
      </c>
      <c r="G26" s="109">
        <f t="shared" si="21"/>
        <v>0.28617623282134197</v>
      </c>
      <c r="H26" s="109">
        <f t="shared" si="21"/>
        <v>0.29415784079262042</v>
      </c>
      <c r="I26" s="109">
        <f t="shared" si="21"/>
        <v>0.26648669494793675</v>
      </c>
      <c r="J26" s="109">
        <f t="shared" si="21"/>
        <v>-0.18547544409613373</v>
      </c>
      <c r="K26" s="109">
        <f t="shared" si="21"/>
        <v>0.23876268728854519</v>
      </c>
      <c r="L26" s="109">
        <f t="shared" si="21"/>
        <v>8.5763293310463132E-2</v>
      </c>
      <c r="M26" s="110">
        <f>MEDIAN(I26:L26)</f>
        <v>0.16226299029950414</v>
      </c>
      <c r="N26" s="110"/>
      <c r="O26" s="110"/>
      <c r="P26" s="110"/>
      <c r="Q26" s="110"/>
      <c r="R26" s="110"/>
      <c r="S26" s="110"/>
    </row>
    <row r="27" spans="2:25" x14ac:dyDescent="0.3">
      <c r="B27" s="113" t="s">
        <v>216</v>
      </c>
      <c r="C27" s="113" t="s">
        <v>245</v>
      </c>
      <c r="D27" s="109">
        <f>D29/$K$10</f>
        <v>0.26635167685751343</v>
      </c>
      <c r="E27" s="109">
        <f t="shared" ref="E27:G27" si="22">E29/$K$10</f>
        <v>0.27737632017787656</v>
      </c>
      <c r="F27" s="109">
        <f t="shared" si="22"/>
        <v>0.28420109937619664</v>
      </c>
      <c r="G27" s="109">
        <f t="shared" si="22"/>
        <v>0.30408869124822435</v>
      </c>
      <c r="H27" s="109">
        <f>H29/$L$10</f>
        <v>0.24649743014427716</v>
      </c>
      <c r="I27" s="109">
        <f t="shared" ref="I27:K27" si="23">I29/$L$10</f>
        <v>0.26783897310130705</v>
      </c>
      <c r="J27" s="109">
        <f t="shared" si="23"/>
        <v>0.24310574238826999</v>
      </c>
      <c r="K27" s="109">
        <f t="shared" si="23"/>
        <v>0.22155548018471652</v>
      </c>
    </row>
    <row r="28" spans="2:25" x14ac:dyDescent="0.3">
      <c r="B28" s="103" t="s">
        <v>2</v>
      </c>
      <c r="C28" s="104">
        <f>Quarters!B3</f>
        <v>43008</v>
      </c>
      <c r="D28" s="104">
        <f>Quarters!C3</f>
        <v>43100</v>
      </c>
      <c r="E28" s="104">
        <f>Quarters!D3</f>
        <v>43190</v>
      </c>
      <c r="F28" s="104">
        <f>Quarters!E3</f>
        <v>43281</v>
      </c>
      <c r="G28" s="104">
        <f>Quarters!F3</f>
        <v>43373</v>
      </c>
      <c r="H28" s="104">
        <f>Quarters!G3</f>
        <v>43465</v>
      </c>
      <c r="I28" s="104">
        <f>Quarters!H3</f>
        <v>43555</v>
      </c>
      <c r="J28" s="104">
        <f>Quarters!I3</f>
        <v>43646</v>
      </c>
      <c r="K28" s="104">
        <f>Quarters!J3</f>
        <v>43738</v>
      </c>
      <c r="L28" s="104">
        <f>Quarters!K3</f>
        <v>43830</v>
      </c>
      <c r="M28" s="104">
        <f>L28+90</f>
        <v>43920</v>
      </c>
      <c r="N28" s="16">
        <v>44256</v>
      </c>
      <c r="O28" s="16">
        <v>44257</v>
      </c>
      <c r="P28" s="16">
        <v>44258</v>
      </c>
      <c r="Q28" s="16">
        <v>44259</v>
      </c>
      <c r="R28" s="16">
        <v>44260</v>
      </c>
      <c r="S28" s="16">
        <v>44261</v>
      </c>
      <c r="T28" s="108" t="s">
        <v>243</v>
      </c>
      <c r="U28" s="108" t="s">
        <v>244</v>
      </c>
    </row>
    <row r="29" spans="2:25" x14ac:dyDescent="0.3">
      <c r="B29" s="8" t="s">
        <v>5</v>
      </c>
      <c r="C29" s="105">
        <f>Quarters!B4</f>
        <v>74.72</v>
      </c>
      <c r="D29" s="105">
        <f>Quarters!C4</f>
        <v>86.25</v>
      </c>
      <c r="E29" s="105">
        <f>Quarters!D4</f>
        <v>89.82</v>
      </c>
      <c r="F29" s="105">
        <f>Quarters!E4</f>
        <v>92.03</v>
      </c>
      <c r="G29" s="105">
        <f>Quarters!F4</f>
        <v>98.47</v>
      </c>
      <c r="H29" s="105">
        <f>Quarters!G4</f>
        <v>94.48</v>
      </c>
      <c r="I29" s="105">
        <f>Quarters!H4</f>
        <v>102.66</v>
      </c>
      <c r="J29" s="105">
        <f>Quarters!I4</f>
        <v>93.18</v>
      </c>
      <c r="K29" s="105">
        <f>Quarters!J4</f>
        <v>84.92</v>
      </c>
      <c r="L29" s="105">
        <f>Quarters!K4</f>
        <v>80.11</v>
      </c>
      <c r="M29" s="105">
        <f>L29*(1+M25)</f>
        <v>104.143</v>
      </c>
      <c r="N29" s="105"/>
      <c r="O29" s="105"/>
      <c r="P29" s="105"/>
      <c r="Q29" s="105"/>
      <c r="R29" s="105"/>
      <c r="S29" s="105"/>
      <c r="T29" s="109">
        <f>L29/H29-1</f>
        <v>-0.15209568162574094</v>
      </c>
      <c r="U29" s="109">
        <f>L29/K29-1</f>
        <v>-5.6641544983513925E-2</v>
      </c>
    </row>
    <row r="30" spans="2:25" x14ac:dyDescent="0.3">
      <c r="B30" s="6" t="s">
        <v>6</v>
      </c>
      <c r="C30" s="21">
        <f>Quarters!B5</f>
        <v>52.1</v>
      </c>
      <c r="D30" s="21">
        <f>Quarters!C5</f>
        <v>60.16</v>
      </c>
      <c r="E30" s="21">
        <f>Quarters!D5</f>
        <v>65.58</v>
      </c>
      <c r="F30" s="21">
        <f>Quarters!E5</f>
        <v>64.97</v>
      </c>
      <c r="G30" s="21">
        <f>Quarters!F5</f>
        <v>68.150000000000006</v>
      </c>
      <c r="H30" s="21">
        <f>Quarters!G5</f>
        <v>59.99</v>
      </c>
      <c r="I30" s="21">
        <f>Quarters!H5</f>
        <v>74.510000000000005</v>
      </c>
      <c r="J30" s="21">
        <f>Quarters!I5</f>
        <v>68.72</v>
      </c>
      <c r="K30" s="21">
        <f>Quarters!J5</f>
        <v>59.34</v>
      </c>
      <c r="L30" s="21">
        <f>Quarters!K5</f>
        <v>57.11</v>
      </c>
      <c r="M30" s="21">
        <f>M29-M31</f>
        <v>72.772557936881782</v>
      </c>
      <c r="N30" s="21"/>
      <c r="O30" s="21"/>
      <c r="P30" s="21"/>
      <c r="Q30" s="21"/>
      <c r="R30" s="21"/>
      <c r="S30" s="21"/>
      <c r="T30" s="109">
        <f t="shared" ref="T30:T39" si="24">L30/H30-1</f>
        <v>-4.800800133355565E-2</v>
      </c>
      <c r="U30" s="109">
        <f t="shared" ref="U30:U39" si="25">L30/K30-1</f>
        <v>-3.7580047185709509E-2</v>
      </c>
    </row>
    <row r="31" spans="2:25" x14ac:dyDescent="0.3">
      <c r="B31" s="8" t="s">
        <v>7</v>
      </c>
      <c r="C31" s="105">
        <f>Quarters!B6</f>
        <v>22.62</v>
      </c>
      <c r="D31" s="105">
        <f>Quarters!C6</f>
        <v>26.09</v>
      </c>
      <c r="E31" s="105">
        <f>Quarters!D6</f>
        <v>24.24</v>
      </c>
      <c r="F31" s="105">
        <f>Quarters!E6</f>
        <v>27.06</v>
      </c>
      <c r="G31" s="105">
        <f>Quarters!F6</f>
        <v>30.32</v>
      </c>
      <c r="H31" s="105">
        <f>Quarters!G6</f>
        <v>34.49</v>
      </c>
      <c r="I31" s="105">
        <f>Quarters!H6</f>
        <v>28.15</v>
      </c>
      <c r="J31" s="105">
        <f>Quarters!I6</f>
        <v>24.46</v>
      </c>
      <c r="K31" s="105">
        <f>Quarters!J6</f>
        <v>25.58</v>
      </c>
      <c r="L31" s="105">
        <f>Quarters!K6</f>
        <v>23</v>
      </c>
      <c r="M31" s="105">
        <f>M29*M39</f>
        <v>31.370442063118226</v>
      </c>
      <c r="N31" s="105"/>
      <c r="O31" s="105"/>
      <c r="P31" s="105"/>
      <c r="Q31" s="105"/>
      <c r="R31" s="105"/>
      <c r="S31" s="105"/>
      <c r="T31" s="109">
        <f t="shared" si="24"/>
        <v>-0.33314004059147584</v>
      </c>
      <c r="U31" s="109">
        <f t="shared" si="25"/>
        <v>-0.10086004691164963</v>
      </c>
    </row>
    <row r="32" spans="2:25" x14ac:dyDescent="0.3">
      <c r="B32" s="6" t="s">
        <v>8</v>
      </c>
      <c r="C32" s="21">
        <f>Quarters!B7</f>
        <v>1.38</v>
      </c>
      <c r="D32" s="21">
        <f>Quarters!C7</f>
        <v>1.37</v>
      </c>
      <c r="E32" s="21">
        <f>Quarters!D7</f>
        <v>1.55</v>
      </c>
      <c r="F32" s="21">
        <f>Quarters!E7</f>
        <v>1.53</v>
      </c>
      <c r="G32" s="21">
        <f>Quarters!F7</f>
        <v>1.23</v>
      </c>
      <c r="H32" s="21">
        <f>Quarters!G7</f>
        <v>1.64</v>
      </c>
      <c r="I32" s="21">
        <f>Quarters!H7</f>
        <v>5</v>
      </c>
      <c r="J32" s="21">
        <f>Quarters!I7</f>
        <v>2.1</v>
      </c>
      <c r="K32" s="21">
        <f>Quarters!J7</f>
        <v>2.5499999999999998</v>
      </c>
      <c r="L32" s="21">
        <f>Quarters!K7</f>
        <v>1.84</v>
      </c>
      <c r="M32" s="21">
        <f>AVERAGE(I32:L32)</f>
        <v>2.8724999999999996</v>
      </c>
      <c r="N32" s="21"/>
      <c r="O32" s="21"/>
      <c r="P32" s="21"/>
      <c r="Q32" s="21"/>
      <c r="R32" s="21"/>
      <c r="S32" s="21"/>
      <c r="T32" s="109">
        <f t="shared" si="24"/>
        <v>0.12195121951219523</v>
      </c>
      <c r="U32" s="109">
        <f t="shared" si="25"/>
        <v>-0.27843137254901951</v>
      </c>
    </row>
    <row r="33" spans="2:21" x14ac:dyDescent="0.3">
      <c r="B33" s="6" t="s">
        <v>9</v>
      </c>
      <c r="C33" s="21">
        <f>Quarters!B8</f>
        <v>4.08</v>
      </c>
      <c r="D33" s="21">
        <f>Quarters!C8</f>
        <v>4.0599999999999996</v>
      </c>
      <c r="E33" s="21">
        <f>Quarters!D8</f>
        <v>4.07</v>
      </c>
      <c r="F33" s="21">
        <f>Quarters!E8</f>
        <v>4.1900000000000004</v>
      </c>
      <c r="G33" s="21">
        <f>Quarters!F8</f>
        <v>4.74</v>
      </c>
      <c r="H33" s="21">
        <f>Quarters!G8</f>
        <v>4.8600000000000003</v>
      </c>
      <c r="I33" s="21">
        <f>Quarters!H8</f>
        <v>4.8099999999999996</v>
      </c>
      <c r="J33" s="21">
        <f>Quarters!I8</f>
        <v>4.92</v>
      </c>
      <c r="K33" s="21">
        <f>Quarters!J8</f>
        <v>5.0999999999999996</v>
      </c>
      <c r="L33" s="21">
        <f>Quarters!K8</f>
        <v>5.03</v>
      </c>
      <c r="M33" s="21">
        <f>I33*1.32</f>
        <v>6.3491999999999997</v>
      </c>
      <c r="N33" s="21"/>
      <c r="O33" s="21"/>
      <c r="P33" s="21"/>
      <c r="Q33" s="21"/>
      <c r="R33" s="21"/>
      <c r="S33" s="21"/>
      <c r="T33" s="109">
        <f t="shared" si="24"/>
        <v>3.4979423868312765E-2</v>
      </c>
      <c r="U33" s="109">
        <f t="shared" si="25"/>
        <v>-1.3725490196078272E-2</v>
      </c>
    </row>
    <row r="34" spans="2:21" x14ac:dyDescent="0.3">
      <c r="B34" s="6" t="s">
        <v>10</v>
      </c>
      <c r="C34" s="21">
        <f>Quarters!B9</f>
        <v>1.99</v>
      </c>
      <c r="D34" s="21">
        <f>Quarters!C9</f>
        <v>2.06</v>
      </c>
      <c r="E34" s="21">
        <f>Quarters!D9</f>
        <v>1.86</v>
      </c>
      <c r="F34" s="21">
        <f>Quarters!E9</f>
        <v>1.76</v>
      </c>
      <c r="G34" s="21">
        <f>Quarters!F9</f>
        <v>2.0699999999999998</v>
      </c>
      <c r="H34" s="21">
        <f>Quarters!G9</f>
        <v>2</v>
      </c>
      <c r="I34" s="21">
        <f>Quarters!H9</f>
        <v>2.41</v>
      </c>
      <c r="J34" s="21">
        <f>Quarters!I9</f>
        <v>2.5</v>
      </c>
      <c r="K34" s="21">
        <f>Quarters!J9</f>
        <v>2.34</v>
      </c>
      <c r="L34" s="21">
        <f>Quarters!K9</f>
        <v>2.3199999999999998</v>
      </c>
      <c r="M34" s="21">
        <v>8</v>
      </c>
      <c r="N34" s="21"/>
      <c r="O34" s="21"/>
      <c r="P34" s="21"/>
      <c r="Q34" s="21"/>
      <c r="R34" s="21"/>
      <c r="S34" s="21"/>
      <c r="T34" s="109">
        <f t="shared" si="24"/>
        <v>0.15999999999999992</v>
      </c>
      <c r="U34" s="109">
        <f t="shared" si="25"/>
        <v>-8.5470085470085166E-3</v>
      </c>
    </row>
    <row r="35" spans="2:21" x14ac:dyDescent="0.3">
      <c r="B35" s="6" t="s">
        <v>11</v>
      </c>
      <c r="C35" s="21">
        <f>Quarters!B10</f>
        <v>17.93</v>
      </c>
      <c r="D35" s="21">
        <f>Quarters!C10</f>
        <v>21.34</v>
      </c>
      <c r="E35" s="21">
        <f>Quarters!D10</f>
        <v>19.86</v>
      </c>
      <c r="F35" s="21">
        <f>Quarters!E10</f>
        <v>22.64</v>
      </c>
      <c r="G35" s="21">
        <f>Quarters!F10</f>
        <v>24.74</v>
      </c>
      <c r="H35" s="21">
        <f>Quarters!G10</f>
        <v>29.27</v>
      </c>
      <c r="I35" s="21">
        <f>Quarters!H10</f>
        <v>25.93</v>
      </c>
      <c r="J35" s="21">
        <f>Quarters!I10</f>
        <v>19.14</v>
      </c>
      <c r="K35" s="21">
        <f>Quarters!J10</f>
        <v>20.69</v>
      </c>
      <c r="L35" s="21">
        <f>Quarters!K10</f>
        <v>17.489999999999998</v>
      </c>
      <c r="M35" s="21">
        <f>M31+M32-M33-M34</f>
        <v>19.893742063118228</v>
      </c>
      <c r="N35" s="21"/>
      <c r="O35" s="21"/>
      <c r="P35" s="21"/>
      <c r="Q35" s="21"/>
      <c r="R35" s="21"/>
      <c r="S35" s="21"/>
      <c r="T35" s="109">
        <f t="shared" si="24"/>
        <v>-0.40245985650837035</v>
      </c>
      <c r="U35" s="109">
        <f t="shared" si="25"/>
        <v>-0.15466408893185124</v>
      </c>
    </row>
    <row r="36" spans="2:21" x14ac:dyDescent="0.3">
      <c r="B36" s="6" t="s">
        <v>12</v>
      </c>
      <c r="C36" s="21">
        <f>Quarters!B11</f>
        <v>5.5</v>
      </c>
      <c r="D36" s="21">
        <f>Quarters!C11</f>
        <v>6.06</v>
      </c>
      <c r="E36" s="21">
        <f>Quarters!D11</f>
        <v>5.37</v>
      </c>
      <c r="F36" s="21">
        <f>Quarters!E11</f>
        <v>6.24</v>
      </c>
      <c r="G36" s="21">
        <f>Quarters!F11</f>
        <v>7.08</v>
      </c>
      <c r="H36" s="21">
        <f>Quarters!G11</f>
        <v>8.61</v>
      </c>
      <c r="I36" s="21">
        <f>Quarters!H11</f>
        <v>6.91</v>
      </c>
      <c r="J36" s="21">
        <f>Quarters!I11</f>
        <v>-3.55</v>
      </c>
      <c r="K36" s="21">
        <f>Quarters!J11</f>
        <v>4.9400000000000004</v>
      </c>
      <c r="L36" s="21">
        <f>Quarters!K11</f>
        <v>1.5</v>
      </c>
      <c r="M36" s="21">
        <f>M26*M35</f>
        <v>3.2280180754085905</v>
      </c>
      <c r="N36" s="21"/>
      <c r="O36" s="21"/>
      <c r="P36" s="21"/>
      <c r="Q36" s="21"/>
      <c r="R36" s="21"/>
      <c r="S36" s="21"/>
      <c r="T36" s="109">
        <f t="shared" si="24"/>
        <v>-0.82578397212543553</v>
      </c>
      <c r="U36" s="109">
        <f t="shared" si="25"/>
        <v>-0.69635627530364375</v>
      </c>
    </row>
    <row r="37" spans="2:21" x14ac:dyDescent="0.3">
      <c r="B37" s="8" t="s">
        <v>13</v>
      </c>
      <c r="C37" s="105">
        <f>Quarters!B12</f>
        <v>12.42</v>
      </c>
      <c r="D37" s="105">
        <f>Quarters!C12</f>
        <v>15.28</v>
      </c>
      <c r="E37" s="105">
        <f>Quarters!D12</f>
        <v>14.49</v>
      </c>
      <c r="F37" s="105">
        <f>Quarters!E12</f>
        <v>16.399999999999999</v>
      </c>
      <c r="G37" s="105">
        <f>Quarters!F12</f>
        <v>17.649999999999999</v>
      </c>
      <c r="H37" s="105">
        <f>Quarters!G12</f>
        <v>20.66</v>
      </c>
      <c r="I37" s="105">
        <f>Quarters!H12</f>
        <v>19.02</v>
      </c>
      <c r="J37" s="105">
        <f>Quarters!I12</f>
        <v>22.69</v>
      </c>
      <c r="K37" s="105">
        <f>Quarters!J12</f>
        <v>15.75</v>
      </c>
      <c r="L37" s="105">
        <f>Quarters!K12</f>
        <v>15.98</v>
      </c>
      <c r="M37" s="105">
        <f>M35-M36</f>
        <v>16.665723987709637</v>
      </c>
      <c r="N37" s="105"/>
      <c r="O37" s="105"/>
      <c r="P37" s="105"/>
      <c r="Q37" s="105"/>
      <c r="R37" s="105"/>
      <c r="S37" s="105"/>
      <c r="T37" s="109">
        <f t="shared" si="24"/>
        <v>-0.22652468538238135</v>
      </c>
      <c r="U37" s="109">
        <f t="shared" si="25"/>
        <v>1.4603174603174729E-2</v>
      </c>
    </row>
    <row r="38" spans="2:21" x14ac:dyDescent="0.3">
      <c r="B38" s="6"/>
      <c r="C38" s="6">
        <f>Quarters!B13</f>
        <v>0</v>
      </c>
      <c r="D38" s="6">
        <f>Quarters!C13</f>
        <v>0</v>
      </c>
      <c r="E38" s="6">
        <f>Quarters!D13</f>
        <v>0</v>
      </c>
      <c r="F38" s="6">
        <f>Quarters!E13</f>
        <v>0</v>
      </c>
      <c r="G38" s="6">
        <f>Quarters!F13</f>
        <v>0</v>
      </c>
      <c r="H38" s="6">
        <f>Quarters!G13</f>
        <v>0</v>
      </c>
      <c r="I38" s="6">
        <f>Quarters!H13</f>
        <v>0</v>
      </c>
      <c r="J38" s="6">
        <f>Quarters!I13</f>
        <v>0</v>
      </c>
      <c r="K38" s="6">
        <f>Quarters!J13</f>
        <v>0</v>
      </c>
      <c r="L38" s="6">
        <f>Quarters!K13</f>
        <v>0</v>
      </c>
      <c r="M38" s="6"/>
      <c r="N38" s="6"/>
      <c r="O38" s="6"/>
      <c r="P38" s="6"/>
      <c r="Q38" s="6"/>
      <c r="R38" s="6"/>
      <c r="S38" s="6"/>
      <c r="T38" s="109"/>
      <c r="U38" s="109"/>
    </row>
    <row r="39" spans="2:21" x14ac:dyDescent="0.3">
      <c r="B39" s="106" t="s">
        <v>17</v>
      </c>
      <c r="C39" s="107">
        <f>Quarters!B14</f>
        <v>0.30273019271948609</v>
      </c>
      <c r="D39" s="107">
        <f>Quarters!C14</f>
        <v>0.30249275362318839</v>
      </c>
      <c r="E39" s="107">
        <f>Quarters!D14</f>
        <v>0.26987307949231798</v>
      </c>
      <c r="F39" s="107">
        <f>Quarters!E14</f>
        <v>0.29403455394979894</v>
      </c>
      <c r="G39" s="107">
        <f>Quarters!F14</f>
        <v>0.30791103889509497</v>
      </c>
      <c r="H39" s="107">
        <f>Quarters!G14</f>
        <v>0.36505080440304827</v>
      </c>
      <c r="I39" s="140">
        <f>Quarters!H14</f>
        <v>0.27420611728034289</v>
      </c>
      <c r="J39" s="140">
        <f>Quarters!I14</f>
        <v>0.26250268297918006</v>
      </c>
      <c r="K39" s="140">
        <f>Quarters!J14</f>
        <v>0.30122468205369757</v>
      </c>
      <c r="L39" s="140">
        <f>Quarters!K14</f>
        <v>0.28710523030832608</v>
      </c>
      <c r="M39" s="110">
        <f>K39</f>
        <v>0.30122468205369757</v>
      </c>
      <c r="N39" s="110"/>
      <c r="O39" s="110"/>
      <c r="P39" s="110"/>
      <c r="Q39" s="110"/>
      <c r="R39" s="110"/>
      <c r="S39" s="110"/>
      <c r="T39" s="109">
        <f t="shared" si="24"/>
        <v>-0.21351979821598588</v>
      </c>
      <c r="U39" s="109">
        <f t="shared" si="25"/>
        <v>-4.6873488749685221E-2</v>
      </c>
    </row>
    <row r="42" spans="2:21" x14ac:dyDescent="0.3">
      <c r="E42" s="1"/>
      <c r="F42" s="1"/>
      <c r="G42" s="1"/>
      <c r="H42" s="1"/>
      <c r="I42" s="1"/>
      <c r="J42" s="1"/>
      <c r="K42" s="1"/>
      <c r="L42" s="1"/>
      <c r="M42" s="1"/>
      <c r="N42" s="1"/>
      <c r="O42" s="1"/>
      <c r="P42" s="1"/>
      <c r="Q42" s="1"/>
      <c r="R42" s="1"/>
      <c r="S42" s="1"/>
      <c r="T42" s="1"/>
      <c r="U42" s="1"/>
    </row>
    <row r="43" spans="2:21" x14ac:dyDescent="0.3">
      <c r="E43" s="9"/>
      <c r="F43" s="9"/>
      <c r="G43" s="9"/>
      <c r="H43" s="9"/>
      <c r="I43" s="9"/>
      <c r="J43" s="9"/>
      <c r="K43" s="9"/>
      <c r="L43" s="9"/>
      <c r="M43" s="9"/>
      <c r="N43" s="9"/>
      <c r="O43" s="9"/>
      <c r="P43" s="9"/>
      <c r="Q43" s="9"/>
      <c r="R43" s="9"/>
      <c r="S43" s="9"/>
      <c r="T43" s="9"/>
      <c r="U43" s="9"/>
    </row>
    <row r="44" spans="2:21" x14ac:dyDescent="0.3">
      <c r="E44" s="1"/>
      <c r="F44" s="1"/>
      <c r="G44" s="1"/>
      <c r="H44" s="1"/>
      <c r="I44" s="1"/>
      <c r="J44" s="1"/>
      <c r="K44" s="1"/>
      <c r="L44" s="1"/>
      <c r="M44" s="1"/>
      <c r="N44" s="1"/>
      <c r="O44" s="1"/>
      <c r="P44" s="1"/>
      <c r="Q44" s="1"/>
      <c r="R44" s="1"/>
      <c r="S44" s="1"/>
      <c r="T44" s="1"/>
      <c r="U44" s="1"/>
    </row>
    <row r="45" spans="2:21" x14ac:dyDescent="0.3">
      <c r="E45" s="9"/>
      <c r="F45" s="9"/>
      <c r="G45" s="9"/>
      <c r="H45" s="9"/>
      <c r="I45" s="9"/>
      <c r="J45" s="9"/>
      <c r="K45" s="9"/>
      <c r="L45" s="9"/>
      <c r="M45" s="9"/>
      <c r="N45" s="9"/>
      <c r="O45" s="9"/>
      <c r="P45" s="9"/>
      <c r="Q45" s="9"/>
      <c r="R45" s="9"/>
      <c r="S45" s="9"/>
      <c r="T45" s="9"/>
      <c r="U45" s="9"/>
    </row>
    <row r="46" spans="2:21" x14ac:dyDescent="0.3">
      <c r="E46" s="9"/>
      <c r="F46" s="9"/>
      <c r="G46" s="9"/>
      <c r="H46" s="9"/>
      <c r="I46" s="9"/>
      <c r="J46" s="9"/>
      <c r="K46" s="9"/>
      <c r="L46" s="9"/>
      <c r="M46" s="9"/>
      <c r="N46" s="9"/>
      <c r="O46" s="9"/>
      <c r="P46" s="9"/>
      <c r="Q46" s="9"/>
      <c r="R46" s="9"/>
      <c r="S46" s="9"/>
      <c r="T46" s="9"/>
      <c r="U46" s="9"/>
    </row>
    <row r="47" spans="2:21" x14ac:dyDescent="0.3">
      <c r="E47" s="9"/>
      <c r="F47" s="9"/>
      <c r="G47" s="9"/>
      <c r="H47" s="9"/>
      <c r="I47" s="9"/>
      <c r="J47" s="9"/>
      <c r="K47" s="9"/>
      <c r="L47" s="9"/>
      <c r="M47" s="9"/>
      <c r="N47" s="9"/>
      <c r="O47" s="9"/>
      <c r="P47" s="9"/>
      <c r="Q47" s="9"/>
      <c r="R47" s="9"/>
      <c r="S47" s="9"/>
      <c r="T47" s="9"/>
      <c r="U47" s="9"/>
    </row>
    <row r="48" spans="2:21" x14ac:dyDescent="0.3">
      <c r="E48" s="9"/>
      <c r="F48" s="9"/>
      <c r="G48" s="9"/>
      <c r="H48" s="9"/>
      <c r="I48" s="9"/>
      <c r="J48" s="9"/>
      <c r="K48" s="9"/>
      <c r="L48" s="9"/>
      <c r="M48" s="9"/>
      <c r="N48" s="9"/>
      <c r="O48" s="9"/>
      <c r="P48" s="9"/>
      <c r="Q48" s="9"/>
      <c r="R48" s="9"/>
      <c r="S48" s="9"/>
      <c r="T48" s="9"/>
      <c r="U48" s="9"/>
    </row>
    <row r="49" spans="5:21" x14ac:dyDescent="0.3">
      <c r="E49" s="9"/>
      <c r="F49" s="9"/>
      <c r="G49" s="9"/>
      <c r="H49" s="9"/>
      <c r="I49" s="9"/>
      <c r="J49" s="9"/>
      <c r="K49" s="9"/>
      <c r="L49" s="9"/>
      <c r="M49" s="9"/>
      <c r="N49" s="9"/>
      <c r="O49" s="9"/>
      <c r="P49" s="9"/>
      <c r="Q49" s="9"/>
      <c r="R49" s="9"/>
      <c r="S49" s="9"/>
      <c r="T49" s="9"/>
      <c r="U49" s="9"/>
    </row>
    <row r="50" spans="5:21" x14ac:dyDescent="0.3">
      <c r="E50" s="1"/>
      <c r="F50" s="1"/>
      <c r="G50" s="1"/>
      <c r="H50" s="1"/>
      <c r="I50" s="1"/>
      <c r="J50" s="1"/>
      <c r="K50" s="1"/>
      <c r="L50" s="1"/>
      <c r="M50" s="1"/>
      <c r="N50" s="1"/>
      <c r="O50" s="1"/>
      <c r="P50" s="1"/>
      <c r="Q50" s="1"/>
      <c r="R50" s="1"/>
      <c r="S50" s="1"/>
      <c r="T50" s="1"/>
      <c r="U50" s="1"/>
    </row>
    <row r="51" spans="5:21" x14ac:dyDescent="0.3">
      <c r="E51" s="9"/>
      <c r="F51" s="9"/>
      <c r="G51" s="9"/>
      <c r="H51" s="9"/>
      <c r="I51" s="9"/>
      <c r="J51" s="9"/>
      <c r="K51" s="9"/>
      <c r="L51" s="9"/>
      <c r="M51" s="9"/>
      <c r="N51" s="9"/>
      <c r="O51" s="9"/>
      <c r="P51" s="9"/>
      <c r="Q51" s="9"/>
      <c r="R51" s="9"/>
      <c r="S51" s="9"/>
      <c r="T51" s="9"/>
      <c r="U51" s="9"/>
    </row>
    <row r="52" spans="5:21" x14ac:dyDescent="0.3">
      <c r="E52" s="9"/>
      <c r="F52" s="9"/>
      <c r="G52" s="9"/>
      <c r="H52" s="9"/>
      <c r="I52" s="9"/>
      <c r="J52" s="9"/>
      <c r="K52" s="9"/>
      <c r="L52" s="9"/>
      <c r="M52" s="9"/>
      <c r="N52" s="9"/>
      <c r="O52" s="9"/>
      <c r="P52" s="9"/>
      <c r="Q52" s="9"/>
      <c r="R52" s="9"/>
      <c r="S52" s="9"/>
      <c r="T52" s="9"/>
      <c r="U52" s="9"/>
    </row>
    <row r="53" spans="5:21" x14ac:dyDescent="0.3">
      <c r="E53" s="1"/>
      <c r="F53" s="1"/>
      <c r="G53" s="1"/>
      <c r="H53" s="1"/>
      <c r="I53" s="1"/>
      <c r="J53" s="1"/>
      <c r="K53" s="1"/>
      <c r="L53" s="1"/>
      <c r="M53" s="1"/>
      <c r="N53" s="1"/>
      <c r="O53" s="1"/>
      <c r="P53" s="1"/>
      <c r="Q53" s="1"/>
      <c r="R53" s="1"/>
      <c r="S53" s="1"/>
      <c r="T53" s="1"/>
      <c r="U53" s="1"/>
    </row>
  </sheetData>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943FF-A41B-4D6C-9425-281E95FF603D}">
  <dimension ref="A1:O39"/>
  <sheetViews>
    <sheetView topLeftCell="A24" zoomScale="130" zoomScaleNormal="130" workbookViewId="0">
      <selection activeCell="D41" sqref="D41"/>
    </sheetView>
    <sheetView workbookViewId="1"/>
  </sheetViews>
  <sheetFormatPr defaultRowHeight="14.4" x14ac:dyDescent="0.3"/>
  <cols>
    <col min="1" max="1" width="19.6640625" customWidth="1"/>
    <col min="2" max="2" width="20" style="185" customWidth="1"/>
    <col min="3" max="3" width="11.21875" bestFit="1" customWidth="1"/>
    <col min="4" max="4" width="9.6640625" customWidth="1"/>
    <col min="5" max="5" width="12.21875" bestFit="1" customWidth="1"/>
    <col min="6" max="6" width="10.109375" bestFit="1" customWidth="1"/>
    <col min="7" max="7" width="10.33203125" customWidth="1"/>
    <col min="8" max="8" width="12.21875" bestFit="1" customWidth="1"/>
    <col min="9" max="10" width="10.109375" bestFit="1" customWidth="1"/>
  </cols>
  <sheetData>
    <row r="1" spans="1:8" x14ac:dyDescent="0.3">
      <c r="A1" t="s">
        <v>371</v>
      </c>
      <c r="C1" t="s">
        <v>370</v>
      </c>
    </row>
    <row r="2" spans="1:8" x14ac:dyDescent="0.3">
      <c r="A2">
        <v>1</v>
      </c>
      <c r="B2" s="185" t="s">
        <v>372</v>
      </c>
      <c r="F2" s="198">
        <v>34000</v>
      </c>
      <c r="G2" s="197">
        <v>3830000000</v>
      </c>
      <c r="H2" s="197">
        <f>G2/F2</f>
        <v>112647.05882352941</v>
      </c>
    </row>
    <row r="3" spans="1:8" x14ac:dyDescent="0.3">
      <c r="B3" s="185" t="s">
        <v>373</v>
      </c>
      <c r="F3" s="198">
        <v>11000</v>
      </c>
      <c r="G3" s="197">
        <f>H2*F3</f>
        <v>1239117647.0588236</v>
      </c>
      <c r="H3" s="197"/>
    </row>
    <row r="4" spans="1:8" ht="28.8" x14ac:dyDescent="0.3">
      <c r="B4" s="185" t="s">
        <v>374</v>
      </c>
    </row>
    <row r="5" spans="1:8" ht="28.8" x14ac:dyDescent="0.3">
      <c r="B5" s="185" t="s">
        <v>375</v>
      </c>
    </row>
    <row r="6" spans="1:8" ht="43.2" x14ac:dyDescent="0.3">
      <c r="B6" s="185" t="s">
        <v>376</v>
      </c>
    </row>
    <row r="7" spans="1:8" x14ac:dyDescent="0.3">
      <c r="B7" s="185" t="s">
        <v>377</v>
      </c>
    </row>
    <row r="11" spans="1:8" x14ac:dyDescent="0.3">
      <c r="B11" s="185" t="s">
        <v>378</v>
      </c>
      <c r="C11">
        <v>393</v>
      </c>
    </row>
    <row r="12" spans="1:8" x14ac:dyDescent="0.3">
      <c r="B12" s="185" t="s">
        <v>379</v>
      </c>
      <c r="C12">
        <f>C11*0.3</f>
        <v>117.89999999999999</v>
      </c>
      <c r="D12">
        <f>C12*1.1</f>
        <v>129.69</v>
      </c>
      <c r="E12">
        <f t="shared" ref="E12:H12" si="0">D12*1.1</f>
        <v>142.65900000000002</v>
      </c>
      <c r="F12">
        <f t="shared" si="0"/>
        <v>156.92490000000004</v>
      </c>
      <c r="G12">
        <f t="shared" si="0"/>
        <v>172.61739000000006</v>
      </c>
      <c r="H12">
        <f t="shared" si="0"/>
        <v>189.87912900000009</v>
      </c>
    </row>
    <row r="13" spans="1:8" x14ac:dyDescent="0.3">
      <c r="B13" s="185" t="s">
        <v>380</v>
      </c>
      <c r="C13">
        <f>C11*0.7</f>
        <v>275.09999999999997</v>
      </c>
      <c r="D13">
        <f>C13*1.03</f>
        <v>283.35299999999995</v>
      </c>
      <c r="E13">
        <f t="shared" ref="E13:H13" si="1">D13*1.03</f>
        <v>291.85358999999994</v>
      </c>
      <c r="F13">
        <f t="shared" si="1"/>
        <v>300.60919769999992</v>
      </c>
      <c r="G13">
        <f t="shared" si="1"/>
        <v>309.62747363099993</v>
      </c>
      <c r="H13">
        <f t="shared" si="1"/>
        <v>318.91629783992994</v>
      </c>
    </row>
    <row r="14" spans="1:8" x14ac:dyDescent="0.3">
      <c r="B14" t="s">
        <v>25</v>
      </c>
      <c r="C14">
        <f>C12+C13</f>
        <v>392.99999999999994</v>
      </c>
      <c r="D14">
        <f t="shared" ref="D14:H14" si="2">D12+D13</f>
        <v>413.04299999999995</v>
      </c>
      <c r="E14">
        <f t="shared" si="2"/>
        <v>434.51258999999993</v>
      </c>
      <c r="F14">
        <f t="shared" si="2"/>
        <v>457.53409769999996</v>
      </c>
      <c r="G14">
        <f t="shared" si="2"/>
        <v>482.24486363099999</v>
      </c>
      <c r="H14">
        <f t="shared" si="2"/>
        <v>508.79542683993003</v>
      </c>
    </row>
    <row r="15" spans="1:8" x14ac:dyDescent="0.3">
      <c r="B15" s="185" t="s">
        <v>381</v>
      </c>
      <c r="D15" s="184">
        <f>(D14-C14)/C14</f>
        <v>5.1000000000000024E-2</v>
      </c>
      <c r="E15" s="184">
        <f t="shared" ref="E15:H15" si="3">(E14-D14)/D14</f>
        <v>5.1979067554709761E-2</v>
      </c>
      <c r="F15" s="184">
        <f t="shared" si="3"/>
        <v>5.2982372041279709E-2</v>
      </c>
      <c r="G15" s="184">
        <f t="shared" si="3"/>
        <v>5.4008577842000756E-2</v>
      </c>
      <c r="H15" s="184">
        <f t="shared" si="3"/>
        <v>5.5056186620674463E-2</v>
      </c>
    </row>
    <row r="18" spans="1:15" x14ac:dyDescent="0.3">
      <c r="A18" t="s">
        <v>382</v>
      </c>
      <c r="B18" s="185" t="s">
        <v>383</v>
      </c>
    </row>
    <row r="19" spans="1:15" x14ac:dyDescent="0.3">
      <c r="B19" s="185" t="s">
        <v>384</v>
      </c>
    </row>
    <row r="20" spans="1:15" x14ac:dyDescent="0.3">
      <c r="B20" s="185" t="s">
        <v>385</v>
      </c>
    </row>
    <row r="21" spans="1:15" x14ac:dyDescent="0.3">
      <c r="B21" s="185" t="s">
        <v>389</v>
      </c>
    </row>
    <row r="23" spans="1:15" ht="28.8" x14ac:dyDescent="0.3">
      <c r="B23" s="185" t="s">
        <v>395</v>
      </c>
      <c r="C23" s="199">
        <v>43891</v>
      </c>
      <c r="D23" s="199">
        <v>44256</v>
      </c>
      <c r="E23" s="199">
        <v>44621</v>
      </c>
      <c r="F23" s="199">
        <v>44986</v>
      </c>
      <c r="G23" s="199">
        <v>45352</v>
      </c>
      <c r="H23" s="199">
        <v>45717</v>
      </c>
      <c r="I23" s="199">
        <v>46082</v>
      </c>
      <c r="J23" s="199">
        <v>46447</v>
      </c>
      <c r="K23" s="199">
        <v>46813</v>
      </c>
      <c r="L23" s="199">
        <v>47178</v>
      </c>
      <c r="M23" s="199">
        <v>46813</v>
      </c>
      <c r="N23" s="199">
        <v>47178</v>
      </c>
      <c r="O23" s="199">
        <v>47543</v>
      </c>
    </row>
    <row r="24" spans="1:15" ht="28.8" x14ac:dyDescent="0.3">
      <c r="B24" s="185" t="s">
        <v>393</v>
      </c>
      <c r="C24" s="186">
        <f>C26*0.3</f>
        <v>114.89999999999999</v>
      </c>
      <c r="D24" s="186">
        <f>C24*1.1</f>
        <v>126.39</v>
      </c>
      <c r="E24" s="186">
        <f t="shared" ref="E24:L24" si="4">D24*1.1</f>
        <v>139.02900000000002</v>
      </c>
      <c r="F24" s="186">
        <f t="shared" si="4"/>
        <v>152.93190000000004</v>
      </c>
      <c r="G24" s="186">
        <f t="shared" si="4"/>
        <v>168.22509000000005</v>
      </c>
      <c r="H24" s="186">
        <f t="shared" si="4"/>
        <v>185.04759900000008</v>
      </c>
      <c r="I24" s="186">
        <f t="shared" si="4"/>
        <v>203.55235890000009</v>
      </c>
      <c r="J24" s="186">
        <f t="shared" si="4"/>
        <v>223.9075947900001</v>
      </c>
      <c r="K24" s="186">
        <f t="shared" si="4"/>
        <v>246.29835426900013</v>
      </c>
      <c r="L24" s="186">
        <f t="shared" si="4"/>
        <v>270.92818969590019</v>
      </c>
      <c r="M24" s="199"/>
      <c r="N24" s="199"/>
      <c r="O24" s="199"/>
    </row>
    <row r="25" spans="1:15" ht="28.8" x14ac:dyDescent="0.3">
      <c r="B25" s="185" t="s">
        <v>394</v>
      </c>
      <c r="C25" s="186">
        <f>C26*0.7</f>
        <v>268.09999999999997</v>
      </c>
      <c r="D25" s="186">
        <f>C25*1.03</f>
        <v>276.14299999999997</v>
      </c>
      <c r="E25" s="186">
        <f t="shared" ref="E25:L25" si="5">D25*1.03</f>
        <v>284.42728999999997</v>
      </c>
      <c r="F25" s="186">
        <f t="shared" si="5"/>
        <v>292.96010869999998</v>
      </c>
      <c r="G25" s="186">
        <f t="shared" si="5"/>
        <v>301.74891196099998</v>
      </c>
      <c r="H25" s="186">
        <f t="shared" si="5"/>
        <v>310.80137931983</v>
      </c>
      <c r="I25" s="186">
        <f t="shared" si="5"/>
        <v>320.12542069942492</v>
      </c>
      <c r="J25" s="186">
        <f t="shared" si="5"/>
        <v>329.72918332040769</v>
      </c>
      <c r="K25" s="186">
        <f t="shared" si="5"/>
        <v>339.62105882001993</v>
      </c>
      <c r="L25" s="186">
        <f t="shared" si="5"/>
        <v>349.80969058462051</v>
      </c>
      <c r="M25" s="199"/>
      <c r="N25" s="199"/>
      <c r="O25" s="199"/>
    </row>
    <row r="26" spans="1:15" x14ac:dyDescent="0.3">
      <c r="B26" s="185" t="s">
        <v>25</v>
      </c>
      <c r="C26">
        <v>383</v>
      </c>
      <c r="D26" s="186">
        <f t="shared" ref="D26" si="6">D24+D25</f>
        <v>402.53299999999996</v>
      </c>
      <c r="E26" s="186">
        <f t="shared" ref="E26" si="7">E24+E25</f>
        <v>423.45628999999997</v>
      </c>
      <c r="F26" s="186">
        <f t="shared" ref="F26" si="8">F24+F25</f>
        <v>445.89200870000002</v>
      </c>
      <c r="G26" s="186">
        <f t="shared" ref="G26" si="9">G24+G25</f>
        <v>469.974001961</v>
      </c>
      <c r="H26" s="186">
        <f t="shared" ref="H26" si="10">H24+H25</f>
        <v>495.84897831983005</v>
      </c>
      <c r="I26" s="186">
        <f t="shared" ref="I26" si="11">I24+I25</f>
        <v>523.67777959942498</v>
      </c>
      <c r="J26" s="186">
        <f t="shared" ref="J26" si="12">J24+J25</f>
        <v>553.63677811040782</v>
      </c>
      <c r="K26" s="186">
        <f t="shared" ref="K26" si="13">K24+K25</f>
        <v>585.91941308902005</v>
      </c>
      <c r="L26" s="186">
        <f t="shared" ref="L26" si="14">L24+L25</f>
        <v>620.7378802805207</v>
      </c>
      <c r="M26" s="199"/>
      <c r="N26" s="199"/>
      <c r="O26" s="199"/>
    </row>
    <row r="27" spans="1:15" x14ac:dyDescent="0.3">
      <c r="B27" s="185" t="s">
        <v>381</v>
      </c>
      <c r="D27" s="184">
        <f t="shared" ref="D27:E27" si="15">(D26-C26)/C26</f>
        <v>5.0999999999999893E-2</v>
      </c>
      <c r="E27" s="184">
        <f t="shared" si="15"/>
        <v>5.1979067554709824E-2</v>
      </c>
      <c r="F27" s="184">
        <f t="shared" ref="F27" si="16">(F26-E26)/E26</f>
        <v>5.2982372041279757E-2</v>
      </c>
      <c r="G27" s="184">
        <f t="shared" ref="G27" si="17">(G26-F26)/F26</f>
        <v>5.4008577842000645E-2</v>
      </c>
      <c r="H27" s="184">
        <f t="shared" ref="H27" si="18">(H26-G26)/G26</f>
        <v>5.5056186620674491E-2</v>
      </c>
      <c r="I27" s="184">
        <f t="shared" ref="I27" si="19">(I26-H26)/H26</f>
        <v>5.6123542643754187E-2</v>
      </c>
      <c r="J27" s="184">
        <f t="shared" ref="J27" si="20">(J26-I26)/I26</f>
        <v>5.7208840393990497E-2</v>
      </c>
      <c r="K27" s="184">
        <f t="shared" ref="K27" si="21">(K26-J26)/J26</f>
        <v>5.8310134469018858E-2</v>
      </c>
      <c r="L27" s="184">
        <f t="shared" ref="L27" si="22">(L26-K26)/K26</f>
        <v>5.9425351701413241E-2</v>
      </c>
      <c r="M27" s="199"/>
      <c r="N27" s="199"/>
      <c r="O27" s="199"/>
    </row>
    <row r="28" spans="1:15" x14ac:dyDescent="0.3">
      <c r="C28" s="193">
        <v>43891</v>
      </c>
      <c r="D28" s="193">
        <v>44256</v>
      </c>
      <c r="E28" s="193">
        <v>44621</v>
      </c>
      <c r="F28" s="193">
        <v>44986</v>
      </c>
      <c r="G28" s="193">
        <v>45352</v>
      </c>
      <c r="H28" s="193">
        <v>45717</v>
      </c>
      <c r="I28" s="193">
        <v>46082</v>
      </c>
      <c r="J28" s="193">
        <v>46447</v>
      </c>
      <c r="K28" s="199">
        <v>46813</v>
      </c>
      <c r="L28" s="199">
        <v>47178</v>
      </c>
      <c r="M28" s="199"/>
      <c r="N28" s="199"/>
      <c r="O28" s="199"/>
    </row>
    <row r="29" spans="1:15" ht="28.8" x14ac:dyDescent="0.3">
      <c r="B29" s="185" t="s">
        <v>392</v>
      </c>
      <c r="C29" s="193">
        <v>310000</v>
      </c>
      <c r="D29" s="193">
        <f>C29*1.04</f>
        <v>322400</v>
      </c>
      <c r="E29" s="193">
        <f t="shared" ref="E29:O29" si="23">D29*1.04</f>
        <v>335296</v>
      </c>
      <c r="F29" s="193">
        <f t="shared" si="23"/>
        <v>348707.84000000003</v>
      </c>
      <c r="G29" s="193">
        <f t="shared" si="23"/>
        <v>362656.15360000002</v>
      </c>
      <c r="H29" s="193">
        <f t="shared" si="23"/>
        <v>377162.39974400005</v>
      </c>
      <c r="I29" s="193">
        <f t="shared" si="23"/>
        <v>392248.89573376009</v>
      </c>
      <c r="J29" s="193">
        <f t="shared" si="23"/>
        <v>407938.85156311048</v>
      </c>
      <c r="M29">
        <f>J29*1.04</f>
        <v>424256.40562563494</v>
      </c>
      <c r="N29">
        <f t="shared" si="23"/>
        <v>441226.66185066034</v>
      </c>
      <c r="O29">
        <f t="shared" si="23"/>
        <v>458875.72832468676</v>
      </c>
    </row>
    <row r="30" spans="1:15" x14ac:dyDescent="0.3">
      <c r="B30" s="185" t="s">
        <v>386</v>
      </c>
      <c r="C30" s="193">
        <v>34000</v>
      </c>
      <c r="D30" s="193">
        <f>C30*1.1</f>
        <v>37400</v>
      </c>
      <c r="E30" s="193">
        <f t="shared" ref="E30:O30" si="24">D30*1.1</f>
        <v>41140</v>
      </c>
      <c r="F30" s="193">
        <f t="shared" si="24"/>
        <v>45254.000000000007</v>
      </c>
      <c r="G30" s="193">
        <f t="shared" si="24"/>
        <v>49779.400000000009</v>
      </c>
      <c r="H30" s="193">
        <f t="shared" si="24"/>
        <v>54757.340000000011</v>
      </c>
      <c r="I30" s="193">
        <f t="shared" si="24"/>
        <v>60233.074000000015</v>
      </c>
      <c r="J30" s="193">
        <f t="shared" si="24"/>
        <v>66256.381400000027</v>
      </c>
      <c r="M30">
        <f>J30*1.1</f>
        <v>72882.019540000038</v>
      </c>
      <c r="N30">
        <f t="shared" si="24"/>
        <v>80170.221494000041</v>
      </c>
      <c r="O30">
        <f t="shared" si="24"/>
        <v>88187.243643400056</v>
      </c>
    </row>
    <row r="31" spans="1:15" ht="28.8" x14ac:dyDescent="0.3">
      <c r="B31" s="185" t="s">
        <v>396</v>
      </c>
      <c r="C31" s="184">
        <f t="shared" ref="C31:J31" si="25">C30/C29</f>
        <v>0.10967741935483871</v>
      </c>
      <c r="D31" s="184">
        <f t="shared" si="25"/>
        <v>0.11600496277915633</v>
      </c>
      <c r="E31" s="184">
        <f t="shared" si="25"/>
        <v>0.12269755678564612</v>
      </c>
      <c r="F31" s="184">
        <f t="shared" si="25"/>
        <v>0.12977626198481801</v>
      </c>
      <c r="G31" s="184">
        <f t="shared" si="25"/>
        <v>0.13726335402240367</v>
      </c>
      <c r="H31" s="184">
        <f t="shared" si="25"/>
        <v>0.14518239367754235</v>
      </c>
      <c r="I31" s="184">
        <f t="shared" si="25"/>
        <v>0.15355830100509285</v>
      </c>
      <c r="J31" s="184">
        <f t="shared" si="25"/>
        <v>0.1624174337553867</v>
      </c>
      <c r="K31" s="184"/>
      <c r="L31" s="184"/>
      <c r="M31" s="184">
        <f>M30/M29</f>
        <v>0.17178767031819747</v>
      </c>
      <c r="N31" s="184">
        <f>N30/N29</f>
        <v>0.18169849745193964</v>
      </c>
      <c r="O31" s="184">
        <f>O30/O29</f>
        <v>0.19218110307416694</v>
      </c>
    </row>
    <row r="36" spans="2:3" ht="43.2" x14ac:dyDescent="0.3">
      <c r="B36" s="185" t="s">
        <v>387</v>
      </c>
      <c r="C36" s="109" t="s">
        <v>388</v>
      </c>
    </row>
    <row r="37" spans="2:3" ht="28.8" x14ac:dyDescent="0.3">
      <c r="B37" s="185" t="s">
        <v>391</v>
      </c>
    </row>
    <row r="39" spans="2:3" ht="28.8" x14ac:dyDescent="0.3">
      <c r="B39" s="185" t="s">
        <v>390</v>
      </c>
    </row>
  </sheetData>
  <pageMargins left="0.7" right="0.7" top="0.75" bottom="0.75" header="0.3" footer="0.3"/>
  <pageSetup paperSize="256"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92213-70A0-4A61-8B62-F9BED311364E}">
  <dimension ref="A3:P81"/>
  <sheetViews>
    <sheetView topLeftCell="A29" zoomScale="130" zoomScaleNormal="130" workbookViewId="0">
      <selection activeCell="L39" sqref="L39"/>
    </sheetView>
    <sheetView workbookViewId="1"/>
  </sheetViews>
  <sheetFormatPr defaultRowHeight="14.4" x14ac:dyDescent="0.3"/>
  <cols>
    <col min="1" max="1" width="26.109375" customWidth="1"/>
    <col min="8" max="8" width="10.109375" customWidth="1"/>
    <col min="13" max="13" width="12.21875" customWidth="1"/>
  </cols>
  <sheetData>
    <row r="3" spans="1:4" x14ac:dyDescent="0.3">
      <c r="A3" t="s">
        <v>329</v>
      </c>
    </row>
    <row r="7" spans="1:4" x14ac:dyDescent="0.3">
      <c r="A7" t="s">
        <v>330</v>
      </c>
      <c r="B7">
        <v>2010</v>
      </c>
      <c r="C7">
        <v>2015</v>
      </c>
      <c r="D7">
        <v>2019</v>
      </c>
    </row>
    <row r="8" spans="1:4" x14ac:dyDescent="0.3">
      <c r="A8" t="s">
        <v>332</v>
      </c>
      <c r="B8">
        <v>29</v>
      </c>
      <c r="C8">
        <v>51</v>
      </c>
      <c r="D8">
        <v>74</v>
      </c>
    </row>
    <row r="9" spans="1:4" x14ac:dyDescent="0.3">
      <c r="A9" t="s">
        <v>333</v>
      </c>
      <c r="B9">
        <v>32</v>
      </c>
      <c r="C9">
        <v>58</v>
      </c>
      <c r="D9">
        <v>80</v>
      </c>
    </row>
    <row r="10" spans="1:4" x14ac:dyDescent="0.3">
      <c r="A10" t="s">
        <v>334</v>
      </c>
      <c r="B10">
        <v>36</v>
      </c>
      <c r="C10">
        <v>70</v>
      </c>
      <c r="D10">
        <v>89</v>
      </c>
    </row>
    <row r="11" spans="1:4" x14ac:dyDescent="0.3">
      <c r="A11" t="s">
        <v>335</v>
      </c>
      <c r="B11">
        <v>65</v>
      </c>
      <c r="C11">
        <v>187</v>
      </c>
      <c r="D11">
        <v>344</v>
      </c>
    </row>
    <row r="13" spans="1:4" ht="28.8" x14ac:dyDescent="0.3">
      <c r="A13" s="185" t="s">
        <v>331</v>
      </c>
      <c r="C13" s="184">
        <f>(C9-B9)/(C$11-B$11)</f>
        <v>0.21311475409836064</v>
      </c>
      <c r="D13" s="184">
        <f>(D9-C9)/(D11-C11)</f>
        <v>0.14012738853503184</v>
      </c>
    </row>
    <row r="14" spans="1:4" ht="43.2" x14ac:dyDescent="0.3">
      <c r="A14" s="185" t="s">
        <v>336</v>
      </c>
      <c r="C14" s="184">
        <f>(C10-B10)/(C$11-B$11)</f>
        <v>0.27868852459016391</v>
      </c>
      <c r="D14" s="184">
        <f>(D10-C10)/(D$11-C$11)</f>
        <v>0.12101910828025478</v>
      </c>
    </row>
    <row r="17" spans="1:15" x14ac:dyDescent="0.3">
      <c r="B17">
        <v>2010</v>
      </c>
      <c r="C17">
        <v>2011</v>
      </c>
      <c r="D17">
        <v>2012</v>
      </c>
      <c r="E17">
        <v>2013</v>
      </c>
      <c r="F17">
        <v>2014</v>
      </c>
      <c r="G17">
        <v>2015</v>
      </c>
      <c r="H17">
        <v>2016</v>
      </c>
      <c r="I17">
        <v>2017</v>
      </c>
      <c r="J17">
        <v>2018</v>
      </c>
      <c r="K17">
        <v>2019</v>
      </c>
      <c r="M17" s="188"/>
    </row>
    <row r="18" spans="1:15" x14ac:dyDescent="0.3">
      <c r="A18" t="s">
        <v>5</v>
      </c>
      <c r="B18" s="186"/>
      <c r="C18" s="186">
        <v>159.01</v>
      </c>
      <c r="D18" s="186">
        <v>217.82</v>
      </c>
      <c r="E18" s="186">
        <v>225.45</v>
      </c>
      <c r="F18" s="186">
        <v>261.7</v>
      </c>
      <c r="G18" s="186">
        <v>282.58</v>
      </c>
      <c r="H18" s="186">
        <v>271.02999999999997</v>
      </c>
      <c r="I18" s="186">
        <v>297.41000000000003</v>
      </c>
      <c r="J18" s="186">
        <v>323.82</v>
      </c>
      <c r="K18" s="186">
        <v>383.29</v>
      </c>
      <c r="L18" s="186"/>
      <c r="M18" s="186">
        <f>K18-C18</f>
        <v>224.28000000000003</v>
      </c>
      <c r="N18" s="186"/>
      <c r="O18" s="186"/>
    </row>
    <row r="19" spans="1:15" x14ac:dyDescent="0.3">
      <c r="A19" t="s">
        <v>147</v>
      </c>
      <c r="C19">
        <v>49.809999999999988</v>
      </c>
      <c r="D19">
        <v>73.710000000000008</v>
      </c>
      <c r="E19">
        <v>15.760000000000005</v>
      </c>
      <c r="F19">
        <v>15.329999999999998</v>
      </c>
      <c r="G19">
        <v>9.1300000000000061</v>
      </c>
      <c r="H19">
        <v>46.229999999999976</v>
      </c>
      <c r="I19">
        <v>101.44000000000004</v>
      </c>
      <c r="J19">
        <v>56.419999999999945</v>
      </c>
      <c r="K19">
        <v>17.570000000000046</v>
      </c>
      <c r="M19" s="186">
        <f>SUM(C19:K19)</f>
        <v>385.40000000000003</v>
      </c>
      <c r="N19" s="186"/>
      <c r="O19" s="186"/>
    </row>
    <row r="20" spans="1:15" x14ac:dyDescent="0.3">
      <c r="A20" t="s">
        <v>226</v>
      </c>
      <c r="B20" s="186"/>
      <c r="C20" s="186">
        <v>67.83</v>
      </c>
      <c r="D20" s="186">
        <v>140.62</v>
      </c>
      <c r="E20" s="186">
        <v>187.71</v>
      </c>
      <c r="F20" s="186">
        <v>193.43</v>
      </c>
      <c r="G20" s="186">
        <v>187.58</v>
      </c>
      <c r="H20" s="186">
        <v>182.82</v>
      </c>
      <c r="I20" s="186">
        <v>306.10000000000002</v>
      </c>
      <c r="J20" s="186">
        <v>308.33999999999997</v>
      </c>
      <c r="K20" s="186">
        <v>344.35</v>
      </c>
      <c r="L20" s="186"/>
      <c r="M20" s="186">
        <f>K20-C20</f>
        <v>276.52000000000004</v>
      </c>
      <c r="N20" s="186"/>
    </row>
    <row r="21" spans="1:15" x14ac:dyDescent="0.3">
      <c r="A21" t="s">
        <v>153</v>
      </c>
      <c r="C21" s="187">
        <v>29.28</v>
      </c>
      <c r="D21" s="187">
        <v>30.41</v>
      </c>
      <c r="E21" s="187">
        <v>46.63</v>
      </c>
      <c r="F21" s="187">
        <v>51.53</v>
      </c>
      <c r="G21" s="187">
        <v>69.97</v>
      </c>
      <c r="H21" s="187">
        <v>68.400000000000006</v>
      </c>
      <c r="I21" s="187">
        <v>77.13</v>
      </c>
      <c r="J21" s="187">
        <v>86.7</v>
      </c>
      <c r="K21" s="187">
        <v>88.51</v>
      </c>
      <c r="L21" s="187"/>
      <c r="M21">
        <f>SUM(C21:K21)</f>
        <v>548.56000000000006</v>
      </c>
    </row>
    <row r="22" spans="1:15" x14ac:dyDescent="0.3">
      <c r="A22" t="s">
        <v>337</v>
      </c>
      <c r="C22" s="187">
        <f t="shared" ref="C22:K22" si="0">(C18)/((C20+B20)/2)</f>
        <v>4.6884859206840632</v>
      </c>
      <c r="D22" s="187">
        <f t="shared" si="0"/>
        <v>2.0899016550731591</v>
      </c>
      <c r="E22" s="187">
        <f t="shared" si="0"/>
        <v>1.3733134346541587</v>
      </c>
      <c r="F22" s="187">
        <f t="shared" si="0"/>
        <v>1.373248675027549</v>
      </c>
      <c r="G22" s="187">
        <f t="shared" si="0"/>
        <v>1.4833206477520275</v>
      </c>
      <c r="H22" s="187">
        <f t="shared" si="0"/>
        <v>1.4634449244060475</v>
      </c>
      <c r="I22" s="187">
        <f t="shared" si="0"/>
        <v>1.2165998527366442</v>
      </c>
      <c r="J22" s="187">
        <f t="shared" si="0"/>
        <v>1.0540329405637652</v>
      </c>
      <c r="K22" s="187">
        <f t="shared" si="0"/>
        <v>1.1744932510073696</v>
      </c>
      <c r="L22" s="187"/>
      <c r="M22" s="186"/>
    </row>
    <row r="23" spans="1:15" x14ac:dyDescent="0.3">
      <c r="C23" s="187"/>
      <c r="D23" s="187"/>
      <c r="E23" s="187"/>
      <c r="F23" s="187"/>
      <c r="G23" s="187"/>
      <c r="H23" s="187"/>
      <c r="I23" s="187"/>
      <c r="J23" s="187"/>
      <c r="K23" s="187"/>
      <c r="L23" s="187"/>
      <c r="M23" s="186">
        <f>M19-M20</f>
        <v>108.88</v>
      </c>
    </row>
    <row r="25" spans="1:15" x14ac:dyDescent="0.3">
      <c r="A25" s="114"/>
      <c r="B25" s="115">
        <v>40268</v>
      </c>
      <c r="C25" s="115">
        <v>40633</v>
      </c>
      <c r="D25" s="115">
        <v>40999</v>
      </c>
      <c r="E25" s="115">
        <v>41364</v>
      </c>
      <c r="F25" s="115">
        <v>41729</v>
      </c>
      <c r="G25" s="115">
        <v>42094</v>
      </c>
      <c r="H25" s="115">
        <v>42460</v>
      </c>
      <c r="I25" s="115">
        <v>42825</v>
      </c>
      <c r="J25" s="115">
        <v>43190</v>
      </c>
      <c r="K25" s="115">
        <v>43555</v>
      </c>
      <c r="L25" s="115">
        <v>43921</v>
      </c>
      <c r="M25" s="115" t="s">
        <v>363</v>
      </c>
      <c r="N25" s="115" t="s">
        <v>241</v>
      </c>
    </row>
    <row r="26" spans="1:15" x14ac:dyDescent="0.3">
      <c r="A26" s="113" t="s">
        <v>354</v>
      </c>
      <c r="B26" s="193">
        <v>125.71</v>
      </c>
      <c r="C26" s="193">
        <v>159.01</v>
      </c>
      <c r="D26" s="193">
        <v>217.82</v>
      </c>
      <c r="E26" s="193">
        <v>225.45</v>
      </c>
      <c r="F26" s="193">
        <v>261.7</v>
      </c>
      <c r="G26" s="193">
        <v>282.58</v>
      </c>
      <c r="H26" s="193">
        <v>271.02999999999997</v>
      </c>
      <c r="I26" s="193">
        <v>297.41000000000003</v>
      </c>
      <c r="J26" s="193">
        <v>323.82</v>
      </c>
      <c r="K26" s="193">
        <v>383.29</v>
      </c>
      <c r="L26" s="193">
        <v>353</v>
      </c>
      <c r="M26" s="193">
        <f>SUM(B26:L26)</f>
        <v>2900.82</v>
      </c>
      <c r="N26" s="109">
        <f>RATE(9,,-B26,K26,0,0.2)</f>
        <v>0.13186673344330929</v>
      </c>
    </row>
    <row r="27" spans="1:15" x14ac:dyDescent="0.3">
      <c r="A27" s="113" t="s">
        <v>355</v>
      </c>
      <c r="B27" s="193">
        <v>42.779999999999987</v>
      </c>
      <c r="C27" s="193">
        <v>53.229999999999976</v>
      </c>
      <c r="D27" s="193">
        <v>63.21</v>
      </c>
      <c r="E27" s="193">
        <v>67.160000000000011</v>
      </c>
      <c r="F27" s="193">
        <v>79.20999999999998</v>
      </c>
      <c r="G27" s="193">
        <v>85.52</v>
      </c>
      <c r="H27" s="193">
        <v>97.03</v>
      </c>
      <c r="I27" s="193">
        <v>104.43000000000004</v>
      </c>
      <c r="J27" s="193">
        <v>114.94999999999999</v>
      </c>
      <c r="K27" s="193">
        <v>140.03000000000006</v>
      </c>
      <c r="L27" s="193">
        <v>109</v>
      </c>
      <c r="M27" s="193">
        <f>SUM(B27:L27)</f>
        <v>956.55000000000007</v>
      </c>
      <c r="N27" s="109">
        <f>RATE(9,,-B27,K27,0,0.1)</f>
        <v>0.14082763881968557</v>
      </c>
    </row>
    <row r="28" spans="1:15" x14ac:dyDescent="0.3">
      <c r="A28" s="113" t="s">
        <v>339</v>
      </c>
      <c r="B28" s="184">
        <f>B27/B26</f>
        <v>0.34030705592236088</v>
      </c>
      <c r="C28" s="184">
        <f t="shared" ref="C28:L28" si="1">C27/C26</f>
        <v>0.33475882019998726</v>
      </c>
      <c r="D28" s="184">
        <f t="shared" si="1"/>
        <v>0.29019373794876507</v>
      </c>
      <c r="E28" s="184">
        <f t="shared" si="1"/>
        <v>0.29789310268352193</v>
      </c>
      <c r="F28" s="184">
        <f t="shared" si="1"/>
        <v>0.30267481849445926</v>
      </c>
      <c r="G28" s="184">
        <f t="shared" si="1"/>
        <v>0.3026399603652063</v>
      </c>
      <c r="H28" s="184">
        <f t="shared" si="1"/>
        <v>0.35800464893185258</v>
      </c>
      <c r="I28" s="184">
        <f t="shared" si="1"/>
        <v>0.35113143471974723</v>
      </c>
      <c r="J28" s="184">
        <f t="shared" si="1"/>
        <v>0.35498116237415844</v>
      </c>
      <c r="K28" s="184">
        <f t="shared" si="1"/>
        <v>0.36533695113360654</v>
      </c>
      <c r="L28" s="184">
        <f t="shared" si="1"/>
        <v>0.30878186968838528</v>
      </c>
    </row>
    <row r="29" spans="1:15" x14ac:dyDescent="0.3">
      <c r="A29" s="113" t="s">
        <v>356</v>
      </c>
      <c r="B29" s="193">
        <v>4.8</v>
      </c>
      <c r="C29" s="193">
        <v>6.23</v>
      </c>
      <c r="D29" s="193">
        <v>13.04</v>
      </c>
      <c r="E29" s="193">
        <v>12.65</v>
      </c>
      <c r="F29" s="193">
        <v>9.7100000000000009</v>
      </c>
      <c r="G29" s="193">
        <v>11.64</v>
      </c>
      <c r="H29" s="193">
        <v>11.78</v>
      </c>
      <c r="I29" s="193">
        <v>20.54</v>
      </c>
      <c r="J29" s="193">
        <v>22.88</v>
      </c>
      <c r="K29" s="193">
        <v>28.84</v>
      </c>
    </row>
    <row r="30" spans="1:15" x14ac:dyDescent="0.3">
      <c r="A30" s="189" t="s">
        <v>217</v>
      </c>
      <c r="B30" s="184">
        <v>0.14010507880910683</v>
      </c>
      <c r="C30" s="184">
        <v>0.14285714285714288</v>
      </c>
      <c r="D30" s="184">
        <v>0.29303370786516852</v>
      </c>
      <c r="E30" s="184">
        <v>0.31593406593406598</v>
      </c>
      <c r="F30" s="184">
        <v>0.19358054226475283</v>
      </c>
      <c r="G30" s="184">
        <v>0.18487928843710294</v>
      </c>
      <c r="H30" s="184">
        <v>0.18190240889437923</v>
      </c>
      <c r="I30" s="184">
        <v>0.27489293361884365</v>
      </c>
      <c r="J30" s="184">
        <v>0.28732889614466911</v>
      </c>
      <c r="K30" s="184">
        <v>0.28114642230454279</v>
      </c>
      <c r="L30" s="184"/>
    </row>
    <row r="31" spans="1:15" x14ac:dyDescent="0.3">
      <c r="A31" s="113" t="s">
        <v>357</v>
      </c>
      <c r="B31" s="193">
        <v>29.46</v>
      </c>
      <c r="C31" s="193">
        <v>37.380000000000003</v>
      </c>
      <c r="D31" s="193">
        <v>31.46</v>
      </c>
      <c r="E31" s="193">
        <v>27.38</v>
      </c>
      <c r="F31" s="193">
        <v>40.44</v>
      </c>
      <c r="G31" s="193">
        <v>51.32</v>
      </c>
      <c r="H31" s="193">
        <v>52.99</v>
      </c>
      <c r="I31" s="193">
        <v>54.17</v>
      </c>
      <c r="J31" s="193">
        <v>56.75</v>
      </c>
      <c r="K31" s="193">
        <v>73.739999999999995</v>
      </c>
      <c r="L31" s="193">
        <v>72</v>
      </c>
      <c r="M31" s="193">
        <f>SUM(B31:L31)</f>
        <v>527.09</v>
      </c>
      <c r="N31" s="109">
        <f>RATE(9,,-B31,K31,0,0.1)</f>
        <v>0.10732342632047542</v>
      </c>
    </row>
    <row r="32" spans="1:15" x14ac:dyDescent="0.3">
      <c r="A32" s="113" t="s">
        <v>340</v>
      </c>
      <c r="B32" s="184">
        <f>B31/B26</f>
        <v>0.23434889825789518</v>
      </c>
      <c r="C32" s="184">
        <f t="shared" ref="C32:L32" si="2">C31/C26</f>
        <v>0.23507955474498463</v>
      </c>
      <c r="D32" s="184">
        <f t="shared" si="2"/>
        <v>0.14443118170966854</v>
      </c>
      <c r="E32" s="184">
        <f t="shared" si="2"/>
        <v>0.12144599689509869</v>
      </c>
      <c r="F32" s="184">
        <f t="shared" si="2"/>
        <v>0.15452808559419182</v>
      </c>
      <c r="G32" s="184">
        <f t="shared" si="2"/>
        <v>0.18161228678604291</v>
      </c>
      <c r="H32" s="184">
        <f t="shared" si="2"/>
        <v>0.19551341179943182</v>
      </c>
      <c r="I32" s="184">
        <f t="shared" si="2"/>
        <v>0.18213913452809252</v>
      </c>
      <c r="J32" s="184">
        <f t="shared" si="2"/>
        <v>0.17525168303378422</v>
      </c>
      <c r="K32" s="184">
        <f t="shared" si="2"/>
        <v>0.19238696548305459</v>
      </c>
      <c r="L32" s="184">
        <f t="shared" si="2"/>
        <v>0.20396600566572237</v>
      </c>
    </row>
    <row r="33" spans="1:16" x14ac:dyDescent="0.3">
      <c r="A33" s="113"/>
    </row>
    <row r="34" spans="1:16" x14ac:dyDescent="0.3">
      <c r="A34" s="113" t="s">
        <v>358</v>
      </c>
      <c r="B34" s="193">
        <v>18.64</v>
      </c>
      <c r="C34" s="193">
        <v>54.03</v>
      </c>
      <c r="D34" s="193">
        <v>116.85</v>
      </c>
      <c r="E34" s="193">
        <v>118.5</v>
      </c>
      <c r="F34" s="193">
        <v>103.88</v>
      </c>
      <c r="G34" s="193">
        <v>90.65</v>
      </c>
      <c r="H34" s="193">
        <v>72.62</v>
      </c>
      <c r="I34" s="193">
        <v>102.62</v>
      </c>
      <c r="J34" s="193">
        <v>117.32</v>
      </c>
      <c r="K34" s="193">
        <v>125.11</v>
      </c>
      <c r="L34" s="193">
        <v>135</v>
      </c>
    </row>
    <row r="35" spans="1:16" x14ac:dyDescent="0.3">
      <c r="A35" s="113" t="s">
        <v>341</v>
      </c>
      <c r="B35" s="186">
        <v>19.125536480686687</v>
      </c>
      <c r="C35" s="186">
        <v>8.2099450922327062</v>
      </c>
      <c r="D35" s="186">
        <v>4.5079161317928973</v>
      </c>
      <c r="E35" s="186">
        <v>4.7229254571026731</v>
      </c>
      <c r="F35" s="186">
        <v>6.3542869978179946</v>
      </c>
      <c r="G35" s="186">
        <v>7.8617392903107186</v>
      </c>
      <c r="H35" s="186">
        <v>11.13444413843753</v>
      </c>
      <c r="I35" s="186">
        <v>8.4803157279282821</v>
      </c>
      <c r="J35" s="186">
        <v>8.164990339811343</v>
      </c>
      <c r="K35" s="186">
        <v>9.327125462925963</v>
      </c>
      <c r="L35" s="187">
        <v>9</v>
      </c>
    </row>
    <row r="36" spans="1:16" x14ac:dyDescent="0.3">
      <c r="A36" s="113" t="s">
        <v>342</v>
      </c>
      <c r="B36" s="187">
        <v>0.20090536753610691</v>
      </c>
      <c r="C36" s="187">
        <v>0.43127394636015326</v>
      </c>
      <c r="D36" s="187">
        <v>0.77563889810819775</v>
      </c>
      <c r="E36" s="187">
        <v>0.68919390485052923</v>
      </c>
      <c r="F36" s="187">
        <v>0.50956538801138029</v>
      </c>
      <c r="G36" s="187">
        <v>0.37124252600540586</v>
      </c>
      <c r="H36" s="187">
        <v>0.25334914875802406</v>
      </c>
      <c r="I36" s="187">
        <v>0.29928838077461506</v>
      </c>
      <c r="J36" s="187">
        <v>0.30251927490265851</v>
      </c>
      <c r="K36" s="187">
        <v>0.30253421676258646</v>
      </c>
      <c r="L36" s="187">
        <v>0.30253421676258646</v>
      </c>
    </row>
    <row r="37" spans="1:16" x14ac:dyDescent="0.3">
      <c r="A37" s="113" t="s">
        <v>359</v>
      </c>
      <c r="B37" s="193">
        <v>36.31</v>
      </c>
      <c r="C37" s="193">
        <v>29.28</v>
      </c>
      <c r="D37" s="193">
        <v>30.41</v>
      </c>
      <c r="E37" s="193">
        <v>46.63</v>
      </c>
      <c r="F37" s="193">
        <v>51.53</v>
      </c>
      <c r="G37" s="193">
        <v>69.97</v>
      </c>
      <c r="H37" s="193">
        <v>68.400000000000006</v>
      </c>
      <c r="I37" s="193">
        <v>77.13</v>
      </c>
      <c r="J37" s="193">
        <v>86.7</v>
      </c>
      <c r="K37" s="193">
        <v>88.51</v>
      </c>
      <c r="L37" s="193">
        <v>108</v>
      </c>
      <c r="M37" s="193">
        <f>SUM(B37:L37)</f>
        <v>692.87</v>
      </c>
      <c r="N37" s="109">
        <f>RATE(9,,-B37,L37,0,0.2)</f>
        <v>0.12875509317687173</v>
      </c>
      <c r="O37">
        <f>L37/430</f>
        <v>0.25116279069767444</v>
      </c>
      <c r="P37">
        <f>O37*600</f>
        <v>150.69767441860466</v>
      </c>
    </row>
    <row r="38" spans="1:16" x14ac:dyDescent="0.3">
      <c r="A38" s="113" t="s">
        <v>360</v>
      </c>
      <c r="B38" s="193">
        <v>21</v>
      </c>
      <c r="C38" s="193">
        <v>49.809999999999988</v>
      </c>
      <c r="D38" s="193">
        <v>73.710000000000008</v>
      </c>
      <c r="E38" s="193">
        <v>15.760000000000005</v>
      </c>
      <c r="F38" s="193">
        <v>15.329999999999998</v>
      </c>
      <c r="G38" s="193">
        <v>9.1300000000000061</v>
      </c>
      <c r="H38" s="193">
        <v>46.229999999999976</v>
      </c>
      <c r="I38" s="193">
        <v>101.44000000000004</v>
      </c>
      <c r="J38" s="193">
        <v>56.419999999999945</v>
      </c>
      <c r="K38" s="193">
        <v>23</v>
      </c>
      <c r="L38" s="193">
        <v>50</v>
      </c>
      <c r="M38" s="193">
        <f>SUM(B38:L38)</f>
        <v>461.82999999999993</v>
      </c>
      <c r="N38" s="109">
        <f>M38/M37</f>
        <v>0.66654639398444138</v>
      </c>
    </row>
    <row r="39" spans="1:16" x14ac:dyDescent="0.3">
      <c r="A39" s="113" t="s">
        <v>361</v>
      </c>
      <c r="B39" s="193">
        <f>B37-B38</f>
        <v>15.310000000000002</v>
      </c>
      <c r="C39" s="193">
        <f t="shared" ref="C39:L39" si="3">C37-C38</f>
        <v>-20.529999999999987</v>
      </c>
      <c r="D39" s="193">
        <f t="shared" si="3"/>
        <v>-43.300000000000011</v>
      </c>
      <c r="E39" s="193">
        <f t="shared" si="3"/>
        <v>30.869999999999997</v>
      </c>
      <c r="F39" s="193">
        <f t="shared" si="3"/>
        <v>36.200000000000003</v>
      </c>
      <c r="G39" s="193">
        <f t="shared" si="3"/>
        <v>60.839999999999989</v>
      </c>
      <c r="H39" s="193">
        <f t="shared" si="3"/>
        <v>22.17000000000003</v>
      </c>
      <c r="I39" s="193">
        <f t="shared" si="3"/>
        <v>-24.310000000000045</v>
      </c>
      <c r="J39" s="193">
        <f t="shared" si="3"/>
        <v>30.280000000000058</v>
      </c>
      <c r="K39" s="193">
        <f t="shared" si="3"/>
        <v>65.510000000000005</v>
      </c>
      <c r="L39" s="193">
        <f t="shared" si="3"/>
        <v>58</v>
      </c>
      <c r="M39" s="193">
        <f>SUM(B39:L39)</f>
        <v>231.04000000000002</v>
      </c>
      <c r="N39" s="184">
        <f>M39/M37</f>
        <v>0.33345360601555851</v>
      </c>
    </row>
    <row r="40" spans="1:16" x14ac:dyDescent="0.3">
      <c r="A40" s="113" t="s">
        <v>362</v>
      </c>
      <c r="B40" s="194">
        <v>55.602179619759767</v>
      </c>
      <c r="C40" s="194">
        <v>66.430413181560922</v>
      </c>
      <c r="D40" s="194">
        <v>75.909007437333571</v>
      </c>
      <c r="E40" s="194">
        <v>64.079396762031493</v>
      </c>
      <c r="F40" s="194">
        <v>65.719526175009548</v>
      </c>
      <c r="G40" s="194">
        <v>66.508068511571949</v>
      </c>
      <c r="H40" s="194">
        <v>64.709626240637576</v>
      </c>
      <c r="I40" s="194">
        <v>93.983726169261288</v>
      </c>
      <c r="J40" s="194">
        <v>85.191464393799023</v>
      </c>
      <c r="K40" s="194">
        <v>79.667875498969451</v>
      </c>
      <c r="L40" s="195">
        <f>(66/353)*365</f>
        <v>68.243626062322946</v>
      </c>
      <c r="M40" s="193">
        <f>M37-M38</f>
        <v>231.04000000000008</v>
      </c>
    </row>
    <row r="41" spans="1:16" x14ac:dyDescent="0.3">
      <c r="A41" s="113" t="s">
        <v>46</v>
      </c>
      <c r="B41" s="127">
        <v>9.3883495145631066</v>
      </c>
      <c r="C41" s="127">
        <v>8.4043340380549676</v>
      </c>
      <c r="D41" s="127">
        <v>7.8155722999641188</v>
      </c>
      <c r="E41" s="127">
        <v>6.13135708457982</v>
      </c>
      <c r="F41" s="127">
        <v>6.901371308016877</v>
      </c>
      <c r="G41" s="127">
        <v>7.5840042941492216</v>
      </c>
      <c r="H41" s="127">
        <v>7.008792345487457</v>
      </c>
      <c r="I41" s="127">
        <v>9.2392047219633433</v>
      </c>
      <c r="J41" s="127">
        <v>8.3956442831215963</v>
      </c>
      <c r="K41" s="127">
        <v>8.2766141222198222</v>
      </c>
      <c r="L41" s="127">
        <v>8.2766141222198222</v>
      </c>
    </row>
    <row r="42" spans="1:16" x14ac:dyDescent="0.3">
      <c r="A42" s="113" t="s">
        <v>343</v>
      </c>
      <c r="B42" s="127">
        <v>1.9337025073065679</v>
      </c>
      <c r="C42" s="127">
        <v>2.3442429603420316</v>
      </c>
      <c r="D42" s="127">
        <v>1.5489972976816953</v>
      </c>
      <c r="E42" s="127">
        <v>1.2010548186031644</v>
      </c>
      <c r="F42" s="127">
        <v>1.352944217546399</v>
      </c>
      <c r="G42" s="127">
        <v>1.5064505810854034</v>
      </c>
      <c r="H42" s="127">
        <v>1.4824964445903073</v>
      </c>
      <c r="I42" s="127">
        <v>0.97161058477621698</v>
      </c>
      <c r="J42" s="127">
        <v>1.0502043199065967</v>
      </c>
      <c r="K42" s="127">
        <v>1.1130826194279075</v>
      </c>
      <c r="L42" s="127">
        <v>1.1130826194279075</v>
      </c>
    </row>
    <row r="44" spans="1:16" x14ac:dyDescent="0.3">
      <c r="K44" s="190"/>
    </row>
    <row r="46" spans="1:16" x14ac:dyDescent="0.3">
      <c r="A46" s="114"/>
      <c r="B46" s="115">
        <v>40268</v>
      </c>
      <c r="C46" s="115">
        <v>40633</v>
      </c>
      <c r="D46" s="115">
        <v>40999</v>
      </c>
      <c r="E46" s="115">
        <v>41364</v>
      </c>
      <c r="F46" s="115">
        <v>41729</v>
      </c>
      <c r="G46" s="115">
        <v>42094</v>
      </c>
      <c r="H46" s="115">
        <v>42460</v>
      </c>
      <c r="I46" s="115">
        <v>42825</v>
      </c>
      <c r="J46" s="115">
        <v>43190</v>
      </c>
      <c r="K46" s="115">
        <v>43555</v>
      </c>
      <c r="L46" s="115">
        <v>43921</v>
      </c>
    </row>
    <row r="47" spans="1:16" x14ac:dyDescent="0.3">
      <c r="A47" s="113" t="s">
        <v>338</v>
      </c>
      <c r="B47">
        <v>125.71</v>
      </c>
      <c r="C47">
        <v>159.01</v>
      </c>
      <c r="D47">
        <v>217.82</v>
      </c>
      <c r="E47">
        <v>225.45</v>
      </c>
      <c r="F47">
        <v>261.7</v>
      </c>
      <c r="G47">
        <v>282.58</v>
      </c>
      <c r="H47">
        <v>271.02999999999997</v>
      </c>
      <c r="I47">
        <v>297.41000000000003</v>
      </c>
      <c r="J47">
        <v>323.82</v>
      </c>
      <c r="K47">
        <v>383.29</v>
      </c>
      <c r="L47">
        <v>353</v>
      </c>
    </row>
    <row r="48" spans="1:16" x14ac:dyDescent="0.3">
      <c r="A48" s="113" t="s">
        <v>345</v>
      </c>
      <c r="B48">
        <v>4</v>
      </c>
      <c r="C48">
        <f>C47-B47</f>
        <v>33.299999999999997</v>
      </c>
      <c r="D48">
        <f t="shared" ref="D48:L48" si="4">D47-C47</f>
        <v>58.81</v>
      </c>
      <c r="E48">
        <f t="shared" si="4"/>
        <v>7.6299999999999955</v>
      </c>
      <c r="F48">
        <f t="shared" si="4"/>
        <v>36.25</v>
      </c>
      <c r="G48">
        <f t="shared" si="4"/>
        <v>20.879999999999995</v>
      </c>
      <c r="H48">
        <f t="shared" si="4"/>
        <v>-11.550000000000011</v>
      </c>
      <c r="I48">
        <f t="shared" si="4"/>
        <v>26.380000000000052</v>
      </c>
      <c r="J48">
        <f t="shared" si="4"/>
        <v>26.409999999999968</v>
      </c>
      <c r="K48">
        <f t="shared" si="4"/>
        <v>59.470000000000027</v>
      </c>
      <c r="L48">
        <f t="shared" si="4"/>
        <v>-30.29000000000002</v>
      </c>
    </row>
    <row r="49" spans="1:15" x14ac:dyDescent="0.3">
      <c r="A49" t="s">
        <v>344</v>
      </c>
      <c r="B49">
        <v>65</v>
      </c>
      <c r="C49">
        <v>68</v>
      </c>
      <c r="D49">
        <v>141</v>
      </c>
      <c r="E49">
        <v>188</v>
      </c>
      <c r="F49">
        <v>193</v>
      </c>
      <c r="G49">
        <v>188</v>
      </c>
      <c r="H49">
        <v>183</v>
      </c>
      <c r="I49">
        <v>306</v>
      </c>
      <c r="J49">
        <v>308</v>
      </c>
      <c r="K49">
        <v>344</v>
      </c>
      <c r="L49">
        <v>338</v>
      </c>
    </row>
    <row r="50" spans="1:15" x14ac:dyDescent="0.3">
      <c r="A50" t="s">
        <v>347</v>
      </c>
      <c r="B50" s="184">
        <f>B49/B47</f>
        <v>0.51706308169596693</v>
      </c>
      <c r="C50" s="184">
        <f t="shared" ref="C50:L50" si="5">C49/C47</f>
        <v>0.42764605999622668</v>
      </c>
      <c r="D50" s="184">
        <f t="shared" si="5"/>
        <v>0.64732347810118451</v>
      </c>
      <c r="E50" s="184">
        <f t="shared" si="5"/>
        <v>0.83388777999556452</v>
      </c>
      <c r="F50" s="184">
        <f t="shared" si="5"/>
        <v>0.73748567061520831</v>
      </c>
      <c r="G50" s="184">
        <f t="shared" si="5"/>
        <v>0.66529832259891009</v>
      </c>
      <c r="H50" s="184">
        <f t="shared" si="5"/>
        <v>0.67520200715787926</v>
      </c>
      <c r="I50" s="184">
        <f t="shared" si="5"/>
        <v>1.0288826871994889</v>
      </c>
      <c r="J50" s="184">
        <f t="shared" si="5"/>
        <v>0.95114569822741035</v>
      </c>
      <c r="K50" s="184">
        <f t="shared" si="5"/>
        <v>0.89749276005113621</v>
      </c>
      <c r="L50" s="184">
        <f t="shared" si="5"/>
        <v>0.95750708215297453</v>
      </c>
    </row>
    <row r="51" spans="1:15" x14ac:dyDescent="0.3">
      <c r="A51" t="s">
        <v>147</v>
      </c>
      <c r="B51">
        <v>21</v>
      </c>
      <c r="C51">
        <v>49.809999999999988</v>
      </c>
      <c r="D51">
        <v>73.710000000000008</v>
      </c>
      <c r="E51">
        <v>15.760000000000005</v>
      </c>
      <c r="F51">
        <v>15.329999999999998</v>
      </c>
      <c r="G51">
        <v>9.1300000000000061</v>
      </c>
      <c r="H51">
        <v>46.229999999999976</v>
      </c>
      <c r="I51">
        <v>101.44000000000004</v>
      </c>
      <c r="J51">
        <v>56.419999999999945</v>
      </c>
      <c r="K51">
        <v>23</v>
      </c>
      <c r="L51">
        <v>50</v>
      </c>
    </row>
    <row r="52" spans="1:15" ht="28.8" x14ac:dyDescent="0.3">
      <c r="A52" s="185" t="s">
        <v>346</v>
      </c>
      <c r="B52">
        <f>B50*B48</f>
        <v>2.0682523267838677</v>
      </c>
      <c r="C52">
        <f>C50*C48</f>
        <v>14.240613797874348</v>
      </c>
      <c r="D52">
        <f t="shared" ref="D52:L52" si="6">D50*D48</f>
        <v>38.069093747130665</v>
      </c>
      <c r="E52">
        <f t="shared" si="6"/>
        <v>6.3625637613661539</v>
      </c>
      <c r="F52">
        <f t="shared" si="6"/>
        <v>26.733855559801302</v>
      </c>
      <c r="G52">
        <f t="shared" si="6"/>
        <v>13.891428975865239</v>
      </c>
      <c r="H52">
        <f t="shared" si="6"/>
        <v>-7.7985831826735135</v>
      </c>
      <c r="I52">
        <f t="shared" si="6"/>
        <v>27.141925288322572</v>
      </c>
      <c r="J52">
        <f t="shared" si="6"/>
        <v>25.119757890185877</v>
      </c>
      <c r="K52">
        <f t="shared" si="6"/>
        <v>53.373894440241095</v>
      </c>
      <c r="L52">
        <f t="shared" si="6"/>
        <v>-29.002889518413618</v>
      </c>
      <c r="M52">
        <f>SUM(B52:L52)</f>
        <v>170.19991308648397</v>
      </c>
    </row>
    <row r="53" spans="1:15" x14ac:dyDescent="0.3">
      <c r="A53" t="s">
        <v>348</v>
      </c>
      <c r="B53">
        <f>B51-B52</f>
        <v>18.931747673216133</v>
      </c>
      <c r="C53">
        <f>C51-C52</f>
        <v>35.569386202125642</v>
      </c>
      <c r="D53">
        <f t="shared" ref="D53:L53" si="7">D51-D52</f>
        <v>35.640906252869343</v>
      </c>
      <c r="E53">
        <f t="shared" si="7"/>
        <v>9.3974362386338512</v>
      </c>
      <c r="F53">
        <f t="shared" si="7"/>
        <v>-11.403855559801304</v>
      </c>
      <c r="G53">
        <f t="shared" si="7"/>
        <v>-4.7614289758652326</v>
      </c>
      <c r="H53">
        <f t="shared" si="7"/>
        <v>54.028583182673486</v>
      </c>
      <c r="I53">
        <f t="shared" si="7"/>
        <v>74.298074711677472</v>
      </c>
      <c r="J53">
        <f t="shared" si="7"/>
        <v>31.300242109814068</v>
      </c>
      <c r="K53">
        <f t="shared" si="7"/>
        <v>-30.373894440241095</v>
      </c>
      <c r="L53">
        <f t="shared" si="7"/>
        <v>79.00288951841361</v>
      </c>
      <c r="M53">
        <f>SUM(B53:L53)</f>
        <v>291.63008691351598</v>
      </c>
    </row>
    <row r="54" spans="1:15" x14ac:dyDescent="0.3">
      <c r="A54" s="123"/>
      <c r="B54" s="184">
        <f>B53/B51</f>
        <v>0.901511793962673</v>
      </c>
      <c r="C54" s="184">
        <f t="shared" ref="C54:L54" si="8">C53/C51</f>
        <v>0.71410130901677682</v>
      </c>
      <c r="D54" s="184">
        <f t="shared" si="8"/>
        <v>0.48352877835937241</v>
      </c>
      <c r="E54" s="184">
        <f t="shared" si="8"/>
        <v>0.59628402529402591</v>
      </c>
      <c r="F54" s="184">
        <f t="shared" si="8"/>
        <v>-0.74389142594920454</v>
      </c>
      <c r="G54" s="184">
        <f t="shared" si="8"/>
        <v>-0.5215146742459178</v>
      </c>
      <c r="H54" s="184">
        <f t="shared" si="8"/>
        <v>1.1686909622036235</v>
      </c>
      <c r="I54" s="184">
        <f t="shared" si="8"/>
        <v>0.73243370181070033</v>
      </c>
      <c r="J54" s="184">
        <f t="shared" si="8"/>
        <v>0.55477210403782518</v>
      </c>
      <c r="K54" s="184">
        <f t="shared" si="8"/>
        <v>-1.3206041060974389</v>
      </c>
      <c r="L54" s="184">
        <f t="shared" si="8"/>
        <v>1.5800577903682722</v>
      </c>
      <c r="M54" s="184">
        <f>M53/M37</f>
        <v>0.42090159324767412</v>
      </c>
    </row>
    <row r="55" spans="1:15" x14ac:dyDescent="0.3">
      <c r="A55" s="123" t="s">
        <v>349</v>
      </c>
      <c r="B55" s="191">
        <v>4.6900000000000004</v>
      </c>
      <c r="C55" s="191">
        <v>5.0199999999999996</v>
      </c>
      <c r="D55" s="191">
        <v>7.12</v>
      </c>
      <c r="E55" s="191">
        <v>9.61</v>
      </c>
      <c r="F55" s="191">
        <v>10.43</v>
      </c>
      <c r="G55" s="191">
        <v>13.08</v>
      </c>
      <c r="H55" s="191">
        <v>15.65</v>
      </c>
      <c r="I55" s="191">
        <v>15.15</v>
      </c>
      <c r="J55" s="191">
        <v>16.34</v>
      </c>
      <c r="K55" s="191">
        <v>18.59</v>
      </c>
      <c r="L55" s="192">
        <v>19.86</v>
      </c>
      <c r="M55">
        <f>SUM(B55:L55)</f>
        <v>135.54000000000002</v>
      </c>
      <c r="N55" s="187">
        <v>19.86</v>
      </c>
    </row>
    <row r="56" spans="1:15" x14ac:dyDescent="0.3">
      <c r="A56" s="118"/>
      <c r="B56">
        <f>B55/B51</f>
        <v>0.22333333333333336</v>
      </c>
      <c r="M56" s="184">
        <f>M55/M38</f>
        <v>0.29348461555117694</v>
      </c>
    </row>
    <row r="57" spans="1:15" x14ac:dyDescent="0.3">
      <c r="A57" s="118"/>
    </row>
    <row r="60" spans="1:15" x14ac:dyDescent="0.3">
      <c r="A60" s="113" t="s">
        <v>353</v>
      </c>
      <c r="B60" s="115">
        <v>40268</v>
      </c>
      <c r="C60" s="115">
        <v>40633</v>
      </c>
      <c r="D60" s="115">
        <v>40999</v>
      </c>
      <c r="E60" s="115">
        <v>41364</v>
      </c>
      <c r="F60" s="115">
        <v>41729</v>
      </c>
      <c r="G60" s="115">
        <v>42094</v>
      </c>
      <c r="H60" s="115">
        <v>42460</v>
      </c>
      <c r="I60" s="115">
        <v>42825</v>
      </c>
      <c r="J60" s="115">
        <v>43190</v>
      </c>
      <c r="K60" s="115">
        <v>43555</v>
      </c>
      <c r="L60" s="115">
        <v>43921</v>
      </c>
    </row>
    <row r="61" spans="1:15" x14ac:dyDescent="0.3">
      <c r="A61" s="113" t="s">
        <v>352</v>
      </c>
      <c r="B61" s="193">
        <v>36.31</v>
      </c>
      <c r="C61" s="193">
        <v>29.28</v>
      </c>
      <c r="D61" s="193">
        <v>30.41</v>
      </c>
      <c r="E61" s="193">
        <v>46.63</v>
      </c>
      <c r="F61" s="193">
        <v>51.53</v>
      </c>
      <c r="G61" s="193">
        <v>69.97</v>
      </c>
      <c r="H61" s="193">
        <v>68.400000000000006</v>
      </c>
      <c r="I61" s="193">
        <v>77.13</v>
      </c>
      <c r="J61" s="193">
        <v>86.7</v>
      </c>
      <c r="K61" s="193">
        <v>88.51</v>
      </c>
      <c r="L61" s="193">
        <v>108</v>
      </c>
    </row>
    <row r="62" spans="1:15" x14ac:dyDescent="0.3">
      <c r="A62" s="113" t="s">
        <v>351</v>
      </c>
      <c r="B62" s="186">
        <f>B61*0.15</f>
        <v>5.4465000000000003</v>
      </c>
      <c r="C62" s="186">
        <f t="shared" ref="C62:L62" si="9">C61*0.15</f>
        <v>4.3920000000000003</v>
      </c>
      <c r="D62" s="186">
        <f t="shared" si="9"/>
        <v>4.5614999999999997</v>
      </c>
      <c r="E62" s="186">
        <f t="shared" si="9"/>
        <v>6.9945000000000004</v>
      </c>
      <c r="F62" s="186">
        <f t="shared" si="9"/>
        <v>7.7294999999999998</v>
      </c>
      <c r="G62" s="186">
        <f t="shared" si="9"/>
        <v>10.4955</v>
      </c>
      <c r="H62" s="186">
        <f t="shared" si="9"/>
        <v>10.26</v>
      </c>
      <c r="I62" s="186">
        <f t="shared" si="9"/>
        <v>11.5695</v>
      </c>
      <c r="J62" s="186">
        <f t="shared" si="9"/>
        <v>13.005000000000001</v>
      </c>
      <c r="K62" s="186">
        <f t="shared" si="9"/>
        <v>13.2765</v>
      </c>
      <c r="L62" s="186">
        <f t="shared" si="9"/>
        <v>16.2</v>
      </c>
    </row>
    <row r="63" spans="1:15" x14ac:dyDescent="0.3">
      <c r="A63" s="113" t="s">
        <v>350</v>
      </c>
      <c r="B63" s="186">
        <f>B61-B62</f>
        <v>30.863500000000002</v>
      </c>
      <c r="C63" s="186">
        <f t="shared" ref="C63:L63" si="10">C61-C62</f>
        <v>24.888000000000002</v>
      </c>
      <c r="D63" s="186">
        <f t="shared" si="10"/>
        <v>25.848500000000001</v>
      </c>
      <c r="E63" s="186">
        <f t="shared" si="10"/>
        <v>39.6355</v>
      </c>
      <c r="F63" s="186">
        <f t="shared" si="10"/>
        <v>43.8005</v>
      </c>
      <c r="G63" s="186">
        <f t="shared" si="10"/>
        <v>59.474499999999999</v>
      </c>
      <c r="H63" s="186">
        <f t="shared" si="10"/>
        <v>58.140000000000008</v>
      </c>
      <c r="I63" s="186">
        <f t="shared" si="10"/>
        <v>65.56049999999999</v>
      </c>
      <c r="J63" s="186">
        <f t="shared" si="10"/>
        <v>73.695000000000007</v>
      </c>
      <c r="K63" s="186">
        <f t="shared" si="10"/>
        <v>75.233500000000006</v>
      </c>
      <c r="L63" s="186">
        <f t="shared" si="10"/>
        <v>91.8</v>
      </c>
      <c r="M63" s="186">
        <f>SUM(B63:L63)</f>
        <v>588.93949999999995</v>
      </c>
      <c r="N63" s="186">
        <f>L63-B63</f>
        <v>60.936499999999995</v>
      </c>
      <c r="O63">
        <f>E81486</f>
        <v>0</v>
      </c>
    </row>
    <row r="64" spans="1:15" x14ac:dyDescent="0.3">
      <c r="A64" t="s">
        <v>230</v>
      </c>
      <c r="B64" s="186">
        <v>18.64</v>
      </c>
      <c r="C64" s="186">
        <v>54.03</v>
      </c>
      <c r="D64" s="186">
        <v>116.85</v>
      </c>
      <c r="E64" s="186">
        <v>118.5</v>
      </c>
      <c r="F64" s="186">
        <v>103.88</v>
      </c>
      <c r="G64" s="186">
        <v>90.65</v>
      </c>
      <c r="H64" s="186">
        <v>72.62</v>
      </c>
      <c r="I64" s="186">
        <v>102.62</v>
      </c>
      <c r="J64" s="186">
        <v>117.32</v>
      </c>
      <c r="K64" s="186">
        <v>125.11</v>
      </c>
      <c r="L64" s="186">
        <v>135</v>
      </c>
      <c r="M64" s="186">
        <f>L64-B64</f>
        <v>116.36</v>
      </c>
      <c r="N64" t="s">
        <v>366</v>
      </c>
    </row>
    <row r="65" spans="1:14" x14ac:dyDescent="0.3">
      <c r="A65" t="s">
        <v>231</v>
      </c>
      <c r="B65" s="186">
        <v>92.78</v>
      </c>
      <c r="C65" s="186">
        <v>125.28</v>
      </c>
      <c r="D65" s="186">
        <v>150.65</v>
      </c>
      <c r="E65" s="186">
        <v>171.94</v>
      </c>
      <c r="F65" s="186">
        <v>203.86</v>
      </c>
      <c r="G65" s="186">
        <v>244.18</v>
      </c>
      <c r="H65" s="186">
        <v>286.64</v>
      </c>
      <c r="I65" s="186">
        <v>342.88</v>
      </c>
      <c r="J65" s="186">
        <v>387.81</v>
      </c>
      <c r="K65" s="186">
        <v>413.53999999999996</v>
      </c>
      <c r="L65" s="196">
        <v>468</v>
      </c>
      <c r="M65" s="186">
        <f>L65-B65</f>
        <v>375.22</v>
      </c>
    </row>
    <row r="66" spans="1:14" x14ac:dyDescent="0.3">
      <c r="A66" s="5" t="s">
        <v>365</v>
      </c>
      <c r="B66">
        <v>0.51</v>
      </c>
      <c r="C66">
        <v>5.51</v>
      </c>
      <c r="D66">
        <v>14.99</v>
      </c>
      <c r="E66">
        <v>19.84</v>
      </c>
      <c r="F66">
        <v>25.86</v>
      </c>
      <c r="G66">
        <v>41.31</v>
      </c>
      <c r="H66">
        <v>30.19</v>
      </c>
      <c r="I66">
        <v>52.94</v>
      </c>
      <c r="J66">
        <v>75.81</v>
      </c>
      <c r="K66">
        <v>107.81</v>
      </c>
      <c r="L66">
        <v>117</v>
      </c>
      <c r="M66" s="186">
        <f>L66-B66</f>
        <v>116.49</v>
      </c>
      <c r="N66" s="186"/>
    </row>
    <row r="67" spans="1:14" x14ac:dyDescent="0.3">
      <c r="A67" s="113" t="s">
        <v>364</v>
      </c>
      <c r="B67" s="186">
        <f>B64+B65-B66</f>
        <v>110.91</v>
      </c>
      <c r="C67" s="186">
        <f t="shared" ref="C67:L67" si="11">C64+C65-C66</f>
        <v>173.8</v>
      </c>
      <c r="D67" s="186">
        <f t="shared" si="11"/>
        <v>252.51</v>
      </c>
      <c r="E67" s="186">
        <f t="shared" si="11"/>
        <v>270.60000000000002</v>
      </c>
      <c r="F67" s="186">
        <f t="shared" si="11"/>
        <v>281.88</v>
      </c>
      <c r="G67" s="186">
        <f t="shared" si="11"/>
        <v>293.52000000000004</v>
      </c>
      <c r="H67" s="186">
        <f t="shared" si="11"/>
        <v>329.07</v>
      </c>
      <c r="I67" s="186">
        <f t="shared" si="11"/>
        <v>392.56</v>
      </c>
      <c r="J67" s="186">
        <f t="shared" si="11"/>
        <v>429.32</v>
      </c>
      <c r="K67" s="186">
        <f t="shared" si="11"/>
        <v>430.84</v>
      </c>
      <c r="L67" s="186">
        <f t="shared" si="11"/>
        <v>486</v>
      </c>
      <c r="M67" s="186">
        <f>M64+M65-M66</f>
        <v>375.09000000000003</v>
      </c>
      <c r="N67" s="187">
        <f>M67/M63</f>
        <v>0.63689054648227883</v>
      </c>
    </row>
    <row r="68" spans="1:14" x14ac:dyDescent="0.3">
      <c r="A68" s="113" t="s">
        <v>367</v>
      </c>
      <c r="B68" s="184">
        <f>B63/B67</f>
        <v>0.27827517807231089</v>
      </c>
      <c r="C68" s="184">
        <f t="shared" ref="C68:L68" si="12">C63/C67</f>
        <v>0.14319907940161106</v>
      </c>
      <c r="D68" s="184">
        <f t="shared" si="12"/>
        <v>0.10236624292107244</v>
      </c>
      <c r="E68" s="184">
        <f t="shared" si="12"/>
        <v>0.14647265336289725</v>
      </c>
      <c r="F68" s="184">
        <f t="shared" si="12"/>
        <v>0.15538704413225485</v>
      </c>
      <c r="G68" s="184">
        <f t="shared" si="12"/>
        <v>0.20262503406922863</v>
      </c>
      <c r="H68" s="184">
        <f t="shared" si="12"/>
        <v>0.17667973379524116</v>
      </c>
      <c r="I68" s="184">
        <f t="shared" si="12"/>
        <v>0.16700759119625022</v>
      </c>
      <c r="J68" s="184">
        <f t="shared" si="12"/>
        <v>0.17165517562657229</v>
      </c>
      <c r="K68" s="184">
        <f>K63/K67</f>
        <v>0.17462050877355864</v>
      </c>
      <c r="L68" s="184">
        <f t="shared" si="12"/>
        <v>0.18888888888888888</v>
      </c>
      <c r="M68" s="184">
        <f>L68*N67</f>
        <v>0.12030154766887488</v>
      </c>
    </row>
    <row r="69" spans="1:14" x14ac:dyDescent="0.3">
      <c r="A69" t="s">
        <v>368</v>
      </c>
      <c r="C69" s="184">
        <f>(C63-B63)/(C67-B67)</f>
        <v>-9.5015105740181252E-2</v>
      </c>
      <c r="D69" s="184">
        <f t="shared" ref="D69:L69" si="13">(D63-C63)/(D67-C67)</f>
        <v>1.2203023758099351E-2</v>
      </c>
      <c r="E69" s="184">
        <f t="shared" si="13"/>
        <v>0.76213377556660999</v>
      </c>
      <c r="F69" s="184">
        <f t="shared" si="13"/>
        <v>0.36923758865248307</v>
      </c>
      <c r="G69" s="184">
        <f t="shared" si="13"/>
        <v>1.3465635738831565</v>
      </c>
      <c r="H69" s="184">
        <f t="shared" si="13"/>
        <v>-3.7538677918424558E-2</v>
      </c>
      <c r="I69" s="184">
        <f t="shared" si="13"/>
        <v>0.1168766734918882</v>
      </c>
      <c r="J69" s="184">
        <f t="shared" si="13"/>
        <v>0.22128672470076222</v>
      </c>
      <c r="K69" s="184">
        <f t="shared" si="13"/>
        <v>1.0121710526315904</v>
      </c>
      <c r="L69" s="184">
        <f t="shared" si="13"/>
        <v>0.3003353879622912</v>
      </c>
    </row>
    <row r="70" spans="1:14" x14ac:dyDescent="0.3">
      <c r="B70" s="184"/>
      <c r="C70" s="184"/>
      <c r="D70" s="184"/>
      <c r="E70" s="184"/>
      <c r="F70" s="184"/>
      <c r="G70" s="184"/>
      <c r="H70" s="184"/>
      <c r="I70" s="184"/>
      <c r="J70" s="184"/>
      <c r="K70" s="184"/>
    </row>
    <row r="72" spans="1:14" x14ac:dyDescent="0.3">
      <c r="A72" t="s">
        <v>369</v>
      </c>
      <c r="B72">
        <v>1100</v>
      </c>
      <c r="C72">
        <f>B72*1.12</f>
        <v>1232.0000000000002</v>
      </c>
      <c r="D72">
        <f t="shared" ref="D72:L72" si="14">C72*1.12</f>
        <v>1379.8400000000004</v>
      </c>
      <c r="E72">
        <f t="shared" si="14"/>
        <v>1545.4208000000006</v>
      </c>
      <c r="F72">
        <f t="shared" si="14"/>
        <v>1730.8712960000007</v>
      </c>
      <c r="G72">
        <f t="shared" si="14"/>
        <v>1938.5758515200009</v>
      </c>
      <c r="H72">
        <f t="shared" si="14"/>
        <v>2171.2049537024013</v>
      </c>
      <c r="I72">
        <f t="shared" si="14"/>
        <v>2431.7495481466899</v>
      </c>
      <c r="J72">
        <f t="shared" si="14"/>
        <v>2723.5594939242928</v>
      </c>
      <c r="K72">
        <f t="shared" si="14"/>
        <v>3050.3866331952081</v>
      </c>
      <c r="L72">
        <f t="shared" si="14"/>
        <v>3416.4330291786332</v>
      </c>
    </row>
    <row r="77" spans="1:14" x14ac:dyDescent="0.3">
      <c r="E77">
        <f>E81*0.16</f>
        <v>77.760000000000005</v>
      </c>
      <c r="F77">
        <f t="shared" ref="F77:I77" si="15">F81*0.16</f>
        <v>81.64800000000001</v>
      </c>
      <c r="G77">
        <f t="shared" si="15"/>
        <v>85.730400000000017</v>
      </c>
      <c r="H77">
        <f t="shared" si="15"/>
        <v>90.016920000000013</v>
      </c>
      <c r="I77">
        <f t="shared" si="15"/>
        <v>94.517766000000009</v>
      </c>
    </row>
    <row r="81" spans="5:9" x14ac:dyDescent="0.3">
      <c r="E81">
        <v>486</v>
      </c>
      <c r="F81">
        <f>E81*1.05</f>
        <v>510.3</v>
      </c>
      <c r="G81">
        <f>F81*1.05</f>
        <v>535.81500000000005</v>
      </c>
      <c r="H81">
        <f>G81*1.05</f>
        <v>562.60575000000006</v>
      </c>
      <c r="I81">
        <f>H81*1.05</f>
        <v>590.73603750000007</v>
      </c>
    </row>
  </sheetData>
  <pageMargins left="0.7" right="0.7" top="0.75" bottom="0.75" header="0.3" footer="0.3"/>
  <pageSetup paperSize="256"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6"/>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G18" sqref="G18"/>
    </sheetView>
    <sheetView workbookViewId="1"/>
  </sheetViews>
  <sheetFormatPr defaultColWidth="8.77734375" defaultRowHeight="14.4" x14ac:dyDescent="0.3"/>
  <cols>
    <col min="1" max="1" width="20.6640625" style="6" customWidth="1"/>
    <col min="2" max="6" width="13.44140625" style="6" customWidth="1"/>
    <col min="7" max="7" width="14.77734375" style="6" bestFit="1" customWidth="1"/>
    <col min="8" max="16" width="13.44140625" style="6" customWidth="1"/>
    <col min="17" max="17" width="13.33203125" style="6" customWidth="1"/>
    <col min="18" max="19" width="12.109375" style="6" customWidth="1"/>
    <col min="20" max="16384" width="8.77734375" style="6"/>
  </cols>
  <sheetData>
    <row r="1" spans="1:19" s="8" customFormat="1" x14ac:dyDescent="0.3">
      <c r="A1" s="8" t="str">
        <f>'Data Sheet'!B1</f>
        <v>ORIENTAL CARBON &amp; CHEMICALS LTD</v>
      </c>
      <c r="H1" t="str">
        <f>UPDATE</f>
        <v/>
      </c>
      <c r="J1" s="3"/>
      <c r="K1" s="3"/>
      <c r="L1" s="3"/>
      <c r="M1" s="3"/>
      <c r="N1" s="3"/>
      <c r="O1" s="3"/>
      <c r="P1" s="3"/>
      <c r="R1" s="8" t="s">
        <v>1</v>
      </c>
    </row>
    <row r="3" spans="1:19" s="2" customFormat="1" x14ac:dyDescent="0.3">
      <c r="A3" s="15" t="s">
        <v>2</v>
      </c>
      <c r="B3" s="16">
        <f>'Data Sheet'!B16</f>
        <v>40268</v>
      </c>
      <c r="C3" s="16">
        <f>'Data Sheet'!C16</f>
        <v>40633</v>
      </c>
      <c r="D3" s="16">
        <f>'Data Sheet'!D16</f>
        <v>40999</v>
      </c>
      <c r="E3" s="16">
        <f>'Data Sheet'!E16</f>
        <v>41364</v>
      </c>
      <c r="F3" s="16">
        <f>'Data Sheet'!F16</f>
        <v>41729</v>
      </c>
      <c r="G3" s="16">
        <f>'Data Sheet'!G16</f>
        <v>42094</v>
      </c>
      <c r="H3" s="16">
        <f>'Data Sheet'!H16</f>
        <v>42460</v>
      </c>
      <c r="I3" s="16">
        <f>'Data Sheet'!I16</f>
        <v>42825</v>
      </c>
      <c r="J3" s="16">
        <f>'Data Sheet'!J16</f>
        <v>43190</v>
      </c>
      <c r="K3" s="16">
        <f>'Data Sheet'!K16</f>
        <v>43555</v>
      </c>
      <c r="L3" s="16">
        <v>44256</v>
      </c>
      <c r="M3" s="16">
        <v>44257</v>
      </c>
      <c r="N3" s="16">
        <v>44258</v>
      </c>
      <c r="O3" s="16">
        <v>44259</v>
      </c>
      <c r="P3" s="16">
        <v>44260</v>
      </c>
      <c r="Q3" s="16"/>
      <c r="R3" s="17" t="s">
        <v>3</v>
      </c>
      <c r="S3" s="17" t="s">
        <v>4</v>
      </c>
    </row>
    <row r="4" spans="1:19" s="8" customFormat="1" x14ac:dyDescent="0.3">
      <c r="A4" s="8" t="s">
        <v>5</v>
      </c>
      <c r="B4" s="1">
        <f>'Data Sheet'!B17</f>
        <v>125.71</v>
      </c>
      <c r="C4" s="1">
        <f>'Data Sheet'!C17</f>
        <v>159.01</v>
      </c>
      <c r="D4" s="1">
        <f>'Data Sheet'!D17</f>
        <v>217.82</v>
      </c>
      <c r="E4" s="1">
        <f>'Data Sheet'!E17</f>
        <v>225.45</v>
      </c>
      <c r="F4" s="1">
        <f>'Data Sheet'!F17</f>
        <v>261.7</v>
      </c>
      <c r="G4" s="1">
        <f>'Data Sheet'!G17</f>
        <v>282.58</v>
      </c>
      <c r="H4" s="1">
        <f>'Data Sheet'!H17</f>
        <v>271.02999999999997</v>
      </c>
      <c r="I4" s="1">
        <f>'Data Sheet'!I17</f>
        <v>297.41000000000003</v>
      </c>
      <c r="J4" s="1">
        <f>'Data Sheet'!J17</f>
        <v>323.82</v>
      </c>
      <c r="K4" s="1">
        <f>'Data Sheet'!K17</f>
        <v>383.29</v>
      </c>
      <c r="L4" s="1">
        <f>Annual[[#This Row],[Column11]]*1.07</f>
        <v>410.12030000000004</v>
      </c>
      <c r="M4" s="1">
        <f>Annual[[#This Row],[Column19]]*1.07</f>
        <v>438.82872100000009</v>
      </c>
      <c r="N4" s="1">
        <f>Annual[[#This Row],[Column18]]*1.07</f>
        <v>469.54673147000011</v>
      </c>
      <c r="O4" s="1">
        <f>Annual[[#This Row],[Column17]]*1.07</f>
        <v>502.41500267290013</v>
      </c>
      <c r="P4" s="1">
        <f>Annual[[#This Row],[Column16]]*1.07</f>
        <v>537.58405286000323</v>
      </c>
      <c r="Q4" s="1">
        <f>SUM(Quarters!H4:K4)</f>
        <v>360.87</v>
      </c>
      <c r="R4" s="1">
        <f>$K4+R24*K4</f>
        <v>453.68174942869501</v>
      </c>
      <c r="S4" s="1">
        <f>$K4+S24*Q4</f>
        <v>411.90930136883225</v>
      </c>
    </row>
    <row r="5" spans="1:19" x14ac:dyDescent="0.3">
      <c r="A5" s="6" t="s">
        <v>6</v>
      </c>
      <c r="B5" s="9">
        <f>SUM('Data Sheet'!B18,'Data Sheet'!B20:B24, -1*'Data Sheet'!B19)</f>
        <v>87.62</v>
      </c>
      <c r="C5" s="9">
        <f>SUM('Data Sheet'!C18,'Data Sheet'!C20:C24, -1*'Data Sheet'!C19)</f>
        <v>110.80000000000001</v>
      </c>
      <c r="D5" s="9">
        <f>SUM('Data Sheet'!D18,'Data Sheet'!D20:D24, -1*'Data Sheet'!D19)</f>
        <v>161.72999999999999</v>
      </c>
      <c r="E5" s="9">
        <f>SUM('Data Sheet'!E18,'Data Sheet'!E20:E24, -1*'Data Sheet'!E19)</f>
        <v>167.89999999999998</v>
      </c>
      <c r="F5" s="9">
        <f>SUM('Data Sheet'!F18,'Data Sheet'!F20:F24, -1*'Data Sheet'!F19)</f>
        <v>192.92000000000002</v>
      </c>
      <c r="G5" s="9">
        <f>SUM('Data Sheet'!G18,'Data Sheet'!G20:G24, -1*'Data Sheet'!G19)</f>
        <v>210.14</v>
      </c>
      <c r="H5" s="9">
        <f>SUM('Data Sheet'!H18,'Data Sheet'!H20:H24, -1*'Data Sheet'!H19)</f>
        <v>189.64999999999998</v>
      </c>
      <c r="I5" s="9">
        <f>SUM('Data Sheet'!I18,'Data Sheet'!I20:I24, -1*'Data Sheet'!I19)</f>
        <v>208.13</v>
      </c>
      <c r="J5" s="9">
        <f>SUM('Data Sheet'!J18,'Data Sheet'!J20:J24, -1*'Data Sheet'!J19)</f>
        <v>225.21</v>
      </c>
      <c r="K5" s="9">
        <f>SUM('Data Sheet'!K18,'Data Sheet'!K20:K24, -1*'Data Sheet'!K19)</f>
        <v>261.84999999999997</v>
      </c>
      <c r="L5" s="9"/>
      <c r="M5" s="9"/>
      <c r="N5" s="9"/>
      <c r="O5" s="9"/>
      <c r="P5" s="9"/>
      <c r="Q5" s="9">
        <f>SUM(Quarters!H5:K5)</f>
        <v>259.68</v>
      </c>
      <c r="R5" s="9">
        <f t="shared" ref="R5:S5" si="0">R4-R6</f>
        <v>313.97584456788763</v>
      </c>
      <c r="S5" s="9">
        <f t="shared" si="0"/>
        <v>296.40759104236531</v>
      </c>
    </row>
    <row r="6" spans="1:19" s="8" customFormat="1" x14ac:dyDescent="0.3">
      <c r="A6" s="8" t="s">
        <v>7</v>
      </c>
      <c r="B6" s="1">
        <f>B4-B5</f>
        <v>38.089999999999989</v>
      </c>
      <c r="C6" s="1">
        <f t="shared" ref="C6:K6" si="1">C4-C5</f>
        <v>48.20999999999998</v>
      </c>
      <c r="D6" s="1">
        <f t="shared" si="1"/>
        <v>56.09</v>
      </c>
      <c r="E6" s="1">
        <f t="shared" si="1"/>
        <v>57.550000000000011</v>
      </c>
      <c r="F6" s="1">
        <f t="shared" si="1"/>
        <v>68.779999999999973</v>
      </c>
      <c r="G6" s="1">
        <f t="shared" si="1"/>
        <v>72.44</v>
      </c>
      <c r="H6" s="1">
        <f t="shared" si="1"/>
        <v>81.38</v>
      </c>
      <c r="I6" s="1">
        <f t="shared" si="1"/>
        <v>89.28000000000003</v>
      </c>
      <c r="J6" s="1">
        <f t="shared" si="1"/>
        <v>98.609999999999985</v>
      </c>
      <c r="K6" s="1">
        <f t="shared" si="1"/>
        <v>121.44000000000005</v>
      </c>
      <c r="L6" s="1">
        <f>L4*0.28</f>
        <v>114.83368400000002</v>
      </c>
      <c r="M6" s="1">
        <f t="shared" ref="M6:P6" si="2">M4*0.28</f>
        <v>122.87204188000004</v>
      </c>
      <c r="N6" s="1">
        <f t="shared" si="2"/>
        <v>131.47308481160005</v>
      </c>
      <c r="O6" s="1">
        <f t="shared" si="2"/>
        <v>140.67620074841204</v>
      </c>
      <c r="P6" s="1">
        <f t="shared" si="2"/>
        <v>150.52353480080092</v>
      </c>
      <c r="Q6" s="1">
        <f>SUM(Quarters!H6:K6)</f>
        <v>101.19</v>
      </c>
      <c r="R6" s="1">
        <f>R4*R25</f>
        <v>139.70590486080741</v>
      </c>
      <c r="S6" s="1">
        <f>S4*S25</f>
        <v>115.50171032646696</v>
      </c>
    </row>
    <row r="7" spans="1:19" x14ac:dyDescent="0.3">
      <c r="A7" s="6" t="s">
        <v>8</v>
      </c>
      <c r="B7" s="9">
        <f>'Data Sheet'!B25</f>
        <v>3.28</v>
      </c>
      <c r="C7" s="9">
        <f>'Data Sheet'!C25</f>
        <v>3.11</v>
      </c>
      <c r="D7" s="9">
        <f>'Data Sheet'!D25</f>
        <v>3.84</v>
      </c>
      <c r="E7" s="9">
        <f>'Data Sheet'!E25</f>
        <v>4.88</v>
      </c>
      <c r="F7" s="9">
        <f>'Data Sheet'!F25</f>
        <v>2.86</v>
      </c>
      <c r="G7" s="9">
        <f>'Data Sheet'!G25</f>
        <v>11.7</v>
      </c>
      <c r="H7" s="9">
        <f>'Data Sheet'!H25</f>
        <v>5.38</v>
      </c>
      <c r="I7" s="9">
        <f>'Data Sheet'!I25</f>
        <v>5.6</v>
      </c>
      <c r="J7" s="9">
        <f>'Data Sheet'!J25</f>
        <v>5.21</v>
      </c>
      <c r="K7" s="9">
        <f>'Data Sheet'!K25</f>
        <v>7.98</v>
      </c>
      <c r="L7" s="202">
        <v>5</v>
      </c>
      <c r="M7" s="202">
        <v>5</v>
      </c>
      <c r="N7" s="202">
        <v>5</v>
      </c>
      <c r="O7" s="202">
        <v>5</v>
      </c>
      <c r="P7" s="202">
        <v>5</v>
      </c>
      <c r="Q7" s="9">
        <f>SUM(Quarters!H7:K7)</f>
        <v>11.489999999999998</v>
      </c>
      <c r="R7" s="9">
        <v>0</v>
      </c>
      <c r="S7" s="9">
        <v>0</v>
      </c>
    </row>
    <row r="8" spans="1:19" x14ac:dyDescent="0.3">
      <c r="A8" s="6" t="s">
        <v>9</v>
      </c>
      <c r="B8" s="9">
        <f>'Data Sheet'!B26</f>
        <v>4.6900000000000004</v>
      </c>
      <c r="C8" s="9">
        <f>'Data Sheet'!C26</f>
        <v>5.0199999999999996</v>
      </c>
      <c r="D8" s="9">
        <f>'Data Sheet'!D26</f>
        <v>7.12</v>
      </c>
      <c r="E8" s="9">
        <f>'Data Sheet'!E26</f>
        <v>9.61</v>
      </c>
      <c r="F8" s="9">
        <f>'Data Sheet'!F26</f>
        <v>10.43</v>
      </c>
      <c r="G8" s="9">
        <f>'Data Sheet'!G26</f>
        <v>13.08</v>
      </c>
      <c r="H8" s="9">
        <f>'Data Sheet'!H26</f>
        <v>15.65</v>
      </c>
      <c r="I8" s="9">
        <f>'Data Sheet'!I26</f>
        <v>15.15</v>
      </c>
      <c r="J8" s="9">
        <f>'Data Sheet'!J26</f>
        <v>16.34</v>
      </c>
      <c r="K8" s="9">
        <f>'Data Sheet'!K26</f>
        <v>18.59</v>
      </c>
      <c r="L8" s="9">
        <f>L4*0.05</f>
        <v>20.506015000000005</v>
      </c>
      <c r="M8" s="9">
        <f t="shared" ref="M8:P8" si="3">M4*0.05</f>
        <v>21.941436050000007</v>
      </c>
      <c r="N8" s="9">
        <f t="shared" si="3"/>
        <v>23.477336573500008</v>
      </c>
      <c r="O8" s="9">
        <f t="shared" si="3"/>
        <v>25.120750133645007</v>
      </c>
      <c r="P8" s="9">
        <f t="shared" si="3"/>
        <v>26.879202643000163</v>
      </c>
      <c r="Q8" s="9">
        <f>SUM(Quarters!H8:K8)</f>
        <v>19.86</v>
      </c>
      <c r="R8" s="9">
        <f>+$Q8</f>
        <v>19.86</v>
      </c>
      <c r="S8" s="9">
        <f>+$Q8</f>
        <v>19.86</v>
      </c>
    </row>
    <row r="9" spans="1:19" x14ac:dyDescent="0.3">
      <c r="A9" s="200"/>
      <c r="B9" s="9"/>
      <c r="C9" s="9"/>
      <c r="D9" s="9"/>
      <c r="E9" s="9"/>
      <c r="F9" s="9"/>
      <c r="G9" s="9"/>
      <c r="H9" s="9"/>
      <c r="I9" s="9"/>
      <c r="J9" s="9"/>
      <c r="K9" s="9"/>
      <c r="L9" s="9"/>
      <c r="M9" s="9"/>
      <c r="N9" s="9"/>
      <c r="O9" s="9"/>
      <c r="P9" s="9"/>
      <c r="Q9" s="9"/>
      <c r="R9" s="201"/>
      <c r="S9" s="201"/>
    </row>
    <row r="10" spans="1:19" x14ac:dyDescent="0.3">
      <c r="A10" s="6" t="s">
        <v>10</v>
      </c>
      <c r="B10" s="9">
        <f>'Data Sheet'!B27</f>
        <v>2.42</v>
      </c>
      <c r="C10" s="9">
        <f>'Data Sheet'!C27</f>
        <v>2.69</v>
      </c>
      <c r="D10" s="9">
        <f>'Data Sheet'!D27</f>
        <v>8.31</v>
      </c>
      <c r="E10" s="9">
        <f>'Data Sheet'!E27</f>
        <v>12.78</v>
      </c>
      <c r="F10" s="9">
        <f>'Data Sheet'!F27</f>
        <v>11.05</v>
      </c>
      <c r="G10" s="9">
        <f>'Data Sheet'!G27</f>
        <v>8.1</v>
      </c>
      <c r="H10" s="9">
        <f>'Data Sheet'!H27</f>
        <v>6.35</v>
      </c>
      <c r="I10" s="9">
        <f>'Data Sheet'!I27</f>
        <v>5.01</v>
      </c>
      <c r="J10" s="9">
        <f>'Data Sheet'!J27</f>
        <v>7.85</v>
      </c>
      <c r="K10" s="9">
        <f>'Data Sheet'!K27</f>
        <v>8.25</v>
      </c>
      <c r="L10" s="202">
        <v>6</v>
      </c>
      <c r="M10" s="202">
        <v>6</v>
      </c>
      <c r="N10" s="202">
        <v>6</v>
      </c>
      <c r="O10" s="202">
        <v>6</v>
      </c>
      <c r="P10" s="202">
        <v>6</v>
      </c>
      <c r="Q10" s="9">
        <f>SUM(Quarters!H9:K9)</f>
        <v>9.57</v>
      </c>
      <c r="R10" s="9">
        <f>+$Q10</f>
        <v>9.57</v>
      </c>
      <c r="S10" s="9">
        <f>+$Q10</f>
        <v>9.57</v>
      </c>
    </row>
    <row r="11" spans="1:19" x14ac:dyDescent="0.3">
      <c r="A11" s="6" t="s">
        <v>11</v>
      </c>
      <c r="B11" s="9">
        <f>'Data Sheet'!B28</f>
        <v>34.26</v>
      </c>
      <c r="C11" s="9">
        <f>'Data Sheet'!C28</f>
        <v>43.61</v>
      </c>
      <c r="D11" s="9">
        <f>'Data Sheet'!D28</f>
        <v>44.5</v>
      </c>
      <c r="E11" s="9">
        <f>'Data Sheet'!E28</f>
        <v>40.04</v>
      </c>
      <c r="F11" s="9">
        <f>'Data Sheet'!F28</f>
        <v>50.16</v>
      </c>
      <c r="G11" s="9">
        <f>'Data Sheet'!G28</f>
        <v>62.96</v>
      </c>
      <c r="H11" s="9">
        <f>'Data Sheet'!H28</f>
        <v>64.760000000000005</v>
      </c>
      <c r="I11" s="9">
        <f>'Data Sheet'!I28</f>
        <v>74.72</v>
      </c>
      <c r="J11" s="9">
        <f>'Data Sheet'!J28</f>
        <v>79.63</v>
      </c>
      <c r="K11" s="9">
        <f>'Data Sheet'!K28</f>
        <v>102.58</v>
      </c>
      <c r="L11" s="9">
        <f>L6+L7-L8-L10</f>
        <v>93.327669000000014</v>
      </c>
      <c r="M11" s="9">
        <f t="shared" ref="M11:P11" si="4">M6+M7-M8-M10</f>
        <v>99.930605830000033</v>
      </c>
      <c r="N11" s="9">
        <f t="shared" si="4"/>
        <v>106.99574823810003</v>
      </c>
      <c r="O11" s="9">
        <f t="shared" si="4"/>
        <v>114.55545061476704</v>
      </c>
      <c r="P11" s="9">
        <f t="shared" si="4"/>
        <v>122.64433215780076</v>
      </c>
      <c r="Q11" s="9">
        <f>SUM(Quarters!H10:K10)</f>
        <v>83.25</v>
      </c>
      <c r="R11" s="9">
        <f>R6+R7-SUM(R8:R10)</f>
        <v>110.2759048608074</v>
      </c>
      <c r="S11" s="9">
        <f>S6+S7-SUM(S8:S10)</f>
        <v>86.071710326466956</v>
      </c>
    </row>
    <row r="12" spans="1:19" x14ac:dyDescent="0.3">
      <c r="A12" s="6" t="s">
        <v>12</v>
      </c>
      <c r="B12" s="9">
        <f>'Data Sheet'!B29</f>
        <v>4.8</v>
      </c>
      <c r="C12" s="9">
        <f>'Data Sheet'!C29</f>
        <v>6.23</v>
      </c>
      <c r="D12" s="9">
        <f>'Data Sheet'!D29</f>
        <v>13.04</v>
      </c>
      <c r="E12" s="9">
        <f>'Data Sheet'!E29</f>
        <v>12.65</v>
      </c>
      <c r="F12" s="9">
        <f>'Data Sheet'!F29</f>
        <v>9.7100000000000009</v>
      </c>
      <c r="G12" s="9">
        <f>'Data Sheet'!G29</f>
        <v>11.64</v>
      </c>
      <c r="H12" s="9">
        <f>'Data Sheet'!H29</f>
        <v>11.78</v>
      </c>
      <c r="I12" s="9">
        <f>'Data Sheet'!I29</f>
        <v>20.54</v>
      </c>
      <c r="J12" s="9">
        <f>'Data Sheet'!J29</f>
        <v>22.88</v>
      </c>
      <c r="K12" s="9">
        <f>'Data Sheet'!K29</f>
        <v>28.84</v>
      </c>
      <c r="L12" s="9">
        <f>L11*0.3</f>
        <v>27.998300700000005</v>
      </c>
      <c r="M12" s="9">
        <f t="shared" ref="M12:P12" si="5">M11*0.3</f>
        <v>29.979181749000009</v>
      </c>
      <c r="N12" s="9">
        <f t="shared" si="5"/>
        <v>32.09872447143001</v>
      </c>
      <c r="O12" s="9">
        <f t="shared" si="5"/>
        <v>34.366635184430109</v>
      </c>
      <c r="P12" s="9">
        <f t="shared" si="5"/>
        <v>36.793299647340227</v>
      </c>
      <c r="Q12" s="9">
        <f>SUM(Quarters!H11:K11)</f>
        <v>9.8000000000000007</v>
      </c>
      <c r="R12" s="10">
        <f>IF($Q11&gt;0,$Q12/$Q11,0)</f>
        <v>0.11771771771771773</v>
      </c>
      <c r="S12" s="10">
        <f>IF($Q11&gt;0,$Q12/$Q11,0)</f>
        <v>0.11771771771771773</v>
      </c>
    </row>
    <row r="13" spans="1:19" s="8" customFormat="1" x14ac:dyDescent="0.3">
      <c r="A13" s="8" t="s">
        <v>13</v>
      </c>
      <c r="B13" s="1">
        <f>'Data Sheet'!B30</f>
        <v>29.46</v>
      </c>
      <c r="C13" s="1">
        <f>'Data Sheet'!C30</f>
        <v>37.380000000000003</v>
      </c>
      <c r="D13" s="1">
        <f>'Data Sheet'!D30</f>
        <v>31.46</v>
      </c>
      <c r="E13" s="1">
        <f>'Data Sheet'!E30</f>
        <v>27.38</v>
      </c>
      <c r="F13" s="1">
        <f>'Data Sheet'!F30</f>
        <v>40.44</v>
      </c>
      <c r="G13" s="1">
        <f>'Data Sheet'!G30</f>
        <v>51.32</v>
      </c>
      <c r="H13" s="1">
        <f>'Data Sheet'!H30</f>
        <v>52.99</v>
      </c>
      <c r="I13" s="1">
        <f>'Data Sheet'!I30</f>
        <v>54.17</v>
      </c>
      <c r="J13" s="1">
        <f>'Data Sheet'!J30</f>
        <v>56.75</v>
      </c>
      <c r="K13" s="1">
        <f>'Data Sheet'!K30</f>
        <v>73.739999999999995</v>
      </c>
      <c r="L13" s="1">
        <f>L11-L12</f>
        <v>65.329368300000013</v>
      </c>
      <c r="M13" s="1">
        <f t="shared" ref="M13:P13" si="6">M11-M12</f>
        <v>69.951424081000027</v>
      </c>
      <c r="N13" s="1">
        <f t="shared" si="6"/>
        <v>74.897023766670031</v>
      </c>
      <c r="O13" s="1">
        <f t="shared" si="6"/>
        <v>80.18881543033693</v>
      </c>
      <c r="P13" s="1">
        <f t="shared" si="6"/>
        <v>85.851032510460527</v>
      </c>
      <c r="Q13" s="1">
        <f>SUM(Quarters!H12:K12)</f>
        <v>73.44</v>
      </c>
      <c r="R13" s="1">
        <f>R11-R12*R11</f>
        <v>97.294477021336974</v>
      </c>
      <c r="S13" s="1">
        <f>S11-S12*S11</f>
        <v>75.939545026774752</v>
      </c>
    </row>
    <row r="14" spans="1:19" x14ac:dyDescent="0.3">
      <c r="A14" s="11" t="s">
        <v>47</v>
      </c>
      <c r="B14" s="9">
        <f>IF('Data Sheet'!B93&gt;0,B13/'Data Sheet'!B93,0)</f>
        <v>28.601941747572816</v>
      </c>
      <c r="C14" s="9">
        <f>IF('Data Sheet'!C93&gt;0,C13/'Data Sheet'!C93,0)</f>
        <v>36.291262135922331</v>
      </c>
      <c r="D14" s="9">
        <f>IF('Data Sheet'!D93&gt;0,D13/'Data Sheet'!D93,0)</f>
        <v>30.543689320388349</v>
      </c>
      <c r="E14" s="9">
        <f>IF('Data Sheet'!E93&gt;0,E13/'Data Sheet'!E93,0)</f>
        <v>26.582524271844658</v>
      </c>
      <c r="F14" s="9">
        <f>IF('Data Sheet'!F93&gt;0,F13/'Data Sheet'!F93,0)</f>
        <v>39.262135922330096</v>
      </c>
      <c r="G14" s="9">
        <f>IF('Data Sheet'!G93&gt;0,G13/'Data Sheet'!G93,0)</f>
        <v>49.825242718446603</v>
      </c>
      <c r="H14" s="9">
        <f>IF('Data Sheet'!H93&gt;0,H13/'Data Sheet'!H93,0)</f>
        <v>51.446601941747574</v>
      </c>
      <c r="I14" s="9">
        <f>IF('Data Sheet'!I93&gt;0,I13/'Data Sheet'!I93,0)</f>
        <v>52.592233009708735</v>
      </c>
      <c r="J14" s="9">
        <f>IF('Data Sheet'!J93&gt;0,J13/'Data Sheet'!J93,0)</f>
        <v>55.097087378640772</v>
      </c>
      <c r="K14" s="9">
        <f>IF('Data Sheet'!K93&gt;0,K13/'Data Sheet'!K93,0)</f>
        <v>71.592233009708735</v>
      </c>
      <c r="L14" s="9">
        <f>L13*1.2</f>
        <v>78.395241960000007</v>
      </c>
      <c r="M14" s="9">
        <f t="shared" ref="M14:P14" si="7">M13*1.2</f>
        <v>83.94170889720003</v>
      </c>
      <c r="N14" s="9">
        <f t="shared" si="7"/>
        <v>89.87642852000404</v>
      </c>
      <c r="O14" s="9">
        <f t="shared" si="7"/>
        <v>96.226578516404317</v>
      </c>
      <c r="P14" s="9">
        <f t="shared" si="7"/>
        <v>103.02123901255263</v>
      </c>
      <c r="Q14" s="9">
        <f>IF('Data Sheet'!$B6&gt;0,'Profit &amp; Loss'!Q13/'Data Sheet'!$B6,0)</f>
        <v>71.32851473444228</v>
      </c>
      <c r="R14" s="9">
        <f>IF('Data Sheet'!$B6&gt;0,'Profit &amp; Loss'!R13/'Data Sheet'!$B6,0)</f>
        <v>94.497147845810062</v>
      </c>
      <c r="S14" s="9">
        <f>IF('Data Sheet'!$B6&gt;0,'Profit &amp; Loss'!S13/'Data Sheet'!$B6,0)</f>
        <v>73.756194939667026</v>
      </c>
    </row>
    <row r="15" spans="1:19" x14ac:dyDescent="0.3">
      <c r="A15" s="6" t="s">
        <v>15</v>
      </c>
      <c r="B15" s="9">
        <f>IF(B16&gt;0,B16/B14,"")</f>
        <v>3.148387644263408</v>
      </c>
      <c r="C15" s="9">
        <f t="shared" ref="C15:K15" si="8">IF(C16&gt;0,C16/C14,"")</f>
        <v>2.8023274478330658</v>
      </c>
      <c r="D15" s="9">
        <f t="shared" si="8"/>
        <v>3.4999046408137318</v>
      </c>
      <c r="E15" s="9">
        <f t="shared" si="8"/>
        <v>3.4496347699050407</v>
      </c>
      <c r="F15" s="9">
        <f t="shared" si="8"/>
        <v>4.0331478733926804</v>
      </c>
      <c r="G15" s="9">
        <f t="shared" si="8"/>
        <v>9.0436087295401411</v>
      </c>
      <c r="H15" s="9">
        <f t="shared" si="8"/>
        <v>9.8500188714851866</v>
      </c>
      <c r="I15" s="9">
        <f t="shared" si="8"/>
        <v>17.401809119438806</v>
      </c>
      <c r="J15" s="9">
        <f t="shared" si="8"/>
        <v>18.32674008810573</v>
      </c>
      <c r="K15" s="9">
        <f t="shared" si="8"/>
        <v>15.921419853539462</v>
      </c>
      <c r="L15" s="9">
        <f>L14*0.15</f>
        <v>11.759286294000001</v>
      </c>
      <c r="M15" s="9">
        <f t="shared" ref="M15:P15" si="9">M14*0.15</f>
        <v>12.591256334580004</v>
      </c>
      <c r="N15" s="9">
        <f t="shared" si="9"/>
        <v>13.481464278000606</v>
      </c>
      <c r="O15" s="9">
        <f t="shared" si="9"/>
        <v>14.433986777460646</v>
      </c>
      <c r="P15" s="9">
        <f t="shared" si="9"/>
        <v>15.453185851882893</v>
      </c>
      <c r="Q15" s="9">
        <f t="shared" ref="Q15" si="10">IF(Q14&gt;0,Q16/Q14,0)</f>
        <v>9.6756535947712425</v>
      </c>
      <c r="R15" s="9">
        <f>R26</f>
        <v>14.338311354642153</v>
      </c>
      <c r="S15" s="9">
        <f>S26</f>
        <v>9.6756535947712425</v>
      </c>
    </row>
    <row r="16" spans="1:19" s="8" customFormat="1" x14ac:dyDescent="0.3">
      <c r="A16" s="8" t="s">
        <v>48</v>
      </c>
      <c r="B16" s="1">
        <f>'Data Sheet'!B90</f>
        <v>90.05</v>
      </c>
      <c r="C16" s="1">
        <f>'Data Sheet'!C90</f>
        <v>101.7</v>
      </c>
      <c r="D16" s="1">
        <f>'Data Sheet'!D90</f>
        <v>106.9</v>
      </c>
      <c r="E16" s="1">
        <f>'Data Sheet'!E90</f>
        <v>91.7</v>
      </c>
      <c r="F16" s="1">
        <f>'Data Sheet'!F90</f>
        <v>158.35</v>
      </c>
      <c r="G16" s="1">
        <f>'Data Sheet'!G90</f>
        <v>450.6</v>
      </c>
      <c r="H16" s="1">
        <f>'Data Sheet'!H90</f>
        <v>506.75</v>
      </c>
      <c r="I16" s="1">
        <f>'Data Sheet'!I90</f>
        <v>915.2</v>
      </c>
      <c r="J16" s="1">
        <f>'Data Sheet'!J90</f>
        <v>1009.75</v>
      </c>
      <c r="K16" s="1">
        <f>'Data Sheet'!K90</f>
        <v>1139.8499999999999</v>
      </c>
      <c r="L16" s="1">
        <f>L14-L15</f>
        <v>66.635955666000001</v>
      </c>
      <c r="M16" s="1">
        <f t="shared" ref="M16:P16" si="11">M14-M15</f>
        <v>71.350452562620021</v>
      </c>
      <c r="N16" s="1">
        <f t="shared" si="11"/>
        <v>76.394964242003439</v>
      </c>
      <c r="O16" s="1">
        <f t="shared" si="11"/>
        <v>81.792591738943671</v>
      </c>
      <c r="P16" s="1">
        <f t="shared" si="11"/>
        <v>87.568053160669734</v>
      </c>
      <c r="Q16" s="1">
        <f>'Data Sheet'!B8</f>
        <v>690.15</v>
      </c>
      <c r="R16" s="12">
        <f>R14*R15</f>
        <v>1354.9295279388766</v>
      </c>
      <c r="S16" s="13">
        <f>S14*S15</f>
        <v>713.63939270463777</v>
      </c>
    </row>
    <row r="18" spans="1:19" s="8" customFormat="1" x14ac:dyDescent="0.3">
      <c r="A18" s="8" t="s">
        <v>14</v>
      </c>
    </row>
    <row r="19" spans="1:19" x14ac:dyDescent="0.3">
      <c r="A19" s="6" t="s">
        <v>16</v>
      </c>
      <c r="B19" s="7">
        <f>IF('Data Sheet'!B30&gt;0, 'Data Sheet'!B31/'Data Sheet'!B30, 0)</f>
        <v>0.13985064494229463</v>
      </c>
      <c r="C19" s="7">
        <f>IF('Data Sheet'!C30&gt;0, 'Data Sheet'!C31/'Data Sheet'!C30, 0)</f>
        <v>0.11021936864633493</v>
      </c>
      <c r="D19" s="7">
        <f>IF('Data Sheet'!D30&gt;0, 'Data Sheet'!D31/'Data Sheet'!D30, 0)</f>
        <v>0.16401780038143673</v>
      </c>
      <c r="E19" s="7">
        <f>IF('Data Sheet'!E30&gt;0, 'Data Sheet'!E31/'Data Sheet'!E30, 0)</f>
        <v>0.18845872899926955</v>
      </c>
      <c r="F19" s="7">
        <f>IF('Data Sheet'!F30&gt;0, 'Data Sheet'!F31/'Data Sheet'!F30, 0)</f>
        <v>0.17853610286844709</v>
      </c>
      <c r="G19" s="7">
        <f>IF('Data Sheet'!G30&gt;0, 'Data Sheet'!G31/'Data Sheet'!G30, 0)</f>
        <v>0.17069368667186283</v>
      </c>
      <c r="H19" s="7">
        <f>IF('Data Sheet'!H30&gt;0, 'Data Sheet'!H31/'Data Sheet'!H30, 0)</f>
        <v>0.16531421022834497</v>
      </c>
      <c r="I19" s="7">
        <f>IF('Data Sheet'!I30&gt;0, 'Data Sheet'!I31/'Data Sheet'!I30, 0)</f>
        <v>0.19032674912313088</v>
      </c>
      <c r="J19" s="7">
        <f>IF('Data Sheet'!J30&gt;0, 'Data Sheet'!J31/'Data Sheet'!J30, 0)</f>
        <v>0.18167400881057269</v>
      </c>
      <c r="K19" s="7">
        <f>IF('Data Sheet'!K30&gt;0, 'Data Sheet'!K31/'Data Sheet'!K30, 0)</f>
        <v>0.16286954163276376</v>
      </c>
      <c r="L19" s="7"/>
      <c r="M19" s="7"/>
      <c r="N19" s="7"/>
      <c r="O19" s="7"/>
      <c r="P19" s="7"/>
    </row>
    <row r="20" spans="1:19" x14ac:dyDescent="0.3">
      <c r="A20" s="6" t="s">
        <v>17</v>
      </c>
      <c r="B20" s="7">
        <f t="shared" ref="B20:Q20" si="12">IF(B6&gt;0,B6/B4,0)</f>
        <v>0.30299896587383651</v>
      </c>
      <c r="C20" s="7">
        <f t="shared" ref="C20:K20" si="13">IF(C6&gt;0,C6/C4,0)</f>
        <v>0.30318847871203058</v>
      </c>
      <c r="D20" s="7">
        <f t="shared" si="13"/>
        <v>0.25750619777798184</v>
      </c>
      <c r="E20" s="7">
        <f t="shared" si="13"/>
        <v>0.25526724329119543</v>
      </c>
      <c r="F20" s="7">
        <f t="shared" si="13"/>
        <v>0.26282002292701556</v>
      </c>
      <c r="G20" s="7">
        <f t="shared" si="13"/>
        <v>0.25635218345247363</v>
      </c>
      <c r="H20" s="7">
        <f t="shared" si="13"/>
        <v>0.30026196362026347</v>
      </c>
      <c r="I20" s="7">
        <f t="shared" si="13"/>
        <v>0.30019165461820391</v>
      </c>
      <c r="J20" s="7">
        <f t="shared" si="13"/>
        <v>0.30452103020196403</v>
      </c>
      <c r="K20" s="7">
        <f t="shared" si="13"/>
        <v>0.31683581622270357</v>
      </c>
      <c r="L20" s="7"/>
      <c r="M20" s="7"/>
      <c r="N20" s="7"/>
      <c r="O20" s="7"/>
      <c r="P20" s="7"/>
      <c r="Q20" s="7">
        <f t="shared" si="12"/>
        <v>0.28040568625820933</v>
      </c>
    </row>
    <row r="21" spans="1:19" x14ac:dyDescent="0.3">
      <c r="B21" s="7"/>
      <c r="C21" s="7"/>
      <c r="D21" s="7"/>
      <c r="E21" s="7"/>
      <c r="F21" s="7"/>
      <c r="G21" s="7"/>
      <c r="H21" s="7"/>
      <c r="I21" s="7"/>
      <c r="J21" s="7"/>
      <c r="K21" s="7"/>
      <c r="L21" s="7"/>
      <c r="M21" s="7"/>
      <c r="N21" s="7"/>
      <c r="O21" s="7"/>
      <c r="P21" s="7"/>
      <c r="Q21" s="7"/>
    </row>
    <row r="22" spans="1:19" x14ac:dyDescent="0.3">
      <c r="B22" s="7"/>
      <c r="C22" s="7"/>
      <c r="D22" s="7"/>
      <c r="E22" s="7"/>
      <c r="F22" s="7"/>
      <c r="G22" s="7"/>
      <c r="H22" s="7"/>
      <c r="I22" s="7"/>
      <c r="J22" s="7"/>
      <c r="K22" s="7"/>
      <c r="L22" s="7"/>
      <c r="M22" s="7"/>
      <c r="N22" s="7"/>
      <c r="O22" s="7"/>
      <c r="P22" s="7"/>
      <c r="Q22" s="7"/>
    </row>
    <row r="23" spans="1:19" s="2" customFormat="1" x14ac:dyDescent="0.3">
      <c r="A23" s="15"/>
      <c r="B23" s="16"/>
      <c r="C23" s="16"/>
      <c r="D23" s="16"/>
      <c r="E23" s="16"/>
      <c r="F23" s="16"/>
      <c r="G23" s="16" t="s">
        <v>18</v>
      </c>
      <c r="H23" s="16" t="s">
        <v>55</v>
      </c>
      <c r="I23" s="16" t="s">
        <v>56</v>
      </c>
      <c r="J23" s="16" t="s">
        <v>57</v>
      </c>
      <c r="K23" s="16" t="s">
        <v>58</v>
      </c>
      <c r="L23" s="16"/>
      <c r="M23" s="16"/>
      <c r="N23" s="16"/>
      <c r="O23" s="16"/>
      <c r="P23" s="16"/>
      <c r="Q23" s="17" t="s">
        <v>59</v>
      </c>
      <c r="R23" s="17" t="s">
        <v>19</v>
      </c>
      <c r="S23" s="17" t="s">
        <v>20</v>
      </c>
    </row>
    <row r="24" spans="1:19" s="8" customFormat="1" x14ac:dyDescent="0.3">
      <c r="A24" s="6"/>
      <c r="B24" s="6"/>
      <c r="C24" s="6"/>
      <c r="D24" s="6"/>
      <c r="E24" s="6"/>
      <c r="F24" s="6"/>
      <c r="G24" s="6" t="s">
        <v>21</v>
      </c>
      <c r="H24" s="7">
        <f>IF(B4=0,"",POWER($K4/B4,1/9)-1)</f>
        <v>0.13186673344330524</v>
      </c>
      <c r="I24" s="7">
        <f>IF(D4=0,"",POWER($K4/D4,1/7)-1)</f>
        <v>8.4080145878033141E-2</v>
      </c>
      <c r="J24" s="7">
        <f>IF(F4=0,"",POWER($K4/F4,1/5)-1)</f>
        <v>7.9306402219170957E-2</v>
      </c>
      <c r="K24" s="7">
        <f>IF(H4=0,"",POWER($K4/H4, 1/3)-1)</f>
        <v>0.1224578490674475</v>
      </c>
      <c r="L24" s="7"/>
      <c r="M24" s="7"/>
      <c r="N24" s="7"/>
      <c r="O24" s="7"/>
      <c r="P24" s="7"/>
      <c r="Q24" s="7">
        <f>IF(ISERROR(MAX(IF(J4=0,"",(K4-J4)/J4),IF(K4=0,"",(Q4-K4)/K4))),"",MAX(IF(J4=0,"",(K4-J4)/J4),IF(K4=0,"",(Q4-K4)/K4)))</f>
        <v>0.18365141127787052</v>
      </c>
      <c r="R24" s="22">
        <f>MAX(K24:Q24)</f>
        <v>0.18365141127787052</v>
      </c>
      <c r="S24" s="22">
        <f>MIN(H24:Q24)</f>
        <v>7.9306402219170957E-2</v>
      </c>
    </row>
    <row r="25" spans="1:19" x14ac:dyDescent="0.3">
      <c r="G25" s="6" t="s">
        <v>17</v>
      </c>
      <c r="H25" s="7">
        <f>IF(SUM(B4:$K$4)=0,"",SUMPRODUCT(B20:$K$20,B4:$K$4)/SUM(B4:$K$4))</f>
        <v>0.28725341664638787</v>
      </c>
      <c r="I25" s="7">
        <f>IF(SUM(E4:$K$4)=0,"",SUMPRODUCT(E20:$K$20,E4:$K$4)/SUM(E4:$K$4))</f>
        <v>0.28821481655323478</v>
      </c>
      <c r="J25" s="7">
        <f>IF(SUM(G4:$K$4)=0,"",SUMPRODUCT(G20:$K$20,G4:$K$4)/SUM(G4:$K$4))</f>
        <v>0.29724734136432784</v>
      </c>
      <c r="K25" s="7">
        <f>IF(SUM(I4:$K$4)=0, "", SUMPRODUCT(I20:$K$20,I4:$K$4)/SUM(I4:$K$4))</f>
        <v>0.30793811969896073</v>
      </c>
      <c r="L25" s="7"/>
      <c r="M25" s="7"/>
      <c r="N25" s="7"/>
      <c r="O25" s="7"/>
      <c r="P25" s="7"/>
      <c r="Q25" s="7">
        <f>Q20</f>
        <v>0.28040568625820933</v>
      </c>
      <c r="R25" s="22">
        <f>MAX(K25:Q25)</f>
        <v>0.30793811969896073</v>
      </c>
      <c r="S25" s="22">
        <f>MIN(H25:Q25)</f>
        <v>0.28040568625820933</v>
      </c>
    </row>
    <row r="26" spans="1:19" x14ac:dyDescent="0.3">
      <c r="G26" s="6" t="s">
        <v>22</v>
      </c>
      <c r="H26" s="9">
        <f>IF(ISERROR(AVERAGEIF(B15:$Q15,"&gt;0")),"",AVERAGEIF(B15:$Q15,"&gt;0"))</f>
        <v>10.30448951056329</v>
      </c>
      <c r="I26" s="9">
        <f>IF(ISERROR(AVERAGEIF(E15:$Q15,"&gt;0")),"",AVERAGEIF(E15:$Q15,"&gt;0"))</f>
        <v>11.955477879700188</v>
      </c>
      <c r="J26" s="9">
        <f>IF(ISERROR(AVERAGEIF(G15:$Q15,"&gt;0")),"",AVERAGEIF(G15:$Q15,"&gt;0"))</f>
        <v>13.448948162982248</v>
      </c>
      <c r="K26" s="9">
        <f>IF(ISERROR(AVERAGEIF(I15:$Q15,"&gt;0")),"",AVERAGEIF(I15:$Q15,"&gt;0"))</f>
        <v>14.338311354642153</v>
      </c>
      <c r="L26" s="9"/>
      <c r="M26" s="9"/>
      <c r="N26" s="9"/>
      <c r="O26" s="9"/>
      <c r="P26" s="9"/>
      <c r="Q26" s="9">
        <f>Q15</f>
        <v>9.6756535947712425</v>
      </c>
      <c r="R26" s="1">
        <f>MAX(K26:Q26)</f>
        <v>14.338311354642153</v>
      </c>
      <c r="S26" s="1">
        <f>MIN(H26:Q26)</f>
        <v>9.6756535947712425</v>
      </c>
    </row>
  </sheetData>
  <hyperlinks>
    <hyperlink ref="R1" r:id="rId1" xr:uid="{00000000-0004-0000-0000-000000000000}"/>
  </hyperlinks>
  <printOptions gridLines="1"/>
  <pageMargins left="0.7" right="0.7" top="0.75" bottom="0.75" header="0.3" footer="0.3"/>
  <pageSetup paperSize="9" orientation="landscape" horizontalDpi="300" verticalDpi="300"/>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22"/>
  <sheetViews>
    <sheetView workbookViewId="0">
      <pane xSplit="1" ySplit="3" topLeftCell="B4" activePane="bottomRight" state="frozen"/>
      <selection pane="topRight" activeCell="B1" sqref="B1"/>
      <selection pane="bottomLeft" activeCell="A4" sqref="A4"/>
      <selection pane="bottomRight" activeCell="A7" activeCellId="1" sqref="A3:K3 A7:K7"/>
    </sheetView>
    <sheetView workbookViewId="1"/>
  </sheetViews>
  <sheetFormatPr defaultColWidth="8.77734375" defaultRowHeight="14.4" x14ac:dyDescent="0.3"/>
  <cols>
    <col min="1" max="1" width="20.6640625" style="6" customWidth="1"/>
    <col min="2" max="11" width="13.44140625" style="6" bestFit="1" customWidth="1"/>
    <col min="12" max="16384" width="8.77734375" style="6"/>
  </cols>
  <sheetData>
    <row r="1" spans="1:11" s="8" customFormat="1" x14ac:dyDescent="0.3">
      <c r="A1" s="8" t="str">
        <f>'Profit &amp; Loss'!A1</f>
        <v>ORIENTAL CARBON &amp; CHEMICALS LTD</v>
      </c>
      <c r="E1" t="str">
        <f>UPDATE</f>
        <v/>
      </c>
      <c r="J1" s="4" t="s">
        <v>1</v>
      </c>
      <c r="K1" s="4"/>
    </row>
    <row r="3" spans="1:11" s="2" customFormat="1" x14ac:dyDescent="0.3">
      <c r="A3" s="15" t="s">
        <v>2</v>
      </c>
      <c r="B3" s="16">
        <f>'Data Sheet'!B41</f>
        <v>43008</v>
      </c>
      <c r="C3" s="16">
        <f>'Data Sheet'!C41</f>
        <v>43100</v>
      </c>
      <c r="D3" s="16">
        <f>'Data Sheet'!D41</f>
        <v>43190</v>
      </c>
      <c r="E3" s="16">
        <f>'Data Sheet'!E41</f>
        <v>43281</v>
      </c>
      <c r="F3" s="16">
        <f>'Data Sheet'!F41</f>
        <v>43373</v>
      </c>
      <c r="G3" s="16">
        <f>'Data Sheet'!G41</f>
        <v>43465</v>
      </c>
      <c r="H3" s="16">
        <f>'Data Sheet'!H41</f>
        <v>43555</v>
      </c>
      <c r="I3" s="16">
        <f>'Data Sheet'!I41</f>
        <v>43646</v>
      </c>
      <c r="J3" s="16">
        <f>'Data Sheet'!J41</f>
        <v>43738</v>
      </c>
      <c r="K3" s="16">
        <f>'Data Sheet'!K41</f>
        <v>43830</v>
      </c>
    </row>
    <row r="4" spans="1:11" s="8" customFormat="1" x14ac:dyDescent="0.3">
      <c r="A4" s="8" t="s">
        <v>5</v>
      </c>
      <c r="B4" s="1">
        <f>'Data Sheet'!B42</f>
        <v>74.72</v>
      </c>
      <c r="C4" s="1">
        <f>'Data Sheet'!C42</f>
        <v>86.25</v>
      </c>
      <c r="D4" s="1">
        <f>'Data Sheet'!D42</f>
        <v>89.82</v>
      </c>
      <c r="E4" s="1">
        <f>'Data Sheet'!E42</f>
        <v>92.03</v>
      </c>
      <c r="F4" s="1">
        <f>'Data Sheet'!F42</f>
        <v>98.47</v>
      </c>
      <c r="G4" s="1">
        <f>'Data Sheet'!G42</f>
        <v>94.48</v>
      </c>
      <c r="H4" s="1">
        <f>'Data Sheet'!H42</f>
        <v>102.66</v>
      </c>
      <c r="I4" s="1">
        <f>'Data Sheet'!I42</f>
        <v>93.18</v>
      </c>
      <c r="J4" s="1">
        <f>'Data Sheet'!J42</f>
        <v>84.92</v>
      </c>
      <c r="K4" s="1">
        <f>'Data Sheet'!K42</f>
        <v>80.11</v>
      </c>
    </row>
    <row r="5" spans="1:11" x14ac:dyDescent="0.3">
      <c r="A5" s="6" t="s">
        <v>6</v>
      </c>
      <c r="B5" s="9">
        <f>'Data Sheet'!B43</f>
        <v>52.1</v>
      </c>
      <c r="C5" s="9">
        <f>'Data Sheet'!C43</f>
        <v>60.16</v>
      </c>
      <c r="D5" s="9">
        <f>'Data Sheet'!D43</f>
        <v>65.58</v>
      </c>
      <c r="E5" s="9">
        <f>'Data Sheet'!E43</f>
        <v>64.97</v>
      </c>
      <c r="F5" s="9">
        <f>'Data Sheet'!F43</f>
        <v>68.150000000000006</v>
      </c>
      <c r="G5" s="9">
        <f>'Data Sheet'!G43</f>
        <v>59.99</v>
      </c>
      <c r="H5" s="9">
        <f>'Data Sheet'!H43</f>
        <v>74.510000000000005</v>
      </c>
      <c r="I5" s="9">
        <f>'Data Sheet'!I43</f>
        <v>68.72</v>
      </c>
      <c r="J5" s="9">
        <f>'Data Sheet'!J43</f>
        <v>59.34</v>
      </c>
      <c r="K5" s="9">
        <f>'Data Sheet'!K43</f>
        <v>57.11</v>
      </c>
    </row>
    <row r="6" spans="1:11" s="8" customFormat="1" x14ac:dyDescent="0.3">
      <c r="A6" s="8" t="s">
        <v>7</v>
      </c>
      <c r="B6" s="1">
        <f>'Data Sheet'!B50</f>
        <v>22.62</v>
      </c>
      <c r="C6" s="1">
        <f>'Data Sheet'!C50</f>
        <v>26.09</v>
      </c>
      <c r="D6" s="1">
        <f>'Data Sheet'!D50</f>
        <v>24.24</v>
      </c>
      <c r="E6" s="1">
        <f>'Data Sheet'!E50</f>
        <v>27.06</v>
      </c>
      <c r="F6" s="1">
        <f>'Data Sheet'!F50</f>
        <v>30.32</v>
      </c>
      <c r="G6" s="1">
        <f>'Data Sheet'!G50</f>
        <v>34.49</v>
      </c>
      <c r="H6" s="1">
        <f>'Data Sheet'!H50</f>
        <v>28.15</v>
      </c>
      <c r="I6" s="1">
        <f>'Data Sheet'!I50</f>
        <v>24.46</v>
      </c>
      <c r="J6" s="1">
        <f>'Data Sheet'!J50</f>
        <v>25.58</v>
      </c>
      <c r="K6" s="1">
        <f>'Data Sheet'!K50</f>
        <v>23</v>
      </c>
    </row>
    <row r="7" spans="1:11" x14ac:dyDescent="0.3">
      <c r="A7" s="6" t="s">
        <v>8</v>
      </c>
      <c r="B7" s="9">
        <f>'Data Sheet'!B44</f>
        <v>1.38</v>
      </c>
      <c r="C7" s="9">
        <f>'Data Sheet'!C44</f>
        <v>1.37</v>
      </c>
      <c r="D7" s="9">
        <f>'Data Sheet'!D44</f>
        <v>1.55</v>
      </c>
      <c r="E7" s="9">
        <f>'Data Sheet'!E44</f>
        <v>1.53</v>
      </c>
      <c r="F7" s="9">
        <f>'Data Sheet'!F44</f>
        <v>1.23</v>
      </c>
      <c r="G7" s="9">
        <f>'Data Sheet'!G44</f>
        <v>1.64</v>
      </c>
      <c r="H7" s="9">
        <f>'Data Sheet'!H44</f>
        <v>5</v>
      </c>
      <c r="I7" s="9">
        <f>'Data Sheet'!I44</f>
        <v>2.1</v>
      </c>
      <c r="J7" s="9">
        <f>'Data Sheet'!J44</f>
        <v>2.5499999999999998</v>
      </c>
      <c r="K7" s="9">
        <f>'Data Sheet'!K44</f>
        <v>1.84</v>
      </c>
    </row>
    <row r="8" spans="1:11" x14ac:dyDescent="0.3">
      <c r="A8" s="6" t="s">
        <v>9</v>
      </c>
      <c r="B8" s="9">
        <f>'Data Sheet'!B45</f>
        <v>4.08</v>
      </c>
      <c r="C8" s="9">
        <f>'Data Sheet'!C45</f>
        <v>4.0599999999999996</v>
      </c>
      <c r="D8" s="9">
        <f>'Data Sheet'!D45</f>
        <v>4.07</v>
      </c>
      <c r="E8" s="9">
        <f>'Data Sheet'!E45</f>
        <v>4.1900000000000004</v>
      </c>
      <c r="F8" s="9">
        <f>'Data Sheet'!F45</f>
        <v>4.74</v>
      </c>
      <c r="G8" s="9">
        <f>'Data Sheet'!G45</f>
        <v>4.8600000000000003</v>
      </c>
      <c r="H8" s="9">
        <f>'Data Sheet'!H45</f>
        <v>4.8099999999999996</v>
      </c>
      <c r="I8" s="9">
        <f>'Data Sheet'!I45</f>
        <v>4.92</v>
      </c>
      <c r="J8" s="9">
        <f>'Data Sheet'!J45</f>
        <v>5.0999999999999996</v>
      </c>
      <c r="K8" s="9">
        <f>'Data Sheet'!K45</f>
        <v>5.03</v>
      </c>
    </row>
    <row r="9" spans="1:11" x14ac:dyDescent="0.3">
      <c r="A9" s="6" t="s">
        <v>10</v>
      </c>
      <c r="B9" s="9">
        <f>'Data Sheet'!B46</f>
        <v>1.99</v>
      </c>
      <c r="C9" s="9">
        <f>'Data Sheet'!C46</f>
        <v>2.06</v>
      </c>
      <c r="D9" s="9">
        <f>'Data Sheet'!D46</f>
        <v>1.86</v>
      </c>
      <c r="E9" s="9">
        <f>'Data Sheet'!E46</f>
        <v>1.76</v>
      </c>
      <c r="F9" s="9">
        <f>'Data Sheet'!F46</f>
        <v>2.0699999999999998</v>
      </c>
      <c r="G9" s="9">
        <f>'Data Sheet'!G46</f>
        <v>2</v>
      </c>
      <c r="H9" s="9">
        <f>'Data Sheet'!H46</f>
        <v>2.41</v>
      </c>
      <c r="I9" s="9">
        <f>'Data Sheet'!I46</f>
        <v>2.5</v>
      </c>
      <c r="J9" s="9">
        <f>'Data Sheet'!J46</f>
        <v>2.34</v>
      </c>
      <c r="K9" s="9">
        <f>'Data Sheet'!K46</f>
        <v>2.3199999999999998</v>
      </c>
    </row>
    <row r="10" spans="1:11" x14ac:dyDescent="0.3">
      <c r="A10" s="6" t="s">
        <v>11</v>
      </c>
      <c r="B10" s="9">
        <f>'Data Sheet'!B47</f>
        <v>17.93</v>
      </c>
      <c r="C10" s="9">
        <f>'Data Sheet'!C47</f>
        <v>21.34</v>
      </c>
      <c r="D10" s="9">
        <f>'Data Sheet'!D47</f>
        <v>19.86</v>
      </c>
      <c r="E10" s="9">
        <f>'Data Sheet'!E47</f>
        <v>22.64</v>
      </c>
      <c r="F10" s="9">
        <f>'Data Sheet'!F47</f>
        <v>24.74</v>
      </c>
      <c r="G10" s="9">
        <f>'Data Sheet'!G47</f>
        <v>29.27</v>
      </c>
      <c r="H10" s="9">
        <f>'Data Sheet'!H47</f>
        <v>25.93</v>
      </c>
      <c r="I10" s="9">
        <f>'Data Sheet'!I47</f>
        <v>19.14</v>
      </c>
      <c r="J10" s="9">
        <f>'Data Sheet'!J47</f>
        <v>20.69</v>
      </c>
      <c r="K10" s="9">
        <f>'Data Sheet'!K47</f>
        <v>17.489999999999998</v>
      </c>
    </row>
    <row r="11" spans="1:11" x14ac:dyDescent="0.3">
      <c r="A11" s="6" t="s">
        <v>12</v>
      </c>
      <c r="B11" s="9">
        <f>'Data Sheet'!B48</f>
        <v>5.5</v>
      </c>
      <c r="C11" s="9">
        <f>'Data Sheet'!C48</f>
        <v>6.06</v>
      </c>
      <c r="D11" s="9">
        <f>'Data Sheet'!D48</f>
        <v>5.37</v>
      </c>
      <c r="E11" s="9">
        <f>'Data Sheet'!E48</f>
        <v>6.24</v>
      </c>
      <c r="F11" s="9">
        <f>'Data Sheet'!F48</f>
        <v>7.08</v>
      </c>
      <c r="G11" s="9">
        <f>'Data Sheet'!G48</f>
        <v>8.61</v>
      </c>
      <c r="H11" s="9">
        <f>'Data Sheet'!H48</f>
        <v>6.91</v>
      </c>
      <c r="I11" s="9">
        <f>'Data Sheet'!I48</f>
        <v>-3.55</v>
      </c>
      <c r="J11" s="9">
        <f>'Data Sheet'!J48</f>
        <v>4.9400000000000004</v>
      </c>
      <c r="K11" s="9">
        <f>'Data Sheet'!K48</f>
        <v>1.5</v>
      </c>
    </row>
    <row r="12" spans="1:11" s="8" customFormat="1" x14ac:dyDescent="0.3">
      <c r="A12" s="8" t="s">
        <v>13</v>
      </c>
      <c r="B12" s="1">
        <f>'Data Sheet'!B49</f>
        <v>12.42</v>
      </c>
      <c r="C12" s="1">
        <f>'Data Sheet'!C49</f>
        <v>15.28</v>
      </c>
      <c r="D12" s="1">
        <f>'Data Sheet'!D49</f>
        <v>14.49</v>
      </c>
      <c r="E12" s="1">
        <f>'Data Sheet'!E49</f>
        <v>16.399999999999999</v>
      </c>
      <c r="F12" s="1">
        <f>'Data Sheet'!F49</f>
        <v>17.649999999999999</v>
      </c>
      <c r="G12" s="1">
        <f>'Data Sheet'!G49</f>
        <v>20.66</v>
      </c>
      <c r="H12" s="1">
        <f>'Data Sheet'!H49</f>
        <v>19.02</v>
      </c>
      <c r="I12" s="1">
        <f>'Data Sheet'!I49</f>
        <v>22.69</v>
      </c>
      <c r="J12" s="1">
        <f>'Data Sheet'!J49</f>
        <v>15.75</v>
      </c>
      <c r="K12" s="1">
        <f>'Data Sheet'!K49</f>
        <v>15.98</v>
      </c>
    </row>
    <row r="14" spans="1:11" s="8" customFormat="1" x14ac:dyDescent="0.3">
      <c r="A14" s="2" t="s">
        <v>17</v>
      </c>
      <c r="B14" s="14">
        <f>IF(B4&gt;0,B6/B4,"")</f>
        <v>0.30273019271948609</v>
      </c>
      <c r="C14" s="14">
        <f t="shared" ref="C14:K14" si="0">IF(C4&gt;0,C6/C4,"")</f>
        <v>0.30249275362318839</v>
      </c>
      <c r="D14" s="14">
        <f t="shared" si="0"/>
        <v>0.26987307949231798</v>
      </c>
      <c r="E14" s="14">
        <f t="shared" si="0"/>
        <v>0.29403455394979894</v>
      </c>
      <c r="F14" s="14">
        <f t="shared" si="0"/>
        <v>0.30791103889509497</v>
      </c>
      <c r="G14" s="14">
        <f t="shared" si="0"/>
        <v>0.36505080440304827</v>
      </c>
      <c r="H14" s="14">
        <f t="shared" si="0"/>
        <v>0.27420611728034289</v>
      </c>
      <c r="I14" s="14">
        <f t="shared" si="0"/>
        <v>0.26250268297918006</v>
      </c>
      <c r="J14" s="14">
        <f t="shared" si="0"/>
        <v>0.30122468205369757</v>
      </c>
      <c r="K14" s="14">
        <f t="shared" si="0"/>
        <v>0.28710523030832608</v>
      </c>
    </row>
    <row r="22" s="26" customFormat="1" x14ac:dyDescent="0.3"/>
  </sheetData>
  <hyperlinks>
    <hyperlink ref="J1" r:id="rId1" xr:uid="{00000000-0004-0000-0100-000000000000}"/>
  </hyperlinks>
  <printOptions gridLines="1"/>
  <pageMargins left="0.7" right="0.7" top="0.75" bottom="0.75" header="0.3" footer="0.3"/>
  <pageSetup paperSize="9" scale="83" orientation="landscape" horizontalDpi="300" verticalDpi="300"/>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37"/>
  <sheetViews>
    <sheetView workbookViewId="0">
      <pane xSplit="1" ySplit="3" topLeftCell="B4" activePane="bottomRight" state="frozen"/>
      <selection activeCell="C4" sqref="C4"/>
      <selection pane="topRight" activeCell="C4" sqref="C4"/>
      <selection pane="bottomLeft" activeCell="C4" sqref="C4"/>
      <selection pane="bottomRight" activeCell="B12" sqref="B12:K12"/>
    </sheetView>
    <sheetView workbookViewId="1"/>
  </sheetViews>
  <sheetFormatPr defaultColWidth="8.77734375" defaultRowHeight="14.4" x14ac:dyDescent="0.3"/>
  <cols>
    <col min="1" max="1" width="22.77734375" style="11" bestFit="1" customWidth="1"/>
    <col min="2" max="11" width="12.33203125" style="11" customWidth="1"/>
    <col min="12" max="16384" width="8.77734375" style="11"/>
  </cols>
  <sheetData>
    <row r="1" spans="1:11" s="8" customFormat="1" x14ac:dyDescent="0.3">
      <c r="A1" s="8" t="str">
        <f>'Profit &amp; Loss'!A1</f>
        <v>ORIENTAL CARBON &amp; CHEMICALS LTD</v>
      </c>
      <c r="E1" t="str">
        <f>UPDATE</f>
        <v/>
      </c>
      <c r="G1"/>
      <c r="J1" s="4" t="s">
        <v>1</v>
      </c>
      <c r="K1" s="4"/>
    </row>
    <row r="2" spans="1:11" x14ac:dyDescent="0.3">
      <c r="G2" s="8"/>
      <c r="H2" s="8"/>
    </row>
    <row r="3" spans="1:11" s="18" customFormat="1" x14ac:dyDescent="0.3">
      <c r="A3" s="15" t="s">
        <v>2</v>
      </c>
      <c r="B3" s="16">
        <f>'Data Sheet'!B56</f>
        <v>40268</v>
      </c>
      <c r="C3" s="16">
        <f>'Data Sheet'!C56</f>
        <v>40633</v>
      </c>
      <c r="D3" s="16">
        <f>'Data Sheet'!D56</f>
        <v>40999</v>
      </c>
      <c r="E3" s="16">
        <f>'Data Sheet'!E56</f>
        <v>41364</v>
      </c>
      <c r="F3" s="16">
        <f>'Data Sheet'!F56</f>
        <v>41729</v>
      </c>
      <c r="G3" s="16">
        <f>'Data Sheet'!G56</f>
        <v>42094</v>
      </c>
      <c r="H3" s="16">
        <f>'Data Sheet'!H56</f>
        <v>42460</v>
      </c>
      <c r="I3" s="16">
        <f>'Data Sheet'!I56</f>
        <v>42825</v>
      </c>
      <c r="J3" s="16">
        <f>'Data Sheet'!J56</f>
        <v>43190</v>
      </c>
      <c r="K3" s="16">
        <f>'Data Sheet'!K56</f>
        <v>43555</v>
      </c>
    </row>
    <row r="4" spans="1:11" x14ac:dyDescent="0.3">
      <c r="A4" s="6" t="s">
        <v>23</v>
      </c>
      <c r="B4" s="19">
        <f>'Data Sheet'!B57</f>
        <v>10.31</v>
      </c>
      <c r="C4" s="19">
        <f>'Data Sheet'!C57</f>
        <v>10.31</v>
      </c>
      <c r="D4" s="19">
        <f>'Data Sheet'!D57</f>
        <v>10.31</v>
      </c>
      <c r="E4" s="19">
        <f>'Data Sheet'!E57</f>
        <v>10.31</v>
      </c>
      <c r="F4" s="19">
        <f>'Data Sheet'!F57</f>
        <v>10.31</v>
      </c>
      <c r="G4" s="19">
        <f>'Data Sheet'!G57</f>
        <v>10.31</v>
      </c>
      <c r="H4" s="19">
        <f>'Data Sheet'!H57</f>
        <v>10.31</v>
      </c>
      <c r="I4" s="19">
        <f>'Data Sheet'!I57</f>
        <v>10.31</v>
      </c>
      <c r="J4" s="19">
        <f>'Data Sheet'!J57</f>
        <v>10.31</v>
      </c>
      <c r="K4" s="19">
        <f>'Data Sheet'!K57</f>
        <v>10.01</v>
      </c>
    </row>
    <row r="5" spans="1:11" s="6" customFormat="1" x14ac:dyDescent="0.3">
      <c r="A5" s="6" t="s">
        <v>24</v>
      </c>
      <c r="B5" s="19">
        <f>'Data Sheet'!B58</f>
        <v>82.47</v>
      </c>
      <c r="C5" s="19">
        <f>'Data Sheet'!C58</f>
        <v>114.97</v>
      </c>
      <c r="D5" s="19">
        <f>'Data Sheet'!D58</f>
        <v>140.34</v>
      </c>
      <c r="E5" s="19">
        <f>'Data Sheet'!E58</f>
        <v>161.63</v>
      </c>
      <c r="F5" s="19">
        <f>'Data Sheet'!F58</f>
        <v>193.55</v>
      </c>
      <c r="G5" s="19">
        <f>'Data Sheet'!G58</f>
        <v>233.87</v>
      </c>
      <c r="H5" s="19">
        <f>'Data Sheet'!H58</f>
        <v>276.33</v>
      </c>
      <c r="I5" s="19">
        <f>'Data Sheet'!I58</f>
        <v>332.57</v>
      </c>
      <c r="J5" s="19">
        <f>'Data Sheet'!J58</f>
        <v>377.5</v>
      </c>
      <c r="K5" s="19">
        <f>'Data Sheet'!K58</f>
        <v>403.53</v>
      </c>
    </row>
    <row r="6" spans="1:11" x14ac:dyDescent="0.3">
      <c r="A6" s="11" t="s">
        <v>61</v>
      </c>
      <c r="B6" s="19">
        <f>'Data Sheet'!B59</f>
        <v>18.64</v>
      </c>
      <c r="C6" s="19">
        <f>'Data Sheet'!C59</f>
        <v>54.03</v>
      </c>
      <c r="D6" s="19">
        <f>'Data Sheet'!D59</f>
        <v>116.85</v>
      </c>
      <c r="E6" s="19">
        <f>'Data Sheet'!E59</f>
        <v>118.5</v>
      </c>
      <c r="F6" s="19">
        <f>'Data Sheet'!F59</f>
        <v>103.88</v>
      </c>
      <c r="G6" s="19">
        <f>'Data Sheet'!G59</f>
        <v>90.65</v>
      </c>
      <c r="H6" s="19">
        <f>'Data Sheet'!H59</f>
        <v>72.62</v>
      </c>
      <c r="I6" s="19">
        <f>'Data Sheet'!I59</f>
        <v>102.62</v>
      </c>
      <c r="J6" s="19">
        <f>'Data Sheet'!J59</f>
        <v>117.32</v>
      </c>
      <c r="K6" s="19">
        <f>'Data Sheet'!K59</f>
        <v>125.11</v>
      </c>
    </row>
    <row r="7" spans="1:11" s="6" customFormat="1" x14ac:dyDescent="0.3">
      <c r="A7" s="11" t="s">
        <v>62</v>
      </c>
      <c r="B7" s="19">
        <f>'Data Sheet'!B60</f>
        <v>20.48</v>
      </c>
      <c r="C7" s="19">
        <f>'Data Sheet'!C60</f>
        <v>29.73</v>
      </c>
      <c r="D7" s="19">
        <f>'Data Sheet'!D60</f>
        <v>38.200000000000003</v>
      </c>
      <c r="E7" s="19">
        <f>'Data Sheet'!E60</f>
        <v>43.81</v>
      </c>
      <c r="F7" s="19">
        <f>'Data Sheet'!F60</f>
        <v>48.66</v>
      </c>
      <c r="G7" s="19">
        <f>'Data Sheet'!G60</f>
        <v>56.28</v>
      </c>
      <c r="H7" s="19">
        <f>'Data Sheet'!H60</f>
        <v>58.07</v>
      </c>
      <c r="I7" s="19">
        <f>'Data Sheet'!I60</f>
        <v>61.91</v>
      </c>
      <c r="J7" s="19">
        <f>'Data Sheet'!J60</f>
        <v>67.63</v>
      </c>
      <c r="K7" s="19">
        <f>'Data Sheet'!K60</f>
        <v>73.260000000000005</v>
      </c>
    </row>
    <row r="8" spans="1:11" s="8" customFormat="1" x14ac:dyDescent="0.3">
      <c r="A8" s="8" t="s">
        <v>25</v>
      </c>
      <c r="B8" s="20">
        <f>'Data Sheet'!B61</f>
        <v>131.9</v>
      </c>
      <c r="C8" s="20">
        <f>'Data Sheet'!C61</f>
        <v>209.04</v>
      </c>
      <c r="D8" s="20">
        <f>'Data Sheet'!D61</f>
        <v>305.7</v>
      </c>
      <c r="E8" s="20">
        <f>'Data Sheet'!E61</f>
        <v>334.25</v>
      </c>
      <c r="F8" s="20">
        <f>'Data Sheet'!F61</f>
        <v>356.4</v>
      </c>
      <c r="G8" s="20">
        <f>'Data Sheet'!G61</f>
        <v>391.11</v>
      </c>
      <c r="H8" s="20">
        <f>'Data Sheet'!H61</f>
        <v>417.33</v>
      </c>
      <c r="I8" s="20">
        <f>'Data Sheet'!I61</f>
        <v>507.41</v>
      </c>
      <c r="J8" s="20">
        <f>'Data Sheet'!J61</f>
        <v>572.76</v>
      </c>
      <c r="K8" s="20">
        <f>'Data Sheet'!K61</f>
        <v>611.91</v>
      </c>
    </row>
    <row r="9" spans="1:11" s="8" customFormat="1" x14ac:dyDescent="0.3">
      <c r="B9" s="20"/>
      <c r="C9" s="20"/>
      <c r="D9" s="20"/>
      <c r="E9" s="20"/>
      <c r="F9" s="20"/>
      <c r="G9" s="20"/>
      <c r="H9" s="20"/>
      <c r="I9" s="20"/>
      <c r="J9" s="20"/>
      <c r="K9" s="20"/>
    </row>
    <row r="10" spans="1:11" x14ac:dyDescent="0.3">
      <c r="A10" s="6" t="s">
        <v>26</v>
      </c>
      <c r="B10" s="19">
        <f>'Data Sheet'!B62</f>
        <v>65.010000000000005</v>
      </c>
      <c r="C10" s="19">
        <f>'Data Sheet'!C62</f>
        <v>67.83</v>
      </c>
      <c r="D10" s="19">
        <f>'Data Sheet'!D62</f>
        <v>140.62</v>
      </c>
      <c r="E10" s="19">
        <f>'Data Sheet'!E62</f>
        <v>187.71</v>
      </c>
      <c r="F10" s="19">
        <f>'Data Sheet'!F62</f>
        <v>193.43</v>
      </c>
      <c r="G10" s="19">
        <f>'Data Sheet'!G62</f>
        <v>187.58</v>
      </c>
      <c r="H10" s="19">
        <f>'Data Sheet'!H62</f>
        <v>182.82</v>
      </c>
      <c r="I10" s="19">
        <f>'Data Sheet'!I62</f>
        <v>306.10000000000002</v>
      </c>
      <c r="J10" s="19">
        <f>'Data Sheet'!J62</f>
        <v>308.33999999999997</v>
      </c>
      <c r="K10" s="19">
        <f>'Data Sheet'!K62</f>
        <v>344.35</v>
      </c>
    </row>
    <row r="11" spans="1:11" x14ac:dyDescent="0.3">
      <c r="A11" s="6" t="s">
        <v>27</v>
      </c>
      <c r="B11" s="19">
        <f>'Data Sheet'!B63</f>
        <v>8.26</v>
      </c>
      <c r="C11" s="19">
        <f>'Data Sheet'!C63</f>
        <v>50.23</v>
      </c>
      <c r="D11" s="19">
        <f>'Data Sheet'!D63</f>
        <v>44.03</v>
      </c>
      <c r="E11" s="19">
        <f>'Data Sheet'!E63</f>
        <v>3.09</v>
      </c>
      <c r="F11" s="19">
        <f>'Data Sheet'!F63</f>
        <v>2.27</v>
      </c>
      <c r="G11" s="19">
        <f>'Data Sheet'!G63</f>
        <v>4.17</v>
      </c>
      <c r="H11" s="19">
        <f>'Data Sheet'!H63</f>
        <v>39.51</v>
      </c>
      <c r="I11" s="19">
        <f>'Data Sheet'!I63</f>
        <v>2.52</v>
      </c>
      <c r="J11" s="19">
        <f>'Data Sheet'!J63</f>
        <v>40.36</v>
      </c>
      <c r="K11" s="19">
        <f>'Data Sheet'!K63</f>
        <v>3.33</v>
      </c>
    </row>
    <row r="12" spans="1:11" x14ac:dyDescent="0.3">
      <c r="A12" s="6" t="s">
        <v>28</v>
      </c>
      <c r="B12" s="19">
        <f>'Data Sheet'!B64</f>
        <v>0.51</v>
      </c>
      <c r="C12" s="19">
        <f>'Data Sheet'!C64</f>
        <v>5.51</v>
      </c>
      <c r="D12" s="19">
        <f>'Data Sheet'!D64</f>
        <v>14.99</v>
      </c>
      <c r="E12" s="19">
        <f>'Data Sheet'!E64</f>
        <v>19.84</v>
      </c>
      <c r="F12" s="19">
        <f>'Data Sheet'!F64</f>
        <v>25.86</v>
      </c>
      <c r="G12" s="19">
        <f>'Data Sheet'!G64</f>
        <v>41.31</v>
      </c>
      <c r="H12" s="19">
        <f>'Data Sheet'!H64</f>
        <v>30.19</v>
      </c>
      <c r="I12" s="19">
        <f>'Data Sheet'!I64</f>
        <v>52.94</v>
      </c>
      <c r="J12" s="19">
        <f>'Data Sheet'!J64</f>
        <v>75.81</v>
      </c>
      <c r="K12" s="19">
        <f>'Data Sheet'!K64</f>
        <v>107.81</v>
      </c>
    </row>
    <row r="13" spans="1:11" x14ac:dyDescent="0.3">
      <c r="A13" s="11" t="s">
        <v>63</v>
      </c>
      <c r="B13" s="19">
        <f>'Data Sheet'!B65</f>
        <v>58.12</v>
      </c>
      <c r="C13" s="19">
        <f>'Data Sheet'!C65</f>
        <v>85.47</v>
      </c>
      <c r="D13" s="19">
        <f>'Data Sheet'!D65</f>
        <v>106.06</v>
      </c>
      <c r="E13" s="19">
        <f>'Data Sheet'!E65</f>
        <v>123.61</v>
      </c>
      <c r="F13" s="19">
        <f>'Data Sheet'!F65</f>
        <v>134.84</v>
      </c>
      <c r="G13" s="19">
        <f>'Data Sheet'!G65</f>
        <v>158.05000000000001</v>
      </c>
      <c r="H13" s="19">
        <f>'Data Sheet'!H65</f>
        <v>164.81</v>
      </c>
      <c r="I13" s="19">
        <f>'Data Sheet'!I65</f>
        <v>145.85</v>
      </c>
      <c r="J13" s="19">
        <f>'Data Sheet'!J65</f>
        <v>148.25</v>
      </c>
      <c r="K13" s="19">
        <f>'Data Sheet'!K65</f>
        <v>156.41999999999999</v>
      </c>
    </row>
    <row r="14" spans="1:11" s="8" customFormat="1" x14ac:dyDescent="0.3">
      <c r="A14" s="8" t="s">
        <v>25</v>
      </c>
      <c r="B14" s="19">
        <f>'Data Sheet'!B66</f>
        <v>131.9</v>
      </c>
      <c r="C14" s="19">
        <f>'Data Sheet'!C66</f>
        <v>209.04</v>
      </c>
      <c r="D14" s="19">
        <f>'Data Sheet'!D66</f>
        <v>305.7</v>
      </c>
      <c r="E14" s="19">
        <f>'Data Sheet'!E66</f>
        <v>334.25</v>
      </c>
      <c r="F14" s="19">
        <f>'Data Sheet'!F66</f>
        <v>356.4</v>
      </c>
      <c r="G14" s="19">
        <f>'Data Sheet'!G66</f>
        <v>391.11</v>
      </c>
      <c r="H14" s="19">
        <f>'Data Sheet'!H66</f>
        <v>417.33</v>
      </c>
      <c r="I14" s="19">
        <f>'Data Sheet'!I66</f>
        <v>507.41</v>
      </c>
      <c r="J14" s="19">
        <f>'Data Sheet'!J66</f>
        <v>572.76</v>
      </c>
      <c r="K14" s="19">
        <f>'Data Sheet'!K66</f>
        <v>611.91</v>
      </c>
    </row>
    <row r="15" spans="1:11" x14ac:dyDescent="0.3">
      <c r="A15" s="6"/>
      <c r="B15" s="21"/>
      <c r="C15" s="21"/>
      <c r="D15" s="21"/>
      <c r="E15" s="21"/>
      <c r="F15" s="21"/>
      <c r="G15" s="21"/>
      <c r="H15" s="21"/>
      <c r="I15" s="21"/>
      <c r="J15" s="21"/>
      <c r="K15" s="21"/>
    </row>
    <row r="16" spans="1:11" x14ac:dyDescent="0.3">
      <c r="A16" s="25" t="s">
        <v>29</v>
      </c>
      <c r="B16" s="21">
        <f>B13-B7</f>
        <v>37.64</v>
      </c>
      <c r="C16" s="21">
        <f t="shared" ref="C16:K16" si="0">C13-C7</f>
        <v>55.739999999999995</v>
      </c>
      <c r="D16" s="21">
        <f t="shared" si="0"/>
        <v>67.86</v>
      </c>
      <c r="E16" s="21">
        <f t="shared" si="0"/>
        <v>79.8</v>
      </c>
      <c r="F16" s="21">
        <f t="shared" si="0"/>
        <v>86.18</v>
      </c>
      <c r="G16" s="21">
        <f t="shared" si="0"/>
        <v>101.77000000000001</v>
      </c>
      <c r="H16" s="21">
        <f t="shared" si="0"/>
        <v>106.74000000000001</v>
      </c>
      <c r="I16" s="21">
        <f t="shared" si="0"/>
        <v>83.94</v>
      </c>
      <c r="J16" s="21">
        <f t="shared" si="0"/>
        <v>80.62</v>
      </c>
      <c r="K16" s="21">
        <f t="shared" si="0"/>
        <v>83.159999999999982</v>
      </c>
    </row>
    <row r="17" spans="1:12" x14ac:dyDescent="0.3">
      <c r="A17" s="11" t="s">
        <v>43</v>
      </c>
      <c r="B17" s="21">
        <f>'Data Sheet'!B67</f>
        <v>19.149999999999999</v>
      </c>
      <c r="C17" s="21">
        <f>'Data Sheet'!C67</f>
        <v>28.94</v>
      </c>
      <c r="D17" s="21">
        <f>'Data Sheet'!D67</f>
        <v>45.3</v>
      </c>
      <c r="E17" s="21">
        <f>'Data Sheet'!E67</f>
        <v>39.58</v>
      </c>
      <c r="F17" s="21">
        <f>'Data Sheet'!F67</f>
        <v>47.12</v>
      </c>
      <c r="G17" s="21">
        <f>'Data Sheet'!G67</f>
        <v>51.49</v>
      </c>
      <c r="H17" s="21">
        <f>'Data Sheet'!H67</f>
        <v>48.05</v>
      </c>
      <c r="I17" s="21">
        <f>'Data Sheet'!I67</f>
        <v>76.58</v>
      </c>
      <c r="J17" s="21">
        <f>'Data Sheet'!J67</f>
        <v>75.58</v>
      </c>
      <c r="K17" s="21">
        <f>'Data Sheet'!K67</f>
        <v>83.66</v>
      </c>
    </row>
    <row r="18" spans="1:12" x14ac:dyDescent="0.3">
      <c r="A18" s="11" t="s">
        <v>44</v>
      </c>
      <c r="B18" s="21">
        <f>'Data Sheet'!B68</f>
        <v>13.39</v>
      </c>
      <c r="C18" s="21">
        <f>'Data Sheet'!C68</f>
        <v>18.920000000000002</v>
      </c>
      <c r="D18" s="21">
        <f>'Data Sheet'!D68</f>
        <v>27.87</v>
      </c>
      <c r="E18" s="21">
        <f>'Data Sheet'!E68</f>
        <v>36.770000000000003</v>
      </c>
      <c r="F18" s="21">
        <f>'Data Sheet'!F68</f>
        <v>37.92</v>
      </c>
      <c r="G18" s="21">
        <f>'Data Sheet'!G68</f>
        <v>37.26</v>
      </c>
      <c r="H18" s="21">
        <f>'Data Sheet'!H68</f>
        <v>38.67</v>
      </c>
      <c r="I18" s="21">
        <f>'Data Sheet'!I68</f>
        <v>32.19</v>
      </c>
      <c r="J18" s="21">
        <f>'Data Sheet'!J68</f>
        <v>38.57</v>
      </c>
      <c r="K18" s="21">
        <f>'Data Sheet'!K68</f>
        <v>46.31</v>
      </c>
    </row>
    <row r="20" spans="1:12" x14ac:dyDescent="0.3">
      <c r="A20" s="11" t="s">
        <v>46</v>
      </c>
      <c r="B20" s="5">
        <f>IF('Balance Sheet'!B18&gt;0,'Profit &amp; Loss'!B4/'Balance Sheet'!B18,0)</f>
        <v>9.3883495145631066</v>
      </c>
      <c r="C20" s="5">
        <f>IF('Balance Sheet'!C18&gt;0,'Profit &amp; Loss'!C4/'Balance Sheet'!C18,0)</f>
        <v>8.4043340380549676</v>
      </c>
      <c r="D20" s="5">
        <f>IF('Balance Sheet'!D18&gt;0,'Profit &amp; Loss'!D4/'Balance Sheet'!D18,0)</f>
        <v>7.8155722999641188</v>
      </c>
      <c r="E20" s="5">
        <f>IF('Balance Sheet'!E18&gt;0,'Profit &amp; Loss'!E4/'Balance Sheet'!E18,0)</f>
        <v>6.13135708457982</v>
      </c>
      <c r="F20" s="5">
        <f>IF('Balance Sheet'!F18&gt;0,'Profit &amp; Loss'!F4/'Balance Sheet'!F18,0)</f>
        <v>6.901371308016877</v>
      </c>
      <c r="G20" s="5">
        <f>IF('Balance Sheet'!G18&gt;0,'Profit &amp; Loss'!G4/'Balance Sheet'!G18,0)</f>
        <v>7.5840042941492216</v>
      </c>
      <c r="H20" s="5">
        <f>IF('Balance Sheet'!H18&gt;0,'Profit &amp; Loss'!H4/'Balance Sheet'!H18,0)</f>
        <v>7.008792345487457</v>
      </c>
      <c r="I20" s="5">
        <f>IF('Balance Sheet'!I18&gt;0,'Profit &amp; Loss'!I4/'Balance Sheet'!I18,0)</f>
        <v>9.2392047219633433</v>
      </c>
      <c r="J20" s="5">
        <f>IF('Balance Sheet'!J18&gt;0,'Profit &amp; Loss'!J4/'Balance Sheet'!J18,0)</f>
        <v>8.3956442831215963</v>
      </c>
      <c r="K20" s="5">
        <f>IF('Balance Sheet'!K18&gt;0,'Profit &amp; Loss'!K4/'Balance Sheet'!K18,0)</f>
        <v>8.2766141222198222</v>
      </c>
    </row>
    <row r="21" spans="1:12" x14ac:dyDescent="0.3">
      <c r="A21" s="18" t="s">
        <v>125</v>
      </c>
      <c r="B21" s="5">
        <f>IF('Profit &amp; Loss'!B4&gt;0,'Balance Sheet'!B18/('Profit &amp; Loss'!B4/365),0)</f>
        <v>38.877973112719758</v>
      </c>
      <c r="C21" s="5">
        <f>IF('Profit &amp; Loss'!C4&gt;0,'Balance Sheet'!C18/('Profit &amp; Loss'!C4/365),0)</f>
        <v>43.429972957675623</v>
      </c>
      <c r="D21" s="5">
        <f>IF('Profit &amp; Loss'!D4&gt;0,'Balance Sheet'!D18/('Profit &amp; Loss'!D4/365),0)</f>
        <v>46.701634377008538</v>
      </c>
      <c r="E21" s="5">
        <f>IF('Profit &amp; Loss'!E4&gt;0,'Balance Sheet'!E18/('Profit &amp; Loss'!E4/365),0)</f>
        <v>59.530051009092929</v>
      </c>
      <c r="F21" s="5">
        <f>IF('Profit &amp; Loss'!F4&gt;0,'Balance Sheet'!F18/('Profit &amp; Loss'!F4/365),0)</f>
        <v>52.888039740160494</v>
      </c>
      <c r="G21" s="5">
        <f>IF('Profit &amp; Loss'!G4&gt;0,'Balance Sheet'!G18/('Profit &amp; Loss'!G4/365),0)</f>
        <v>48.127609880387858</v>
      </c>
      <c r="H21" s="5">
        <f>IF('Profit &amp; Loss'!H4&gt;0,'Balance Sheet'!H18/('Profit &amp; Loss'!H4/365),0)</f>
        <v>52.077445301258166</v>
      </c>
      <c r="I21" s="5">
        <f>IF('Profit &amp; Loss'!I4&gt;0,'Balance Sheet'!I18/('Profit &amp; Loss'!I4/365),0)</f>
        <v>39.505564708651349</v>
      </c>
      <c r="J21" s="5">
        <f>IF('Profit &amp; Loss'!J4&gt;0,'Balance Sheet'!J18/('Profit &amp; Loss'!J4/365),0)</f>
        <v>43.474924340683096</v>
      </c>
      <c r="K21" s="5">
        <f>IF('Profit &amp; Loss'!K4&gt;0,'Balance Sheet'!K18/('Profit &amp; Loss'!K4/365),0)</f>
        <v>44.100159148425476</v>
      </c>
    </row>
    <row r="22" spans="1:12" x14ac:dyDescent="0.3">
      <c r="A22" s="11" t="s">
        <v>45</v>
      </c>
      <c r="B22" s="5">
        <f>IF('Profit &amp; Loss'!B4&gt;0,'Balance Sheet'!B17/('Profit &amp; Loss'!B4/365),0)</f>
        <v>55.602179619759767</v>
      </c>
      <c r="C22" s="5">
        <f>IF('Profit &amp; Loss'!C4&gt;0,'Balance Sheet'!C17/('Profit &amp; Loss'!C4/365),0)</f>
        <v>66.430413181560922</v>
      </c>
      <c r="D22" s="5">
        <f>IF('Profit &amp; Loss'!D4&gt;0,'Balance Sheet'!D17/('Profit &amp; Loss'!D4/365),0)</f>
        <v>75.909007437333571</v>
      </c>
      <c r="E22" s="5">
        <f>IF('Profit &amp; Loss'!E4&gt;0,'Balance Sheet'!E17/('Profit &amp; Loss'!E4/365),0)</f>
        <v>64.079396762031493</v>
      </c>
      <c r="F22" s="5">
        <f>IF('Profit &amp; Loss'!F4&gt;0,'Balance Sheet'!F17/('Profit &amp; Loss'!F4/365),0)</f>
        <v>65.719526175009548</v>
      </c>
      <c r="G22" s="5">
        <f>IF('Profit &amp; Loss'!G4&gt;0,'Balance Sheet'!G17/('Profit &amp; Loss'!G4/365),0)</f>
        <v>66.508068511571949</v>
      </c>
      <c r="H22" s="5">
        <f>IF('Profit &amp; Loss'!H4&gt;0,'Balance Sheet'!H17/('Profit &amp; Loss'!H4/365),0)</f>
        <v>64.709626240637576</v>
      </c>
      <c r="I22" s="5">
        <f>IF('Profit &amp; Loss'!I4&gt;0,'Balance Sheet'!I17/('Profit &amp; Loss'!I4/365),0)</f>
        <v>93.983726169261288</v>
      </c>
      <c r="J22" s="5">
        <f>IF('Profit &amp; Loss'!J4&gt;0,'Balance Sheet'!J17/('Profit &amp; Loss'!J4/365),0)</f>
        <v>85.191464393799023</v>
      </c>
      <c r="K22" s="5">
        <f>IF('Profit &amp; Loss'!K4&gt;0,'Balance Sheet'!K17/('Profit &amp; Loss'!K4/365),0)</f>
        <v>79.667875498969451</v>
      </c>
    </row>
    <row r="23" spans="1:12" x14ac:dyDescent="0.3">
      <c r="A23" s="18" t="s">
        <v>193</v>
      </c>
      <c r="B23" s="5"/>
      <c r="C23" s="5"/>
      <c r="D23" s="5"/>
      <c r="E23" s="5"/>
      <c r="F23" s="5"/>
      <c r="G23" s="5"/>
      <c r="H23" s="5"/>
      <c r="I23" s="5"/>
      <c r="J23" s="5"/>
      <c r="K23" s="5"/>
    </row>
    <row r="24" spans="1:12" x14ac:dyDescent="0.3">
      <c r="A24" s="18" t="s">
        <v>194</v>
      </c>
      <c r="B24" s="5"/>
      <c r="C24" s="5"/>
      <c r="D24" s="5"/>
      <c r="E24" s="5"/>
      <c r="F24" s="5"/>
      <c r="G24" s="5"/>
      <c r="H24" s="5"/>
      <c r="I24" s="5"/>
      <c r="J24" s="5"/>
      <c r="K24" s="5"/>
    </row>
    <row r="25" spans="1:12" x14ac:dyDescent="0.3">
      <c r="B25" s="5"/>
      <c r="C25" s="5"/>
      <c r="D25" s="5"/>
      <c r="E25" s="5"/>
      <c r="F25" s="5"/>
      <c r="G25" s="5"/>
      <c r="H25" s="5"/>
      <c r="I25" s="5"/>
      <c r="J25" s="5"/>
      <c r="K25" s="5"/>
    </row>
    <row r="26" spans="1:12" s="8" customFormat="1" x14ac:dyDescent="0.3">
      <c r="A26" s="8" t="s">
        <v>49</v>
      </c>
      <c r="B26" s="14">
        <f>IF(SUM('Balance Sheet'!B4:B5)&gt;0,'Profit &amp; Loss'!B13/SUM('Balance Sheet'!B4:B5),"")</f>
        <v>0.31752532873464107</v>
      </c>
      <c r="C26" s="14">
        <f>IF(SUM('Balance Sheet'!C4:C5)&gt;0,'Profit &amp; Loss'!C13/SUM('Balance Sheet'!C4:C5),"")</f>
        <v>0.29837164750957856</v>
      </c>
      <c r="D26" s="14">
        <f>IF(SUM('Balance Sheet'!D4:D5)&gt;0,'Profit &amp; Loss'!D13/SUM('Balance Sheet'!D4:D5),"")</f>
        <v>0.20882841022236973</v>
      </c>
      <c r="E26" s="14">
        <f>IF(SUM('Balance Sheet'!E4:E5)&gt;0,'Profit &amp; Loss'!E13/SUM('Balance Sheet'!E4:E5),"")</f>
        <v>0.15924159590554846</v>
      </c>
      <c r="F26" s="14">
        <f>IF(SUM('Balance Sheet'!F4:F5)&gt;0,'Profit &amp; Loss'!F13/SUM('Balance Sheet'!F4:F5),"")</f>
        <v>0.19837143137447266</v>
      </c>
      <c r="G26" s="14">
        <f>IF(SUM('Balance Sheet'!G4:G5)&gt;0,'Profit &amp; Loss'!G13/SUM('Balance Sheet'!G4:G5),"")</f>
        <v>0.21017282332705381</v>
      </c>
      <c r="H26" s="14">
        <f>IF(SUM('Balance Sheet'!H4:H5)&gt;0,'Profit &amp; Loss'!H13/SUM('Balance Sheet'!H4:H5),"")</f>
        <v>0.18486603404967905</v>
      </c>
      <c r="I26" s="14">
        <f>IF(SUM('Balance Sheet'!I4:I5)&gt;0,'Profit &amp; Loss'!I13/SUM('Balance Sheet'!I4:I5),"")</f>
        <v>0.15798530097993468</v>
      </c>
      <c r="J26" s="14">
        <f>IF(SUM('Balance Sheet'!J4:J5)&gt;0,'Profit &amp; Loss'!J13/SUM('Balance Sheet'!J4:J5),"")</f>
        <v>0.1463345452670122</v>
      </c>
      <c r="K26" s="14">
        <f>IF(SUM('Balance Sheet'!K4:K5)&gt;0,'Profit &amp; Loss'!K13/SUM('Balance Sheet'!K4:K5),"")</f>
        <v>0.17831406877206557</v>
      </c>
    </row>
    <row r="27" spans="1:12" s="8" customFormat="1" x14ac:dyDescent="0.3">
      <c r="A27" s="8" t="s">
        <v>50</v>
      </c>
      <c r="B27" s="14">
        <f>IF(('Balance Sheet'!B10+'Balance Sheet'!B16)&gt;0,('Profit &amp; Loss'!B6-'Profit &amp; Loss'!B8-'Profit &amp; Loss'!B12)/('Balance Sheet'!B10+'Balance Sheet'!B16),"")</f>
        <v>0.27861665854846557</v>
      </c>
      <c r="C27" s="14">
        <f>IF(('Balance Sheet'!C10+'Balance Sheet'!C16)&gt;0,('Profit &amp; Loss'!C6-'Profit &amp; Loss'!C8-'Profit &amp; Loss'!C12)/('Balance Sheet'!C10+'Balance Sheet'!C16),"")</f>
        <v>0.29910172371934923</v>
      </c>
      <c r="D27" s="14">
        <f>IF(('Balance Sheet'!D10+'Balance Sheet'!D16)&gt;0,('Profit &amp; Loss'!D6-'Profit &amp; Loss'!D8-'Profit &amp; Loss'!D12)/('Balance Sheet'!D10+'Balance Sheet'!D16),"")</f>
        <v>0.17234267075978513</v>
      </c>
      <c r="E27" s="14">
        <f>IF(('Balance Sheet'!E10+'Balance Sheet'!E16)&gt;0,('Profit &amp; Loss'!E6-'Profit &amp; Loss'!E8-'Profit &amp; Loss'!E12)/('Balance Sheet'!E10+'Balance Sheet'!E16),"")</f>
        <v>0.13192030204478342</v>
      </c>
      <c r="F27" s="14">
        <f>IF(('Balance Sheet'!F10+'Balance Sheet'!F16)&gt;0,('Profit &amp; Loss'!F6-'Profit &amp; Loss'!F8-'Profit &amp; Loss'!F12)/('Balance Sheet'!F10+'Balance Sheet'!F16),"")</f>
        <v>0.17395658238260422</v>
      </c>
      <c r="G27" s="14">
        <f>IF(('Balance Sheet'!G10+'Balance Sheet'!G16)&gt;0,('Profit &amp; Loss'!G6-'Profit &amp; Loss'!G8-'Profit &amp; Loss'!G12)/('Balance Sheet'!G10+'Balance Sheet'!G16),"")</f>
        <v>0.16492137549680316</v>
      </c>
      <c r="H27" s="14">
        <f>IF(('Balance Sheet'!H10+'Balance Sheet'!H16)&gt;0,('Profit &amp; Loss'!H6-'Profit &amp; Loss'!H8-'Profit &amp; Loss'!H12)/('Balance Sheet'!H10+'Balance Sheet'!H16),"")</f>
        <v>0.18631717087995575</v>
      </c>
      <c r="I27" s="14">
        <f>IF(('Balance Sheet'!I10+'Balance Sheet'!I16)&gt;0,('Profit &amp; Loss'!I6-'Profit &amp; Loss'!I8-'Profit &amp; Loss'!I12)/('Balance Sheet'!I10+'Balance Sheet'!I16),"")</f>
        <v>0.13739616449594919</v>
      </c>
      <c r="J27" s="14">
        <f>IF(('Balance Sheet'!J10+'Balance Sheet'!J16)&gt;0,('Profit &amp; Loss'!J6-'Profit &amp; Loss'!J8-'Profit &amp; Loss'!J12)/('Balance Sheet'!J10+'Balance Sheet'!J16),"")</f>
        <v>0.15268922254216369</v>
      </c>
      <c r="K27" s="14">
        <f>IF(('Balance Sheet'!K10+'Balance Sheet'!K16)&gt;0,('Profit &amp; Loss'!K6-'Profit &amp; Loss'!K8-'Profit &amp; Loss'!K12)/('Balance Sheet'!K10+'Balance Sheet'!K16),"")</f>
        <v>0.17311875745596605</v>
      </c>
    </row>
    <row r="28" spans="1:12" s="18" customFormat="1" x14ac:dyDescent="0.3"/>
    <row r="31" spans="1:12" x14ac:dyDescent="0.3">
      <c r="A31" s="15" t="s">
        <v>195</v>
      </c>
      <c r="B31" s="16">
        <f>B3</f>
        <v>40268</v>
      </c>
      <c r="C31" s="16">
        <f t="shared" ref="C31:K31" si="1">C3</f>
        <v>40633</v>
      </c>
      <c r="D31" s="16">
        <f t="shared" si="1"/>
        <v>40999</v>
      </c>
      <c r="E31" s="16">
        <f t="shared" si="1"/>
        <v>41364</v>
      </c>
      <c r="F31" s="16">
        <f t="shared" si="1"/>
        <v>41729</v>
      </c>
      <c r="G31" s="16">
        <f t="shared" si="1"/>
        <v>42094</v>
      </c>
      <c r="H31" s="16">
        <f t="shared" si="1"/>
        <v>42460</v>
      </c>
      <c r="I31" s="16">
        <f t="shared" si="1"/>
        <v>42825</v>
      </c>
      <c r="J31" s="16">
        <f t="shared" si="1"/>
        <v>43190</v>
      </c>
      <c r="K31" s="16">
        <f t="shared" si="1"/>
        <v>43555</v>
      </c>
      <c r="L31" s="11" t="s">
        <v>200</v>
      </c>
    </row>
    <row r="32" spans="1:12" x14ac:dyDescent="0.3">
      <c r="A32" s="100" t="s">
        <v>196</v>
      </c>
      <c r="B32" s="101">
        <f>B10/B$8</f>
        <v>0.49287338893100835</v>
      </c>
      <c r="C32" s="101">
        <f t="shared" ref="C32:K32" si="2">C10/C$8</f>
        <v>0.32448335246842708</v>
      </c>
      <c r="D32" s="101">
        <f t="shared" si="2"/>
        <v>0.45999345763820743</v>
      </c>
      <c r="E32" s="101">
        <f t="shared" si="2"/>
        <v>0.56158563949139872</v>
      </c>
      <c r="F32" s="101">
        <f t="shared" si="2"/>
        <v>0.54273288439955114</v>
      </c>
      <c r="G32" s="101">
        <f t="shared" si="2"/>
        <v>0.4796093170719235</v>
      </c>
      <c r="H32" s="101">
        <f t="shared" si="2"/>
        <v>0.43807059161814393</v>
      </c>
      <c r="I32" s="101">
        <f t="shared" si="2"/>
        <v>0.60325969137383972</v>
      </c>
      <c r="J32" s="101">
        <f t="shared" si="2"/>
        <v>0.53834066624764298</v>
      </c>
      <c r="K32" s="101">
        <f t="shared" si="2"/>
        <v>0.5627461554803812</v>
      </c>
    </row>
    <row r="33" spans="1:11" x14ac:dyDescent="0.3">
      <c r="A33" s="100" t="s">
        <v>162</v>
      </c>
      <c r="B33" s="101">
        <f>B16/B$8</f>
        <v>0.28536770280515539</v>
      </c>
      <c r="C33" s="101">
        <f t="shared" ref="C33:K33" si="3">C16/C$8</f>
        <v>0.26664753157290472</v>
      </c>
      <c r="D33" s="101">
        <f t="shared" si="3"/>
        <v>0.22198233562315997</v>
      </c>
      <c r="E33" s="101">
        <f t="shared" si="3"/>
        <v>0.23874345549738218</v>
      </c>
      <c r="F33" s="101">
        <f t="shared" si="3"/>
        <v>0.24180695847362518</v>
      </c>
      <c r="G33" s="101">
        <f t="shared" si="3"/>
        <v>0.26020812559126588</v>
      </c>
      <c r="H33" s="101">
        <f t="shared" si="3"/>
        <v>0.25576881604485663</v>
      </c>
      <c r="I33" s="101">
        <f t="shared" si="3"/>
        <v>0.16542835182593957</v>
      </c>
      <c r="J33" s="101">
        <f t="shared" si="3"/>
        <v>0.14075703610587331</v>
      </c>
      <c r="K33" s="101">
        <f t="shared" si="3"/>
        <v>0.13590233857920281</v>
      </c>
    </row>
    <row r="34" spans="1:11" x14ac:dyDescent="0.3">
      <c r="A34" s="100" t="s">
        <v>197</v>
      </c>
      <c r="B34" s="101">
        <f>B17/B$8</f>
        <v>0.145185746777862</v>
      </c>
      <c r="C34" s="101">
        <f t="shared" ref="C34:K34" si="4">C17/C$8</f>
        <v>0.13844240336777652</v>
      </c>
      <c r="D34" s="101">
        <f t="shared" si="4"/>
        <v>0.14818449460255151</v>
      </c>
      <c r="E34" s="101">
        <f t="shared" si="4"/>
        <v>0.11841436050860134</v>
      </c>
      <c r="F34" s="101">
        <f t="shared" si="4"/>
        <v>0.13221099887766555</v>
      </c>
      <c r="G34" s="101">
        <f t="shared" si="4"/>
        <v>0.13165094219017667</v>
      </c>
      <c r="H34" s="101">
        <f t="shared" si="4"/>
        <v>0.11513670236982723</v>
      </c>
      <c r="I34" s="101">
        <f t="shared" si="4"/>
        <v>0.1509233164502079</v>
      </c>
      <c r="J34" s="101">
        <f t="shared" si="4"/>
        <v>0.13195753893428311</v>
      </c>
      <c r="K34" s="101">
        <f t="shared" si="4"/>
        <v>0.13671945220702392</v>
      </c>
    </row>
    <row r="35" spans="1:11" x14ac:dyDescent="0.3">
      <c r="A35" s="100" t="s">
        <v>198</v>
      </c>
      <c r="B35" s="101">
        <f>B18/B$8</f>
        <v>0.10151630022744504</v>
      </c>
      <c r="C35" s="101">
        <f t="shared" ref="C35:K35" si="5">C18/C$8</f>
        <v>9.050899349406813E-2</v>
      </c>
      <c r="D35" s="101">
        <f t="shared" si="5"/>
        <v>9.1167811579980385E-2</v>
      </c>
      <c r="E35" s="101">
        <f t="shared" si="5"/>
        <v>0.11000747943156321</v>
      </c>
      <c r="F35" s="101">
        <f t="shared" si="5"/>
        <v>0.10639730639730641</v>
      </c>
      <c r="G35" s="101">
        <f t="shared" si="5"/>
        <v>9.5267316100329819E-2</v>
      </c>
      <c r="H35" s="101">
        <f t="shared" si="5"/>
        <v>9.2660484508662211E-2</v>
      </c>
      <c r="I35" s="101">
        <f t="shared" si="5"/>
        <v>6.3439821840326358E-2</v>
      </c>
      <c r="J35" s="101">
        <f t="shared" si="5"/>
        <v>6.7340596410363857E-2</v>
      </c>
      <c r="K35" s="101">
        <f t="shared" si="5"/>
        <v>7.5681064208788881E-2</v>
      </c>
    </row>
    <row r="37" spans="1:11" x14ac:dyDescent="0.3">
      <c r="A37" s="102" t="s">
        <v>199</v>
      </c>
      <c r="B37" s="101">
        <f>B6/B$8</f>
        <v>0.14131918119787718</v>
      </c>
      <c r="C37" s="101">
        <f t="shared" ref="C37:K37" si="6">C6/C$8</f>
        <v>0.25846727898966704</v>
      </c>
      <c r="D37" s="101">
        <f t="shared" si="6"/>
        <v>0.38223748773307165</v>
      </c>
      <c r="E37" s="101">
        <f t="shared" si="6"/>
        <v>0.3545250560957367</v>
      </c>
      <c r="F37" s="101">
        <f t="shared" si="6"/>
        <v>0.29147025813692479</v>
      </c>
      <c r="G37" s="101">
        <f t="shared" si="6"/>
        <v>0.2317762266370075</v>
      </c>
      <c r="H37" s="101">
        <f t="shared" si="6"/>
        <v>0.17401097452855058</v>
      </c>
      <c r="I37" s="101">
        <f t="shared" si="6"/>
        <v>0.20224276226325852</v>
      </c>
      <c r="J37" s="101">
        <f t="shared" si="6"/>
        <v>0.20483273971646063</v>
      </c>
      <c r="K37" s="101">
        <f t="shared" si="6"/>
        <v>0.20445817195339186</v>
      </c>
    </row>
  </sheetData>
  <hyperlinks>
    <hyperlink ref="J1" r:id="rId1" xr:uid="{00000000-0004-0000-0200-000000000000}"/>
  </hyperlinks>
  <printOptions gridLines="1"/>
  <pageMargins left="0.7" right="0.7"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24"/>
  <sheetViews>
    <sheetView workbookViewId="0">
      <pane xSplit="1" ySplit="3" topLeftCell="B4" activePane="bottomRight" state="frozen"/>
      <selection pane="topRight" activeCell="B1" sqref="B1"/>
      <selection pane="bottomLeft" activeCell="A4" sqref="A4"/>
      <selection pane="bottomRight" activeCell="A3" sqref="A3:K7"/>
    </sheetView>
    <sheetView workbookViewId="1"/>
  </sheetViews>
  <sheetFormatPr defaultColWidth="8.77734375" defaultRowHeight="14.4" x14ac:dyDescent="0.3"/>
  <cols>
    <col min="1" max="1" width="26.77734375" style="6" bestFit="1" customWidth="1"/>
    <col min="2" max="6" width="13.44140625" style="6" customWidth="1"/>
    <col min="7" max="11" width="13.44140625" style="6" bestFit="1" customWidth="1"/>
    <col min="12" max="16384" width="8.77734375" style="6"/>
  </cols>
  <sheetData>
    <row r="1" spans="1:11" s="8" customFormat="1" x14ac:dyDescent="0.3">
      <c r="A1" s="8" t="str">
        <f>'Balance Sheet'!A1</f>
        <v>ORIENTAL CARBON &amp; CHEMICALS LTD</v>
      </c>
      <c r="E1" t="str">
        <f>UPDATE</f>
        <v/>
      </c>
      <c r="F1"/>
      <c r="J1" s="4" t="s">
        <v>1</v>
      </c>
      <c r="K1" s="4"/>
    </row>
    <row r="3" spans="1:11" s="2" customFormat="1" x14ac:dyDescent="0.3">
      <c r="A3" s="15" t="s">
        <v>2</v>
      </c>
      <c r="B3" s="16">
        <f>'Data Sheet'!B81</f>
        <v>40268</v>
      </c>
      <c r="C3" s="16">
        <f>'Data Sheet'!C81</f>
        <v>40633</v>
      </c>
      <c r="D3" s="16">
        <f>'Data Sheet'!D81</f>
        <v>40999</v>
      </c>
      <c r="E3" s="16">
        <f>'Data Sheet'!E81</f>
        <v>41364</v>
      </c>
      <c r="F3" s="16">
        <f>'Data Sheet'!F81</f>
        <v>41729</v>
      </c>
      <c r="G3" s="16">
        <f>'Data Sheet'!G81</f>
        <v>42094</v>
      </c>
      <c r="H3" s="16">
        <f>'Data Sheet'!H81</f>
        <v>42460</v>
      </c>
      <c r="I3" s="16">
        <f>'Data Sheet'!I81</f>
        <v>42825</v>
      </c>
      <c r="J3" s="16">
        <f>'Data Sheet'!J81</f>
        <v>43190</v>
      </c>
      <c r="K3" s="16">
        <f>'Data Sheet'!K81</f>
        <v>43555</v>
      </c>
    </row>
    <row r="4" spans="1:11" s="8" customFormat="1" x14ac:dyDescent="0.3">
      <c r="A4" s="8" t="s">
        <v>31</v>
      </c>
      <c r="B4" s="1">
        <f>'Data Sheet'!B82</f>
        <v>36.31</v>
      </c>
      <c r="C4" s="1">
        <f>'Data Sheet'!C82</f>
        <v>29.28</v>
      </c>
      <c r="D4" s="1">
        <f>'Data Sheet'!D82</f>
        <v>30.41</v>
      </c>
      <c r="E4" s="1">
        <f>'Data Sheet'!E82</f>
        <v>46.63</v>
      </c>
      <c r="F4" s="1">
        <f>'Data Sheet'!F82</f>
        <v>51.53</v>
      </c>
      <c r="G4" s="1">
        <f>'Data Sheet'!G82</f>
        <v>69.97</v>
      </c>
      <c r="H4" s="1">
        <f>'Data Sheet'!H82</f>
        <v>68.400000000000006</v>
      </c>
      <c r="I4" s="1">
        <f>'Data Sheet'!I82</f>
        <v>77.13</v>
      </c>
      <c r="J4" s="1">
        <f>'Data Sheet'!J82</f>
        <v>86.7</v>
      </c>
      <c r="K4" s="1">
        <f>'Data Sheet'!K82</f>
        <v>88.51</v>
      </c>
    </row>
    <row r="5" spans="1:11" x14ac:dyDescent="0.3">
      <c r="A5" s="6" t="s">
        <v>32</v>
      </c>
      <c r="B5" s="9">
        <f>'Data Sheet'!B83</f>
        <v>-19.96</v>
      </c>
      <c r="C5" s="9">
        <f>'Data Sheet'!C83</f>
        <v>-63.25</v>
      </c>
      <c r="D5" s="9">
        <f>'Data Sheet'!D83</f>
        <v>-77.3</v>
      </c>
      <c r="E5" s="9">
        <f>'Data Sheet'!E83</f>
        <v>-26.58</v>
      </c>
      <c r="F5" s="9">
        <f>'Data Sheet'!F83</f>
        <v>-23.24</v>
      </c>
      <c r="G5" s="9">
        <f>'Data Sheet'!G83</f>
        <v>-31.39</v>
      </c>
      <c r="H5" s="9">
        <f>'Data Sheet'!H83</f>
        <v>-42.06</v>
      </c>
      <c r="I5" s="9">
        <f>'Data Sheet'!I83</f>
        <v>-83.87</v>
      </c>
      <c r="J5" s="9">
        <f>'Data Sheet'!J83</f>
        <v>-71.55</v>
      </c>
      <c r="K5" s="9">
        <f>'Data Sheet'!K83</f>
        <v>-45</v>
      </c>
    </row>
    <row r="6" spans="1:11" x14ac:dyDescent="0.3">
      <c r="A6" s="6" t="s">
        <v>33</v>
      </c>
      <c r="B6" s="9">
        <f>'Data Sheet'!B84</f>
        <v>-11.16</v>
      </c>
      <c r="C6" s="9">
        <f>'Data Sheet'!C84</f>
        <v>31</v>
      </c>
      <c r="D6" s="9">
        <f>'Data Sheet'!D84</f>
        <v>50.78</v>
      </c>
      <c r="E6" s="9">
        <f>'Data Sheet'!E84</f>
        <v>-19.61</v>
      </c>
      <c r="F6" s="9">
        <f>'Data Sheet'!F84</f>
        <v>-31.69</v>
      </c>
      <c r="G6" s="9">
        <f>'Data Sheet'!G84</f>
        <v>-31.56</v>
      </c>
      <c r="H6" s="9">
        <f>'Data Sheet'!H84</f>
        <v>-35.020000000000003</v>
      </c>
      <c r="I6" s="9">
        <f>'Data Sheet'!I84</f>
        <v>4.71</v>
      </c>
      <c r="J6" s="9">
        <f>'Data Sheet'!J84</f>
        <v>-7.33</v>
      </c>
      <c r="K6" s="9">
        <f>'Data Sheet'!K84</f>
        <v>-51.37</v>
      </c>
    </row>
    <row r="7" spans="1:11" s="8" customFormat="1" x14ac:dyDescent="0.3">
      <c r="A7" s="8" t="s">
        <v>34</v>
      </c>
      <c r="B7" s="1">
        <f>'Data Sheet'!B85</f>
        <v>5.19</v>
      </c>
      <c r="C7" s="1">
        <f>'Data Sheet'!C85</f>
        <v>-2.97</v>
      </c>
      <c r="D7" s="1">
        <f>'Data Sheet'!D85</f>
        <v>3.89</v>
      </c>
      <c r="E7" s="1">
        <f>'Data Sheet'!E85</f>
        <v>0.44</v>
      </c>
      <c r="F7" s="1">
        <f>'Data Sheet'!F85</f>
        <v>-3.4</v>
      </c>
      <c r="G7" s="1">
        <f>'Data Sheet'!G85</f>
        <v>7.02</v>
      </c>
      <c r="H7" s="1">
        <f>'Data Sheet'!H85</f>
        <v>-8.68</v>
      </c>
      <c r="I7" s="1">
        <f>'Data Sheet'!I85</f>
        <v>-2.0299999999999998</v>
      </c>
      <c r="J7" s="1">
        <f>'Data Sheet'!J85</f>
        <v>7.82</v>
      </c>
      <c r="K7" s="1">
        <f>'Data Sheet'!K85</f>
        <v>-7.86</v>
      </c>
    </row>
    <row r="8" spans="1:11" x14ac:dyDescent="0.3">
      <c r="A8" s="25"/>
      <c r="B8" s="9"/>
      <c r="C8" s="9"/>
      <c r="D8" s="9"/>
      <c r="E8" s="9"/>
      <c r="F8" s="9"/>
      <c r="G8" s="9"/>
      <c r="H8" s="9"/>
      <c r="I8" s="9"/>
      <c r="J8" s="9"/>
      <c r="K8" s="9"/>
    </row>
    <row r="24" s="25" customFormat="1" x14ac:dyDescent="0.3"/>
  </sheetData>
  <hyperlinks>
    <hyperlink ref="J1" r:id="rId1" xr:uid="{00000000-0004-0000-0300-000000000000}"/>
  </hyperlinks>
  <printOptions gridLines="1"/>
  <pageMargins left="0.7" right="0.7" top="0.75" bottom="0.75" header="0.3" footer="0.3"/>
  <pageSetup paperSize="9" orientation="landscape" horizontalDpi="0"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65"/>
  <sheetViews>
    <sheetView topLeftCell="A29" workbookViewId="0">
      <selection activeCell="B14" sqref="B14"/>
    </sheetView>
    <sheetView workbookViewId="1"/>
  </sheetViews>
  <sheetFormatPr defaultColWidth="8.6640625" defaultRowHeight="14.4" x14ac:dyDescent="0.3"/>
  <cols>
    <col min="1" max="1" width="39.6640625" style="30" bestFit="1" customWidth="1"/>
    <col min="2" max="2" width="11.33203125" style="30" customWidth="1"/>
    <col min="3" max="3" width="12.21875" style="30" customWidth="1"/>
    <col min="4" max="4" width="10.77734375" style="30" customWidth="1"/>
    <col min="5" max="8" width="10.44140625" style="30" customWidth="1"/>
    <col min="9" max="9" width="10.109375" style="30" customWidth="1"/>
    <col min="10" max="10" width="10.6640625" style="30" customWidth="1"/>
    <col min="11" max="11" width="11.109375" style="30" customWidth="1"/>
    <col min="12" max="12" width="14.6640625" style="30" customWidth="1"/>
    <col min="13" max="13" width="14.44140625" style="30" customWidth="1"/>
    <col min="14" max="20" width="11.109375" style="30" customWidth="1"/>
    <col min="21" max="16384" width="8.6640625" style="30"/>
  </cols>
  <sheetData>
    <row r="1" spans="1:14" x14ac:dyDescent="0.3">
      <c r="A1" s="28" t="str">
        <f>'Data Sheet'!B1</f>
        <v>ORIENTAL CARBON &amp; CHEMICALS LTD</v>
      </c>
      <c r="B1" s="29"/>
      <c r="C1" s="29"/>
      <c r="D1" s="29"/>
      <c r="E1" s="29"/>
      <c r="F1" s="29"/>
      <c r="G1" s="29"/>
      <c r="H1" s="29"/>
      <c r="I1" s="29"/>
      <c r="J1" s="29"/>
      <c r="K1" s="29"/>
    </row>
    <row r="2" spans="1:14" x14ac:dyDescent="0.3">
      <c r="A2" s="28"/>
      <c r="B2" s="29"/>
      <c r="C2" s="29"/>
      <c r="D2" s="29"/>
      <c r="E2" s="29"/>
      <c r="F2" s="29"/>
      <c r="G2" s="29"/>
      <c r="H2" s="29"/>
      <c r="I2" s="29"/>
      <c r="J2" s="29"/>
      <c r="K2" s="29"/>
      <c r="M2" s="30" t="s">
        <v>86</v>
      </c>
    </row>
    <row r="3" spans="1:14" ht="15" customHeight="1" x14ac:dyDescent="0.3">
      <c r="A3" s="31"/>
      <c r="M3" s="30" t="s">
        <v>86</v>
      </c>
    </row>
    <row r="4" spans="1:14" ht="30" customHeight="1" x14ac:dyDescent="0.3">
      <c r="A4" s="16"/>
      <c r="B4" s="95" t="s">
        <v>87</v>
      </c>
      <c r="C4" s="95" t="s">
        <v>88</v>
      </c>
      <c r="D4" s="95" t="s">
        <v>89</v>
      </c>
      <c r="F4" s="262" t="s">
        <v>90</v>
      </c>
      <c r="G4" s="262"/>
      <c r="H4" s="262"/>
      <c r="I4" s="262"/>
      <c r="J4" s="262"/>
      <c r="K4" s="262"/>
      <c r="M4" s="262" t="s">
        <v>91</v>
      </c>
      <c r="N4" s="263"/>
    </row>
    <row r="5" spans="1:14" ht="15" customHeight="1" x14ac:dyDescent="0.3">
      <c r="A5" s="32" t="s">
        <v>92</v>
      </c>
      <c r="B5" s="33">
        <f>KeyMetrics!K12-KeyMetrics!B12</f>
        <v>320.76</v>
      </c>
      <c r="C5" s="33">
        <f>KeyMetrics!K31-KeyMetrics!B31</f>
        <v>1081.2939999999999</v>
      </c>
      <c r="D5" s="34">
        <f>C5/B5</f>
        <v>3.3710375358523503</v>
      </c>
      <c r="F5" s="35"/>
      <c r="G5" s="36" t="s">
        <v>93</v>
      </c>
      <c r="H5" s="36" t="s">
        <v>94</v>
      </c>
      <c r="I5" s="37" t="s">
        <v>95</v>
      </c>
      <c r="J5" s="37" t="s">
        <v>96</v>
      </c>
      <c r="K5" s="37" t="s">
        <v>97</v>
      </c>
      <c r="M5" s="38" t="s">
        <v>98</v>
      </c>
      <c r="N5" s="39">
        <v>0.09</v>
      </c>
    </row>
    <row r="6" spans="1:14" ht="15" customHeight="1" x14ac:dyDescent="0.3">
      <c r="A6" s="32" t="s">
        <v>99</v>
      </c>
      <c r="B6" s="33">
        <f>KeyMetrics!K12-KeyMetrics!E12</f>
        <v>241.59999999999997</v>
      </c>
      <c r="C6" s="33">
        <f>KeyMetrics!K31-KeyMetrics!E31</f>
        <v>1079.5944999999999</v>
      </c>
      <c r="D6" s="34">
        <f>C6/B6</f>
        <v>4.4685202814569536</v>
      </c>
      <c r="F6" s="40" t="s">
        <v>100</v>
      </c>
      <c r="G6" s="41">
        <f>MIN(KeyMetrics!B38:K38)</f>
        <v>2.8023274478330658</v>
      </c>
      <c r="H6" s="41">
        <f>MIN(KeyMetrics!B39:K39)</f>
        <v>0.54932534605094807</v>
      </c>
      <c r="I6" s="41">
        <f>MIN(KeyMetrics!B42:K42)</f>
        <v>2.4302997341068409</v>
      </c>
      <c r="J6" s="41">
        <f>MIN(KeyMetrics!B41:K41)</f>
        <v>0.41894433355511207</v>
      </c>
      <c r="K6" s="42">
        <f>MAX(KeyMetrics!B43:K43)</f>
        <v>5.4631502048681321E-2</v>
      </c>
      <c r="M6" s="43" t="s">
        <v>101</v>
      </c>
      <c r="N6" s="41">
        <f>('Profit &amp; Loss'!$Q$11/'Data Sheet'!$B$61)/N5</f>
        <v>7.0128885519332833</v>
      </c>
    </row>
    <row r="7" spans="1:14" ht="15" customHeight="1" x14ac:dyDescent="0.3">
      <c r="A7" s="32" t="s">
        <v>102</v>
      </c>
      <c r="B7" s="33">
        <f>KeyMetrics!K12-KeyMetrics!G12</f>
        <v>169.35999999999996</v>
      </c>
      <c r="C7" s="33">
        <f>KeyMetrics!K31-KeyMetrics!G31</f>
        <v>709.9274999999999</v>
      </c>
      <c r="D7" s="34">
        <f>C7/B7</f>
        <v>4.1918251062824758</v>
      </c>
      <c r="F7" s="40" t="s">
        <v>103</v>
      </c>
      <c r="G7" s="41">
        <f>MAX(KeyMetrics!B38:K38)</f>
        <v>18.326740088105726</v>
      </c>
      <c r="H7" s="41">
        <f>MAX(KeyMetrics!B39:K39)</f>
        <v>2.839013154712966</v>
      </c>
      <c r="I7" s="41">
        <f>MAX(KeyMetrics!B42:K42)</f>
        <v>11.037107493739164</v>
      </c>
      <c r="J7" s="41">
        <f>MAX(KeyMetrics!B41:K41)</f>
        <v>3.2117920449632513</v>
      </c>
      <c r="K7" s="42">
        <f>MIN(KeyMetrics!B43:K43)</f>
        <v>9.9130564375975016E-3</v>
      </c>
      <c r="M7" s="44" t="s">
        <v>202</v>
      </c>
      <c r="N7" s="42">
        <f>('Profit &amp; Loss'!$Q$6/'Data Sheet'!$B$6)/'Data Sheet'!$B$8</f>
        <v>0.14240479608207379</v>
      </c>
    </row>
    <row r="8" spans="1:14" ht="15" customHeight="1" x14ac:dyDescent="0.3">
      <c r="A8" s="32" t="s">
        <v>104</v>
      </c>
      <c r="B8" s="33">
        <f>KeyMetrics!K12-KeyMetrics!I12</f>
        <v>70.659999999999968</v>
      </c>
      <c r="C8" s="33">
        <f>KeyMetrics!K31-KeyMetrics!I31</f>
        <v>231.38949999999988</v>
      </c>
      <c r="D8" s="34">
        <f>C8/B8</f>
        <v>3.2746886498726293</v>
      </c>
      <c r="F8" s="40" t="s">
        <v>105</v>
      </c>
      <c r="G8" s="41">
        <f>'Data Sheet'!B8/'Profit &amp; Loss'!Q14</f>
        <v>9.6756535947712425</v>
      </c>
      <c r="H8" s="41">
        <f>KeyMetrics!L31/KeyMetrics!K12</f>
        <v>1.7182860182811823</v>
      </c>
      <c r="I8" s="41">
        <f>KeyMetrics!K42</f>
        <v>10.009778241384639</v>
      </c>
      <c r="J8" s="41">
        <f>KeyMetrics!L31/'Data Sheet'!K17</f>
        <v>1.8538965274335359</v>
      </c>
      <c r="K8" s="42">
        <f>'Data Sheet'!K31/KeyMetrics!L31</f>
        <v>1.6901685946691433E-2</v>
      </c>
      <c r="M8" s="37"/>
      <c r="N8" s="45"/>
    </row>
    <row r="9" spans="1:14" ht="15" customHeight="1" x14ac:dyDescent="0.3">
      <c r="A9" s="32" t="s">
        <v>83</v>
      </c>
      <c r="B9" s="33">
        <f>KeyMetrics!K12-KeyMetrics!J12</f>
        <v>25.729999999999961</v>
      </c>
      <c r="C9" s="33">
        <f>KeyMetrics!K31-KeyMetrics!J31</f>
        <v>134.00299999999993</v>
      </c>
      <c r="D9" s="34">
        <f>C9/B9</f>
        <v>5.2080450835600516</v>
      </c>
      <c r="F9" s="35"/>
      <c r="G9" s="46"/>
      <c r="H9" s="35"/>
      <c r="I9" s="35"/>
      <c r="J9" s="35"/>
      <c r="K9" s="35"/>
      <c r="M9" s="47" t="s">
        <v>86</v>
      </c>
      <c r="N9" s="35"/>
    </row>
    <row r="10" spans="1:14" ht="15" customHeight="1" x14ac:dyDescent="0.3">
      <c r="A10" s="264" t="s">
        <v>106</v>
      </c>
      <c r="B10" s="264"/>
      <c r="C10" s="264"/>
      <c r="D10" s="264"/>
      <c r="E10" s="264"/>
      <c r="F10" s="264"/>
      <c r="G10" s="264"/>
      <c r="H10" s="264"/>
      <c r="I10" s="264"/>
      <c r="J10" s="264"/>
    </row>
    <row r="11" spans="1:14" ht="15" customHeight="1" x14ac:dyDescent="0.3">
      <c r="A11" s="48"/>
      <c r="B11" s="48"/>
      <c r="C11" s="48"/>
      <c r="D11" s="48"/>
      <c r="E11" s="48"/>
      <c r="F11" s="48"/>
      <c r="G11" s="48"/>
      <c r="H11" s="48"/>
      <c r="I11" s="48"/>
      <c r="J11" s="48"/>
    </row>
    <row r="12" spans="1:14" x14ac:dyDescent="0.3">
      <c r="A12" s="16" t="str">
        <f>A1</f>
        <v>ORIENTAL CARBON &amp; CHEMICALS LTD</v>
      </c>
      <c r="B12" s="16" t="s">
        <v>107</v>
      </c>
      <c r="C12" s="16" t="s">
        <v>108</v>
      </c>
      <c r="D12" s="16" t="s">
        <v>85</v>
      </c>
      <c r="E12" s="16" t="s">
        <v>81</v>
      </c>
      <c r="F12" s="16" t="s">
        <v>109</v>
      </c>
      <c r="G12" s="16" t="s">
        <v>205</v>
      </c>
      <c r="H12" s="16" t="s">
        <v>111</v>
      </c>
      <c r="I12" s="16" t="s">
        <v>204</v>
      </c>
      <c r="J12" s="16" t="s">
        <v>203</v>
      </c>
      <c r="K12" s="16" t="s">
        <v>112</v>
      </c>
      <c r="L12" s="16" t="s">
        <v>113</v>
      </c>
    </row>
    <row r="13" spans="1:14" x14ac:dyDescent="0.3">
      <c r="A13" s="49" t="s">
        <v>114</v>
      </c>
      <c r="B13" s="50">
        <f>POWER('Data Sheet'!$K17/'Data Sheet'!$B17, 1/9)-1</f>
        <v>0.13186673344330524</v>
      </c>
      <c r="C13" s="50">
        <f>POWER(KeyMetrics!$K4/KeyMetrics!$B4, 1/9)-1</f>
        <v>0.12416109360292538</v>
      </c>
      <c r="D13" s="50">
        <f>POWER(KeyMetrics!$K6/KeyMetrics!$B6, 1/9)-1</f>
        <v>0.13072935571091926</v>
      </c>
      <c r="E13" s="50">
        <f>POWER(KeyMetrics!$K9/KeyMetrics!$B9, 1/9)-1</f>
        <v>0.10732342632033687</v>
      </c>
      <c r="F13" s="50">
        <f>POWER(KeyMetrics!$K10/KeyMetrics!$B10, 1/9)-1</f>
        <v>0.12623056650701936</v>
      </c>
      <c r="G13" s="50">
        <f>POWER(KeyMetrics!$K29/KeyMetrics!$B29, 1/9)-1</f>
        <v>4.8699676359398758E-2</v>
      </c>
      <c r="H13" s="50">
        <f>POWER(KeyMetrics!$K31/KeyMetrics!$B31, 1/9)-1</f>
        <v>0.32582098091205447</v>
      </c>
      <c r="I13" s="50">
        <f>POWER(KeyMetrics!$K19/KeyMetrics!$B19, 1/9)-1</f>
        <v>0.10406904188565558</v>
      </c>
      <c r="J13" s="50" t="e">
        <f>POWER(KeyMetrics!$K23/KeyMetrics!$C23, 1/8)-1</f>
        <v>#NUM!</v>
      </c>
      <c r="K13" s="50">
        <f>POWER(KeyMetrics!$K12/KeyMetrics!$B12, 1/9)-1</f>
        <v>0.1806417272379337</v>
      </c>
      <c r="L13" s="50">
        <f>POWER(KeyMetrics!$K32/KeyMetrics!$B32, 1/9)-1</f>
        <v>0.32092687536319331</v>
      </c>
    </row>
    <row r="14" spans="1:14" x14ac:dyDescent="0.3">
      <c r="A14" s="49" t="s">
        <v>115</v>
      </c>
      <c r="B14" s="50">
        <f>POWER('Data Sheet'!$K17/'Data Sheet'!$G17, 1/4)-1</f>
        <v>7.9186532433652923E-2</v>
      </c>
      <c r="C14" s="50">
        <f>POWER(KeyMetrics!$K4/KeyMetrics!$G4, 1/4)-1</f>
        <v>8.8695654474152397E-2</v>
      </c>
      <c r="D14" s="50">
        <f>POWER(KeyMetrics!$K6/KeyMetrics!$G6, 1/4)-1</f>
        <v>0.11752702012792637</v>
      </c>
      <c r="E14" s="50">
        <f>POWER(KeyMetrics!$K9/KeyMetrics!$G9, 1/4)-1</f>
        <v>9.4848736194601546E-2</v>
      </c>
      <c r="F14" s="50">
        <f>POWER(KeyMetrics!$K10/KeyMetrics!$G10, 1/4)-1</f>
        <v>8.2080885078397836E-2</v>
      </c>
      <c r="G14" s="50">
        <f>POWER(KeyMetrics!$K29/KeyMetrics!$G29, 1/4)-1</f>
        <v>5.3574568402952938E-2</v>
      </c>
      <c r="H14" s="50">
        <f>POWER(KeyMetrics!$K31/KeyMetrics!$G31, 1/4)-1</f>
        <v>0.26114240578906922</v>
      </c>
      <c r="I14" s="50">
        <f>POWER(KeyMetrics!$K19/KeyMetrics!$G19, 1/4)-1</f>
        <v>6.0523061123509692E-2</v>
      </c>
      <c r="J14" s="50">
        <f>POWER(KeyMetrics!$K23/KeyMetrics!$G23, 1/4)-1</f>
        <v>3.9143426571593087E-2</v>
      </c>
      <c r="K14" s="50">
        <f>POWER(KeyMetrics!$K12/KeyMetrics!$G12, 1/4)-1</f>
        <v>0.14077989472376817</v>
      </c>
      <c r="L14" s="50">
        <f>POWER(KeyMetrics!$K32/KeyMetrics!$G32, 1/4)-1</f>
        <v>0.25845872343061438</v>
      </c>
    </row>
    <row r="15" spans="1:14" x14ac:dyDescent="0.3">
      <c r="A15" s="49" t="s">
        <v>116</v>
      </c>
      <c r="B15" s="50">
        <f>POWER('Data Sheet'!$K17/'Data Sheet'!$I17, 1/2)-1</f>
        <v>0.1352354930852151</v>
      </c>
      <c r="C15" s="50">
        <f>POWER(KeyMetrics!$K4/KeyMetrics!$I4, 1/2)-1</f>
        <v>8.1574833790423185E-2</v>
      </c>
      <c r="D15" s="50">
        <f>POWER(KeyMetrics!$K6/KeyMetrics!$I6, 1/2)-1</f>
        <v>0.17901080332240138</v>
      </c>
      <c r="E15" s="50">
        <f>POWER(KeyMetrics!$K9/KeyMetrics!$I9, 1/2)-1</f>
        <v>0.16673479235327937</v>
      </c>
      <c r="F15" s="50">
        <f>POWER(KeyMetrics!$K10/KeyMetrics!$I10, 1/2)-1</f>
        <v>7.9299985086608515E-2</v>
      </c>
      <c r="G15" s="50">
        <f>POWER(KeyMetrics!$K29/KeyMetrics!$I29, 1/2)-1</f>
        <v>0.61636336972583994</v>
      </c>
      <c r="H15" s="50">
        <f>POWER(KeyMetrics!$K31/KeyMetrics!$I31, 1/2)-1</f>
        <v>0.11600424373206208</v>
      </c>
      <c r="I15" s="50">
        <f>POWER(KeyMetrics!$K19/KeyMetrics!$I19, 1/2)-1</f>
        <v>7.1234385667623856E-2</v>
      </c>
      <c r="J15" s="50" t="e">
        <f>POWER(KeyMetrics!$K23/KeyMetrics!$I23, 1/2)-1</f>
        <v>#NUM!</v>
      </c>
      <c r="K15" s="50">
        <f>POWER(KeyMetrics!$K12/KeyMetrics!$I12, 1/2)-1</f>
        <v>9.8215793065335566E-2</v>
      </c>
      <c r="L15" s="50">
        <f>POWER(KeyMetrics!$K32/KeyMetrics!$I32, 1/2)-1</f>
        <v>0.11561360742738436</v>
      </c>
    </row>
    <row r="16" spans="1:14" x14ac:dyDescent="0.3">
      <c r="A16" s="49" t="s">
        <v>117</v>
      </c>
      <c r="B16" s="50">
        <f>('Data Sheet'!$K17-'Data Sheet'!$J17)/'Data Sheet'!$J17</f>
        <v>0.18365141127787052</v>
      </c>
      <c r="C16" s="50">
        <f>(KeyMetrics!$K4-KeyMetrics!$J4)/KeyMetrics!$J4</f>
        <v>0.13721045255955824</v>
      </c>
      <c r="D16" s="50">
        <f>(KeyMetrics!$K6-KeyMetrics!$J6)/KeyMetrics!$J6</f>
        <v>0.26691815272062197</v>
      </c>
      <c r="E16" s="50">
        <f>(KeyMetrics!$K9-KeyMetrics!$J9)/KeyMetrics!$J9</f>
        <v>0.29938325991189418</v>
      </c>
      <c r="F16" s="50">
        <f>(KeyMetrics!$K10-KeyMetrics!$J10)/KeyMetrics!$J10</f>
        <v>0.16488845780795336</v>
      </c>
      <c r="G16" s="50">
        <f>(KeyMetrics!$K29-KeyMetrics!$J29)/KeyMetrics!$J29</f>
        <v>1.5835549517163594</v>
      </c>
      <c r="H16" s="50">
        <f>(KeyMetrics!$K31-KeyMetrics!$J31)/KeyMetrics!$J31</f>
        <v>0.12884377321119081</v>
      </c>
      <c r="I16" s="50">
        <f>(KeyMetrics!$K19-KeyMetrics!$J19)/KeyMetrics!$J19</f>
        <v>2.087658592848907E-2</v>
      </c>
      <c r="J16" s="50">
        <f>(KeyMetrics!$K23-KeyMetrics!$J23)/KeyMetrics!$J23</f>
        <v>1.3428005284015792</v>
      </c>
      <c r="K16" s="50">
        <f>(KeyMetrics!$K12-KeyMetrics!$J12)/KeyMetrics!$J12</f>
        <v>6.6346922462030278E-2</v>
      </c>
      <c r="L16" s="50">
        <f>(KeyMetrics!$K32-KeyMetrics!$J32)/KeyMetrics!$J32</f>
        <v>0.12919757890803324</v>
      </c>
    </row>
    <row r="17" spans="1:13" x14ac:dyDescent="0.3">
      <c r="A17" s="74" t="s">
        <v>206</v>
      </c>
      <c r="B17" s="51"/>
    </row>
    <row r="18" spans="1:13" x14ac:dyDescent="0.3">
      <c r="A18" s="16" t="str">
        <f>A1</f>
        <v>ORIENTAL CARBON &amp; CHEMICALS LTD</v>
      </c>
      <c r="B18" s="16">
        <f>'Data Sheet'!B16</f>
        <v>40268</v>
      </c>
      <c r="C18" s="16">
        <f>'Data Sheet'!C16</f>
        <v>40633</v>
      </c>
      <c r="D18" s="16">
        <f>'Data Sheet'!D16</f>
        <v>40999</v>
      </c>
      <c r="E18" s="16">
        <f>'Data Sheet'!E16</f>
        <v>41364</v>
      </c>
      <c r="F18" s="16">
        <f>'Data Sheet'!F16</f>
        <v>41729</v>
      </c>
      <c r="G18" s="16">
        <f>'Data Sheet'!G16</f>
        <v>42094</v>
      </c>
      <c r="H18" s="16">
        <f>'Data Sheet'!H16</f>
        <v>42460</v>
      </c>
      <c r="I18" s="16">
        <f>'Data Sheet'!I16</f>
        <v>42825</v>
      </c>
      <c r="J18" s="16">
        <f>'Data Sheet'!J16</f>
        <v>43190</v>
      </c>
      <c r="K18" s="16">
        <f>'Data Sheet'!K16</f>
        <v>43555</v>
      </c>
      <c r="M18" s="30" t="s">
        <v>118</v>
      </c>
    </row>
    <row r="19" spans="1:13" x14ac:dyDescent="0.3">
      <c r="A19" s="49" t="s">
        <v>186</v>
      </c>
      <c r="B19" s="52">
        <f>KeyMetrics!B16/KeyMetrics!B12</f>
        <v>1.4216425953869369</v>
      </c>
      <c r="C19" s="52">
        <f>KeyMetrics!C16/KeyMetrics!C12</f>
        <v>1.6685823754789271</v>
      </c>
      <c r="D19" s="52">
        <f>KeyMetrics!D16/KeyMetrics!D12</f>
        <v>2.0292067706604713</v>
      </c>
      <c r="E19" s="52">
        <f>KeyMetrics!E16/KeyMetrics!E12</f>
        <v>1.9439920902640455</v>
      </c>
      <c r="F19" s="52">
        <f>KeyMetrics!F16/KeyMetrics!F12</f>
        <v>1.74825860884921</v>
      </c>
      <c r="G19" s="52">
        <f>KeyMetrics!G16/KeyMetrics!G12</f>
        <v>1.601728233270538</v>
      </c>
      <c r="H19" s="52">
        <f>KeyMetrics!H16/KeyMetrics!H12</f>
        <v>1.4559377616522466</v>
      </c>
      <c r="I19" s="52">
        <f>KeyMetrics!I16/KeyMetrics!I12</f>
        <v>1.4798471768548764</v>
      </c>
      <c r="J19" s="52">
        <f>KeyMetrics!J16/KeyMetrics!J12</f>
        <v>1.4769087955442097</v>
      </c>
      <c r="K19" s="52">
        <f>KeyMetrics!K16/KeyMetrics!K12</f>
        <v>1.4796875755670553</v>
      </c>
      <c r="L19" s="30" t="s">
        <v>86</v>
      </c>
    </row>
    <row r="20" spans="1:13" x14ac:dyDescent="0.3">
      <c r="A20" s="49" t="s">
        <v>119</v>
      </c>
      <c r="B20" s="52">
        <f>'Data Sheet'!B59/'Data Sheet'!B30</f>
        <v>0.63272233536999323</v>
      </c>
      <c r="C20" s="52">
        <f>'Data Sheet'!C59/'Data Sheet'!C30</f>
        <v>1.4454253611556982</v>
      </c>
      <c r="D20" s="52">
        <f>'Data Sheet'!D59/'Data Sheet'!D30</f>
        <v>3.7142403051493957</v>
      </c>
      <c r="E20" s="52">
        <f>'Data Sheet'!E59/'Data Sheet'!E30</f>
        <v>4.3279766252739229</v>
      </c>
      <c r="F20" s="52">
        <f>'Data Sheet'!F59/'Data Sheet'!F30</f>
        <v>2.5687438180019782</v>
      </c>
      <c r="G20" s="52">
        <f>'Data Sheet'!G59/'Data Sheet'!G30</f>
        <v>1.7663678877630555</v>
      </c>
      <c r="H20" s="52">
        <f>'Data Sheet'!H59/'Data Sheet'!H30</f>
        <v>1.3704472541989055</v>
      </c>
      <c r="I20" s="52">
        <f>'Data Sheet'!I59/'Data Sheet'!I30</f>
        <v>1.8944064980616577</v>
      </c>
      <c r="J20" s="52">
        <f>'Data Sheet'!J59/'Data Sheet'!J30</f>
        <v>2.0673127753303961</v>
      </c>
      <c r="K20" s="52">
        <f>'Data Sheet'!K59/'Data Sheet'!K30</f>
        <v>1.6966368321128289</v>
      </c>
    </row>
    <row r="21" spans="1:13" x14ac:dyDescent="0.3">
      <c r="A21" s="49" t="s">
        <v>120</v>
      </c>
      <c r="B21" s="52">
        <f>'Data Sheet'!B60/'Data Sheet'!B30</f>
        <v>0.69517990495587234</v>
      </c>
      <c r="C21" s="52">
        <f>'Data Sheet'!C60/'Data Sheet'!C30</f>
        <v>0.79534510433386829</v>
      </c>
      <c r="D21" s="52">
        <f>'Data Sheet'!D60/'Data Sheet'!D30</f>
        <v>1.2142403051493962</v>
      </c>
      <c r="E21" s="52">
        <f>'Data Sheet'!E60/'Data Sheet'!E30</f>
        <v>1.600073046018992</v>
      </c>
      <c r="F21" s="52">
        <f>'Data Sheet'!F60/'Data Sheet'!F30</f>
        <v>1.2032640949554896</v>
      </c>
      <c r="G21" s="52">
        <f>'Data Sheet'!G60/'Data Sheet'!G30</f>
        <v>1.0966484801247078</v>
      </c>
      <c r="H21" s="52">
        <f>'Data Sheet'!H60/'Data Sheet'!H30</f>
        <v>1.0958671447442914</v>
      </c>
      <c r="I21" s="52">
        <f>'Data Sheet'!I60/'Data Sheet'!I30</f>
        <v>1.1428835148606238</v>
      </c>
      <c r="J21" s="52">
        <f>'Data Sheet'!J60/'Data Sheet'!J30</f>
        <v>1.1917180616740086</v>
      </c>
      <c r="K21" s="52">
        <f>'Data Sheet'!K60/'Data Sheet'!K30</f>
        <v>0.99349064279902377</v>
      </c>
    </row>
    <row r="22" spans="1:13" x14ac:dyDescent="0.3">
      <c r="A22" s="49" t="s">
        <v>121</v>
      </c>
      <c r="B22" s="52">
        <f>('Data Sheet'!B59+'Data Sheet'!B60)/'Data Sheet'!B30</f>
        <v>1.3279022403258658</v>
      </c>
      <c r="C22" s="52">
        <f>('Data Sheet'!C59+'Data Sheet'!C60)/'Data Sheet'!C30</f>
        <v>2.2407704654895664</v>
      </c>
      <c r="D22" s="52">
        <f>('Data Sheet'!D59+'Data Sheet'!D60)/'Data Sheet'!D30</f>
        <v>4.9284806102987924</v>
      </c>
      <c r="E22" s="52">
        <f>('Data Sheet'!E59+'Data Sheet'!E60)/'Data Sheet'!E30</f>
        <v>5.9280496712929152</v>
      </c>
      <c r="F22" s="52">
        <f>('Data Sheet'!F59+'Data Sheet'!F60)/'Data Sheet'!F30</f>
        <v>3.7720079129574677</v>
      </c>
      <c r="G22" s="52">
        <f>('Data Sheet'!G59+'Data Sheet'!G60)/'Data Sheet'!G30</f>
        <v>2.8630163678877634</v>
      </c>
      <c r="H22" s="52">
        <f>('Data Sheet'!H59+'Data Sheet'!H60)/'Data Sheet'!H30</f>
        <v>2.4663143989431968</v>
      </c>
      <c r="I22" s="52">
        <f>('Data Sheet'!I59+'Data Sheet'!I60)/'Data Sheet'!I30</f>
        <v>3.0372900129222815</v>
      </c>
      <c r="J22" s="52">
        <f>('Data Sheet'!J59+'Data Sheet'!J60)/'Data Sheet'!J30</f>
        <v>3.259030837004405</v>
      </c>
      <c r="K22" s="52">
        <f>('Data Sheet'!K59+'Data Sheet'!K60)/'Data Sheet'!K30</f>
        <v>2.6901274749118529</v>
      </c>
      <c r="L22" s="53"/>
    </row>
    <row r="23" spans="1:13" x14ac:dyDescent="0.3">
      <c r="A23" s="54" t="s">
        <v>122</v>
      </c>
      <c r="B23" s="52">
        <f>'Data Sheet'!B59/KeyMetrics!B12</f>
        <v>0.20090536753610691</v>
      </c>
      <c r="C23" s="52">
        <f>'Data Sheet'!C59/KeyMetrics!C12</f>
        <v>0.43127394636015326</v>
      </c>
      <c r="D23" s="52">
        <f>'Data Sheet'!D59/KeyMetrics!D12</f>
        <v>0.77563889810819775</v>
      </c>
      <c r="E23" s="52">
        <f>'Data Sheet'!E59/KeyMetrics!E12</f>
        <v>0.68919390485052923</v>
      </c>
      <c r="F23" s="52">
        <f>'Data Sheet'!F59/KeyMetrics!F12</f>
        <v>0.50956538801138029</v>
      </c>
      <c r="G23" s="52">
        <f>'Data Sheet'!G59/KeyMetrics!G12</f>
        <v>0.37124252600540586</v>
      </c>
      <c r="H23" s="52">
        <f>'Data Sheet'!H59/KeyMetrics!H12</f>
        <v>0.25334914875802406</v>
      </c>
      <c r="I23" s="52">
        <f>'Data Sheet'!I59/KeyMetrics!I12</f>
        <v>0.29928838077461506</v>
      </c>
      <c r="J23" s="52">
        <f>'Data Sheet'!J59/KeyMetrics!J12</f>
        <v>0.30251927490265851</v>
      </c>
      <c r="K23" s="52">
        <f>'Data Sheet'!K59/KeyMetrics!K12</f>
        <v>0.30253421676258646</v>
      </c>
    </row>
    <row r="24" spans="1:13" x14ac:dyDescent="0.3">
      <c r="A24" s="54" t="s">
        <v>123</v>
      </c>
      <c r="B24" s="52">
        <f>KeyMetrics!B6/'Data Sheet'!B27</f>
        <v>15.15702479338843</v>
      </c>
      <c r="C24" s="52">
        <f>KeyMetrics!C6/'Data Sheet'!C27</f>
        <v>17.211895910780669</v>
      </c>
      <c r="D24" s="52">
        <f>KeyMetrics!D6/'Data Sheet'!D27</f>
        <v>6.3549939831528279</v>
      </c>
      <c r="E24" s="52">
        <f>KeyMetrics!E6/'Data Sheet'!E27</f>
        <v>4.1330203442879503</v>
      </c>
      <c r="F24" s="52">
        <f>KeyMetrics!F6/'Data Sheet'!F27</f>
        <v>5.539366515837103</v>
      </c>
      <c r="G24" s="52">
        <f>KeyMetrics!G6/'Data Sheet'!G27</f>
        <v>8.7728395061728399</v>
      </c>
      <c r="H24" s="52">
        <f>KeyMetrics!H6/'Data Sheet'!H27</f>
        <v>11.198425196850394</v>
      </c>
      <c r="I24" s="52">
        <f>KeyMetrics!I6/'Data Sheet'!I27</f>
        <v>15.914171656686628</v>
      </c>
      <c r="J24" s="52">
        <f>KeyMetrics!J6/'Data Sheet'!J27</f>
        <v>11.143949044585986</v>
      </c>
      <c r="K24" s="52">
        <f>KeyMetrics!K6/'Data Sheet'!K27</f>
        <v>13.433939393939394</v>
      </c>
    </row>
    <row r="25" spans="1:13" s="31" customFormat="1" x14ac:dyDescent="0.3">
      <c r="A25" s="49" t="s">
        <v>124</v>
      </c>
      <c r="B25" s="55">
        <f>KeyMetrics!B13/'Data Sheet'!B17</f>
        <v>0.29941929838517223</v>
      </c>
      <c r="C25" s="55">
        <f>KeyMetrics!C13/'Data Sheet'!C17</f>
        <v>0.35054399094396577</v>
      </c>
      <c r="D25" s="55">
        <f>KeyMetrics!D13/'Data Sheet'!D17</f>
        <v>0.31154163988614453</v>
      </c>
      <c r="E25" s="55">
        <f>KeyMetrics!E13/'Data Sheet'!E17</f>
        <v>0.35395874916833003</v>
      </c>
      <c r="F25" s="55">
        <f>KeyMetrics!F13/'Data Sheet'!F17</f>
        <v>0.32930836836071842</v>
      </c>
      <c r="G25" s="55">
        <f>KeyMetrics!G13/'Data Sheet'!G17</f>
        <v>0.36014579941963343</v>
      </c>
      <c r="H25" s="55">
        <f>KeyMetrics!H13/'Data Sheet'!H17</f>
        <v>0.3938309412242188</v>
      </c>
      <c r="I25" s="55">
        <f>KeyMetrics!I13/'Data Sheet'!I17</f>
        <v>0.28223664301805584</v>
      </c>
      <c r="J25" s="55">
        <f>KeyMetrics!J13/'Data Sheet'!J17</f>
        <v>0.24896547464640853</v>
      </c>
      <c r="K25" s="55">
        <f>KeyMetrics!K13/'Data Sheet'!K17</f>
        <v>0.21696365676119903</v>
      </c>
      <c r="L25" s="30" t="s">
        <v>207</v>
      </c>
    </row>
    <row r="26" spans="1:13" s="31" customFormat="1" x14ac:dyDescent="0.3">
      <c r="A26" s="49" t="s">
        <v>201</v>
      </c>
      <c r="B26" s="52">
        <f t="shared" ref="B26:K26" si="0">365/B27</f>
        <v>9.3883495145631048</v>
      </c>
      <c r="C26" s="52">
        <f t="shared" si="0"/>
        <v>8.4043340380549676</v>
      </c>
      <c r="D26" s="52">
        <f t="shared" si="0"/>
        <v>7.8155722999641188</v>
      </c>
      <c r="E26" s="52">
        <f t="shared" si="0"/>
        <v>6.13135708457982</v>
      </c>
      <c r="F26" s="52">
        <f t="shared" si="0"/>
        <v>6.901371308016877</v>
      </c>
      <c r="G26" s="52">
        <f t="shared" si="0"/>
        <v>7.5840042941492207</v>
      </c>
      <c r="H26" s="52">
        <f t="shared" si="0"/>
        <v>7.0087923454874579</v>
      </c>
      <c r="I26" s="52">
        <f t="shared" si="0"/>
        <v>9.2392047219633451</v>
      </c>
      <c r="J26" s="52">
        <f t="shared" si="0"/>
        <v>8.3956442831215963</v>
      </c>
      <c r="K26" s="52">
        <f t="shared" si="0"/>
        <v>8.2766141222198222</v>
      </c>
    </row>
    <row r="27" spans="1:13" s="31" customFormat="1" x14ac:dyDescent="0.3">
      <c r="A27" s="49" t="s">
        <v>125</v>
      </c>
      <c r="B27" s="56">
        <f>'Balance Sheet'!B21</f>
        <v>38.877973112719758</v>
      </c>
      <c r="C27" s="56">
        <f>'Balance Sheet'!C21</f>
        <v>43.429972957675623</v>
      </c>
      <c r="D27" s="56">
        <f>'Balance Sheet'!D21</f>
        <v>46.701634377008538</v>
      </c>
      <c r="E27" s="56">
        <f>'Balance Sheet'!E21</f>
        <v>59.530051009092929</v>
      </c>
      <c r="F27" s="56">
        <f>'Balance Sheet'!F21</f>
        <v>52.888039740160494</v>
      </c>
      <c r="G27" s="56">
        <f>'Balance Sheet'!G21</f>
        <v>48.127609880387858</v>
      </c>
      <c r="H27" s="56">
        <f>'Balance Sheet'!H21</f>
        <v>52.077445301258166</v>
      </c>
      <c r="I27" s="56">
        <f>'Balance Sheet'!I21</f>
        <v>39.505564708651349</v>
      </c>
      <c r="J27" s="56">
        <f>'Balance Sheet'!J21</f>
        <v>43.474924340683096</v>
      </c>
      <c r="K27" s="56">
        <f>'Balance Sheet'!K21</f>
        <v>44.100159148425476</v>
      </c>
    </row>
    <row r="28" spans="1:13" s="31" customFormat="1" x14ac:dyDescent="0.3">
      <c r="A28" s="49" t="s">
        <v>45</v>
      </c>
      <c r="B28" s="56">
        <f>'Balance Sheet'!B22</f>
        <v>55.602179619759767</v>
      </c>
      <c r="C28" s="56">
        <f>'Balance Sheet'!C22</f>
        <v>66.430413181560922</v>
      </c>
      <c r="D28" s="56">
        <f>'Balance Sheet'!D22</f>
        <v>75.909007437333571</v>
      </c>
      <c r="E28" s="56">
        <f>'Balance Sheet'!E22</f>
        <v>64.079396762031493</v>
      </c>
      <c r="F28" s="56">
        <f>'Balance Sheet'!F22</f>
        <v>65.719526175009548</v>
      </c>
      <c r="G28" s="56">
        <f>'Balance Sheet'!G22</f>
        <v>66.508068511571949</v>
      </c>
      <c r="H28" s="56">
        <f>'Balance Sheet'!H22</f>
        <v>64.709626240637576</v>
      </c>
      <c r="I28" s="56">
        <f>'Balance Sheet'!I22</f>
        <v>93.983726169261288</v>
      </c>
      <c r="J28" s="56">
        <f>'Balance Sheet'!J22</f>
        <v>85.191464393799023</v>
      </c>
      <c r="K28" s="56">
        <f>'Balance Sheet'!K22</f>
        <v>79.667875498969451</v>
      </c>
    </row>
    <row r="29" spans="1:13" s="31" customFormat="1" x14ac:dyDescent="0.3">
      <c r="A29" s="49" t="s">
        <v>193</v>
      </c>
      <c r="B29" s="56"/>
      <c r="C29" s="56"/>
      <c r="D29" s="56"/>
      <c r="E29" s="56"/>
      <c r="F29" s="56"/>
      <c r="G29" s="56"/>
      <c r="H29" s="56"/>
      <c r="I29" s="56"/>
      <c r="J29" s="56"/>
      <c r="K29" s="56"/>
      <c r="L29" s="30" t="s">
        <v>208</v>
      </c>
    </row>
    <row r="30" spans="1:13" s="31" customFormat="1" x14ac:dyDescent="0.3">
      <c r="A30" s="49" t="s">
        <v>194</v>
      </c>
      <c r="B30" s="56"/>
      <c r="C30" s="56"/>
      <c r="D30" s="56"/>
      <c r="E30" s="56"/>
      <c r="F30" s="56"/>
      <c r="G30" s="56"/>
      <c r="H30" s="56"/>
      <c r="I30" s="56"/>
      <c r="J30" s="56"/>
      <c r="K30" s="56"/>
    </row>
    <row r="31" spans="1:13" s="31" customFormat="1" x14ac:dyDescent="0.3">
      <c r="A31" s="49" t="s">
        <v>126</v>
      </c>
      <c r="B31" s="52">
        <f>('Data Sheet'!B67+'Data Sheet'!B69)/'Data Sheet'!B60</f>
        <v>1.46484375</v>
      </c>
      <c r="C31" s="52">
        <f>('Data Sheet'!C67+'Data Sheet'!C69)/'Data Sheet'!C60</f>
        <v>1.4281870164816683</v>
      </c>
      <c r="D31" s="52">
        <f>('Data Sheet'!D67+'Data Sheet'!D69)/'Data Sheet'!D60</f>
        <v>1.4871727748691097</v>
      </c>
      <c r="E31" s="52">
        <f>('Data Sheet'!E67+'Data Sheet'!E69)/'Data Sheet'!E60</f>
        <v>1.1963022141063682</v>
      </c>
      <c r="F31" s="52">
        <f>('Data Sheet'!F67+'Data Sheet'!F69)/'Data Sheet'!F60</f>
        <v>1.178380600082203</v>
      </c>
      <c r="G31" s="52">
        <f>('Data Sheet'!G67+'Data Sheet'!G69)/'Data Sheet'!G60</f>
        <v>1.2297441364605546</v>
      </c>
      <c r="H31" s="52">
        <f>('Data Sheet'!H67+'Data Sheet'!H69)/'Data Sheet'!H60</f>
        <v>0.99965558808334765</v>
      </c>
      <c r="I31" s="52">
        <f>('Data Sheet'!I67+'Data Sheet'!I69)/'Data Sheet'!I60</f>
        <v>1.4525924729445969</v>
      </c>
      <c r="J31" s="52">
        <f>('Data Sheet'!J67+'Data Sheet'!J69)/'Data Sheet'!J60</f>
        <v>1.2874463995268373</v>
      </c>
      <c r="K31" s="52">
        <f>('Data Sheet'!K67+'Data Sheet'!K69)/'Data Sheet'!K60</f>
        <v>1.1923286923286922</v>
      </c>
      <c r="M31" s="31" t="s">
        <v>127</v>
      </c>
    </row>
    <row r="32" spans="1:13" s="31" customFormat="1" x14ac:dyDescent="0.3">
      <c r="A32" s="49" t="s">
        <v>128</v>
      </c>
      <c r="B32" s="52">
        <f>'Data Sheet'!B65/'Data Sheet'!B60</f>
        <v>2.837890625</v>
      </c>
      <c r="C32" s="52">
        <f>'Data Sheet'!C65/'Data Sheet'!C60</f>
        <v>2.8748738647830474</v>
      </c>
      <c r="D32" s="52">
        <f>'Data Sheet'!D65/'Data Sheet'!D60</f>
        <v>2.7764397905759162</v>
      </c>
      <c r="E32" s="52">
        <f>'Data Sheet'!E65/'Data Sheet'!E60</f>
        <v>2.8215019401963022</v>
      </c>
      <c r="F32" s="52">
        <f>'Data Sheet'!F65/'Data Sheet'!F60</f>
        <v>2.7710645293875875</v>
      </c>
      <c r="G32" s="52">
        <f>'Data Sheet'!G65/'Data Sheet'!G60</f>
        <v>2.8082800284292824</v>
      </c>
      <c r="H32" s="52">
        <f>'Data Sheet'!H65/'Data Sheet'!H60</f>
        <v>2.8381263991734116</v>
      </c>
      <c r="I32" s="52">
        <f>'Data Sheet'!I65/'Data Sheet'!I60</f>
        <v>2.3558391213051202</v>
      </c>
      <c r="J32" s="52">
        <f>'Data Sheet'!J65/'Data Sheet'!J60</f>
        <v>2.1920745231406182</v>
      </c>
      <c r="K32" s="52">
        <f>'Data Sheet'!K65/'Data Sheet'!K60</f>
        <v>2.1351351351351346</v>
      </c>
      <c r="L32" s="31" t="s">
        <v>86</v>
      </c>
    </row>
    <row r="33" spans="1:14" s="31" customFormat="1" x14ac:dyDescent="0.3">
      <c r="A33" s="57" t="s">
        <v>129</v>
      </c>
      <c r="B33" s="52">
        <f>KeyMetrics!B19/KeyMetrics!B9</f>
        <v>1.2325186693822132</v>
      </c>
      <c r="C33" s="52">
        <f>KeyMetrics!C19/KeyMetrics!C9</f>
        <v>0.78330658105938999</v>
      </c>
      <c r="D33" s="52">
        <f>KeyMetrics!D19/KeyMetrics!D9</f>
        <v>0.96662428480610296</v>
      </c>
      <c r="E33" s="52">
        <f>KeyMetrics!E19/KeyMetrics!E9</f>
        <v>1.7030679327976628</v>
      </c>
      <c r="F33" s="52">
        <f>KeyMetrics!F19/KeyMetrics!F9</f>
        <v>1.2742334322453017</v>
      </c>
      <c r="G33" s="52">
        <f>KeyMetrics!G19/KeyMetrics!G9</f>
        <v>1.3634060795011691</v>
      </c>
      <c r="H33" s="52">
        <f>KeyMetrics!H19/KeyMetrics!H9</f>
        <v>1.2908095867144744</v>
      </c>
      <c r="I33" s="52">
        <f>KeyMetrics!I19/KeyMetrics!I9</f>
        <v>1.4238508399483107</v>
      </c>
      <c r="J33" s="52">
        <f>KeyMetrics!J19/KeyMetrics!J9</f>
        <v>1.5277533039647577</v>
      </c>
      <c r="K33" s="52">
        <f>KeyMetrics!K19/KeyMetrics!K9</f>
        <v>1.2002983455383782</v>
      </c>
    </row>
    <row r="34" spans="1:14" x14ac:dyDescent="0.3">
      <c r="A34" s="261"/>
      <c r="B34" s="261"/>
      <c r="C34" s="261"/>
      <c r="D34" s="261"/>
      <c r="E34" s="261"/>
      <c r="F34" s="261"/>
      <c r="G34" s="261"/>
      <c r="H34" s="261"/>
      <c r="I34" s="261"/>
      <c r="J34" s="261"/>
      <c r="K34" s="261"/>
      <c r="L34" s="30" t="s">
        <v>86</v>
      </c>
    </row>
    <row r="35" spans="1:14" x14ac:dyDescent="0.3">
      <c r="A35" s="58" t="s">
        <v>180</v>
      </c>
      <c r="B35" s="59">
        <f>KeyMetrics!B4/'Data Sheet'!B17</f>
        <v>0.76549200540927531</v>
      </c>
      <c r="C35" s="59">
        <f>KeyMetrics!C4/'Data Sheet'!C17</f>
        <v>0.66530406892648264</v>
      </c>
      <c r="D35" s="59">
        <f>KeyMetrics!D4/'Data Sheet'!D17</f>
        <v>0.65870902580112012</v>
      </c>
      <c r="E35" s="59">
        <f>KeyMetrics!E4/'Data Sheet'!E17</f>
        <v>0.66693280106453756</v>
      </c>
      <c r="F35" s="59">
        <f>KeyMetrics!F4/'Data Sheet'!F17</f>
        <v>0.74470768055024839</v>
      </c>
      <c r="G35" s="59">
        <f>KeyMetrics!G4/'Data Sheet'!G17</f>
        <v>0.69502441786396774</v>
      </c>
      <c r="H35" s="59">
        <f>KeyMetrics!H4/'Data Sheet'!H17</f>
        <v>0.7302881599822898</v>
      </c>
      <c r="I35" s="59">
        <f>KeyMetrics!I4/'Data Sheet'!I17</f>
        <v>0.79304663595709624</v>
      </c>
      <c r="J35" s="59">
        <f>KeyMetrics!J4/'Data Sheet'!J17</f>
        <v>0.74924340683095547</v>
      </c>
      <c r="K35" s="59">
        <f>KeyMetrics!K4/'Data Sheet'!K17</f>
        <v>0.71984659135380524</v>
      </c>
      <c r="L35" s="60"/>
      <c r="M35" s="60"/>
      <c r="N35" s="60"/>
    </row>
    <row r="36" spans="1:14" x14ac:dyDescent="0.3">
      <c r="A36" s="58" t="s">
        <v>175</v>
      </c>
      <c r="B36" s="59">
        <f>KeyMetrics!B6/'Data Sheet'!B17</f>
        <v>0.2917826744093549</v>
      </c>
      <c r="C36" s="59">
        <f>KeyMetrics!C6/'Data Sheet'!C17</f>
        <v>0.29117665555625433</v>
      </c>
      <c r="D36" s="59">
        <f>KeyMetrics!D6/'Data Sheet'!D17</f>
        <v>0.2424478927554862</v>
      </c>
      <c r="E36" s="59">
        <f>KeyMetrics!E6/'Data Sheet'!E17</f>
        <v>0.23428698159237082</v>
      </c>
      <c r="F36" s="59">
        <f>KeyMetrics!F6/'Data Sheet'!F17</f>
        <v>0.23389377149407717</v>
      </c>
      <c r="G36" s="59">
        <f>KeyMetrics!G6/'Data Sheet'!G17</f>
        <v>0.25146861065892845</v>
      </c>
      <c r="H36" s="59">
        <f>KeyMetrics!H6/'Data Sheet'!H17</f>
        <v>0.26236947939342509</v>
      </c>
      <c r="I36" s="59">
        <f>KeyMetrics!I6/'Data Sheet'!I17</f>
        <v>0.26808110016475573</v>
      </c>
      <c r="J36" s="59">
        <f>KeyMetrics!J6/'Data Sheet'!J17</f>
        <v>0.27015008337965535</v>
      </c>
      <c r="K36" s="59">
        <f>KeyMetrics!K6/'Data Sheet'!K17</f>
        <v>0.28915442615252157</v>
      </c>
      <c r="L36" s="60"/>
      <c r="M36" s="60"/>
      <c r="N36" s="60"/>
    </row>
    <row r="37" spans="1:14" x14ac:dyDescent="0.3">
      <c r="A37" s="49" t="s">
        <v>176</v>
      </c>
      <c r="B37" s="50">
        <f>KeyMetrics!B7/'Data Sheet'!B17</f>
        <v>0.32909076445787921</v>
      </c>
      <c r="C37" s="50">
        <f>KeyMetrics!C7/'Data Sheet'!C17</f>
        <v>0.32274699704421106</v>
      </c>
      <c r="D37" s="50">
        <f>KeyMetrics!D7/'Data Sheet'!D17</f>
        <v>0.27513543292626941</v>
      </c>
      <c r="E37" s="50">
        <f>KeyMetrics!E7/'Data Sheet'!E17</f>
        <v>0.27691284098469726</v>
      </c>
      <c r="F37" s="50">
        <f>KeyMetrics!F7/'Data Sheet'!F17</f>
        <v>0.27374856706152079</v>
      </c>
      <c r="G37" s="50">
        <f>KeyMetrics!G7/'Data Sheet'!G17</f>
        <v>0.29775638757166112</v>
      </c>
      <c r="H37" s="50">
        <f>KeyMetrics!H7/'Data Sheet'!H17</f>
        <v>0.32011216470501425</v>
      </c>
      <c r="I37" s="50">
        <f>KeyMetrics!I7/'Data Sheet'!I17</f>
        <v>0.31902088026629905</v>
      </c>
      <c r="J37" s="50">
        <f>KeyMetrics!J7/'Data Sheet'!J17</f>
        <v>0.32061021555184976</v>
      </c>
      <c r="K37" s="50">
        <f>KeyMetrics!K7/'Data Sheet'!K17</f>
        <v>0.33765556106342454</v>
      </c>
      <c r="L37" s="60"/>
      <c r="M37" s="60"/>
      <c r="N37" s="60"/>
    </row>
    <row r="38" spans="1:14" x14ac:dyDescent="0.3">
      <c r="A38" s="49" t="s">
        <v>177</v>
      </c>
      <c r="B38" s="50">
        <f>KeyMetrics!B8/'Data Sheet'!B17</f>
        <v>0.30299896587383657</v>
      </c>
      <c r="C38" s="50">
        <f>KeyMetrics!C8/'Data Sheet'!C17</f>
        <v>0.3031884787120307</v>
      </c>
      <c r="D38" s="50">
        <f>KeyMetrics!D8/'Data Sheet'!D17</f>
        <v>0.25750619777798184</v>
      </c>
      <c r="E38" s="50">
        <f>KeyMetrics!E8/'Data Sheet'!E17</f>
        <v>0.25526724329119538</v>
      </c>
      <c r="F38" s="50">
        <f>KeyMetrics!F8/'Data Sheet'!F17</f>
        <v>0.26282002292701562</v>
      </c>
      <c r="G38" s="50">
        <f>KeyMetrics!G8/'Data Sheet'!G17</f>
        <v>0.25635218345247363</v>
      </c>
      <c r="H38" s="50">
        <f>KeyMetrics!H8/'Data Sheet'!H17</f>
        <v>0.30026196362026353</v>
      </c>
      <c r="I38" s="50">
        <f>KeyMetrics!I8/'Data Sheet'!I17</f>
        <v>0.30019165461820385</v>
      </c>
      <c r="J38" s="50">
        <f>KeyMetrics!J8/'Data Sheet'!J17</f>
        <v>0.30452103020196408</v>
      </c>
      <c r="K38" s="50">
        <f>KeyMetrics!K8/'Data Sheet'!K17</f>
        <v>0.3168358162227034</v>
      </c>
      <c r="L38" s="60"/>
      <c r="M38" s="60"/>
      <c r="N38" s="60"/>
    </row>
    <row r="39" spans="1:14" x14ac:dyDescent="0.3">
      <c r="A39" s="49" t="s">
        <v>179</v>
      </c>
      <c r="B39" s="50">
        <f>KeyMetrics!B9/'Data Sheet'!B17</f>
        <v>0.23434889825789518</v>
      </c>
      <c r="C39" s="50">
        <f>KeyMetrics!C9/'Data Sheet'!C17</f>
        <v>0.23507955474498463</v>
      </c>
      <c r="D39" s="50">
        <f>KeyMetrics!D9/'Data Sheet'!D17</f>
        <v>0.14443118170966854</v>
      </c>
      <c r="E39" s="50">
        <f>KeyMetrics!E9/'Data Sheet'!E17</f>
        <v>0.12144599689509869</v>
      </c>
      <c r="F39" s="50">
        <f>KeyMetrics!F9/'Data Sheet'!F17</f>
        <v>0.15452808559419182</v>
      </c>
      <c r="G39" s="50">
        <f>KeyMetrics!G9/'Data Sheet'!G17</f>
        <v>0.18161228678604291</v>
      </c>
      <c r="H39" s="50">
        <f>KeyMetrics!H9/'Data Sheet'!H17</f>
        <v>0.19551341179943182</v>
      </c>
      <c r="I39" s="50">
        <f>KeyMetrics!I9/'Data Sheet'!I17</f>
        <v>0.18213913452809252</v>
      </c>
      <c r="J39" s="50">
        <f>KeyMetrics!J9/'Data Sheet'!J17</f>
        <v>0.17525168303378422</v>
      </c>
      <c r="K39" s="50">
        <f>KeyMetrics!K9/'Data Sheet'!K17</f>
        <v>0.19238696548305459</v>
      </c>
      <c r="L39" s="60"/>
      <c r="M39" s="60"/>
      <c r="N39" s="60"/>
    </row>
    <row r="40" spans="1:14" x14ac:dyDescent="0.3">
      <c r="A40" s="49" t="s">
        <v>178</v>
      </c>
      <c r="B40" s="50">
        <f>KeyMetrics!B19/'Data Sheet'!B17</f>
        <v>0.28883939225200861</v>
      </c>
      <c r="C40" s="50">
        <f>KeyMetrics!C19/'Data Sheet'!C17</f>
        <v>0.18413936230425762</v>
      </c>
      <c r="D40" s="50">
        <f>KeyMetrics!D19/'Data Sheet'!D17</f>
        <v>0.13961068772380866</v>
      </c>
      <c r="E40" s="50">
        <f>KeyMetrics!E19/'Data Sheet'!E17</f>
        <v>0.20683078287868709</v>
      </c>
      <c r="F40" s="50">
        <f>KeyMetrics!F19/'Data Sheet'!F17</f>
        <v>0.19690485288498283</v>
      </c>
      <c r="G40" s="50">
        <f>KeyMetrics!G19/'Data Sheet'!G17</f>
        <v>0.24761129591620074</v>
      </c>
      <c r="H40" s="50">
        <f>KeyMetrics!H19/'Data Sheet'!H17</f>
        <v>0.25237058628196146</v>
      </c>
      <c r="I40" s="50">
        <f>KeyMetrics!I19/'Data Sheet'!I17</f>
        <v>0.25933895968528292</v>
      </c>
      <c r="J40" s="50">
        <f>KeyMetrics!J19/'Data Sheet'!J17</f>
        <v>0.26774133778024828</v>
      </c>
      <c r="K40" s="50">
        <f>KeyMetrics!K19/'Data Sheet'!K17</f>
        <v>0.23092175637245949</v>
      </c>
      <c r="L40" s="60"/>
      <c r="M40" s="60"/>
      <c r="N40" s="60"/>
    </row>
    <row r="41" spans="1:14" x14ac:dyDescent="0.3">
      <c r="A41" s="49" t="s">
        <v>130</v>
      </c>
      <c r="B41" s="50">
        <f>KeyMetrics!B23/'Data Sheet'!B17</f>
        <v>0</v>
      </c>
      <c r="C41" s="50">
        <f>KeyMetrics!C23/'Data Sheet'!C17</f>
        <v>-0.12911137664297836</v>
      </c>
      <c r="D41" s="50">
        <f>KeyMetrics!D23/'Data Sheet'!D17</f>
        <v>-0.1987879900835553</v>
      </c>
      <c r="E41" s="50">
        <f>KeyMetrics!E23/'Data Sheet'!E17</f>
        <v>0.1369261477045908</v>
      </c>
      <c r="F41" s="50">
        <f>KeyMetrics!F23/'Data Sheet'!F17</f>
        <v>0.13832632785632404</v>
      </c>
      <c r="G41" s="50">
        <f>KeyMetrics!G23/'Data Sheet'!G17</f>
        <v>0.21530186141977489</v>
      </c>
      <c r="H41" s="50">
        <f>KeyMetrics!H23/'Data Sheet'!H17</f>
        <v>8.1799062834372702E-2</v>
      </c>
      <c r="I41" s="50">
        <f>KeyMetrics!I23/'Data Sheet'!I17</f>
        <v>-8.1739013483070652E-2</v>
      </c>
      <c r="J41" s="50">
        <f>KeyMetrics!J23/'Data Sheet'!J17</f>
        <v>9.3508739423136492E-2</v>
      </c>
      <c r="K41" s="50">
        <f>KeyMetrics!K23/'Data Sheet'!K17</f>
        <v>0.18508179185473128</v>
      </c>
      <c r="L41" s="60"/>
      <c r="M41" s="60"/>
      <c r="N41" s="60"/>
    </row>
    <row r="42" spans="1:14" x14ac:dyDescent="0.3">
      <c r="A42" s="49" t="s">
        <v>138</v>
      </c>
      <c r="B42" s="50">
        <f>KeyMetrics!B29/'Data Sheet'!B17</f>
        <v>0.14503019417136234</v>
      </c>
      <c r="C42" s="50">
        <f>KeyMetrics!C29/'Data Sheet'!C17</f>
        <v>0.11841842831088786</v>
      </c>
      <c r="D42" s="50">
        <f>KeyMetrics!D29/'Data Sheet'!D17</f>
        <v>3.229129504930886E-2</v>
      </c>
      <c r="E42" s="50">
        <f>KeyMetrics!E29/'Data Sheet'!E17</f>
        <v>1.6235806774728953E-2</v>
      </c>
      <c r="F42" s="50">
        <f>KeyMetrics!F29/'Data Sheet'!F17</f>
        <v>5.9363144852787451E-2</v>
      </c>
      <c r="G42" s="50">
        <f>KeyMetrics!G29/'Data Sheet'!G17</f>
        <v>8.0331508824614192E-2</v>
      </c>
      <c r="H42" s="50">
        <f>KeyMetrics!H29/'Data Sheet'!H17</f>
        <v>6.8946314812089793E-2</v>
      </c>
      <c r="I42" s="50">
        <f>KeyMetrics!I29/'Data Sheet'!I17</f>
        <v>3.5996053940921945E-2</v>
      </c>
      <c r="J42" s="50">
        <f>KeyMetrics!J29/'Data Sheet'!J17</f>
        <v>3.3432364169181453E-2</v>
      </c>
      <c r="K42" s="50">
        <f>KeyMetrics!K29/'Data Sheet'!K17</f>
        <v>7.2972793487926957E-2</v>
      </c>
      <c r="L42" s="60"/>
      <c r="M42" s="60"/>
      <c r="N42" s="60"/>
    </row>
    <row r="43" spans="1:14" x14ac:dyDescent="0.3">
      <c r="A43" s="261"/>
      <c r="B43" s="261"/>
      <c r="C43" s="261"/>
      <c r="D43" s="261"/>
      <c r="E43" s="261"/>
      <c r="F43" s="261"/>
      <c r="G43" s="261"/>
      <c r="H43" s="261"/>
      <c r="I43" s="261"/>
      <c r="J43" s="261"/>
      <c r="K43" s="261"/>
    </row>
    <row r="44" spans="1:14" x14ac:dyDescent="0.3">
      <c r="A44" s="49" t="s">
        <v>183</v>
      </c>
      <c r="B44" s="52">
        <f>'Data Sheet'!B17/KeyMetrics!B14</f>
        <v>1.1334415291677935</v>
      </c>
      <c r="C44" s="52">
        <f>'Data Sheet'!C17/KeyMetrics!C14</f>
        <v>0.9149021864211736</v>
      </c>
      <c r="D44" s="52">
        <f>'Data Sheet'!D17/KeyMetrics!D14</f>
        <v>0.86261930220585326</v>
      </c>
      <c r="E44" s="52">
        <f>'Data Sheet'!E17/KeyMetrics!E14</f>
        <v>0.83314855875831473</v>
      </c>
      <c r="F44" s="52">
        <f>'Data Sheet'!F17/KeyMetrics!F14</f>
        <v>0.92840925216404147</v>
      </c>
      <c r="G44" s="52">
        <f>'Data Sheet'!G17/KeyMetrics!G14</f>
        <v>0.96272826383210686</v>
      </c>
      <c r="H44" s="52">
        <f>'Data Sheet'!H17/KeyMetrics!H14</f>
        <v>0.82362415291579294</v>
      </c>
      <c r="I44" s="52">
        <f>'Data Sheet'!I17/KeyMetrics!I14</f>
        <v>0.75761667006317512</v>
      </c>
      <c r="J44" s="52">
        <f>'Data Sheet'!J17/KeyMetrics!J14</f>
        <v>0.75426255473772474</v>
      </c>
      <c r="K44" s="52">
        <f>'Data Sheet'!K17/KeyMetrics!K14</f>
        <v>0.88963420295237217</v>
      </c>
    </row>
    <row r="45" spans="1:14" s="31" customFormat="1" x14ac:dyDescent="0.3">
      <c r="A45" s="49" t="s">
        <v>184</v>
      </c>
      <c r="B45" s="52">
        <f>'Data Sheet'!B17/'Data Sheet'!B62</f>
        <v>1.9337025073065679</v>
      </c>
      <c r="C45" s="52">
        <f>'Data Sheet'!C17/'Data Sheet'!C62</f>
        <v>2.3442429603420316</v>
      </c>
      <c r="D45" s="52">
        <f>'Data Sheet'!D17/'Data Sheet'!D62</f>
        <v>1.5489972976816953</v>
      </c>
      <c r="E45" s="52">
        <f>'Data Sheet'!E17/'Data Sheet'!E62</f>
        <v>1.2010548186031644</v>
      </c>
      <c r="F45" s="52">
        <f>'Data Sheet'!F17/'Data Sheet'!F62</f>
        <v>1.352944217546399</v>
      </c>
      <c r="G45" s="52">
        <f>'Data Sheet'!G17/'Data Sheet'!G62</f>
        <v>1.5064505810854034</v>
      </c>
      <c r="H45" s="52">
        <f>'Data Sheet'!H17/'Data Sheet'!H62</f>
        <v>1.4824964445903073</v>
      </c>
      <c r="I45" s="52">
        <f>'Data Sheet'!I17/'Data Sheet'!I62</f>
        <v>0.97161058477621698</v>
      </c>
      <c r="J45" s="52">
        <f>'Data Sheet'!J17/'Data Sheet'!J62</f>
        <v>1.0502043199065967</v>
      </c>
      <c r="K45" s="52">
        <f>'Data Sheet'!K17/'Data Sheet'!K62</f>
        <v>1.1130826194279075</v>
      </c>
    </row>
    <row r="46" spans="1:14" x14ac:dyDescent="0.3">
      <c r="A46" s="49" t="s">
        <v>185</v>
      </c>
      <c r="B46" s="52">
        <f>'Data Sheet'!B17/KeyMetrics!B16</f>
        <v>0.95307050796057613</v>
      </c>
      <c r="C46" s="52">
        <f>'Data Sheet'!C17/KeyMetrics!C16</f>
        <v>0.76066781477229239</v>
      </c>
      <c r="D46" s="52">
        <f>'Data Sheet'!D17/KeyMetrics!D16</f>
        <v>0.71252862283284268</v>
      </c>
      <c r="E46" s="52">
        <f>'Data Sheet'!E17/KeyMetrics!E16</f>
        <v>0.67449513836948394</v>
      </c>
      <c r="F46" s="52">
        <f>'Data Sheet'!F17/KeyMetrics!F16</f>
        <v>0.73428731762065091</v>
      </c>
      <c r="G46" s="52">
        <f>'Data Sheet'!G17/KeyMetrics!G16</f>
        <v>0.72250773439697269</v>
      </c>
      <c r="H46" s="52">
        <f>'Data Sheet'!H17/KeyMetrics!H16</f>
        <v>0.64943809455347079</v>
      </c>
      <c r="I46" s="52">
        <f>'Data Sheet'!I17/KeyMetrics!I16</f>
        <v>0.58613350150765653</v>
      </c>
      <c r="J46" s="52">
        <f>'Data Sheet'!J17/KeyMetrics!J16</f>
        <v>0.56536769327467007</v>
      </c>
      <c r="K46" s="52">
        <f>'Data Sheet'!K17/KeyMetrics!K16</f>
        <v>0.62638296481508726</v>
      </c>
    </row>
    <row r="47" spans="1:14" x14ac:dyDescent="0.3">
      <c r="A47" s="49" t="s">
        <v>181</v>
      </c>
      <c r="B47" s="50">
        <f>B39*B46</f>
        <v>0.22335102350265354</v>
      </c>
      <c r="C47" s="50">
        <f t="shared" ref="C47:K47" si="1">C39*C46</f>
        <v>0.17881745120551093</v>
      </c>
      <c r="D47" s="50">
        <f t="shared" si="1"/>
        <v>0.10291135099771018</v>
      </c>
      <c r="E47" s="50">
        <f t="shared" si="1"/>
        <v>8.191473448017951E-2</v>
      </c>
      <c r="F47" s="50">
        <f t="shared" si="1"/>
        <v>0.11346801346801345</v>
      </c>
      <c r="G47" s="50">
        <f t="shared" si="1"/>
        <v>0.13121628186443712</v>
      </c>
      <c r="H47" s="50">
        <f t="shared" si="1"/>
        <v>0.12697385761867108</v>
      </c>
      <c r="I47" s="50">
        <f t="shared" si="1"/>
        <v>0.10675784868252497</v>
      </c>
      <c r="J47" s="50">
        <f t="shared" si="1"/>
        <v>9.908163977931421E-2</v>
      </c>
      <c r="K47" s="50">
        <f t="shared" si="1"/>
        <v>0.12050791783105359</v>
      </c>
      <c r="L47" s="30" t="s">
        <v>188</v>
      </c>
    </row>
    <row r="48" spans="1:14" x14ac:dyDescent="0.3">
      <c r="A48" s="49" t="s">
        <v>182</v>
      </c>
      <c r="B48" s="50">
        <f t="shared" ref="B48:K48" si="2">B39*B46*B19</f>
        <v>0.31752532873464112</v>
      </c>
      <c r="C48" s="50">
        <f t="shared" si="2"/>
        <v>0.29837164750957856</v>
      </c>
      <c r="D48" s="50">
        <f t="shared" si="2"/>
        <v>0.20882841022236973</v>
      </c>
      <c r="E48" s="50">
        <f t="shared" si="2"/>
        <v>0.15924159590554846</v>
      </c>
      <c r="F48" s="50">
        <f t="shared" si="2"/>
        <v>0.19837143137447263</v>
      </c>
      <c r="G48" s="50">
        <f t="shared" si="2"/>
        <v>0.21017282332705381</v>
      </c>
      <c r="H48" s="50">
        <f t="shared" si="2"/>
        <v>0.18486603404967905</v>
      </c>
      <c r="I48" s="50">
        <f t="shared" si="2"/>
        <v>0.15798530097993466</v>
      </c>
      <c r="J48" s="50">
        <f t="shared" si="2"/>
        <v>0.1463345452670122</v>
      </c>
      <c r="K48" s="50">
        <f t="shared" si="2"/>
        <v>0.1783140687720656</v>
      </c>
      <c r="L48" s="30" t="s">
        <v>189</v>
      </c>
    </row>
    <row r="49" spans="1:12" x14ac:dyDescent="0.3">
      <c r="A49" s="49" t="s">
        <v>131</v>
      </c>
      <c r="B49" s="50">
        <f>KeyMetrics!B6/KeyMetrics!B15</f>
        <v>0.32920481062645846</v>
      </c>
      <c r="C49" s="50">
        <f>KeyMetrics!C6/KeyMetrics!C15</f>
        <v>0.25821203502314427</v>
      </c>
      <c r="D49" s="50">
        <f>KeyMetrics!D6/KeyMetrics!D15</f>
        <v>0.19742056074766356</v>
      </c>
      <c r="E49" s="50">
        <f>KeyMetrics!E6/KeyMetrics!E15</f>
        <v>0.18186200247899739</v>
      </c>
      <c r="F49" s="50">
        <f>KeyMetrics!F6/KeyMetrics!F15</f>
        <v>0.1989016702411126</v>
      </c>
      <c r="G49" s="50">
        <f>KeyMetrics!G6/KeyMetrics!G15</f>
        <v>0.21222710031956513</v>
      </c>
      <c r="H49" s="50">
        <f>KeyMetrics!H6/KeyMetrics!H15</f>
        <v>0.19793464343372488</v>
      </c>
      <c r="I49" s="50">
        <f>KeyMetrics!I6/KeyMetrics!I15</f>
        <v>0.17896745230078565</v>
      </c>
      <c r="J49" s="50">
        <f>KeyMetrics!J6/KeyMetrics!J15</f>
        <v>0.17318314097361073</v>
      </c>
      <c r="K49" s="50">
        <f>KeyMetrics!K6/KeyMetrics!K15</f>
        <v>0.20575512856214612</v>
      </c>
    </row>
    <row r="50" spans="1:12" x14ac:dyDescent="0.3">
      <c r="A50" s="49" t="s">
        <v>187</v>
      </c>
      <c r="B50" s="50">
        <f>B36*B44*(1-KeyMetrics!B25)</f>
        <v>0.28438324505709101</v>
      </c>
      <c r="C50" s="50">
        <f>C36*C44*(1-KeyMetrics!C25)</f>
        <v>0.22834127897419032</v>
      </c>
      <c r="D50" s="50">
        <f>D36*D44*(1-KeyMetrics!D25)</f>
        <v>0.14785509440275812</v>
      </c>
      <c r="E50" s="50">
        <f>E36*E44*(1-KeyMetrics!E25)</f>
        <v>0.13352683901464388</v>
      </c>
      <c r="F50" s="50">
        <f>F36*F44*(1-KeyMetrics!F25)</f>
        <v>0.17511329291888206</v>
      </c>
      <c r="G50" s="50">
        <f>G36*G44*(1-KeyMetrics!G25)</f>
        <v>0.19733741402173438</v>
      </c>
      <c r="H50" s="50">
        <f>H36*H44*(1-KeyMetrics!H25)</f>
        <v>0.17678585013377301</v>
      </c>
      <c r="I50" s="50">
        <f>I36*I44*(1-KeyMetrics!I25)</f>
        <v>0.14727121052213571</v>
      </c>
      <c r="J50" s="50">
        <f>J36*J44*(1-KeyMetrics!J25)</f>
        <v>0.14521678040916877</v>
      </c>
      <c r="K50" s="50">
        <f>K36*K44*(1-KeyMetrics!K25)</f>
        <v>0.18491909297183995</v>
      </c>
      <c r="L50" s="30" t="s">
        <v>190</v>
      </c>
    </row>
    <row r="51" spans="1:12" x14ac:dyDescent="0.3">
      <c r="A51" s="261"/>
      <c r="B51" s="261"/>
      <c r="C51" s="261"/>
      <c r="D51" s="261"/>
      <c r="E51" s="261"/>
      <c r="F51" s="261"/>
      <c r="G51" s="261"/>
      <c r="H51" s="261"/>
      <c r="I51" s="261"/>
      <c r="J51" s="261"/>
      <c r="K51" s="261"/>
    </row>
    <row r="52" spans="1:12" x14ac:dyDescent="0.3">
      <c r="A52" s="61" t="s">
        <v>133</v>
      </c>
      <c r="B52" s="62">
        <f>KeyMetrics!B50</f>
        <v>2.9040856709628504</v>
      </c>
      <c r="C52" s="62">
        <f>KeyMetrics!C50</f>
        <v>2.334972254114045</v>
      </c>
      <c r="D52" s="62">
        <f>KeyMetrics!D50</f>
        <v>1.8855387634936214</v>
      </c>
      <c r="E52" s="62">
        <f>KeyMetrics!E50</f>
        <v>1.7450848167539268</v>
      </c>
      <c r="F52" s="62">
        <f>KeyMetrics!F50</f>
        <v>1.9962887205387205</v>
      </c>
      <c r="G52" s="62">
        <f>KeyMetrics!G50</f>
        <v>2.4986750530541282</v>
      </c>
      <c r="H52" s="62">
        <f>KeyMetrics!H50</f>
        <v>2.4174502192509522</v>
      </c>
      <c r="I52" s="62">
        <f>KeyMetrics!I50</f>
        <v>2.5388632466841408</v>
      </c>
      <c r="J52" s="62">
        <f>KeyMetrics!J50</f>
        <v>2.4413183532369578</v>
      </c>
      <c r="K52" s="62">
        <f>KeyMetrics!K50</f>
        <v>2.6795938945269726</v>
      </c>
    </row>
    <row r="53" spans="1:12" x14ac:dyDescent="0.3">
      <c r="A53" s="63" t="s">
        <v>16</v>
      </c>
      <c r="B53" s="64">
        <f>'Data Sheet'!B31/'Data Sheet'!B30</f>
        <v>0.13985064494229463</v>
      </c>
      <c r="C53" s="64">
        <f>'Data Sheet'!C31/'Data Sheet'!C30</f>
        <v>0.11021936864633493</v>
      </c>
      <c r="D53" s="64">
        <f>'Data Sheet'!D31/'Data Sheet'!D30</f>
        <v>0.16401780038143673</v>
      </c>
      <c r="E53" s="64">
        <f>'Data Sheet'!E31/'Data Sheet'!E30</f>
        <v>0.18845872899926955</v>
      </c>
      <c r="F53" s="64">
        <f>'Data Sheet'!F31/'Data Sheet'!F30</f>
        <v>0.17853610286844709</v>
      </c>
      <c r="G53" s="64">
        <f>'Data Sheet'!G31/'Data Sheet'!G30</f>
        <v>0.17069368667186283</v>
      </c>
      <c r="H53" s="64">
        <f>'Data Sheet'!H31/'Data Sheet'!H30</f>
        <v>0.16531421022834497</v>
      </c>
      <c r="I53" s="64">
        <f>'Data Sheet'!I31/'Data Sheet'!I30</f>
        <v>0.19032674912313088</v>
      </c>
      <c r="J53" s="64">
        <f>'Data Sheet'!J31/'Data Sheet'!J30</f>
        <v>0.18167400881057269</v>
      </c>
      <c r="K53" s="64">
        <f>'Data Sheet'!K31/'Data Sheet'!K30</f>
        <v>0.16286954163276376</v>
      </c>
    </row>
    <row r="54" spans="1:12" x14ac:dyDescent="0.3">
      <c r="A54" s="63" t="s">
        <v>135</v>
      </c>
      <c r="B54" s="96">
        <f>'Data Sheet'!B69/'Data Sheet'!B61</f>
        <v>8.2259287338893095E-2</v>
      </c>
      <c r="C54" s="96">
        <f>'Data Sheet'!C69/'Data Sheet'!C61</f>
        <v>6.4676616915422883E-2</v>
      </c>
      <c r="D54" s="96">
        <f>'Data Sheet'!D69/'Data Sheet'!D61</f>
        <v>3.7651292116454044E-2</v>
      </c>
      <c r="E54" s="96">
        <f>'Data Sheet'!E69/'Data Sheet'!E61</f>
        <v>3.8384442782348545E-2</v>
      </c>
      <c r="F54" s="96">
        <f>'Data Sheet'!F69/'Data Sheet'!F61</f>
        <v>2.8675645342312012E-2</v>
      </c>
      <c r="G54" s="96">
        <f>'Data Sheet'!G69/'Data Sheet'!G61</f>
        <v>4.5306946894735495E-2</v>
      </c>
      <c r="H54" s="96">
        <f>'Data Sheet'!H69/'Data Sheet'!H61</f>
        <v>2.396185273045312E-2</v>
      </c>
      <c r="I54" s="96">
        <f>'Data Sheet'!I69/'Data Sheet'!I61</f>
        <v>2.6310084547013262E-2</v>
      </c>
      <c r="J54" s="96">
        <f>'Data Sheet'!J69/'Data Sheet'!J61</f>
        <v>2.0060758432851458E-2</v>
      </c>
      <c r="K54" s="96">
        <f>'Data Sheet'!K69/'Data Sheet'!K61</f>
        <v>6.0302985733196061E-3</v>
      </c>
    </row>
    <row r="55" spans="1:12" x14ac:dyDescent="0.3">
      <c r="A55" s="63" t="s">
        <v>136</v>
      </c>
      <c r="B55" s="64">
        <f>KeyMetrics!B6/KeyMetrics!B14</f>
        <v>0.3307186006672076</v>
      </c>
      <c r="C55" s="64">
        <f>KeyMetrics!C6/KeyMetrics!C14</f>
        <v>0.26639815880322204</v>
      </c>
      <c r="D55" s="64">
        <f>KeyMetrics!D6/KeyMetrics!D14</f>
        <v>0.20914023207001706</v>
      </c>
      <c r="E55" s="64">
        <f>KeyMetrics!E6/KeyMetrics!E14</f>
        <v>0.19519586104951958</v>
      </c>
      <c r="F55" s="64">
        <f>KeyMetrics!F6/KeyMetrics!F14</f>
        <v>0.21714914147864336</v>
      </c>
      <c r="G55" s="64">
        <f>KeyMetrics!G6/KeyMetrics!G14</f>
        <v>0.24209593894794224</v>
      </c>
      <c r="H55" s="64">
        <f>KeyMetrics!H6/KeyMetrics!H14</f>
        <v>0.21609384021636735</v>
      </c>
      <c r="I55" s="64">
        <f>KeyMetrics!I6/KeyMetrics!I14</f>
        <v>0.20310271041369474</v>
      </c>
      <c r="J55" s="64">
        <f>KeyMetrics!J6/KeyMetrics!J14</f>
        <v>0.2037640920525482</v>
      </c>
      <c r="K55" s="64">
        <f>KeyMetrics!K6/KeyMetrics!K14</f>
        <v>0.2572416674403491</v>
      </c>
      <c r="L55" s="30" t="s">
        <v>192</v>
      </c>
    </row>
    <row r="56" spans="1:12" x14ac:dyDescent="0.3">
      <c r="A56" s="63" t="s">
        <v>110</v>
      </c>
      <c r="B56" s="65">
        <f>KeyMetrics!B29</f>
        <v>18.231745709281959</v>
      </c>
      <c r="C56" s="65">
        <f>KeyMetrics!C29</f>
        <v>18.829714285714278</v>
      </c>
      <c r="D56" s="65">
        <f>KeyMetrics!D29</f>
        <v>7.0336898876404552</v>
      </c>
      <c r="E56" s="65">
        <f>KeyMetrics!E29</f>
        <v>3.6603626373626423</v>
      </c>
      <c r="F56" s="65">
        <f>KeyMetrics!F29</f>
        <v>15.535335007974476</v>
      </c>
      <c r="G56" s="65">
        <f>KeyMetrics!G29</f>
        <v>22.700077763659475</v>
      </c>
      <c r="H56" s="65">
        <f>KeyMetrics!H29</f>
        <v>18.686519703520695</v>
      </c>
      <c r="I56" s="65">
        <f>KeyMetrics!I29</f>
        <v>10.705586402569596</v>
      </c>
      <c r="J56" s="65">
        <f>KeyMetrics!J29</f>
        <v>10.826068165264338</v>
      </c>
      <c r="K56" s="65">
        <f>KeyMetrics!K29</f>
        <v>27.969742015987524</v>
      </c>
      <c r="L56" s="30" t="s">
        <v>191</v>
      </c>
    </row>
    <row r="57" spans="1:12" ht="15" customHeight="1" x14ac:dyDescent="0.3">
      <c r="A57" s="66" t="s">
        <v>139</v>
      </c>
      <c r="B57" s="97">
        <f>KeyMetrics!B31</f>
        <v>92.751499999999993</v>
      </c>
      <c r="C57" s="97">
        <f>KeyMetrics!C31</f>
        <v>104.751</v>
      </c>
      <c r="D57" s="97">
        <f>KeyMetrics!D31</f>
        <v>110.10700000000001</v>
      </c>
      <c r="E57" s="97">
        <f>KeyMetrics!E31</f>
        <v>94.451000000000008</v>
      </c>
      <c r="F57" s="97">
        <f>KeyMetrics!F31</f>
        <v>163.10050000000001</v>
      </c>
      <c r="G57" s="97">
        <f>KeyMetrics!G31</f>
        <v>464.11800000000005</v>
      </c>
      <c r="H57" s="97">
        <f>KeyMetrics!H31</f>
        <v>521.95249999999999</v>
      </c>
      <c r="I57" s="97">
        <f>KeyMetrics!I31</f>
        <v>942.65600000000006</v>
      </c>
      <c r="J57" s="97">
        <f>KeyMetrics!J31</f>
        <v>1040.0425</v>
      </c>
      <c r="K57" s="97">
        <f>KeyMetrics!K31</f>
        <v>1174.0454999999999</v>
      </c>
    </row>
    <row r="58" spans="1:12" ht="15" customHeight="1" x14ac:dyDescent="0.3">
      <c r="A58" s="67" t="s">
        <v>140</v>
      </c>
      <c r="B58" s="67"/>
      <c r="C58" s="98">
        <f>C57-B57</f>
        <v>11.999500000000012</v>
      </c>
      <c r="D58" s="98">
        <f t="shared" ref="D58:K58" si="3">D57-C57</f>
        <v>5.3560000000000088</v>
      </c>
      <c r="E58" s="98">
        <f t="shared" si="3"/>
        <v>-15.656000000000006</v>
      </c>
      <c r="F58" s="98">
        <f t="shared" si="3"/>
        <v>68.649500000000003</v>
      </c>
      <c r="G58" s="98">
        <f t="shared" si="3"/>
        <v>301.01750000000004</v>
      </c>
      <c r="H58" s="98">
        <f t="shared" si="3"/>
        <v>57.834499999999935</v>
      </c>
      <c r="I58" s="98">
        <f t="shared" si="3"/>
        <v>420.70350000000008</v>
      </c>
      <c r="J58" s="98">
        <f t="shared" si="3"/>
        <v>97.386499999999955</v>
      </c>
      <c r="K58" s="98">
        <f t="shared" si="3"/>
        <v>134.00299999999993</v>
      </c>
    </row>
    <row r="59" spans="1:12" x14ac:dyDescent="0.3">
      <c r="A59" s="35" t="s">
        <v>141</v>
      </c>
      <c r="B59" s="46"/>
      <c r="C59" s="46">
        <f t="shared" ref="C59:K59" si="4">C58-C56</f>
        <v>-6.8302142857142663</v>
      </c>
      <c r="D59" s="46">
        <f t="shared" si="4"/>
        <v>-1.6776898876404465</v>
      </c>
      <c r="E59" s="46">
        <f t="shared" si="4"/>
        <v>-19.316362637362648</v>
      </c>
      <c r="F59" s="46">
        <f t="shared" si="4"/>
        <v>53.114164992025529</v>
      </c>
      <c r="G59" s="46">
        <f t="shared" si="4"/>
        <v>278.31742223634058</v>
      </c>
      <c r="H59" s="46">
        <f t="shared" si="4"/>
        <v>39.14798029647924</v>
      </c>
      <c r="I59" s="46">
        <f t="shared" si="4"/>
        <v>409.99791359743045</v>
      </c>
      <c r="J59" s="46">
        <f t="shared" si="4"/>
        <v>86.560431834735624</v>
      </c>
      <c r="K59" s="46">
        <f t="shared" si="4"/>
        <v>106.03325798401241</v>
      </c>
    </row>
    <row r="60" spans="1:12" x14ac:dyDescent="0.3">
      <c r="A60" s="29"/>
      <c r="B60" s="68"/>
      <c r="C60" s="68"/>
      <c r="D60" s="68"/>
      <c r="E60" s="68"/>
      <c r="F60" s="68"/>
      <c r="G60" s="68"/>
      <c r="H60" s="68"/>
      <c r="I60" s="68"/>
      <c r="J60" s="68"/>
      <c r="K60" s="68"/>
    </row>
    <row r="61" spans="1:12" x14ac:dyDescent="0.3">
      <c r="A61" s="69" t="s">
        <v>142</v>
      </c>
      <c r="B61" s="99">
        <f>SUM(KeyMetrics!B$22:K$22)/SUM(KeyMetrics!B$9:K$9)</f>
        <v>0.9127864817948097</v>
      </c>
      <c r="C61" s="70"/>
      <c r="D61" s="70"/>
      <c r="E61" s="70"/>
      <c r="F61" s="70"/>
      <c r="G61" s="70"/>
      <c r="H61" s="70"/>
      <c r="I61" s="70"/>
      <c r="J61" s="70"/>
      <c r="K61" s="70"/>
    </row>
    <row r="62" spans="1:12" x14ac:dyDescent="0.3">
      <c r="A62" s="69" t="s">
        <v>143</v>
      </c>
      <c r="B62" s="99">
        <f>SUM(KeyMetrics!E$22:K$22)/SUM(KeyMetrics!E$9:K$9)</f>
        <v>0.73398918131113555</v>
      </c>
      <c r="C62" s="71"/>
      <c r="D62" s="71"/>
      <c r="E62" s="71"/>
      <c r="F62" s="71"/>
      <c r="G62" s="71"/>
      <c r="H62" s="71"/>
      <c r="I62" s="71"/>
      <c r="J62" s="71"/>
      <c r="K62" s="71"/>
    </row>
    <row r="63" spans="1:12" x14ac:dyDescent="0.3">
      <c r="A63" s="69" t="s">
        <v>144</v>
      </c>
      <c r="B63" s="99">
        <f>SUM(KeyMetrics!G$22:K$22)/SUM(KeyMetrics!G$9:K$9)</f>
        <v>0.79866422119943248</v>
      </c>
      <c r="C63" s="72"/>
      <c r="D63" s="72"/>
      <c r="E63" s="72"/>
      <c r="F63" s="72"/>
      <c r="G63" s="72"/>
      <c r="H63" s="72"/>
      <c r="I63" s="72"/>
      <c r="J63" s="72"/>
      <c r="K63" s="72"/>
    </row>
    <row r="64" spans="1:12" x14ac:dyDescent="0.3">
      <c r="A64" s="69" t="s">
        <v>145</v>
      </c>
      <c r="B64" s="99">
        <f>SUM(KeyMetrics!I$22:K$22)/SUM(KeyMetrics!I$9:K$9)</f>
        <v>0.9500162460738657</v>
      </c>
      <c r="C64" s="73"/>
      <c r="D64" s="73"/>
      <c r="E64" s="73"/>
      <c r="F64" s="73"/>
      <c r="G64" s="73"/>
      <c r="H64" s="73"/>
      <c r="I64" s="73"/>
      <c r="J64" s="73"/>
      <c r="K64" s="73"/>
    </row>
    <row r="65" spans="1:2" x14ac:dyDescent="0.3">
      <c r="A65" s="35" t="s">
        <v>146</v>
      </c>
      <c r="B65" s="99">
        <f>SUM(KeyMetrics!B$22:K$22)/SUM('Data Sheet'!B26:K26)</f>
        <v>3.5909405255878277</v>
      </c>
    </row>
  </sheetData>
  <mergeCells count="6">
    <mergeCell ref="A51:K51"/>
    <mergeCell ref="F4:K4"/>
    <mergeCell ref="M4:N4"/>
    <mergeCell ref="A10:J10"/>
    <mergeCell ref="A34:K34"/>
    <mergeCell ref="A43:K43"/>
  </mergeCells>
  <pageMargins left="0.7" right="0.7" top="0.75" bottom="0.75" header="0.3" footer="0.3"/>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93"/>
  <sheetViews>
    <sheetView workbookViewId="0">
      <pane xSplit="1" ySplit="1" topLeftCell="B53" activePane="bottomRight" state="frozen"/>
      <selection activeCell="C4" sqref="C4"/>
      <selection pane="topRight" activeCell="C4" sqref="C4"/>
      <selection pane="bottomLeft" activeCell="C4" sqref="C4"/>
      <selection pane="bottomRight" activeCell="E74" sqref="E74"/>
    </sheetView>
    <sheetView workbookViewId="1"/>
  </sheetViews>
  <sheetFormatPr defaultColWidth="8.77734375" defaultRowHeight="14.4" x14ac:dyDescent="0.3"/>
  <cols>
    <col min="1" max="1" width="27.6640625" style="5" bestFit="1" customWidth="1"/>
    <col min="2" max="11" width="13.44140625" style="5" bestFit="1" customWidth="1"/>
    <col min="12" max="16384" width="8.77734375" style="5"/>
  </cols>
  <sheetData>
    <row r="1" spans="1:11" s="1" customFormat="1" x14ac:dyDescent="0.3">
      <c r="A1" s="1" t="s">
        <v>0</v>
      </c>
      <c r="B1" s="1" t="s">
        <v>53</v>
      </c>
      <c r="E1" s="265" t="str">
        <f>IF(B2&lt;&gt;B3, "A NEW VERSION OF THE WORKSHEET IS AVAILABLE", "")</f>
        <v/>
      </c>
      <c r="F1" s="265"/>
      <c r="G1" s="265"/>
      <c r="H1" s="265"/>
      <c r="I1" s="265"/>
      <c r="J1" s="265"/>
      <c r="K1" s="265"/>
    </row>
    <row r="2" spans="1:11" x14ac:dyDescent="0.3">
      <c r="A2" s="1" t="s">
        <v>51</v>
      </c>
      <c r="B2" s="5">
        <v>2.1</v>
      </c>
      <c r="E2" s="266" t="s">
        <v>35</v>
      </c>
      <c r="F2" s="266"/>
      <c r="G2" s="266"/>
      <c r="H2" s="266"/>
      <c r="I2" s="266"/>
      <c r="J2" s="266"/>
      <c r="K2" s="266"/>
    </row>
    <row r="3" spans="1:11" x14ac:dyDescent="0.3">
      <c r="A3" s="1" t="s">
        <v>52</v>
      </c>
      <c r="B3" s="5">
        <v>2.1</v>
      </c>
    </row>
    <row r="4" spans="1:11" x14ac:dyDescent="0.3">
      <c r="A4" s="1"/>
    </row>
    <row r="5" spans="1:11" x14ac:dyDescent="0.3">
      <c r="A5" s="1" t="s">
        <v>54</v>
      </c>
    </row>
    <row r="6" spans="1:11" x14ac:dyDescent="0.3">
      <c r="A6" s="5" t="s">
        <v>41</v>
      </c>
      <c r="B6" s="5">
        <f>IF(B9&gt;0, B9/B8, 0)</f>
        <v>1.0296022603781787</v>
      </c>
    </row>
    <row r="7" spans="1:11" x14ac:dyDescent="0.3">
      <c r="A7" s="5" t="s">
        <v>30</v>
      </c>
      <c r="B7">
        <v>10</v>
      </c>
    </row>
    <row r="8" spans="1:11" x14ac:dyDescent="0.3">
      <c r="A8" s="5" t="s">
        <v>42</v>
      </c>
      <c r="B8">
        <v>690.15</v>
      </c>
    </row>
    <row r="9" spans="1:11" x14ac:dyDescent="0.3">
      <c r="A9" s="5" t="s">
        <v>69</v>
      </c>
      <c r="B9">
        <v>710.58</v>
      </c>
    </row>
    <row r="15" spans="1:11" x14ac:dyDescent="0.3">
      <c r="A15" s="1" t="s">
        <v>36</v>
      </c>
    </row>
    <row r="16" spans="1:11" s="24" customFormat="1" x14ac:dyDescent="0.3">
      <c r="A16" s="23" t="s">
        <v>37</v>
      </c>
      <c r="B16" s="16">
        <v>40268</v>
      </c>
      <c r="C16" s="16">
        <v>40633</v>
      </c>
      <c r="D16" s="16">
        <v>40999</v>
      </c>
      <c r="E16" s="16">
        <v>41364</v>
      </c>
      <c r="F16" s="16">
        <v>41729</v>
      </c>
      <c r="G16" s="16">
        <v>42094</v>
      </c>
      <c r="H16" s="16">
        <v>42460</v>
      </c>
      <c r="I16" s="16">
        <v>42825</v>
      </c>
      <c r="J16" s="16">
        <v>43190</v>
      </c>
      <c r="K16" s="16">
        <v>43555</v>
      </c>
    </row>
    <row r="17" spans="1:11" s="9" customFormat="1" x14ac:dyDescent="0.3">
      <c r="A17" s="9" t="s">
        <v>5</v>
      </c>
      <c r="B17">
        <v>125.71</v>
      </c>
      <c r="C17">
        <v>159.01</v>
      </c>
      <c r="D17">
        <v>217.82</v>
      </c>
      <c r="E17">
        <v>225.45</v>
      </c>
      <c r="F17">
        <v>261.7</v>
      </c>
      <c r="G17">
        <v>282.58</v>
      </c>
      <c r="H17">
        <v>271.02999999999997</v>
      </c>
      <c r="I17">
        <v>297.41000000000003</v>
      </c>
      <c r="J17">
        <v>323.82</v>
      </c>
      <c r="K17">
        <v>383.29</v>
      </c>
    </row>
    <row r="18" spans="1:11" s="9" customFormat="1" x14ac:dyDescent="0.3">
      <c r="A18" s="5" t="s">
        <v>70</v>
      </c>
      <c r="B18">
        <v>29.48</v>
      </c>
      <c r="C18">
        <v>53.22</v>
      </c>
      <c r="D18">
        <v>74.34</v>
      </c>
      <c r="E18">
        <v>75.09</v>
      </c>
      <c r="F18">
        <v>66.81</v>
      </c>
      <c r="G18">
        <v>86.18</v>
      </c>
      <c r="H18">
        <v>73.099999999999994</v>
      </c>
      <c r="I18">
        <v>61.55</v>
      </c>
      <c r="J18">
        <v>81.2</v>
      </c>
      <c r="K18">
        <v>107.38</v>
      </c>
    </row>
    <row r="19" spans="1:11" s="9" customFormat="1" x14ac:dyDescent="0.3">
      <c r="A19" s="5" t="s">
        <v>71</v>
      </c>
      <c r="B19">
        <v>-5.39</v>
      </c>
      <c r="C19">
        <v>4.8</v>
      </c>
      <c r="D19">
        <v>1.94</v>
      </c>
      <c r="E19">
        <v>7.51</v>
      </c>
      <c r="F19">
        <v>-1.08</v>
      </c>
      <c r="G19">
        <v>1.1000000000000001</v>
      </c>
      <c r="H19">
        <v>3.89</v>
      </c>
      <c r="I19">
        <v>-8.42</v>
      </c>
      <c r="J19">
        <v>5.14</v>
      </c>
      <c r="K19">
        <v>4.3099999999999996</v>
      </c>
    </row>
    <row r="20" spans="1:11" s="9" customFormat="1" x14ac:dyDescent="0.3">
      <c r="A20" s="5" t="s">
        <v>72</v>
      </c>
      <c r="B20">
        <v>13.94</v>
      </c>
      <c r="C20">
        <v>16.399999999999999</v>
      </c>
      <c r="D20">
        <v>28.2</v>
      </c>
      <c r="E20">
        <v>37.1</v>
      </c>
      <c r="F20">
        <v>43.08</v>
      </c>
      <c r="G20">
        <v>40.76</v>
      </c>
      <c r="H20">
        <v>34.76</v>
      </c>
      <c r="I20">
        <v>36.979999999999997</v>
      </c>
      <c r="J20">
        <v>38.96</v>
      </c>
      <c r="K20">
        <v>42.65</v>
      </c>
    </row>
    <row r="21" spans="1:11" s="9" customFormat="1" x14ac:dyDescent="0.3">
      <c r="A21" s="5" t="s">
        <v>73</v>
      </c>
      <c r="B21">
        <v>6</v>
      </c>
      <c r="C21">
        <v>7.07</v>
      </c>
      <c r="D21">
        <v>12.39</v>
      </c>
      <c r="E21">
        <v>12.85</v>
      </c>
      <c r="F21">
        <v>15.65</v>
      </c>
      <c r="G21">
        <v>19.940000000000001</v>
      </c>
      <c r="H21">
        <v>18.47</v>
      </c>
      <c r="I21">
        <v>21.61</v>
      </c>
      <c r="J21">
        <v>26.63</v>
      </c>
      <c r="K21">
        <v>27.01</v>
      </c>
    </row>
    <row r="22" spans="1:11" s="9" customFormat="1" x14ac:dyDescent="0.3">
      <c r="A22" s="5" t="s">
        <v>74</v>
      </c>
      <c r="B22">
        <v>9.65</v>
      </c>
      <c r="C22">
        <v>15.59</v>
      </c>
      <c r="D22">
        <v>20.47</v>
      </c>
      <c r="E22">
        <v>22</v>
      </c>
      <c r="F22">
        <v>23.58</v>
      </c>
      <c r="G22">
        <v>29.1</v>
      </c>
      <c r="H22">
        <v>34.54</v>
      </c>
      <c r="I22">
        <v>39.29</v>
      </c>
      <c r="J22">
        <v>40.770000000000003</v>
      </c>
      <c r="K22">
        <v>47.42</v>
      </c>
    </row>
    <row r="23" spans="1:11" s="9" customFormat="1" x14ac:dyDescent="0.3">
      <c r="A23" s="5" t="s">
        <v>75</v>
      </c>
      <c r="B23">
        <v>17.52</v>
      </c>
      <c r="C23">
        <v>22.87</v>
      </c>
      <c r="D23">
        <v>24.61</v>
      </c>
      <c r="E23">
        <v>25.17</v>
      </c>
      <c r="F23">
        <v>29.34</v>
      </c>
      <c r="G23">
        <v>27.59</v>
      </c>
      <c r="H23">
        <v>31.26</v>
      </c>
      <c r="I23">
        <v>33.04</v>
      </c>
      <c r="J23">
        <v>35.97</v>
      </c>
      <c r="K23">
        <v>37.020000000000003</v>
      </c>
    </row>
    <row r="24" spans="1:11" s="9" customFormat="1" x14ac:dyDescent="0.3">
      <c r="A24" s="5" t="s">
        <v>76</v>
      </c>
      <c r="B24">
        <v>5.64</v>
      </c>
      <c r="C24">
        <v>0.45</v>
      </c>
      <c r="D24">
        <v>3.66</v>
      </c>
      <c r="E24">
        <v>3.2</v>
      </c>
      <c r="F24">
        <v>13.38</v>
      </c>
      <c r="G24">
        <v>7.67</v>
      </c>
      <c r="H24">
        <v>1.41</v>
      </c>
      <c r="I24">
        <v>7.24</v>
      </c>
      <c r="J24">
        <v>6.82</v>
      </c>
      <c r="K24">
        <v>4.68</v>
      </c>
    </row>
    <row r="25" spans="1:11" s="9" customFormat="1" x14ac:dyDescent="0.3">
      <c r="A25" s="9" t="s">
        <v>8</v>
      </c>
      <c r="B25">
        <v>3.28</v>
      </c>
      <c r="C25">
        <v>3.11</v>
      </c>
      <c r="D25">
        <v>3.84</v>
      </c>
      <c r="E25">
        <v>4.88</v>
      </c>
      <c r="F25">
        <v>2.86</v>
      </c>
      <c r="G25">
        <v>11.7</v>
      </c>
      <c r="H25">
        <v>5.38</v>
      </c>
      <c r="I25">
        <v>5.6</v>
      </c>
      <c r="J25">
        <v>5.21</v>
      </c>
      <c r="K25">
        <v>7.98</v>
      </c>
    </row>
    <row r="26" spans="1:11" s="9" customFormat="1" x14ac:dyDescent="0.3">
      <c r="A26" s="9" t="s">
        <v>9</v>
      </c>
      <c r="B26">
        <v>4.6900000000000004</v>
      </c>
      <c r="C26">
        <v>5.0199999999999996</v>
      </c>
      <c r="D26">
        <v>7.12</v>
      </c>
      <c r="E26">
        <v>9.61</v>
      </c>
      <c r="F26">
        <v>10.43</v>
      </c>
      <c r="G26">
        <v>13.08</v>
      </c>
      <c r="H26">
        <v>15.65</v>
      </c>
      <c r="I26">
        <v>15.15</v>
      </c>
      <c r="J26">
        <v>16.34</v>
      </c>
      <c r="K26">
        <v>18.59</v>
      </c>
    </row>
    <row r="27" spans="1:11" s="9" customFormat="1" x14ac:dyDescent="0.3">
      <c r="A27" s="9" t="s">
        <v>10</v>
      </c>
      <c r="B27">
        <v>2.42</v>
      </c>
      <c r="C27">
        <v>2.69</v>
      </c>
      <c r="D27">
        <v>8.31</v>
      </c>
      <c r="E27">
        <v>12.78</v>
      </c>
      <c r="F27">
        <v>11.05</v>
      </c>
      <c r="G27">
        <v>8.1</v>
      </c>
      <c r="H27">
        <v>6.35</v>
      </c>
      <c r="I27">
        <v>5.01</v>
      </c>
      <c r="J27">
        <v>7.85</v>
      </c>
      <c r="K27">
        <v>8.25</v>
      </c>
    </row>
    <row r="28" spans="1:11" s="9" customFormat="1" x14ac:dyDescent="0.3">
      <c r="A28" s="9" t="s">
        <v>11</v>
      </c>
      <c r="B28">
        <v>34.26</v>
      </c>
      <c r="C28">
        <v>43.61</v>
      </c>
      <c r="D28">
        <v>44.5</v>
      </c>
      <c r="E28">
        <v>40.04</v>
      </c>
      <c r="F28">
        <v>50.16</v>
      </c>
      <c r="G28">
        <v>62.96</v>
      </c>
      <c r="H28">
        <v>64.760000000000005</v>
      </c>
      <c r="I28">
        <v>74.72</v>
      </c>
      <c r="J28">
        <v>79.63</v>
      </c>
      <c r="K28">
        <v>102.58</v>
      </c>
    </row>
    <row r="29" spans="1:11" s="9" customFormat="1" x14ac:dyDescent="0.3">
      <c r="A29" s="9" t="s">
        <v>12</v>
      </c>
      <c r="B29">
        <v>4.8</v>
      </c>
      <c r="C29">
        <v>6.23</v>
      </c>
      <c r="D29">
        <v>13.04</v>
      </c>
      <c r="E29">
        <v>12.65</v>
      </c>
      <c r="F29">
        <v>9.7100000000000009</v>
      </c>
      <c r="G29">
        <v>11.64</v>
      </c>
      <c r="H29">
        <v>11.78</v>
      </c>
      <c r="I29">
        <v>20.54</v>
      </c>
      <c r="J29">
        <v>22.88</v>
      </c>
      <c r="K29">
        <v>28.84</v>
      </c>
    </row>
    <row r="30" spans="1:11" s="9" customFormat="1" x14ac:dyDescent="0.3">
      <c r="A30" s="9" t="s">
        <v>13</v>
      </c>
      <c r="B30">
        <v>29.46</v>
      </c>
      <c r="C30">
        <v>37.380000000000003</v>
      </c>
      <c r="D30">
        <v>31.46</v>
      </c>
      <c r="E30">
        <v>27.38</v>
      </c>
      <c r="F30">
        <v>40.44</v>
      </c>
      <c r="G30">
        <v>51.32</v>
      </c>
      <c r="H30">
        <v>52.99</v>
      </c>
      <c r="I30">
        <v>54.17</v>
      </c>
      <c r="J30">
        <v>56.75</v>
      </c>
      <c r="K30">
        <v>73.739999999999995</v>
      </c>
    </row>
    <row r="31" spans="1:11" s="9" customFormat="1" x14ac:dyDescent="0.3">
      <c r="A31" s="9" t="s">
        <v>60</v>
      </c>
      <c r="B31">
        <v>4.12</v>
      </c>
      <c r="C31">
        <v>4.12</v>
      </c>
      <c r="D31">
        <v>5.16</v>
      </c>
      <c r="E31">
        <v>5.16</v>
      </c>
      <c r="F31">
        <v>7.22</v>
      </c>
      <c r="G31">
        <v>8.76</v>
      </c>
      <c r="H31">
        <v>8.76</v>
      </c>
      <c r="I31">
        <v>10.31</v>
      </c>
      <c r="J31">
        <v>10.31</v>
      </c>
      <c r="K31">
        <v>12.01</v>
      </c>
    </row>
    <row r="32" spans="1:11" s="9" customFormat="1" x14ac:dyDescent="0.3"/>
    <row r="33" spans="1:11" x14ac:dyDescent="0.3">
      <c r="A33" s="9"/>
    </row>
    <row r="34" spans="1:11" x14ac:dyDescent="0.3">
      <c r="A34" s="9"/>
    </row>
    <row r="35" spans="1:11" x14ac:dyDescent="0.3">
      <c r="A35" s="9"/>
    </row>
    <row r="36" spans="1:11" x14ac:dyDescent="0.3">
      <c r="A36" s="9"/>
    </row>
    <row r="37" spans="1:11" x14ac:dyDescent="0.3">
      <c r="A37" s="9"/>
    </row>
    <row r="38" spans="1:11" x14ac:dyDescent="0.3">
      <c r="A38" s="9"/>
    </row>
    <row r="39" spans="1:11" x14ac:dyDescent="0.3">
      <c r="A39" s="9"/>
    </row>
    <row r="40" spans="1:11" x14ac:dyDescent="0.3">
      <c r="A40" s="1" t="s">
        <v>38</v>
      </c>
    </row>
    <row r="41" spans="1:11" s="24" customFormat="1" x14ac:dyDescent="0.3">
      <c r="A41" s="23" t="s">
        <v>37</v>
      </c>
      <c r="B41" s="16">
        <v>43008</v>
      </c>
      <c r="C41" s="16">
        <v>43100</v>
      </c>
      <c r="D41" s="16">
        <v>43190</v>
      </c>
      <c r="E41" s="16">
        <v>43281</v>
      </c>
      <c r="F41" s="16">
        <v>43373</v>
      </c>
      <c r="G41" s="16">
        <v>43465</v>
      </c>
      <c r="H41" s="16">
        <v>43555</v>
      </c>
      <c r="I41" s="16">
        <v>43646</v>
      </c>
      <c r="J41" s="16">
        <v>43738</v>
      </c>
      <c r="K41" s="16">
        <v>43830</v>
      </c>
    </row>
    <row r="42" spans="1:11" s="9" customFormat="1" x14ac:dyDescent="0.3">
      <c r="A42" s="9" t="s">
        <v>5</v>
      </c>
      <c r="B42">
        <v>74.72</v>
      </c>
      <c r="C42">
        <v>86.25</v>
      </c>
      <c r="D42">
        <v>89.82</v>
      </c>
      <c r="E42">
        <v>92.03</v>
      </c>
      <c r="F42">
        <v>98.47</v>
      </c>
      <c r="G42">
        <v>94.48</v>
      </c>
      <c r="H42">
        <v>102.66</v>
      </c>
      <c r="I42">
        <v>93.18</v>
      </c>
      <c r="J42">
        <v>84.92</v>
      </c>
      <c r="K42">
        <v>80.11</v>
      </c>
    </row>
    <row r="43" spans="1:11" s="9" customFormat="1" x14ac:dyDescent="0.3">
      <c r="A43" s="9" t="s">
        <v>6</v>
      </c>
      <c r="B43">
        <v>52.1</v>
      </c>
      <c r="C43">
        <v>60.16</v>
      </c>
      <c r="D43">
        <v>65.58</v>
      </c>
      <c r="E43">
        <v>64.97</v>
      </c>
      <c r="F43">
        <v>68.150000000000006</v>
      </c>
      <c r="G43">
        <v>59.99</v>
      </c>
      <c r="H43">
        <v>74.510000000000005</v>
      </c>
      <c r="I43">
        <v>68.72</v>
      </c>
      <c r="J43">
        <v>59.34</v>
      </c>
      <c r="K43">
        <v>57.11</v>
      </c>
    </row>
    <row r="44" spans="1:11" s="9" customFormat="1" x14ac:dyDescent="0.3">
      <c r="A44" s="9" t="s">
        <v>8</v>
      </c>
      <c r="B44">
        <v>1.38</v>
      </c>
      <c r="C44">
        <v>1.37</v>
      </c>
      <c r="D44">
        <v>1.55</v>
      </c>
      <c r="E44">
        <v>1.53</v>
      </c>
      <c r="F44">
        <v>1.23</v>
      </c>
      <c r="G44">
        <v>1.64</v>
      </c>
      <c r="H44">
        <v>5</v>
      </c>
      <c r="I44">
        <v>2.1</v>
      </c>
      <c r="J44">
        <v>2.5499999999999998</v>
      </c>
      <c r="K44">
        <v>1.84</v>
      </c>
    </row>
    <row r="45" spans="1:11" s="9" customFormat="1" x14ac:dyDescent="0.3">
      <c r="A45" s="9" t="s">
        <v>9</v>
      </c>
      <c r="B45">
        <v>4.08</v>
      </c>
      <c r="C45">
        <v>4.0599999999999996</v>
      </c>
      <c r="D45">
        <v>4.07</v>
      </c>
      <c r="E45">
        <v>4.1900000000000004</v>
      </c>
      <c r="F45">
        <v>4.74</v>
      </c>
      <c r="G45">
        <v>4.8600000000000003</v>
      </c>
      <c r="H45">
        <v>4.8099999999999996</v>
      </c>
      <c r="I45">
        <v>4.92</v>
      </c>
      <c r="J45">
        <v>5.0999999999999996</v>
      </c>
      <c r="K45">
        <v>5.03</v>
      </c>
    </row>
    <row r="46" spans="1:11" s="9" customFormat="1" x14ac:dyDescent="0.3">
      <c r="A46" s="9" t="s">
        <v>10</v>
      </c>
      <c r="B46">
        <v>1.99</v>
      </c>
      <c r="C46">
        <v>2.06</v>
      </c>
      <c r="D46">
        <v>1.86</v>
      </c>
      <c r="E46">
        <v>1.76</v>
      </c>
      <c r="F46">
        <v>2.0699999999999998</v>
      </c>
      <c r="G46">
        <v>2</v>
      </c>
      <c r="H46">
        <v>2.41</v>
      </c>
      <c r="I46">
        <v>2.5</v>
      </c>
      <c r="J46">
        <v>2.34</v>
      </c>
      <c r="K46">
        <v>2.3199999999999998</v>
      </c>
    </row>
    <row r="47" spans="1:11" s="9" customFormat="1" x14ac:dyDescent="0.3">
      <c r="A47" s="9" t="s">
        <v>11</v>
      </c>
      <c r="B47">
        <v>17.93</v>
      </c>
      <c r="C47">
        <v>21.34</v>
      </c>
      <c r="D47">
        <v>19.86</v>
      </c>
      <c r="E47">
        <v>22.64</v>
      </c>
      <c r="F47">
        <v>24.74</v>
      </c>
      <c r="G47">
        <v>29.27</v>
      </c>
      <c r="H47">
        <v>25.93</v>
      </c>
      <c r="I47">
        <v>19.14</v>
      </c>
      <c r="J47">
        <v>20.69</v>
      </c>
      <c r="K47">
        <v>17.489999999999998</v>
      </c>
    </row>
    <row r="48" spans="1:11" s="9" customFormat="1" x14ac:dyDescent="0.3">
      <c r="A48" s="9" t="s">
        <v>12</v>
      </c>
      <c r="B48">
        <v>5.5</v>
      </c>
      <c r="C48">
        <v>6.06</v>
      </c>
      <c r="D48">
        <v>5.37</v>
      </c>
      <c r="E48">
        <v>6.24</v>
      </c>
      <c r="F48">
        <v>7.08</v>
      </c>
      <c r="G48">
        <v>8.61</v>
      </c>
      <c r="H48">
        <v>6.91</v>
      </c>
      <c r="I48">
        <v>-3.55</v>
      </c>
      <c r="J48">
        <v>4.9400000000000004</v>
      </c>
      <c r="K48">
        <v>1.5</v>
      </c>
    </row>
    <row r="49" spans="1:11" s="9" customFormat="1" x14ac:dyDescent="0.3">
      <c r="A49" s="9" t="s">
        <v>13</v>
      </c>
      <c r="B49">
        <v>12.42</v>
      </c>
      <c r="C49">
        <v>15.28</v>
      </c>
      <c r="D49">
        <v>14.49</v>
      </c>
      <c r="E49">
        <v>16.399999999999999</v>
      </c>
      <c r="F49">
        <v>17.649999999999999</v>
      </c>
      <c r="G49">
        <v>20.66</v>
      </c>
      <c r="H49">
        <v>19.02</v>
      </c>
      <c r="I49">
        <v>22.69</v>
      </c>
      <c r="J49">
        <v>15.75</v>
      </c>
      <c r="K49">
        <v>15.98</v>
      </c>
    </row>
    <row r="50" spans="1:11" x14ac:dyDescent="0.3">
      <c r="A50" s="9" t="s">
        <v>7</v>
      </c>
      <c r="B50">
        <v>22.62</v>
      </c>
      <c r="C50">
        <v>26.09</v>
      </c>
      <c r="D50">
        <v>24.24</v>
      </c>
      <c r="E50">
        <v>27.06</v>
      </c>
      <c r="F50">
        <v>30.32</v>
      </c>
      <c r="G50">
        <v>34.49</v>
      </c>
      <c r="H50">
        <v>28.15</v>
      </c>
      <c r="I50">
        <v>24.46</v>
      </c>
      <c r="J50">
        <v>25.58</v>
      </c>
      <c r="K50">
        <v>23</v>
      </c>
    </row>
    <row r="51" spans="1:11" x14ac:dyDescent="0.3">
      <c r="A51" s="9"/>
    </row>
    <row r="52" spans="1:11" x14ac:dyDescent="0.3">
      <c r="A52" s="9"/>
    </row>
    <row r="53" spans="1:11" x14ac:dyDescent="0.3">
      <c r="A53" s="9"/>
    </row>
    <row r="54" spans="1:11" x14ac:dyDescent="0.3">
      <c r="A54" s="9"/>
    </row>
    <row r="55" spans="1:11" x14ac:dyDescent="0.3">
      <c r="A55" s="1" t="s">
        <v>39</v>
      </c>
    </row>
    <row r="56" spans="1:11" s="24" customFormat="1" x14ac:dyDescent="0.3">
      <c r="A56" s="23" t="s">
        <v>37</v>
      </c>
      <c r="B56" s="16">
        <v>40268</v>
      </c>
      <c r="C56" s="16">
        <v>40633</v>
      </c>
      <c r="D56" s="16">
        <v>40999</v>
      </c>
      <c r="E56" s="16">
        <v>41364</v>
      </c>
      <c r="F56" s="16">
        <v>41729</v>
      </c>
      <c r="G56" s="16">
        <v>42094</v>
      </c>
      <c r="H56" s="16">
        <v>42460</v>
      </c>
      <c r="I56" s="16">
        <v>42825</v>
      </c>
      <c r="J56" s="16">
        <v>43190</v>
      </c>
      <c r="K56" s="16">
        <v>43555</v>
      </c>
    </row>
    <row r="57" spans="1:11" x14ac:dyDescent="0.3">
      <c r="A57" s="9" t="s">
        <v>23</v>
      </c>
      <c r="B57">
        <v>10.31</v>
      </c>
      <c r="C57">
        <v>10.31</v>
      </c>
      <c r="D57">
        <v>10.31</v>
      </c>
      <c r="E57">
        <v>10.31</v>
      </c>
      <c r="F57">
        <v>10.31</v>
      </c>
      <c r="G57">
        <v>10.31</v>
      </c>
      <c r="H57">
        <v>10.31</v>
      </c>
      <c r="I57">
        <v>10.31</v>
      </c>
      <c r="J57">
        <v>10.31</v>
      </c>
      <c r="K57">
        <v>10.01</v>
      </c>
    </row>
    <row r="58" spans="1:11" x14ac:dyDescent="0.3">
      <c r="A58" s="9" t="s">
        <v>24</v>
      </c>
      <c r="B58">
        <v>82.47</v>
      </c>
      <c r="C58">
        <v>114.97</v>
      </c>
      <c r="D58">
        <v>140.34</v>
      </c>
      <c r="E58">
        <v>161.63</v>
      </c>
      <c r="F58">
        <v>193.55</v>
      </c>
      <c r="G58">
        <v>233.87</v>
      </c>
      <c r="H58">
        <v>276.33</v>
      </c>
      <c r="I58">
        <v>332.57</v>
      </c>
      <c r="J58">
        <v>377.5</v>
      </c>
      <c r="K58">
        <v>403.53</v>
      </c>
    </row>
    <row r="59" spans="1:11" x14ac:dyDescent="0.3">
      <c r="A59" s="9" t="s">
        <v>61</v>
      </c>
      <c r="B59">
        <v>18.64</v>
      </c>
      <c r="C59">
        <v>54.03</v>
      </c>
      <c r="D59">
        <v>116.85</v>
      </c>
      <c r="E59">
        <v>118.5</v>
      </c>
      <c r="F59">
        <v>103.88</v>
      </c>
      <c r="G59">
        <v>90.65</v>
      </c>
      <c r="H59">
        <v>72.62</v>
      </c>
      <c r="I59">
        <v>102.62</v>
      </c>
      <c r="J59">
        <v>117.32</v>
      </c>
      <c r="K59">
        <v>125.11</v>
      </c>
    </row>
    <row r="60" spans="1:11" x14ac:dyDescent="0.3">
      <c r="A60" s="9" t="s">
        <v>62</v>
      </c>
      <c r="B60">
        <v>20.48</v>
      </c>
      <c r="C60">
        <v>29.73</v>
      </c>
      <c r="D60">
        <v>38.200000000000003</v>
      </c>
      <c r="E60">
        <v>43.81</v>
      </c>
      <c r="F60">
        <v>48.66</v>
      </c>
      <c r="G60">
        <v>56.28</v>
      </c>
      <c r="H60">
        <v>58.07</v>
      </c>
      <c r="I60">
        <v>61.91</v>
      </c>
      <c r="J60">
        <v>67.63</v>
      </c>
      <c r="K60">
        <v>73.260000000000005</v>
      </c>
    </row>
    <row r="61" spans="1:11" s="1" customFormat="1" x14ac:dyDescent="0.3">
      <c r="A61" s="1" t="s">
        <v>25</v>
      </c>
      <c r="B61">
        <v>131.9</v>
      </c>
      <c r="C61">
        <v>209.04</v>
      </c>
      <c r="D61">
        <v>305.7</v>
      </c>
      <c r="E61">
        <v>334.25</v>
      </c>
      <c r="F61">
        <v>356.4</v>
      </c>
      <c r="G61">
        <v>391.11</v>
      </c>
      <c r="H61">
        <v>417.33</v>
      </c>
      <c r="I61">
        <v>507.41</v>
      </c>
      <c r="J61">
        <v>572.76</v>
      </c>
      <c r="K61">
        <v>611.91</v>
      </c>
    </row>
    <row r="62" spans="1:11" x14ac:dyDescent="0.3">
      <c r="A62" s="9" t="s">
        <v>26</v>
      </c>
      <c r="B62">
        <v>65.010000000000005</v>
      </c>
      <c r="C62">
        <v>67.83</v>
      </c>
      <c r="D62">
        <v>140.62</v>
      </c>
      <c r="E62">
        <v>187.71</v>
      </c>
      <c r="F62">
        <v>193.43</v>
      </c>
      <c r="G62">
        <v>187.58</v>
      </c>
      <c r="H62">
        <v>182.82</v>
      </c>
      <c r="I62">
        <v>306.10000000000002</v>
      </c>
      <c r="J62">
        <v>308.33999999999997</v>
      </c>
      <c r="K62">
        <v>344.35</v>
      </c>
    </row>
    <row r="63" spans="1:11" x14ac:dyDescent="0.3">
      <c r="A63" s="9" t="s">
        <v>27</v>
      </c>
      <c r="B63">
        <v>8.26</v>
      </c>
      <c r="C63">
        <v>50.23</v>
      </c>
      <c r="D63">
        <v>44.03</v>
      </c>
      <c r="E63">
        <v>3.09</v>
      </c>
      <c r="F63">
        <v>2.27</v>
      </c>
      <c r="G63">
        <v>4.17</v>
      </c>
      <c r="H63">
        <v>39.51</v>
      </c>
      <c r="I63">
        <v>2.52</v>
      </c>
      <c r="J63">
        <v>40.36</v>
      </c>
      <c r="K63">
        <v>3.33</v>
      </c>
    </row>
    <row r="64" spans="1:11" x14ac:dyDescent="0.3">
      <c r="A64" s="9" t="s">
        <v>28</v>
      </c>
      <c r="B64">
        <v>0.51</v>
      </c>
      <c r="C64">
        <v>5.51</v>
      </c>
      <c r="D64">
        <v>14.99</v>
      </c>
      <c r="E64">
        <v>19.84</v>
      </c>
      <c r="F64">
        <v>25.86</v>
      </c>
      <c r="G64">
        <v>41.31</v>
      </c>
      <c r="H64">
        <v>30.19</v>
      </c>
      <c r="I64">
        <v>52.94</v>
      </c>
      <c r="J64">
        <v>75.81</v>
      </c>
      <c r="K64">
        <v>107.81</v>
      </c>
    </row>
    <row r="65" spans="1:11" x14ac:dyDescent="0.3">
      <c r="A65" s="9" t="s">
        <v>63</v>
      </c>
      <c r="B65">
        <v>58.12</v>
      </c>
      <c r="C65">
        <v>85.47</v>
      </c>
      <c r="D65">
        <v>106.06</v>
      </c>
      <c r="E65">
        <v>123.61</v>
      </c>
      <c r="F65">
        <v>134.84</v>
      </c>
      <c r="G65">
        <v>158.05000000000001</v>
      </c>
      <c r="H65">
        <v>164.81</v>
      </c>
      <c r="I65">
        <v>145.85</v>
      </c>
      <c r="J65">
        <v>148.25</v>
      </c>
      <c r="K65">
        <v>156.41999999999999</v>
      </c>
    </row>
    <row r="66" spans="1:11" s="1" customFormat="1" x14ac:dyDescent="0.3">
      <c r="A66" s="1" t="s">
        <v>25</v>
      </c>
      <c r="B66">
        <v>131.9</v>
      </c>
      <c r="C66">
        <v>209.04</v>
      </c>
      <c r="D66">
        <v>305.7</v>
      </c>
      <c r="E66">
        <v>334.25</v>
      </c>
      <c r="F66">
        <v>356.4</v>
      </c>
      <c r="G66">
        <v>391.11</v>
      </c>
      <c r="H66">
        <v>417.33</v>
      </c>
      <c r="I66">
        <v>507.41</v>
      </c>
      <c r="J66">
        <v>572.76</v>
      </c>
      <c r="K66">
        <v>611.91</v>
      </c>
    </row>
    <row r="67" spans="1:11" s="9" customFormat="1" x14ac:dyDescent="0.3">
      <c r="A67" s="9" t="s">
        <v>68</v>
      </c>
      <c r="B67">
        <v>19.149999999999999</v>
      </c>
      <c r="C67">
        <v>28.94</v>
      </c>
      <c r="D67">
        <v>45.3</v>
      </c>
      <c r="E67">
        <v>39.58</v>
      </c>
      <c r="F67">
        <v>47.12</v>
      </c>
      <c r="G67">
        <v>51.49</v>
      </c>
      <c r="H67">
        <v>48.05</v>
      </c>
      <c r="I67">
        <v>76.58</v>
      </c>
      <c r="J67">
        <v>75.58</v>
      </c>
      <c r="K67">
        <v>83.66</v>
      </c>
    </row>
    <row r="68" spans="1:11" x14ac:dyDescent="0.3">
      <c r="A68" s="9" t="s">
        <v>44</v>
      </c>
      <c r="B68">
        <v>13.39</v>
      </c>
      <c r="C68">
        <v>18.920000000000002</v>
      </c>
      <c r="D68">
        <v>27.87</v>
      </c>
      <c r="E68">
        <v>36.770000000000003</v>
      </c>
      <c r="F68">
        <v>37.92</v>
      </c>
      <c r="G68">
        <v>37.26</v>
      </c>
      <c r="H68">
        <v>38.67</v>
      </c>
      <c r="I68">
        <v>32.19</v>
      </c>
      <c r="J68">
        <v>38.57</v>
      </c>
      <c r="K68">
        <v>46.31</v>
      </c>
    </row>
    <row r="69" spans="1:11" x14ac:dyDescent="0.3">
      <c r="A69" s="5" t="s">
        <v>77</v>
      </c>
      <c r="B69">
        <v>10.85</v>
      </c>
      <c r="C69">
        <v>13.52</v>
      </c>
      <c r="D69">
        <v>11.51</v>
      </c>
      <c r="E69">
        <v>12.83</v>
      </c>
      <c r="F69">
        <v>10.220000000000001</v>
      </c>
      <c r="G69">
        <v>17.72</v>
      </c>
      <c r="H69">
        <v>10</v>
      </c>
      <c r="I69">
        <v>13.35</v>
      </c>
      <c r="J69">
        <v>11.49</v>
      </c>
      <c r="K69">
        <v>3.69</v>
      </c>
    </row>
    <row r="70" spans="1:11" x14ac:dyDescent="0.3">
      <c r="A70" s="5" t="s">
        <v>64</v>
      </c>
      <c r="B70">
        <v>10329814</v>
      </c>
      <c r="C70">
        <v>10329814</v>
      </c>
      <c r="D70">
        <v>10329814</v>
      </c>
      <c r="E70">
        <v>10329814</v>
      </c>
      <c r="F70">
        <v>10329814</v>
      </c>
      <c r="G70">
        <v>10329814</v>
      </c>
      <c r="H70">
        <v>10329814</v>
      </c>
      <c r="I70">
        <v>10329814</v>
      </c>
      <c r="J70">
        <v>10329814</v>
      </c>
      <c r="K70">
        <v>10023844</v>
      </c>
    </row>
    <row r="71" spans="1:11" x14ac:dyDescent="0.3">
      <c r="A71" s="5" t="s">
        <v>65</v>
      </c>
      <c r="B71"/>
      <c r="K71"/>
    </row>
    <row r="72" spans="1:11" x14ac:dyDescent="0.3">
      <c r="A72" s="5" t="s">
        <v>78</v>
      </c>
      <c r="B72">
        <v>10</v>
      </c>
      <c r="C72">
        <v>10</v>
      </c>
      <c r="D72">
        <v>10</v>
      </c>
      <c r="E72">
        <v>10</v>
      </c>
      <c r="F72">
        <v>10</v>
      </c>
      <c r="G72">
        <v>10</v>
      </c>
      <c r="H72">
        <v>10</v>
      </c>
      <c r="I72">
        <v>10</v>
      </c>
      <c r="J72">
        <v>10</v>
      </c>
      <c r="K72">
        <v>10</v>
      </c>
    </row>
    <row r="74" spans="1:11" x14ac:dyDescent="0.3">
      <c r="A74" s="9"/>
    </row>
    <row r="75" spans="1:11" x14ac:dyDescent="0.3">
      <c r="A75" s="9"/>
    </row>
    <row r="76" spans="1:11" x14ac:dyDescent="0.3">
      <c r="A76" s="9"/>
    </row>
    <row r="77" spans="1:11" x14ac:dyDescent="0.3">
      <c r="A77" s="9"/>
    </row>
    <row r="78" spans="1:11" x14ac:dyDescent="0.3">
      <c r="A78" s="9"/>
    </row>
    <row r="79" spans="1:11" x14ac:dyDescent="0.3">
      <c r="A79" s="9"/>
    </row>
    <row r="80" spans="1:11" x14ac:dyDescent="0.3">
      <c r="A80" s="1" t="s">
        <v>40</v>
      </c>
    </row>
    <row r="81" spans="1:11" s="24" customFormat="1" x14ac:dyDescent="0.3">
      <c r="A81" s="23" t="s">
        <v>37</v>
      </c>
      <c r="B81" s="16">
        <v>40268</v>
      </c>
      <c r="C81" s="16">
        <v>40633</v>
      </c>
      <c r="D81" s="16">
        <v>40999</v>
      </c>
      <c r="E81" s="16">
        <v>41364</v>
      </c>
      <c r="F81" s="16">
        <v>41729</v>
      </c>
      <c r="G81" s="16">
        <v>42094</v>
      </c>
      <c r="H81" s="16">
        <v>42460</v>
      </c>
      <c r="I81" s="16">
        <v>42825</v>
      </c>
      <c r="J81" s="16">
        <v>43190</v>
      </c>
      <c r="K81" s="16">
        <v>43555</v>
      </c>
    </row>
    <row r="82" spans="1:11" s="1" customFormat="1" x14ac:dyDescent="0.3">
      <c r="A82" s="9" t="s">
        <v>31</v>
      </c>
      <c r="B82">
        <v>36.31</v>
      </c>
      <c r="C82">
        <v>29.28</v>
      </c>
      <c r="D82">
        <v>30.41</v>
      </c>
      <c r="E82">
        <v>46.63</v>
      </c>
      <c r="F82">
        <v>51.53</v>
      </c>
      <c r="G82">
        <v>69.97</v>
      </c>
      <c r="H82">
        <v>68.400000000000006</v>
      </c>
      <c r="I82">
        <v>77.13</v>
      </c>
      <c r="J82">
        <v>86.7</v>
      </c>
      <c r="K82">
        <v>88.51</v>
      </c>
    </row>
    <row r="83" spans="1:11" s="9" customFormat="1" x14ac:dyDescent="0.3">
      <c r="A83" s="9" t="s">
        <v>32</v>
      </c>
      <c r="B83">
        <v>-19.96</v>
      </c>
      <c r="C83">
        <v>-63.25</v>
      </c>
      <c r="D83">
        <v>-77.3</v>
      </c>
      <c r="E83">
        <v>-26.58</v>
      </c>
      <c r="F83">
        <v>-23.24</v>
      </c>
      <c r="G83">
        <v>-31.39</v>
      </c>
      <c r="H83">
        <v>-42.06</v>
      </c>
      <c r="I83">
        <v>-83.87</v>
      </c>
      <c r="J83">
        <v>-71.55</v>
      </c>
      <c r="K83">
        <v>-45</v>
      </c>
    </row>
    <row r="84" spans="1:11" s="9" customFormat="1" x14ac:dyDescent="0.3">
      <c r="A84" s="9" t="s">
        <v>33</v>
      </c>
      <c r="B84">
        <v>-11.16</v>
      </c>
      <c r="C84">
        <v>31</v>
      </c>
      <c r="D84">
        <v>50.78</v>
      </c>
      <c r="E84">
        <v>-19.61</v>
      </c>
      <c r="F84">
        <v>-31.69</v>
      </c>
      <c r="G84">
        <v>-31.56</v>
      </c>
      <c r="H84">
        <v>-35.020000000000003</v>
      </c>
      <c r="I84">
        <v>4.71</v>
      </c>
      <c r="J84">
        <v>-7.33</v>
      </c>
      <c r="K84">
        <v>-51.37</v>
      </c>
    </row>
    <row r="85" spans="1:11" s="1" customFormat="1" x14ac:dyDescent="0.3">
      <c r="A85" s="9" t="s">
        <v>34</v>
      </c>
      <c r="B85">
        <v>5.19</v>
      </c>
      <c r="C85">
        <v>-2.97</v>
      </c>
      <c r="D85">
        <v>3.89</v>
      </c>
      <c r="E85">
        <v>0.44</v>
      </c>
      <c r="F85">
        <v>-3.4</v>
      </c>
      <c r="G85">
        <v>7.02</v>
      </c>
      <c r="H85">
        <v>-8.68</v>
      </c>
      <c r="I85">
        <v>-2.0299999999999998</v>
      </c>
      <c r="J85">
        <v>7.82</v>
      </c>
      <c r="K85">
        <v>-7.86</v>
      </c>
    </row>
    <row r="86" spans="1:11" x14ac:dyDescent="0.3">
      <c r="A86" s="9"/>
    </row>
    <row r="87" spans="1:11" x14ac:dyDescent="0.3">
      <c r="A87" s="9"/>
    </row>
    <row r="88" spans="1:11" x14ac:dyDescent="0.3">
      <c r="A88" s="9"/>
    </row>
    <row r="89" spans="1:11" x14ac:dyDescent="0.3">
      <c r="A89" s="9"/>
    </row>
    <row r="90" spans="1:11" s="1" customFormat="1" x14ac:dyDescent="0.3">
      <c r="A90" s="1" t="s">
        <v>67</v>
      </c>
      <c r="B90">
        <v>90.05</v>
      </c>
      <c r="C90">
        <v>101.7</v>
      </c>
      <c r="D90">
        <v>106.9</v>
      </c>
      <c r="E90">
        <v>91.7</v>
      </c>
      <c r="F90">
        <v>158.35</v>
      </c>
      <c r="G90">
        <v>450.6</v>
      </c>
      <c r="H90">
        <v>506.75</v>
      </c>
      <c r="I90">
        <v>915.2</v>
      </c>
      <c r="J90">
        <v>1009.75</v>
      </c>
      <c r="K90">
        <v>1139.8499999999999</v>
      </c>
    </row>
    <row r="92" spans="1:11" s="1" customFormat="1" x14ac:dyDescent="0.3">
      <c r="A92" s="1" t="s">
        <v>66</v>
      </c>
    </row>
    <row r="93" spans="1:11" x14ac:dyDescent="0.3">
      <c r="A93" s="5" t="s">
        <v>79</v>
      </c>
      <c r="B93" s="27">
        <v>1.03</v>
      </c>
      <c r="C93" s="27">
        <v>1.03</v>
      </c>
      <c r="D93" s="27">
        <v>1.03</v>
      </c>
      <c r="E93" s="27">
        <v>1.03</v>
      </c>
      <c r="F93" s="27">
        <v>1.03</v>
      </c>
      <c r="G93" s="27">
        <v>1.03</v>
      </c>
      <c r="H93" s="27">
        <v>1.03</v>
      </c>
      <c r="I93" s="27">
        <v>1.03</v>
      </c>
      <c r="J93" s="27">
        <v>1.03</v>
      </c>
      <c r="K93" s="27">
        <v>1.03</v>
      </c>
    </row>
  </sheetData>
  <mergeCells count="2">
    <mergeCell ref="E1:K1"/>
    <mergeCell ref="E2:K2"/>
  </mergeCells>
  <conditionalFormatting sqref="E1:K1">
    <cfRule type="cellIs" dxfId="9" priority="1" operator="notEqual">
      <formula>""</formula>
    </cfRule>
  </conditionalFormatting>
  <hyperlinks>
    <hyperlink ref="E1:K1" r:id="rId1" display="https://www.screener.in/excel/" xr:uid="{00000000-0004-0000-0500-000000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BC535A219E9943AD06C40C971AE911" ma:contentTypeVersion="14" ma:contentTypeDescription="Create a new document." ma:contentTypeScope="" ma:versionID="cb1559a989869466801c3adeb9ced338">
  <xsd:schema xmlns:xsd="http://www.w3.org/2001/XMLSchema" xmlns:xs="http://www.w3.org/2001/XMLSchema" xmlns:p="http://schemas.microsoft.com/office/2006/metadata/properties" xmlns:ns1="http://schemas.microsoft.com/sharepoint/v3" xmlns:ns3="4bf05502-1fc1-4a25-b156-76153bc52eea" xmlns:ns4="70301897-9c30-4cb6-86c2-9ad188c98a75" targetNamespace="http://schemas.microsoft.com/office/2006/metadata/properties" ma:root="true" ma:fieldsID="06f639c8f97e30f7c56358377a8d8f97" ns1:_="" ns3:_="" ns4:_="">
    <xsd:import namespace="http://schemas.microsoft.com/sharepoint/v3"/>
    <xsd:import namespace="4bf05502-1fc1-4a25-b156-76153bc52eea"/>
    <xsd:import namespace="70301897-9c30-4cb6-86c2-9ad188c98a7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1:_ip_UnifiedCompliancePolicyProperties" minOccurs="0"/>
                <xsd:element ref="ns1:_ip_UnifiedCompliancePolicyUIAction"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f05502-1fc1-4a25-b156-76153bc52e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301897-9c30-4cb6-86c2-9ad188c98a7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BD89ABC-BC20-4CFE-8756-C0B5E4170C53}">
  <ds:schemaRefs>
    <ds:schemaRef ds:uri="http://schemas.microsoft.com/sharepoint/v3/contenttype/forms"/>
  </ds:schemaRefs>
</ds:datastoreItem>
</file>

<file path=customXml/itemProps2.xml><?xml version="1.0" encoding="utf-8"?>
<ds:datastoreItem xmlns:ds="http://schemas.openxmlformats.org/officeDocument/2006/customXml" ds:itemID="{774F3392-1EEF-4D9D-8FD7-611D5F84D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bf05502-1fc1-4a25-b156-76153bc52eea"/>
    <ds:schemaRef ds:uri="70301897-9c30-4cb6-86c2-9ad188c98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B3FD54-6815-48C5-9A45-9E1A9F7C38C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Price Implied Expectations (2)</vt:lpstr>
      <vt:lpstr>Sales Forecast</vt:lpstr>
      <vt:lpstr>OCCL Analysis </vt:lpstr>
      <vt:lpstr>Profit &amp; Loss</vt:lpstr>
      <vt:lpstr>Quarters</vt:lpstr>
      <vt:lpstr>Balance Sheet</vt:lpstr>
      <vt:lpstr>Cash Flow</vt:lpstr>
      <vt:lpstr>Customization</vt:lpstr>
      <vt:lpstr>Data Sheet</vt:lpstr>
      <vt:lpstr>KeyMetrics</vt:lpstr>
      <vt:lpstr>Sheet2</vt:lpstr>
      <vt:lpstr>Charts</vt:lpstr>
      <vt:lpstr>Forecast</vt:lpstr>
      <vt:lpstr>UPDATE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Abhishek Shete</cp:lastModifiedBy>
  <cp:lastPrinted>2012-12-06T18:14:13Z</cp:lastPrinted>
  <dcterms:created xsi:type="dcterms:W3CDTF">2012-08-17T09:55:37Z</dcterms:created>
  <dcterms:modified xsi:type="dcterms:W3CDTF">2020-07-19T20:56:07Z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0x0101004ABC535A219E9943AD06C40C971AE911</vt:lpwstr>
  </property>
</Properties>
</file>