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7854501-1F6E-4841-A5CD-A8D034E58475}" xr6:coauthVersionLast="47" xr6:coauthVersionMax="47" xr10:uidLastSave="{00000000-0000-0000-0000-000000000000}"/>
  <bookViews>
    <workbookView xWindow="-120" yWindow="-120" windowWidth="20730" windowHeight="11160" xr2:uid="{84C873E2-2C1C-4E8D-BFE7-462C752A6505}"/>
  </bookViews>
  <sheets>
    <sheet name="Working Annual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URRENTYEAR">#REF!</definedName>
    <definedName name="LOOKUPMTH">#REF!</definedName>
    <definedName name="Mont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UPDATE">'[2]Data Sheet'!$E$1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1" l="1"/>
  <c r="F56" i="1"/>
  <c r="O52" i="1"/>
  <c r="Q52" i="1" s="1"/>
  <c r="N52" i="1"/>
  <c r="L52" i="1"/>
  <c r="K52" i="1"/>
  <c r="I52" i="1"/>
  <c r="H52" i="1"/>
  <c r="G52" i="1"/>
  <c r="F52" i="1"/>
  <c r="E52" i="1"/>
  <c r="D52" i="1"/>
  <c r="C52" i="1"/>
  <c r="O51" i="1"/>
  <c r="O49" i="1"/>
  <c r="Q49" i="1" s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Q47" i="1"/>
  <c r="P47" i="1"/>
  <c r="Q46" i="1"/>
  <c r="M46" i="1"/>
  <c r="L46" i="1"/>
  <c r="K46" i="1"/>
  <c r="J46" i="1"/>
  <c r="I46" i="1"/>
  <c r="H46" i="1"/>
  <c r="G46" i="1"/>
  <c r="F46" i="1"/>
  <c r="E46" i="1"/>
  <c r="D46" i="1"/>
  <c r="C46" i="1"/>
  <c r="P46" i="1" s="1"/>
  <c r="N42" i="1"/>
  <c r="M42" i="1"/>
  <c r="L42" i="1"/>
  <c r="J42" i="1"/>
  <c r="P40" i="1"/>
  <c r="O40" i="1"/>
  <c r="Q40" i="1" s="1"/>
  <c r="N40" i="1"/>
  <c r="M40" i="1"/>
  <c r="L40" i="1"/>
  <c r="Q39" i="1"/>
  <c r="P39" i="1"/>
  <c r="L39" i="1"/>
  <c r="Q36" i="1"/>
  <c r="O36" i="1"/>
  <c r="P36" i="1" s="1"/>
  <c r="N36" i="1"/>
  <c r="M36" i="1"/>
  <c r="I36" i="1"/>
  <c r="Q35" i="1"/>
  <c r="P35" i="1"/>
  <c r="H35" i="1"/>
  <c r="Q34" i="1"/>
  <c r="P34" i="1"/>
  <c r="M34" i="1"/>
  <c r="Q33" i="1"/>
  <c r="P33" i="1"/>
  <c r="Q32" i="1"/>
  <c r="P32" i="1"/>
  <c r="Q31" i="1"/>
  <c r="P31" i="1"/>
  <c r="M31" i="1"/>
  <c r="M52" i="1" s="1"/>
  <c r="J31" i="1"/>
  <c r="J52" i="1" s="1"/>
  <c r="Q30" i="1"/>
  <c r="P30" i="1"/>
  <c r="Q29" i="1"/>
  <c r="P29" i="1"/>
  <c r="Q28" i="1"/>
  <c r="P28" i="1"/>
  <c r="N27" i="1"/>
  <c r="N51" i="1" s="1"/>
  <c r="Q51" i="1" s="1"/>
  <c r="M27" i="1"/>
  <c r="M51" i="1" s="1"/>
  <c r="L27" i="1"/>
  <c r="L51" i="1" s="1"/>
  <c r="K27" i="1"/>
  <c r="K51" i="1" s="1"/>
  <c r="J27" i="1"/>
  <c r="J51" i="1" s="1"/>
  <c r="I27" i="1"/>
  <c r="I51" i="1" s="1"/>
  <c r="H27" i="1"/>
  <c r="H51" i="1" s="1"/>
  <c r="G27" i="1"/>
  <c r="G51" i="1" s="1"/>
  <c r="F27" i="1"/>
  <c r="F51" i="1" s="1"/>
  <c r="E27" i="1"/>
  <c r="E51" i="1" s="1"/>
  <c r="D27" i="1"/>
  <c r="D51" i="1" s="1"/>
  <c r="C27" i="1"/>
  <c r="P27" i="1" s="1"/>
  <c r="O26" i="1"/>
  <c r="O44" i="1" s="1"/>
  <c r="N26" i="1"/>
  <c r="Q26" i="1" s="1"/>
  <c r="L26" i="1"/>
  <c r="L44" i="1" s="1"/>
  <c r="J26" i="1"/>
  <c r="J44" i="1" s="1"/>
  <c r="H26" i="1"/>
  <c r="H44" i="1" s="1"/>
  <c r="F26" i="1"/>
  <c r="F44" i="1" s="1"/>
  <c r="D26" i="1"/>
  <c r="D44" i="1" s="1"/>
  <c r="L25" i="1"/>
  <c r="J25" i="1"/>
  <c r="D24" i="1"/>
  <c r="C24" i="1"/>
  <c r="P24" i="1" s="1"/>
  <c r="R23" i="1"/>
  <c r="O23" i="1"/>
  <c r="O43" i="1" s="1"/>
  <c r="M23" i="1"/>
  <c r="M43" i="1" s="1"/>
  <c r="P22" i="1"/>
  <c r="O22" i="1"/>
  <c r="N22" i="1"/>
  <c r="N23" i="1" s="1"/>
  <c r="N43" i="1" s="1"/>
  <c r="M22" i="1"/>
  <c r="L22" i="1"/>
  <c r="L23" i="1" s="1"/>
  <c r="L43" i="1" s="1"/>
  <c r="K22" i="1"/>
  <c r="J22" i="1"/>
  <c r="O19" i="1"/>
  <c r="N19" i="1"/>
  <c r="M19" i="1"/>
  <c r="L19" i="1"/>
  <c r="J19" i="1"/>
  <c r="I19" i="1"/>
  <c r="G19" i="1"/>
  <c r="E19" i="1"/>
  <c r="C19" i="1"/>
  <c r="P18" i="1"/>
  <c r="O18" i="1"/>
  <c r="Q18" i="1" s="1"/>
  <c r="K18" i="1"/>
  <c r="K19" i="1" s="1"/>
  <c r="I18" i="1"/>
  <c r="I25" i="1" s="1"/>
  <c r="H18" i="1"/>
  <c r="H25" i="1" s="1"/>
  <c r="G18" i="1"/>
  <c r="G25" i="1" s="1"/>
  <c r="F18" i="1"/>
  <c r="F42" i="1" s="1"/>
  <c r="E18" i="1"/>
  <c r="E25" i="1" s="1"/>
  <c r="D18" i="1"/>
  <c r="D25" i="1" s="1"/>
  <c r="C18" i="1"/>
  <c r="C42" i="1" s="1"/>
  <c r="Q17" i="1"/>
  <c r="P17" i="1"/>
  <c r="Q16" i="1"/>
  <c r="P16" i="1"/>
  <c r="P15" i="1"/>
  <c r="P14" i="1"/>
  <c r="P13" i="1"/>
  <c r="O12" i="1"/>
  <c r="O21" i="1" s="1"/>
  <c r="N12" i="1"/>
  <c r="N20" i="1" s="1"/>
  <c r="M12" i="1"/>
  <c r="M21" i="1" s="1"/>
  <c r="L12" i="1"/>
  <c r="L21" i="1" s="1"/>
  <c r="K12" i="1"/>
  <c r="K20" i="1" s="1"/>
  <c r="J12" i="1"/>
  <c r="J20" i="1" s="1"/>
  <c r="I12" i="1"/>
  <c r="I20" i="1" s="1"/>
  <c r="H12" i="1"/>
  <c r="H21" i="1" s="1"/>
  <c r="G12" i="1"/>
  <c r="G21" i="1" s="1"/>
  <c r="F12" i="1"/>
  <c r="F20" i="1" s="1"/>
  <c r="E12" i="1"/>
  <c r="E21" i="1" s="1"/>
  <c r="D12" i="1"/>
  <c r="D20" i="1" s="1"/>
  <c r="C12" i="1"/>
  <c r="C20" i="1" s="1"/>
  <c r="O11" i="1"/>
  <c r="Q11" i="1" s="1"/>
  <c r="N11" i="1"/>
  <c r="M11" i="1"/>
  <c r="L11" i="1"/>
  <c r="K11" i="1"/>
  <c r="J11" i="1"/>
  <c r="I11" i="1"/>
  <c r="H11" i="1"/>
  <c r="G11" i="1"/>
  <c r="F11" i="1"/>
  <c r="E11" i="1"/>
  <c r="D11" i="1"/>
  <c r="C11" i="1"/>
  <c r="Q10" i="1"/>
  <c r="K10" i="1"/>
  <c r="K23" i="1" s="1"/>
  <c r="K43" i="1" s="1"/>
  <c r="J10" i="1"/>
  <c r="J23" i="1" s="1"/>
  <c r="J43" i="1" s="1"/>
  <c r="I10" i="1"/>
  <c r="I21" i="1" s="1"/>
  <c r="D10" i="1"/>
  <c r="D21" i="1" s="1"/>
  <c r="C10" i="1"/>
  <c r="C23" i="1" s="1"/>
  <c r="C43" i="1" s="1"/>
  <c r="Q9" i="1"/>
  <c r="P9" i="1"/>
  <c r="Q8" i="1"/>
  <c r="P8" i="1"/>
  <c r="L7" i="1"/>
  <c r="K7" i="1"/>
  <c r="F5" i="1"/>
  <c r="F7" i="1" s="1"/>
  <c r="P4" i="1"/>
  <c r="N4" i="1"/>
  <c r="Q4" i="1" s="1"/>
  <c r="M4" i="1"/>
  <c r="K4" i="1"/>
  <c r="H4" i="1"/>
  <c r="H5" i="1" s="1"/>
  <c r="Q43" i="1" l="1"/>
  <c r="P43" i="1"/>
  <c r="I5" i="1"/>
  <c r="I7" i="1" s="1"/>
  <c r="P12" i="1"/>
  <c r="D19" i="1"/>
  <c r="H19" i="1"/>
  <c r="G20" i="1"/>
  <c r="O20" i="1"/>
  <c r="F21" i="1"/>
  <c r="J21" i="1"/>
  <c r="N21" i="1"/>
  <c r="G22" i="1"/>
  <c r="G23" i="1" s="1"/>
  <c r="G43" i="1" s="1"/>
  <c r="D23" i="1"/>
  <c r="D43" i="1" s="1"/>
  <c r="P23" i="1"/>
  <c r="F25" i="1"/>
  <c r="C26" i="1"/>
  <c r="G26" i="1"/>
  <c r="K26" i="1"/>
  <c r="Q27" i="1"/>
  <c r="F41" i="1"/>
  <c r="J41" i="1"/>
  <c r="N41" i="1"/>
  <c r="G42" i="1"/>
  <c r="K42" i="1"/>
  <c r="O42" i="1"/>
  <c r="C51" i="1"/>
  <c r="P51" i="1" s="1"/>
  <c r="P52" i="1"/>
  <c r="P11" i="1"/>
  <c r="H20" i="1"/>
  <c r="L20" i="1"/>
  <c r="C21" i="1"/>
  <c r="K21" i="1"/>
  <c r="H22" i="1"/>
  <c r="H23" i="1" s="1"/>
  <c r="H43" i="1" s="1"/>
  <c r="Q23" i="1"/>
  <c r="C25" i="1"/>
  <c r="K25" i="1"/>
  <c r="O25" i="1"/>
  <c r="O41" i="1"/>
  <c r="D42" i="1"/>
  <c r="H42" i="1"/>
  <c r="N44" i="1"/>
  <c r="Q44" i="1" s="1"/>
  <c r="P10" i="1"/>
  <c r="F19" i="1"/>
  <c r="E20" i="1"/>
  <c r="M20" i="1"/>
  <c r="E22" i="1"/>
  <c r="E23" i="1" s="1"/>
  <c r="E43" i="1" s="1"/>
  <c r="I22" i="1"/>
  <c r="I23" i="1" s="1"/>
  <c r="I43" i="1" s="1"/>
  <c r="Q22" i="1"/>
  <c r="N24" i="1"/>
  <c r="E26" i="1"/>
  <c r="I26" i="1"/>
  <c r="M26" i="1"/>
  <c r="J36" i="1"/>
  <c r="D41" i="1"/>
  <c r="H41" i="1"/>
  <c r="L41" i="1"/>
  <c r="E42" i="1"/>
  <c r="I42" i="1"/>
  <c r="P49" i="1"/>
  <c r="F22" i="1"/>
  <c r="F23" i="1" s="1"/>
  <c r="F43" i="1" s="1"/>
  <c r="M41" i="1" l="1"/>
  <c r="M24" i="1"/>
  <c r="M25" i="1" s="1"/>
  <c r="M44" i="1"/>
  <c r="Q42" i="1"/>
  <c r="P42" i="1"/>
  <c r="G44" i="1"/>
  <c r="G41" i="1"/>
  <c r="I41" i="1"/>
  <c r="I44" i="1"/>
  <c r="C44" i="1"/>
  <c r="P44" i="1" s="1"/>
  <c r="C41" i="1"/>
  <c r="P41" i="1" s="1"/>
  <c r="P26" i="1"/>
  <c r="E41" i="1"/>
  <c r="E44" i="1"/>
  <c r="Q41" i="1"/>
  <c r="N25" i="1"/>
  <c r="Q24" i="1"/>
  <c r="Q25" i="1"/>
  <c r="P25" i="1"/>
  <c r="K44" i="1"/>
  <c r="K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Dhiraj</author>
    <author>Admin</author>
  </authors>
  <commentList>
    <comment ref="C4" authorId="0" shapeId="0" xr:uid="{41B35F1D-51CD-4B63-B1AC-9126BEF3B2B7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Sourced figure 42000</t>
        </r>
      </text>
    </comment>
    <comment ref="L6" authorId="0" shapeId="0" xr:uid="{4338CE3E-27AE-478B-8D60-AF67DC5BB399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Additional in gross block, Discarded assets of Rs 4 cr not adjusted</t>
        </r>
      </text>
    </comment>
    <comment ref="C8" authorId="0" shapeId="0" xr:uid="{2CD41051-FA4E-4F36-A43B-2DD83A8C43C6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28728 unit produced in FY09</t>
        </r>
      </text>
    </comment>
    <comment ref="C10" authorId="1" shapeId="0" xr:uid="{2038F139-1913-4194-A349-80CBFE299C8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Net of Excise duty
</t>
        </r>
      </text>
    </comment>
    <comment ref="D10" authorId="1" shapeId="0" xr:uid="{696FE9A2-CD9A-488C-9396-03B1090B156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Net of Excise duty
</t>
        </r>
      </text>
    </comment>
    <comment ref="I10" authorId="1" shapeId="0" xr:uid="{B76BA367-551A-4376-8AB3-757AD9ED8F5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Net of Excise duty
</t>
        </r>
      </text>
    </comment>
    <comment ref="J10" authorId="1" shapeId="0" xr:uid="{322D7628-A144-4FDF-8354-D491CE09B581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Net of Excise duty
</t>
        </r>
      </text>
    </comment>
    <comment ref="K10" authorId="1" shapeId="0" xr:uid="{1780DFC3-378A-4FFE-9FBA-885493F6BF2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Net of Excise duty
</t>
        </r>
      </text>
    </comment>
    <comment ref="L10" authorId="1" shapeId="0" xr:uid="{707AC535-25C7-4BC7-826E-8284554B73F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GST implemented so net figure </t>
        </r>
      </text>
    </comment>
    <comment ref="A24" authorId="0" shapeId="0" xr:uid="{2790F05E-98C2-4E71-AE79-2BD7E5488725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In case of quarterly, Depreciation is added</t>
        </r>
      </text>
    </comment>
    <comment ref="A26" authorId="0" shapeId="0" xr:uid="{6148E001-4C3A-4F17-8238-BD5089B2C0BA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Other income reduced from EBIT</t>
        </r>
      </text>
    </comment>
    <comment ref="A27" authorId="0" shapeId="0" xr:uid="{4B2CDE63-357A-495E-B19E-A82256469567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Finance cost added to PBT</t>
        </r>
      </text>
    </comment>
    <comment ref="C47" authorId="0" shapeId="0" xr:uid="{E83DFBC5-339F-4319-B94C-624EC5DBF2A2}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285 employee on March 31 2029</t>
        </r>
      </text>
    </comment>
  </commentList>
</comments>
</file>

<file path=xl/sharedStrings.xml><?xml version="1.0" encoding="utf-8"?>
<sst xmlns="http://schemas.openxmlformats.org/spreadsheetml/2006/main" count="86" uniqueCount="61">
  <si>
    <t>Swaraj</t>
  </si>
  <si>
    <t>Particulars</t>
  </si>
  <si>
    <t>Unit</t>
  </si>
  <si>
    <t>CAGR</t>
  </si>
  <si>
    <t>YOY</t>
  </si>
  <si>
    <t>Installed Capacity</t>
  </si>
  <si>
    <t>Nos</t>
  </si>
  <si>
    <t>Incremental capacity</t>
  </si>
  <si>
    <t>Capex</t>
  </si>
  <si>
    <t>Rs Cr</t>
  </si>
  <si>
    <t>Capex per engine</t>
  </si>
  <si>
    <t>Rs/installed engine cap.</t>
  </si>
  <si>
    <t>Production engine</t>
  </si>
  <si>
    <t>Sales Engines</t>
  </si>
  <si>
    <t>Net Sales Engine</t>
  </si>
  <si>
    <t>Realisation</t>
  </si>
  <si>
    <t>Rs Lakhs/engine</t>
  </si>
  <si>
    <t>Non-Engine Sales</t>
  </si>
  <si>
    <t>Engine Components</t>
  </si>
  <si>
    <t>Spare</t>
  </si>
  <si>
    <t>Scrap</t>
  </si>
  <si>
    <t>Gross revenue</t>
  </si>
  <si>
    <t>Excise duy</t>
  </si>
  <si>
    <t>Net Revenue</t>
  </si>
  <si>
    <t>Engine Components/Net Revenue</t>
  </si>
  <si>
    <t xml:space="preserve">% </t>
  </si>
  <si>
    <t>Non-Engine Sales/Net Revenue</t>
  </si>
  <si>
    <t>Revenue reconciliation</t>
  </si>
  <si>
    <t>RM + Inventory</t>
  </si>
  <si>
    <t>Contribution</t>
  </si>
  <si>
    <t>PBIDTA</t>
  </si>
  <si>
    <t>PBIDT %</t>
  </si>
  <si>
    <t>Operational EBIT</t>
  </si>
  <si>
    <t>EBIT</t>
  </si>
  <si>
    <t>PBT</t>
  </si>
  <si>
    <t>PAT</t>
  </si>
  <si>
    <t>Other income</t>
  </si>
  <si>
    <t>Net worth</t>
  </si>
  <si>
    <t>Equity Capital</t>
  </si>
  <si>
    <t>Capital Ermp</t>
  </si>
  <si>
    <t>Market cap</t>
  </si>
  <si>
    <t>EPS</t>
  </si>
  <si>
    <t>Rs per share</t>
  </si>
  <si>
    <t>BV</t>
  </si>
  <si>
    <t>Sales Engines Units</t>
  </si>
  <si>
    <t>Sales Rs Cr Engine</t>
  </si>
  <si>
    <t>Operational EBIT Rs Cr (Net of other income)</t>
  </si>
  <si>
    <t>Net Revenue per engine</t>
  </si>
  <si>
    <t>Contribution per engine</t>
  </si>
  <si>
    <t>Opeational EBIT per engine</t>
  </si>
  <si>
    <t>Tractor Production</t>
  </si>
  <si>
    <t>Employee</t>
  </si>
  <si>
    <t>Contractual employee</t>
  </si>
  <si>
    <t>Per-employee Production</t>
  </si>
  <si>
    <t>ROCE</t>
  </si>
  <si>
    <t>ROE</t>
  </si>
  <si>
    <t>Average HP</t>
  </si>
  <si>
    <t>&lt;30 HP</t>
  </si>
  <si>
    <t>31-40 HP</t>
  </si>
  <si>
    <t>41-50 HP</t>
  </si>
  <si>
    <t>&gt; 51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</si>
</sst>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8" tint="-0.499984740745262"/>
      <name val="Arial"/>
      <family val="2"/>
    </font>
    <font>
      <sz val="11"/>
      <color rgb="FF002060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4" fontId="4" fillId="0" borderId="0" xfId="0" applyNumberFormat="1" applyFont="1"/>
    <xf numFmtId="3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165" fontId="0" fillId="0" borderId="0" xfId="1" applyNumberFormat="1" applyFont="1"/>
    <xf numFmtId="164" fontId="2" fillId="2" borderId="0" xfId="0" applyNumberFormat="1" applyFont="1" applyFill="1"/>
    <xf numFmtId="4" fontId="5" fillId="3" borderId="0" xfId="0" applyNumberFormat="1" applyFont="1" applyFill="1"/>
    <xf numFmtId="0" fontId="0" fillId="4" borderId="0" xfId="0" applyFill="1"/>
    <xf numFmtId="4" fontId="0" fillId="4" borderId="0" xfId="0" applyNumberFormat="1" applyFill="1"/>
    <xf numFmtId="164" fontId="2" fillId="4" borderId="0" xfId="2" applyNumberFormat="1" applyFont="1" applyFill="1"/>
    <xf numFmtId="0" fontId="0" fillId="0" borderId="0" xfId="0" applyAlignment="1">
      <alignment horizontal="left" indent="1"/>
    </xf>
    <xf numFmtId="4" fontId="0" fillId="5" borderId="0" xfId="0" applyNumberFormat="1" applyFill="1"/>
    <xf numFmtId="164" fontId="4" fillId="6" borderId="0" xfId="0" applyNumberFormat="1" applyFont="1" applyFill="1"/>
    <xf numFmtId="164" fontId="2" fillId="5" borderId="0" xfId="0" applyNumberFormat="1" applyFont="1" applyFill="1"/>
    <xf numFmtId="164" fontId="2" fillId="0" borderId="0" xfId="2" applyNumberFormat="1" applyFont="1"/>
    <xf numFmtId="4" fontId="3" fillId="0" borderId="0" xfId="0" applyNumberFormat="1" applyFont="1"/>
    <xf numFmtId="0" fontId="6" fillId="7" borderId="0" xfId="0" applyFont="1" applyFill="1"/>
    <xf numFmtId="164" fontId="6" fillId="7" borderId="0" xfId="0" applyNumberFormat="1" applyFont="1" applyFill="1"/>
    <xf numFmtId="164" fontId="7" fillId="7" borderId="0" xfId="2" applyNumberFormat="1" applyFont="1" applyFill="1"/>
    <xf numFmtId="4" fontId="8" fillId="7" borderId="0" xfId="0" applyNumberFormat="1" applyFont="1" applyFill="1"/>
    <xf numFmtId="0" fontId="8" fillId="0" borderId="0" xfId="0" applyFont="1"/>
    <xf numFmtId="0" fontId="8" fillId="7" borderId="0" xfId="0" applyFont="1" applyFill="1"/>
    <xf numFmtId="4" fontId="6" fillId="0" borderId="0" xfId="0" applyNumberFormat="1" applyFont="1"/>
    <xf numFmtId="164" fontId="7" fillId="0" borderId="0" xfId="2" applyNumberFormat="1" applyFont="1"/>
    <xf numFmtId="4" fontId="8" fillId="0" borderId="0" xfId="0" applyNumberFormat="1" applyFont="1"/>
    <xf numFmtId="0" fontId="6" fillId="6" borderId="0" xfId="0" applyFont="1" applyFill="1"/>
    <xf numFmtId="164" fontId="6" fillId="6" borderId="0" xfId="0" applyNumberFormat="1" applyFont="1" applyFill="1"/>
    <xf numFmtId="164" fontId="7" fillId="6" borderId="0" xfId="2" applyNumberFormat="1" applyFont="1" applyFill="1"/>
    <xf numFmtId="164" fontId="8" fillId="6" borderId="0" xfId="0" applyNumberFormat="1" applyFont="1" applyFill="1"/>
    <xf numFmtId="0" fontId="0" fillId="6" borderId="0" xfId="0" applyFill="1"/>
    <xf numFmtId="164" fontId="2" fillId="8" borderId="0" xfId="2" applyNumberFormat="1" applyFont="1" applyFill="1"/>
    <xf numFmtId="4" fontId="2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 applyAlignment="1">
      <alignment vertical="top"/>
    </xf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hiraj\Investment\Hold%20Reading\Holding%20Report%20FY23\Working%20File\Swaraj%20Engine%20Evaluation%205%20Jul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hiraj\Investment\Hold%20Reading\FY2020\Working%20Files\Screener%20July%202018%20Donwload\Swaraj%20Eng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Buyback working Nov 2017"/>
      <sheetName val="Irrigation"/>
      <sheetName val="Historical share price "/>
      <sheetName val="Working Annual"/>
      <sheetName val="Working Quarterl"/>
      <sheetName val="Pivot"/>
      <sheetName val="Old Sale data"/>
      <sheetName val="M&amp;M Sales pivot"/>
      <sheetName val="M&amp;M Monthly Tractor "/>
      <sheetName val="Data Sheet"/>
      <sheetName val="Profit &amp; Loss"/>
      <sheetName val="Balance Sheet"/>
      <sheetName val="Quarters"/>
      <sheetName val="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-To-Use"/>
      <sheetName val="Overview"/>
      <sheetName val="Data Sheet"/>
      <sheetName val="Profit &amp; Loss"/>
      <sheetName val="Balance Sheet"/>
      <sheetName val="Quarters"/>
      <sheetName val="Cash Flow"/>
    </sheetNames>
    <sheetDataSet>
      <sheetData sheetId="0"/>
      <sheetData sheetId="1"/>
      <sheetData sheetId="2">
        <row r="1">
          <cell r="B1" t="str">
            <v>SWARAJ ENGINES LTD</v>
          </cell>
          <cell r="E1" t="str">
            <v/>
          </cell>
        </row>
      </sheetData>
      <sheetData sheetId="3">
        <row r="3">
          <cell r="B3">
            <v>40268</v>
          </cell>
        </row>
      </sheetData>
      <sheetData sheetId="4">
        <row r="3">
          <cell r="B3">
            <v>40268</v>
          </cell>
        </row>
      </sheetData>
      <sheetData sheetId="5">
        <row r="3">
          <cell r="B3">
            <v>42735</v>
          </cell>
        </row>
      </sheetData>
      <sheetData sheetId="6">
        <row r="3">
          <cell r="B3">
            <v>40268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56CE-9672-4CB5-B458-90CA75336B96}">
  <dimension ref="A2:BC60"/>
  <sheetViews>
    <sheetView tabSelected="1" workbookViewId="0">
      <selection activeCell="C12" sqref="C12"/>
    </sheetView>
  </sheetViews>
  <sheetFormatPr defaultRowHeight="14.25" x14ac:dyDescent="0.2"/>
  <cols>
    <col min="1" max="1" width="22.875" bestFit="1" customWidth="1"/>
    <col min="2" max="2" width="20.625" customWidth="1"/>
    <col min="3" max="3" width="11" customWidth="1"/>
    <col min="4" max="6" width="10.125" customWidth="1"/>
    <col min="7" max="7" width="10.375" customWidth="1"/>
    <col min="8" max="8" width="11.375" customWidth="1"/>
    <col min="9" max="15" width="10.125" customWidth="1"/>
    <col min="16" max="17" width="10.125" style="1" customWidth="1"/>
    <col min="18" max="18" width="0.875" customWidth="1"/>
  </cols>
  <sheetData>
    <row r="2" spans="1:18" x14ac:dyDescent="0.2">
      <c r="A2" t="s">
        <v>0</v>
      </c>
    </row>
    <row r="3" spans="1:18" s="2" customFormat="1" ht="15" x14ac:dyDescent="0.25">
      <c r="A3" s="2" t="s">
        <v>1</v>
      </c>
      <c r="B3" s="2" t="s">
        <v>2</v>
      </c>
      <c r="C3" s="3">
        <v>40268</v>
      </c>
      <c r="D3" s="3">
        <v>40633</v>
      </c>
      <c r="E3" s="3">
        <v>40999</v>
      </c>
      <c r="F3" s="3">
        <v>41364</v>
      </c>
      <c r="G3" s="3">
        <v>41729</v>
      </c>
      <c r="H3" s="3">
        <v>42094</v>
      </c>
      <c r="I3" s="3">
        <v>42460</v>
      </c>
      <c r="J3" s="3">
        <v>42825</v>
      </c>
      <c r="K3" s="3">
        <v>43190</v>
      </c>
      <c r="L3" s="3">
        <v>43555</v>
      </c>
      <c r="M3" s="3">
        <v>43921</v>
      </c>
      <c r="N3" s="3">
        <v>44286</v>
      </c>
      <c r="O3" s="3">
        <v>44651</v>
      </c>
      <c r="P3" s="4" t="s">
        <v>3</v>
      </c>
      <c r="Q3" s="4" t="s">
        <v>4</v>
      </c>
      <c r="R3" s="3"/>
    </row>
    <row r="4" spans="1:18" x14ac:dyDescent="0.2">
      <c r="A4" t="s">
        <v>5</v>
      </c>
      <c r="B4" t="s">
        <v>6</v>
      </c>
      <c r="C4" s="5">
        <v>36000</v>
      </c>
      <c r="D4" s="5">
        <v>42000</v>
      </c>
      <c r="E4" s="5">
        <v>60000</v>
      </c>
      <c r="F4" s="5">
        <v>75000</v>
      </c>
      <c r="G4" s="5">
        <v>75000</v>
      </c>
      <c r="H4" s="5">
        <f>G4</f>
        <v>75000</v>
      </c>
      <c r="I4" s="5">
        <v>105000</v>
      </c>
      <c r="J4" s="5">
        <v>105000</v>
      </c>
      <c r="K4" s="5">
        <f>J4+K5</f>
        <v>120000</v>
      </c>
      <c r="L4" s="5">
        <v>135000</v>
      </c>
      <c r="M4" s="5">
        <f>L4</f>
        <v>135000</v>
      </c>
      <c r="N4" s="5">
        <f>M4</f>
        <v>135000</v>
      </c>
      <c r="O4" s="5">
        <v>150000</v>
      </c>
      <c r="P4" s="6">
        <f>((O4/C4)^(1/12)-1)</f>
        <v>0.12628697880664852</v>
      </c>
      <c r="Q4" s="6">
        <f>O4/N4-1</f>
        <v>0.11111111111111116</v>
      </c>
    </row>
    <row r="5" spans="1:18" x14ac:dyDescent="0.2">
      <c r="A5" t="s">
        <v>7</v>
      </c>
      <c r="B5" t="s">
        <v>6</v>
      </c>
      <c r="C5" s="5"/>
      <c r="D5" s="5"/>
      <c r="E5" s="5"/>
      <c r="F5" s="5">
        <f>F4-D4</f>
        <v>33000</v>
      </c>
      <c r="G5" s="5"/>
      <c r="H5" s="5">
        <f>H4-G4</f>
        <v>0</v>
      </c>
      <c r="I5" s="5">
        <f>I4-H4</f>
        <v>30000</v>
      </c>
      <c r="J5" s="5"/>
      <c r="K5" s="5">
        <v>15000</v>
      </c>
      <c r="L5" s="5">
        <v>15000</v>
      </c>
      <c r="M5" s="5"/>
      <c r="N5" s="5">
        <v>15000</v>
      </c>
      <c r="O5" s="5"/>
      <c r="P5" s="6"/>
      <c r="Q5" s="6"/>
    </row>
    <row r="6" spans="1:18" x14ac:dyDescent="0.2">
      <c r="A6" t="s">
        <v>8</v>
      </c>
      <c r="B6" t="s">
        <v>9</v>
      </c>
      <c r="F6">
        <v>94</v>
      </c>
      <c r="I6">
        <v>38</v>
      </c>
      <c r="K6">
        <v>35</v>
      </c>
      <c r="L6" s="7">
        <v>36.182299999999998</v>
      </c>
      <c r="M6" s="7"/>
      <c r="N6" s="7"/>
      <c r="O6" s="7"/>
      <c r="P6" s="6"/>
      <c r="Q6" s="6"/>
    </row>
    <row r="7" spans="1:18" x14ac:dyDescent="0.2">
      <c r="A7" t="s">
        <v>10</v>
      </c>
      <c r="B7" t="s">
        <v>11</v>
      </c>
      <c r="F7" s="7">
        <f>F6*10^7/F5</f>
        <v>28484.848484848484</v>
      </c>
      <c r="G7" s="7"/>
      <c r="H7" s="7"/>
      <c r="I7" s="7">
        <f>I6*10^7/I5</f>
        <v>12666.666666666666</v>
      </c>
      <c r="K7" s="7">
        <f>K6*10^7/K5</f>
        <v>23333.333333333332</v>
      </c>
      <c r="L7" s="7">
        <f>L6*10^7/L5</f>
        <v>24121.533333333333</v>
      </c>
      <c r="M7" s="7"/>
      <c r="N7" s="7"/>
      <c r="O7" s="7"/>
      <c r="P7" s="6"/>
      <c r="Q7" s="6"/>
      <c r="R7" s="7"/>
    </row>
    <row r="8" spans="1:18" x14ac:dyDescent="0.2">
      <c r="A8" t="s">
        <v>12</v>
      </c>
      <c r="B8" t="s">
        <v>6</v>
      </c>
      <c r="C8" s="8">
        <v>39254</v>
      </c>
      <c r="D8" s="8">
        <v>48015</v>
      </c>
      <c r="E8" s="8">
        <v>55099</v>
      </c>
      <c r="F8" s="8">
        <v>57348</v>
      </c>
      <c r="G8" s="8">
        <v>74786</v>
      </c>
      <c r="H8" s="8">
        <v>63994</v>
      </c>
      <c r="I8" s="8">
        <v>64256</v>
      </c>
      <c r="J8" s="8">
        <v>81989</v>
      </c>
      <c r="K8" s="8">
        <v>92475</v>
      </c>
      <c r="L8" s="8">
        <v>100167</v>
      </c>
      <c r="M8" s="8">
        <v>89144</v>
      </c>
      <c r="N8" s="8">
        <v>114214</v>
      </c>
      <c r="O8" s="8">
        <v>116869</v>
      </c>
      <c r="P8" s="9">
        <f t="shared" ref="P8:P36" si="0">((O8/C8)^(1/12)-1)</f>
        <v>9.5177763980710539E-2</v>
      </c>
      <c r="Q8" s="6">
        <f t="shared" ref="Q8:Q36" si="1">O8/N8-1</f>
        <v>2.3245836762568528E-2</v>
      </c>
      <c r="R8" s="8"/>
    </row>
    <row r="9" spans="1:18" x14ac:dyDescent="0.2">
      <c r="A9" t="s">
        <v>13</v>
      </c>
      <c r="B9" t="s">
        <v>6</v>
      </c>
      <c r="C9" s="8">
        <v>39143</v>
      </c>
      <c r="D9" s="8">
        <v>47413</v>
      </c>
      <c r="E9" s="8">
        <v>55239</v>
      </c>
      <c r="F9" s="8">
        <v>57377</v>
      </c>
      <c r="G9" s="8">
        <v>74062</v>
      </c>
      <c r="H9" s="8">
        <v>64595</v>
      </c>
      <c r="I9" s="8">
        <v>64088</v>
      </c>
      <c r="J9" s="8">
        <v>82297</v>
      </c>
      <c r="K9" s="8">
        <v>92022</v>
      </c>
      <c r="L9" s="8">
        <v>99638</v>
      </c>
      <c r="M9" s="8">
        <v>89928</v>
      </c>
      <c r="N9" s="8">
        <v>113269</v>
      </c>
      <c r="O9" s="8">
        <v>116811</v>
      </c>
      <c r="P9" s="9">
        <f t="shared" si="0"/>
        <v>9.5390918867751306E-2</v>
      </c>
      <c r="Q9" s="6">
        <f t="shared" si="1"/>
        <v>3.1270691892750779E-2</v>
      </c>
      <c r="R9" s="8"/>
    </row>
    <row r="10" spans="1:18" x14ac:dyDescent="0.2">
      <c r="A10" t="s">
        <v>14</v>
      </c>
      <c r="B10" t="s">
        <v>9</v>
      </c>
      <c r="C10" s="10">
        <f>278.0882-24.0026</f>
        <v>254.08559999999997</v>
      </c>
      <c r="D10" s="10">
        <f>364.1307-37.4527</f>
        <v>326.678</v>
      </c>
      <c r="E10" s="7">
        <v>414.42</v>
      </c>
      <c r="F10" s="7">
        <v>450.3</v>
      </c>
      <c r="G10" s="7">
        <v>589.80999999999995</v>
      </c>
      <c r="H10" s="7">
        <v>525.44000000000005</v>
      </c>
      <c r="I10" s="10">
        <f>573.4357-66.09</f>
        <v>507.34569999999997</v>
      </c>
      <c r="J10" s="10">
        <f>728.0056-83.0343</f>
        <v>644.97129999999993</v>
      </c>
      <c r="K10" s="10">
        <f>770.881-24.21</f>
        <v>746.67099999999994</v>
      </c>
      <c r="L10" s="7">
        <v>844.96799999999996</v>
      </c>
      <c r="M10" s="7">
        <v>750.44060000000002</v>
      </c>
      <c r="N10" s="7">
        <v>962.50440000000003</v>
      </c>
      <c r="O10" s="7">
        <v>1111.4392</v>
      </c>
      <c r="P10" s="9">
        <f t="shared" si="0"/>
        <v>0.13085990108847501</v>
      </c>
      <c r="Q10" s="6">
        <f t="shared" si="1"/>
        <v>0.15473674717746744</v>
      </c>
      <c r="R10" s="7"/>
    </row>
    <row r="11" spans="1:18" x14ac:dyDescent="0.2">
      <c r="A11" s="11" t="s">
        <v>15</v>
      </c>
      <c r="B11" s="11" t="s">
        <v>16</v>
      </c>
      <c r="C11" s="12">
        <f t="shared" ref="C11:O11" si="2">C18*100/C9</f>
        <v>0.72155200163503053</v>
      </c>
      <c r="D11" s="12">
        <f t="shared" si="2"/>
        <v>0.76061059203172132</v>
      </c>
      <c r="E11" s="12">
        <f t="shared" si="2"/>
        <v>0.81207661253824293</v>
      </c>
      <c r="F11" s="12">
        <f t="shared" si="2"/>
        <v>0.83488871847604429</v>
      </c>
      <c r="G11" s="12">
        <f t="shared" si="2"/>
        <v>0.82130822824120331</v>
      </c>
      <c r="H11" s="12">
        <f t="shared" si="2"/>
        <v>0.83550739221301973</v>
      </c>
      <c r="I11" s="12">
        <f t="shared" si="2"/>
        <v>0.82060276494819628</v>
      </c>
      <c r="J11" s="12">
        <f t="shared" si="2"/>
        <v>0.80938551830564909</v>
      </c>
      <c r="K11" s="12">
        <f t="shared" si="2"/>
        <v>0.83801971267740327</v>
      </c>
      <c r="L11" s="12">
        <f t="shared" si="2"/>
        <v>0.87490716393343904</v>
      </c>
      <c r="M11" s="12">
        <f t="shared" si="2"/>
        <v>0.85991015034249618</v>
      </c>
      <c r="N11" s="12">
        <f t="shared" si="2"/>
        <v>0.87099736026626884</v>
      </c>
      <c r="O11" s="12">
        <f t="shared" si="2"/>
        <v>0.97435173057331936</v>
      </c>
      <c r="P11" s="13">
        <f t="shared" si="0"/>
        <v>2.5346556158382771E-2</v>
      </c>
      <c r="Q11" s="13">
        <f t="shared" si="1"/>
        <v>0.11866209362041524</v>
      </c>
      <c r="R11" s="7"/>
    </row>
    <row r="12" spans="1:18" x14ac:dyDescent="0.2">
      <c r="A12" t="s">
        <v>17</v>
      </c>
      <c r="B12" t="s">
        <v>9</v>
      </c>
      <c r="C12" s="7">
        <f>SUM(C13:C15)</f>
        <v>28.351500000000001</v>
      </c>
      <c r="D12" s="7">
        <f>SUM(D13:D15)</f>
        <v>33.950299999999999</v>
      </c>
      <c r="E12" s="7">
        <f>SUM(E13:E15)</f>
        <v>34.159999999999997</v>
      </c>
      <c r="F12" s="7">
        <f>SUM(F13:F15)</f>
        <v>28.73</v>
      </c>
      <c r="G12" s="7">
        <f t="shared" ref="G12:O12" si="3">SUM(G13:G15)</f>
        <v>18.47</v>
      </c>
      <c r="H12" s="7">
        <f t="shared" si="3"/>
        <v>15.5829</v>
      </c>
      <c r="I12" s="7">
        <f t="shared" si="3"/>
        <v>18.5623</v>
      </c>
      <c r="J12" s="7">
        <f t="shared" si="3"/>
        <v>21.173000000000002</v>
      </c>
      <c r="K12" s="7">
        <f t="shared" si="3"/>
        <v>24.476200000000002</v>
      </c>
      <c r="L12" s="7">
        <f t="shared" si="3"/>
        <v>26.769199999999998</v>
      </c>
      <c r="M12" s="7">
        <f t="shared" si="3"/>
        <v>22.8551</v>
      </c>
      <c r="N12" s="7">
        <f t="shared" si="3"/>
        <v>24.0672</v>
      </c>
      <c r="O12" s="7">
        <f t="shared" si="3"/>
        <v>26.7135</v>
      </c>
      <c r="P12" s="6">
        <f t="shared" si="0"/>
        <v>-4.9469635395252842E-3</v>
      </c>
      <c r="Q12" s="6"/>
      <c r="R12" s="7"/>
    </row>
    <row r="13" spans="1:18" ht="15" x14ac:dyDescent="0.25">
      <c r="A13" s="14" t="s">
        <v>18</v>
      </c>
      <c r="B13" t="s">
        <v>9</v>
      </c>
      <c r="C13" s="15">
        <v>20.4725</v>
      </c>
      <c r="D13" s="15">
        <v>24.947700000000001</v>
      </c>
      <c r="E13" s="15">
        <v>23.08</v>
      </c>
      <c r="F13" s="15">
        <v>15.38</v>
      </c>
      <c r="G13" s="15">
        <v>4.97</v>
      </c>
      <c r="H13" s="15">
        <v>1.9934000000000001</v>
      </c>
      <c r="I13" s="15">
        <v>1.8669</v>
      </c>
      <c r="J13" s="15">
        <v>3.8418999999999999</v>
      </c>
      <c r="K13" s="15">
        <v>3.5453999999999999</v>
      </c>
      <c r="L13" s="15">
        <v>3.1147999999999998</v>
      </c>
      <c r="M13" s="15">
        <v>1.4201999999999999</v>
      </c>
      <c r="N13" s="15">
        <v>3.9199999999999999E-2</v>
      </c>
      <c r="O13" s="15">
        <v>2.8500000000000001E-2</v>
      </c>
      <c r="P13" s="16">
        <f t="shared" si="0"/>
        <v>-0.42194011562370304</v>
      </c>
      <c r="Q13" s="6"/>
      <c r="R13" s="7"/>
    </row>
    <row r="14" spans="1:18" x14ac:dyDescent="0.2">
      <c r="A14" s="14" t="s">
        <v>19</v>
      </c>
      <c r="B14" t="s">
        <v>9</v>
      </c>
      <c r="C14" s="7">
        <v>7.8789999999999996</v>
      </c>
      <c r="D14" s="7">
        <v>9.0025999999999993</v>
      </c>
      <c r="E14" s="7">
        <v>11.08</v>
      </c>
      <c r="F14" s="7">
        <v>13.35</v>
      </c>
      <c r="G14" s="7">
        <v>13.5</v>
      </c>
      <c r="H14" s="7">
        <v>9.8998000000000008</v>
      </c>
      <c r="I14" s="7">
        <v>13.9598</v>
      </c>
      <c r="J14" s="7">
        <v>13.987399999999999</v>
      </c>
      <c r="K14" s="7">
        <v>17.159800000000001</v>
      </c>
      <c r="L14" s="7">
        <v>19.662700000000001</v>
      </c>
      <c r="M14" s="7">
        <v>18.6904</v>
      </c>
      <c r="N14" s="7">
        <v>20.860499999999998</v>
      </c>
      <c r="O14" s="7">
        <v>21.399799999999999</v>
      </c>
      <c r="P14" s="6">
        <f t="shared" si="0"/>
        <v>8.682983316777193E-2</v>
      </c>
      <c r="Q14" s="6"/>
      <c r="R14" s="7"/>
    </row>
    <row r="15" spans="1:18" x14ac:dyDescent="0.2">
      <c r="A15" s="14" t="s">
        <v>20</v>
      </c>
      <c r="B15" t="s">
        <v>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3.6897000000000002</v>
      </c>
      <c r="I15" s="7">
        <v>2.7355999999999998</v>
      </c>
      <c r="J15" s="7">
        <v>3.3437000000000001</v>
      </c>
      <c r="K15" s="7">
        <v>3.7709999999999999</v>
      </c>
      <c r="L15" s="7">
        <v>3.9916999999999998</v>
      </c>
      <c r="M15" s="7">
        <v>2.7444999999999999</v>
      </c>
      <c r="N15" s="7">
        <v>3.1675</v>
      </c>
      <c r="O15" s="7">
        <v>5.2851999999999997</v>
      </c>
      <c r="P15" s="17">
        <f>((O15/H15)^(1/7)-1)</f>
        <v>5.2678534417291534E-2</v>
      </c>
      <c r="Q15" s="6"/>
      <c r="R15" s="7"/>
    </row>
    <row r="16" spans="1:18" x14ac:dyDescent="0.2">
      <c r="A16" t="s">
        <v>21</v>
      </c>
      <c r="B16" t="s">
        <v>9</v>
      </c>
      <c r="C16" s="7">
        <v>306.43970000000002</v>
      </c>
      <c r="D16" s="7">
        <v>398.08100000000002</v>
      </c>
      <c r="E16" s="7">
        <v>495.61110000000002</v>
      </c>
      <c r="F16" s="7">
        <v>538.29809999999998</v>
      </c>
      <c r="G16" s="7">
        <v>681.99689999999998</v>
      </c>
      <c r="H16" s="7">
        <v>597.51080000000002</v>
      </c>
      <c r="I16" s="7">
        <v>591.99800000000005</v>
      </c>
      <c r="J16" s="7">
        <v>749.17859999999996</v>
      </c>
      <c r="K16" s="7">
        <v>795.37</v>
      </c>
      <c r="L16" s="7">
        <v>871.73720000000003</v>
      </c>
      <c r="M16" s="7">
        <v>773.29570000000001</v>
      </c>
      <c r="N16" s="7">
        <v>986.57</v>
      </c>
      <c r="O16" s="7">
        <v>1138.1500000000001</v>
      </c>
      <c r="P16" s="6">
        <f t="shared" si="0"/>
        <v>0.1155470006160404</v>
      </c>
      <c r="Q16" s="6">
        <f t="shared" si="1"/>
        <v>0.15364343128211888</v>
      </c>
      <c r="R16" s="7"/>
    </row>
    <row r="17" spans="1:55" x14ac:dyDescent="0.2">
      <c r="A17" t="s">
        <v>22</v>
      </c>
      <c r="B17" t="s">
        <v>9</v>
      </c>
      <c r="C17" s="7">
        <v>24.002600000000001</v>
      </c>
      <c r="D17" s="7">
        <v>37.4527</v>
      </c>
      <c r="E17" s="7">
        <v>47.028100000000002</v>
      </c>
      <c r="F17" s="7">
        <v>59.264000000000003</v>
      </c>
      <c r="G17" s="7">
        <v>73.7196</v>
      </c>
      <c r="H17" s="7">
        <v>57.814799999999998</v>
      </c>
      <c r="I17" s="7">
        <v>66.090100000000007</v>
      </c>
      <c r="J17" s="7">
        <v>83.034300000000002</v>
      </c>
      <c r="K17" s="7">
        <v>24.2075</v>
      </c>
      <c r="L17" s="7">
        <v>0</v>
      </c>
      <c r="M17" s="7">
        <v>0</v>
      </c>
      <c r="N17" s="7">
        <v>0</v>
      </c>
      <c r="O17" s="7">
        <v>0</v>
      </c>
      <c r="P17" s="18">
        <f t="shared" si="0"/>
        <v>-1</v>
      </c>
      <c r="Q17" s="18" t="e">
        <f t="shared" si="1"/>
        <v>#DIV/0!</v>
      </c>
      <c r="R17" s="7"/>
    </row>
    <row r="18" spans="1:55" ht="15" x14ac:dyDescent="0.25">
      <c r="A18" t="s">
        <v>23</v>
      </c>
      <c r="B18" t="s">
        <v>9</v>
      </c>
      <c r="C18" s="19">
        <f>C16-C17</f>
        <v>282.43709999999999</v>
      </c>
      <c r="D18" s="19">
        <f>D16-D17</f>
        <v>360.62830000000002</v>
      </c>
      <c r="E18" s="19">
        <f>E16-E17</f>
        <v>448.58300000000003</v>
      </c>
      <c r="F18" s="19">
        <f>F16-F17</f>
        <v>479.03409999999997</v>
      </c>
      <c r="G18" s="19">
        <f t="shared" ref="G18:I18" si="4">G16-G17</f>
        <v>608.27729999999997</v>
      </c>
      <c r="H18" s="19">
        <f t="shared" si="4"/>
        <v>539.69600000000003</v>
      </c>
      <c r="I18" s="19">
        <f t="shared" si="4"/>
        <v>525.90790000000004</v>
      </c>
      <c r="J18" s="19">
        <v>666.1</v>
      </c>
      <c r="K18" s="19">
        <f>K16-K17</f>
        <v>771.16250000000002</v>
      </c>
      <c r="L18" s="19">
        <v>871.74</v>
      </c>
      <c r="M18" s="19">
        <v>773.3</v>
      </c>
      <c r="N18" s="19">
        <v>986.57</v>
      </c>
      <c r="O18" s="19">
        <f>O16</f>
        <v>1138.1500000000001</v>
      </c>
      <c r="P18" s="18">
        <f t="shared" si="0"/>
        <v>0.12315530630821536</v>
      </c>
      <c r="Q18" s="18">
        <f t="shared" si="1"/>
        <v>0.15364343128211888</v>
      </c>
      <c r="R18" s="7"/>
    </row>
    <row r="19" spans="1:55" s="25" customFormat="1" ht="12" x14ac:dyDescent="0.2">
      <c r="A19" s="20" t="s">
        <v>24</v>
      </c>
      <c r="B19" s="20" t="s">
        <v>25</v>
      </c>
      <c r="C19" s="21">
        <f>C13/C18</f>
        <v>7.2485165723624845E-2</v>
      </c>
      <c r="D19" s="21">
        <f t="shared" ref="D19:O19" si="5">D13/D18</f>
        <v>6.9178431088186915E-2</v>
      </c>
      <c r="E19" s="21">
        <f t="shared" si="5"/>
        <v>5.1450902062717484E-2</v>
      </c>
      <c r="F19" s="21">
        <f t="shared" si="5"/>
        <v>3.2106273853990772E-2</v>
      </c>
      <c r="G19" s="21">
        <f t="shared" si="5"/>
        <v>8.1706156057442872E-3</v>
      </c>
      <c r="H19" s="21">
        <f t="shared" si="5"/>
        <v>3.6935608194242683E-3</v>
      </c>
      <c r="I19" s="21">
        <f t="shared" si="5"/>
        <v>3.5498611068592047E-3</v>
      </c>
      <c r="J19" s="21">
        <f t="shared" si="5"/>
        <v>5.7677525897012454E-3</v>
      </c>
      <c r="K19" s="21">
        <f t="shared" si="5"/>
        <v>4.5974745919310127E-3</v>
      </c>
      <c r="L19" s="21">
        <f t="shared" si="5"/>
        <v>3.5730837176222267E-3</v>
      </c>
      <c r="M19" s="21">
        <f t="shared" si="5"/>
        <v>1.8365446786499419E-3</v>
      </c>
      <c r="N19" s="21">
        <f t="shared" si="5"/>
        <v>3.973362255085802E-5</v>
      </c>
      <c r="O19" s="21">
        <f t="shared" si="5"/>
        <v>2.5040636120019328E-5</v>
      </c>
      <c r="P19" s="22"/>
      <c r="Q19" s="22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2" x14ac:dyDescent="0.2">
      <c r="A20" s="20" t="s">
        <v>26</v>
      </c>
      <c r="B20" s="20" t="s">
        <v>25</v>
      </c>
      <c r="C20" s="21">
        <f>C12/C18</f>
        <v>0.10038164249668334</v>
      </c>
      <c r="D20" s="21">
        <f t="shared" ref="D20:O20" si="6">D12/D18</f>
        <v>9.4142084800333189E-2</v>
      </c>
      <c r="E20" s="21">
        <f t="shared" si="6"/>
        <v>7.6150901839793297E-2</v>
      </c>
      <c r="F20" s="21">
        <f t="shared" si="6"/>
        <v>5.9974853564704479E-2</v>
      </c>
      <c r="G20" s="21">
        <f t="shared" si="6"/>
        <v>3.0364440691770019E-2</v>
      </c>
      <c r="H20" s="21">
        <f t="shared" si="6"/>
        <v>2.8873476920340341E-2</v>
      </c>
      <c r="I20" s="21">
        <f t="shared" si="6"/>
        <v>3.5295723833013347E-2</v>
      </c>
      <c r="J20" s="21">
        <f t="shared" si="6"/>
        <v>3.1786518540759645E-2</v>
      </c>
      <c r="K20" s="21">
        <f t="shared" si="6"/>
        <v>3.1739354545896617E-2</v>
      </c>
      <c r="L20" s="21">
        <f t="shared" si="6"/>
        <v>3.0707779842613622E-2</v>
      </c>
      <c r="M20" s="21">
        <f t="shared" si="6"/>
        <v>2.9555282555282558E-2</v>
      </c>
      <c r="N20" s="21">
        <f t="shared" si="6"/>
        <v>2.4394822465714543E-2</v>
      </c>
      <c r="O20" s="21">
        <f t="shared" si="6"/>
        <v>2.3470983613759169E-2</v>
      </c>
      <c r="P20" s="22"/>
      <c r="Q20" s="22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4" customFormat="1" ht="12" x14ac:dyDescent="0.2">
      <c r="A21" s="24" t="s">
        <v>27</v>
      </c>
      <c r="C21" s="26">
        <f t="shared" ref="C21:D21" si="7">C10+C12-C18</f>
        <v>0</v>
      </c>
      <c r="D21" s="26">
        <f t="shared" si="7"/>
        <v>0</v>
      </c>
      <c r="E21" s="26">
        <f>E10+E12-E18</f>
        <v>-2.9999999999859028E-3</v>
      </c>
      <c r="F21" s="26">
        <f>F10+F12-F18</f>
        <v>-4.0999999999371539E-3</v>
      </c>
      <c r="G21" s="26">
        <f t="shared" ref="G21:M21" si="8">G10+G12-G18</f>
        <v>2.7000000000043656E-3</v>
      </c>
      <c r="H21" s="26">
        <f t="shared" si="8"/>
        <v>1.3269000000000233</v>
      </c>
      <c r="I21" s="26">
        <f t="shared" si="8"/>
        <v>9.9999999974897946E-5</v>
      </c>
      <c r="J21" s="26">
        <f t="shared" si="8"/>
        <v>4.4299999999907413E-2</v>
      </c>
      <c r="K21" s="26">
        <f t="shared" si="8"/>
        <v>-1.5300000000138425E-2</v>
      </c>
      <c r="L21" s="26">
        <f t="shared" si="8"/>
        <v>-2.8000000000929504E-3</v>
      </c>
      <c r="M21" s="26">
        <f t="shared" si="8"/>
        <v>-4.2999999999437932E-3</v>
      </c>
      <c r="N21" s="26">
        <f>N10+N12-N18</f>
        <v>1.5999999999394277E-3</v>
      </c>
      <c r="O21" s="26">
        <f>O10+O12-O18</f>
        <v>2.7000000000043656E-3</v>
      </c>
      <c r="P21" s="27"/>
      <c r="Q21" s="27"/>
      <c r="R21" s="28"/>
    </row>
    <row r="22" spans="1:55" x14ac:dyDescent="0.2">
      <c r="A22" t="s">
        <v>28</v>
      </c>
      <c r="B22" t="s">
        <v>9</v>
      </c>
      <c r="C22" s="7">
        <v>210.2911</v>
      </c>
      <c r="D22" s="7">
        <v>273.30119999999999</v>
      </c>
      <c r="E22" s="7">
        <f>+E18*0.759</f>
        <v>340.47449700000004</v>
      </c>
      <c r="F22" s="7">
        <f>+F18*0.7607</f>
        <v>364.40123986999998</v>
      </c>
      <c r="G22" s="7">
        <f>+G18*0.7599</f>
        <v>462.22992026999998</v>
      </c>
      <c r="H22" s="7">
        <f>+H18*0.758</f>
        <v>409.08956800000004</v>
      </c>
      <c r="I22" s="7">
        <f>+I18*0.7524</f>
        <v>395.69310396000003</v>
      </c>
      <c r="J22" s="7">
        <f>+J18*0.7439</f>
        <v>495.51179000000002</v>
      </c>
      <c r="K22" s="7">
        <f>575.8217-1.4977</f>
        <v>574.32399999999996</v>
      </c>
      <c r="L22" s="7">
        <f>665.2263-8.6542</f>
        <v>656.57210000000009</v>
      </c>
      <c r="M22" s="7">
        <f>583.1561+9.3057</f>
        <v>592.46180000000004</v>
      </c>
      <c r="N22" s="7">
        <f>774.38-8.69</f>
        <v>765.68999999999994</v>
      </c>
      <c r="O22" s="7">
        <f>891.5048-1.2983</f>
        <v>890.20650000000001</v>
      </c>
      <c r="P22" s="18">
        <f t="shared" si="0"/>
        <v>0.12777506727499333</v>
      </c>
      <c r="Q22" s="18">
        <f t="shared" si="1"/>
        <v>0.16261998981310977</v>
      </c>
      <c r="R22" s="7"/>
    </row>
    <row r="23" spans="1:55" x14ac:dyDescent="0.2">
      <c r="A23" t="s">
        <v>29</v>
      </c>
      <c r="B23" t="s">
        <v>9</v>
      </c>
      <c r="C23" s="7">
        <f t="shared" ref="C23:K23" si="9">C10-C22</f>
        <v>43.794499999999971</v>
      </c>
      <c r="D23" s="7">
        <f t="shared" si="9"/>
        <v>53.376800000000003</v>
      </c>
      <c r="E23" s="7">
        <f t="shared" si="9"/>
        <v>73.945502999999974</v>
      </c>
      <c r="F23" s="7">
        <f t="shared" si="9"/>
        <v>85.898760130000028</v>
      </c>
      <c r="G23" s="7">
        <f t="shared" si="9"/>
        <v>127.58007972999997</v>
      </c>
      <c r="H23" s="7">
        <f t="shared" si="9"/>
        <v>116.35043200000001</v>
      </c>
      <c r="I23" s="7">
        <f t="shared" si="9"/>
        <v>111.65259603999993</v>
      </c>
      <c r="J23" s="7">
        <f t="shared" si="9"/>
        <v>149.45950999999991</v>
      </c>
      <c r="K23" s="7">
        <f t="shared" si="9"/>
        <v>172.34699999999998</v>
      </c>
      <c r="L23" s="7">
        <f>L10-L22</f>
        <v>188.39589999999987</v>
      </c>
      <c r="M23" s="7">
        <f>M10-M22</f>
        <v>157.97879999999998</v>
      </c>
      <c r="N23" s="7">
        <f>N10-N22</f>
        <v>196.81440000000009</v>
      </c>
      <c r="O23" s="7">
        <f>O10-O22</f>
        <v>221.23270000000002</v>
      </c>
      <c r="P23" s="18">
        <f t="shared" si="0"/>
        <v>0.14450882461478431</v>
      </c>
      <c r="Q23" s="18">
        <f t="shared" si="1"/>
        <v>0.12406764952157934</v>
      </c>
      <c r="R23" s="7">
        <f t="shared" ref="R23" si="10">R10-R22</f>
        <v>0</v>
      </c>
    </row>
    <row r="24" spans="1:55" x14ac:dyDescent="0.2">
      <c r="A24" t="s">
        <v>30</v>
      </c>
      <c r="B24" t="s">
        <v>9</v>
      </c>
      <c r="C24" s="7">
        <f>+C27+4.8354</f>
        <v>53.746400000000001</v>
      </c>
      <c r="D24" s="7">
        <f>+D27+4.4617</f>
        <v>63.082499999999996</v>
      </c>
      <c r="E24">
        <v>69.37</v>
      </c>
      <c r="F24">
        <v>71.489999999999995</v>
      </c>
      <c r="G24">
        <v>90.63</v>
      </c>
      <c r="H24">
        <v>74.709999999999994</v>
      </c>
      <c r="I24">
        <v>73.760000000000005</v>
      </c>
      <c r="J24" s="7">
        <v>104.54</v>
      </c>
      <c r="K24" s="7">
        <v>121.59</v>
      </c>
      <c r="L24" s="7">
        <v>131.65</v>
      </c>
      <c r="M24" s="7">
        <f>M26+20.1322+0.0142</f>
        <v>100.45320000000001</v>
      </c>
      <c r="N24" s="7">
        <f>N26+19.77</f>
        <v>135.66</v>
      </c>
      <c r="O24" s="7">
        <v>155.38</v>
      </c>
      <c r="P24" s="18">
        <f t="shared" si="0"/>
        <v>9.2497566062969439E-2</v>
      </c>
      <c r="Q24" s="18">
        <f t="shared" si="1"/>
        <v>0.14536340852130336</v>
      </c>
      <c r="R24" s="7"/>
    </row>
    <row r="25" spans="1:55" s="33" customFormat="1" x14ac:dyDescent="0.2">
      <c r="A25" s="29" t="s">
        <v>31</v>
      </c>
      <c r="B25" s="29"/>
      <c r="C25" s="30">
        <f>C24/C18</f>
        <v>0.19029511349606693</v>
      </c>
      <c r="D25" s="30">
        <f t="shared" ref="D25:O25" si="11">D24/D18</f>
        <v>0.17492387591323252</v>
      </c>
      <c r="E25" s="30">
        <f t="shared" si="11"/>
        <v>0.15464250762958026</v>
      </c>
      <c r="F25" s="30">
        <f t="shared" si="11"/>
        <v>0.14923781000141745</v>
      </c>
      <c r="G25" s="30">
        <f t="shared" si="11"/>
        <v>0.14899454574418608</v>
      </c>
      <c r="H25" s="30">
        <f t="shared" si="11"/>
        <v>0.13842978269247871</v>
      </c>
      <c r="I25" s="30">
        <f t="shared" si="11"/>
        <v>0.14025269443566069</v>
      </c>
      <c r="J25" s="30">
        <f t="shared" si="11"/>
        <v>0.15694340189160788</v>
      </c>
      <c r="K25" s="30">
        <f t="shared" si="11"/>
        <v>0.15767104857925535</v>
      </c>
      <c r="L25" s="30">
        <f t="shared" si="11"/>
        <v>0.15101979948149677</v>
      </c>
      <c r="M25" s="30">
        <f t="shared" si="11"/>
        <v>0.12990197853355751</v>
      </c>
      <c r="N25" s="30">
        <f t="shared" si="11"/>
        <v>0.13750671518493365</v>
      </c>
      <c r="O25" s="30">
        <f t="shared" si="11"/>
        <v>0.1365197908887229</v>
      </c>
      <c r="P25" s="31">
        <f t="shared" si="0"/>
        <v>-2.7296082806230304E-2</v>
      </c>
      <c r="Q25" s="31">
        <f t="shared" si="1"/>
        <v>-7.1772807232245439E-3</v>
      </c>
      <c r="R25" s="3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x14ac:dyDescent="0.2">
      <c r="A26" t="s">
        <v>32</v>
      </c>
      <c r="B26" t="s">
        <v>9</v>
      </c>
      <c r="C26" s="7">
        <f t="shared" ref="C26:D26" si="12">C27-C30</f>
        <v>44.731200000000001</v>
      </c>
      <c r="D26" s="7">
        <f t="shared" si="12"/>
        <v>56.246399999999994</v>
      </c>
      <c r="E26">
        <f>E27-E30</f>
        <v>56.93</v>
      </c>
      <c r="F26">
        <f>F27-F30</f>
        <v>56.080000000000005</v>
      </c>
      <c r="G26">
        <f t="shared" ref="G26:O26" si="13">G27-G30</f>
        <v>70.5</v>
      </c>
      <c r="H26">
        <f t="shared" si="13"/>
        <v>48.819999999999993</v>
      </c>
      <c r="I26" s="7">
        <f t="shared" si="13"/>
        <v>73.713399999999993</v>
      </c>
      <c r="J26" s="7">
        <f t="shared" si="13"/>
        <v>88.404599999999988</v>
      </c>
      <c r="K26" s="7">
        <f t="shared" si="13"/>
        <v>103.75999999999999</v>
      </c>
      <c r="L26" s="7">
        <f t="shared" si="13"/>
        <v>112.0189</v>
      </c>
      <c r="M26" s="7">
        <f t="shared" si="13"/>
        <v>80.30680000000001</v>
      </c>
      <c r="N26" s="7">
        <f t="shared" si="13"/>
        <v>115.89</v>
      </c>
      <c r="O26" s="7">
        <f t="shared" si="13"/>
        <v>137.28</v>
      </c>
      <c r="P26" s="18">
        <f t="shared" si="0"/>
        <v>9.7951256650601337E-2</v>
      </c>
      <c r="Q26" s="18">
        <f t="shared" si="1"/>
        <v>0.18457157649495204</v>
      </c>
      <c r="R26" s="7"/>
    </row>
    <row r="27" spans="1:55" x14ac:dyDescent="0.2">
      <c r="A27" t="s">
        <v>33</v>
      </c>
      <c r="B27" t="s">
        <v>9</v>
      </c>
      <c r="C27" s="7">
        <f>54.71-5.799</f>
        <v>48.911000000000001</v>
      </c>
      <c r="D27" s="7">
        <f>64.3534-5.7326</f>
        <v>58.620799999999996</v>
      </c>
      <c r="E27">
        <f>77.27-8.1</f>
        <v>69.17</v>
      </c>
      <c r="F27">
        <f>79.5-8.1</f>
        <v>71.400000000000006</v>
      </c>
      <c r="G27">
        <f>98.96-10.97</f>
        <v>87.99</v>
      </c>
      <c r="H27" s="7">
        <f>78.33-13.2</f>
        <v>65.13</v>
      </c>
      <c r="I27" s="7">
        <f>I28+13.7984</f>
        <v>90.008399999999995</v>
      </c>
      <c r="J27" s="7">
        <f>J28+0.1216</f>
        <v>105.58159999999999</v>
      </c>
      <c r="K27" s="7">
        <f>K28</f>
        <v>122.72</v>
      </c>
      <c r="L27" s="7">
        <f>L28</f>
        <v>127.4</v>
      </c>
      <c r="M27" s="7">
        <f>M28+0.0142</f>
        <v>93.086700000000008</v>
      </c>
      <c r="N27" s="7">
        <f>N28+0</f>
        <v>124.48</v>
      </c>
      <c r="O27" s="7">
        <v>146.86000000000001</v>
      </c>
      <c r="P27" s="18">
        <f t="shared" si="0"/>
        <v>9.5951701226048014E-2</v>
      </c>
      <c r="Q27" s="18">
        <f t="shared" si="1"/>
        <v>0.17978791773778924</v>
      </c>
      <c r="R27" s="7"/>
    </row>
    <row r="28" spans="1:55" x14ac:dyDescent="0.2">
      <c r="A28" t="s">
        <v>34</v>
      </c>
      <c r="B28" t="s">
        <v>9</v>
      </c>
      <c r="C28" s="7">
        <v>54.7117</v>
      </c>
      <c r="D28" s="7">
        <v>64.353399999999993</v>
      </c>
      <c r="E28">
        <v>77.27</v>
      </c>
      <c r="F28">
        <v>79.5</v>
      </c>
      <c r="G28">
        <v>97.81</v>
      </c>
      <c r="H28" s="7">
        <v>77.819999999999993</v>
      </c>
      <c r="I28" s="7">
        <v>76.209999999999994</v>
      </c>
      <c r="J28" s="7">
        <v>105.46</v>
      </c>
      <c r="K28" s="7">
        <v>122.72</v>
      </c>
      <c r="L28" s="7">
        <v>127.4</v>
      </c>
      <c r="M28" s="7">
        <v>93.072500000000005</v>
      </c>
      <c r="N28" s="7">
        <v>124.48</v>
      </c>
      <c r="O28" s="7">
        <v>146.86000000000001</v>
      </c>
      <c r="P28" s="18">
        <f t="shared" si="0"/>
        <v>8.5763595693436612E-2</v>
      </c>
      <c r="Q28" s="18">
        <f t="shared" si="1"/>
        <v>0.17978791773778924</v>
      </c>
      <c r="R28" s="7"/>
    </row>
    <row r="29" spans="1:55" x14ac:dyDescent="0.2">
      <c r="A29" t="s">
        <v>35</v>
      </c>
      <c r="B29" t="s">
        <v>9</v>
      </c>
      <c r="C29" s="7">
        <v>37.354700000000001</v>
      </c>
      <c r="D29" s="7">
        <v>43.911900000000003</v>
      </c>
      <c r="E29">
        <v>52.82</v>
      </c>
      <c r="F29">
        <v>55.4</v>
      </c>
      <c r="G29" s="7">
        <v>67</v>
      </c>
      <c r="H29" s="7">
        <v>51.84</v>
      </c>
      <c r="I29" s="7">
        <v>51.2</v>
      </c>
      <c r="J29" s="7">
        <v>68.83</v>
      </c>
      <c r="K29" s="7">
        <v>80.099999999999994</v>
      </c>
      <c r="L29" s="7">
        <v>82.4208</v>
      </c>
      <c r="M29" s="7">
        <v>71.042199999999994</v>
      </c>
      <c r="N29" s="7">
        <v>92.54</v>
      </c>
      <c r="O29" s="7">
        <v>109.47</v>
      </c>
      <c r="P29" s="18">
        <f t="shared" si="0"/>
        <v>9.3735954015799372E-2</v>
      </c>
      <c r="Q29" s="18">
        <f t="shared" si="1"/>
        <v>0.18294791441538782</v>
      </c>
      <c r="R29" s="7"/>
    </row>
    <row r="30" spans="1:55" x14ac:dyDescent="0.2">
      <c r="A30" t="s">
        <v>36</v>
      </c>
      <c r="B30" t="s">
        <v>9</v>
      </c>
      <c r="C30" s="7">
        <v>4.1798000000000002</v>
      </c>
      <c r="D30" s="7">
        <v>2.3744000000000001</v>
      </c>
      <c r="E30">
        <v>12.24</v>
      </c>
      <c r="F30">
        <v>15.32</v>
      </c>
      <c r="G30" s="7">
        <v>17.489999999999998</v>
      </c>
      <c r="H30" s="7">
        <v>16.309999999999999</v>
      </c>
      <c r="I30" s="7">
        <v>16.295000000000002</v>
      </c>
      <c r="J30" s="7">
        <v>17.177</v>
      </c>
      <c r="K30" s="7">
        <v>18.96</v>
      </c>
      <c r="L30" s="7">
        <v>15.3811</v>
      </c>
      <c r="M30" s="7">
        <v>12.7799</v>
      </c>
      <c r="N30" s="7">
        <v>8.59</v>
      </c>
      <c r="O30" s="7">
        <v>9.58</v>
      </c>
      <c r="P30" s="18">
        <f t="shared" si="0"/>
        <v>7.1562484764124967E-2</v>
      </c>
      <c r="Q30" s="18">
        <f t="shared" si="1"/>
        <v>0.11525029103608841</v>
      </c>
      <c r="R30" s="7"/>
    </row>
    <row r="31" spans="1:55" x14ac:dyDescent="0.2">
      <c r="A31" t="s">
        <v>37</v>
      </c>
      <c r="B31" t="s">
        <v>9</v>
      </c>
      <c r="C31">
        <v>122.74</v>
      </c>
      <c r="D31">
        <v>152.22</v>
      </c>
      <c r="E31">
        <v>186.28</v>
      </c>
      <c r="F31">
        <v>193.73</v>
      </c>
      <c r="G31">
        <v>209.88</v>
      </c>
      <c r="H31" s="7">
        <v>261.47000000000003</v>
      </c>
      <c r="I31" s="7">
        <v>263.44</v>
      </c>
      <c r="J31" s="7">
        <f>270.9496+12.4198</f>
        <v>283.36939999999998</v>
      </c>
      <c r="K31" s="7">
        <v>228.5</v>
      </c>
      <c r="L31" s="7">
        <v>237.98249999999999</v>
      </c>
      <c r="M31" s="7">
        <f>12+223</f>
        <v>235</v>
      </c>
      <c r="N31" s="7">
        <v>280.57</v>
      </c>
      <c r="O31" s="7">
        <v>305.68</v>
      </c>
      <c r="P31" s="18">
        <f t="shared" si="0"/>
        <v>7.9004879866377609E-2</v>
      </c>
      <c r="Q31" s="18">
        <f t="shared" si="1"/>
        <v>8.9496382364472327E-2</v>
      </c>
      <c r="R31" s="7"/>
    </row>
    <row r="32" spans="1:55" x14ac:dyDescent="0.2">
      <c r="A32" t="s">
        <v>38</v>
      </c>
      <c r="B32" t="s">
        <v>9</v>
      </c>
      <c r="C32">
        <v>12.42</v>
      </c>
      <c r="D32">
        <v>12.42</v>
      </c>
      <c r="E32">
        <v>12.42</v>
      </c>
      <c r="F32">
        <v>12.42</v>
      </c>
      <c r="G32">
        <v>12.42</v>
      </c>
      <c r="H32">
        <v>12.42</v>
      </c>
      <c r="I32">
        <v>12.42</v>
      </c>
      <c r="J32" s="7">
        <v>12.4198</v>
      </c>
      <c r="K32" s="7">
        <v>12.13</v>
      </c>
      <c r="L32" s="7">
        <v>12.13</v>
      </c>
      <c r="M32" s="7">
        <v>12.13</v>
      </c>
      <c r="N32" s="7">
        <v>12.138400000000001</v>
      </c>
      <c r="O32" s="7">
        <v>12.144</v>
      </c>
      <c r="P32" s="18">
        <f t="shared" si="0"/>
        <v>-1.8709855080354387E-3</v>
      </c>
      <c r="Q32" s="18">
        <f t="shared" si="1"/>
        <v>4.6134581163914667E-4</v>
      </c>
      <c r="R32" s="7"/>
    </row>
    <row r="33" spans="1:18" x14ac:dyDescent="0.2">
      <c r="A33" t="s">
        <v>39</v>
      </c>
      <c r="B33" t="s">
        <v>9</v>
      </c>
      <c r="C33">
        <v>125.42</v>
      </c>
      <c r="D33">
        <v>154.13999999999999</v>
      </c>
      <c r="E33">
        <v>189.48</v>
      </c>
      <c r="F33">
        <v>200.06</v>
      </c>
      <c r="G33">
        <v>216.82</v>
      </c>
      <c r="H33" s="7">
        <v>218.39</v>
      </c>
      <c r="I33" s="7">
        <v>271.04000000000002</v>
      </c>
      <c r="J33" s="7">
        <v>289.64</v>
      </c>
      <c r="K33" s="7">
        <v>234.29</v>
      </c>
      <c r="L33" s="7">
        <v>245.14</v>
      </c>
      <c r="M33" s="7">
        <v>240.49</v>
      </c>
      <c r="N33" s="7">
        <v>281.16000000000003</v>
      </c>
      <c r="O33" s="7">
        <v>305.76</v>
      </c>
      <c r="P33" s="18">
        <f t="shared" si="0"/>
        <v>7.7087922445067125E-2</v>
      </c>
      <c r="Q33" s="18">
        <f t="shared" si="1"/>
        <v>8.7494664959453461E-2</v>
      </c>
      <c r="R33" s="7"/>
    </row>
    <row r="34" spans="1:18" x14ac:dyDescent="0.2">
      <c r="A34" t="s">
        <v>40</v>
      </c>
      <c r="B34" t="s">
        <v>9</v>
      </c>
      <c r="C34">
        <v>360.36</v>
      </c>
      <c r="D34">
        <v>532.92999999999995</v>
      </c>
      <c r="E34">
        <v>498.1</v>
      </c>
      <c r="F34">
        <v>490.58</v>
      </c>
      <c r="G34">
        <v>859.2</v>
      </c>
      <c r="H34" s="7">
        <v>1003.83</v>
      </c>
      <c r="I34" s="7">
        <v>1063.8800000000001</v>
      </c>
      <c r="J34" s="7">
        <v>1842.48</v>
      </c>
      <c r="K34" s="7">
        <v>2431.04</v>
      </c>
      <c r="L34" s="7">
        <v>1708.78</v>
      </c>
      <c r="M34" s="7">
        <f>12.128886*901.5/10</f>
        <v>1093.4190728999999</v>
      </c>
      <c r="N34" s="7">
        <v>1592.62</v>
      </c>
      <c r="O34" s="7">
        <v>1587.65</v>
      </c>
      <c r="P34" s="34">
        <f t="shared" si="0"/>
        <v>0.13153549661805042</v>
      </c>
      <c r="Q34" s="34">
        <f t="shared" si="1"/>
        <v>-3.1206439703129751E-3</v>
      </c>
      <c r="R34" s="7"/>
    </row>
    <row r="35" spans="1:18" x14ac:dyDescent="0.2">
      <c r="A35" t="s">
        <v>41</v>
      </c>
      <c r="B35" t="s">
        <v>42</v>
      </c>
      <c r="C35">
        <v>30.1</v>
      </c>
      <c r="D35">
        <v>35.4</v>
      </c>
      <c r="E35">
        <v>42.5</v>
      </c>
      <c r="F35">
        <v>44.6</v>
      </c>
      <c r="G35">
        <v>53.9</v>
      </c>
      <c r="H35" s="7">
        <f>H29/G29*G35</f>
        <v>41.704119402985079</v>
      </c>
      <c r="I35" s="7">
        <v>41.31</v>
      </c>
      <c r="J35" s="7">
        <v>55.42</v>
      </c>
      <c r="K35" s="7">
        <v>64.56</v>
      </c>
      <c r="L35" s="7">
        <v>68</v>
      </c>
      <c r="M35" s="7">
        <v>58.57</v>
      </c>
      <c r="N35" s="7">
        <v>76.27</v>
      </c>
      <c r="O35" s="7">
        <v>90.17</v>
      </c>
      <c r="P35" s="18">
        <f t="shared" si="0"/>
        <v>9.574113194445677E-2</v>
      </c>
      <c r="Q35" s="18">
        <f t="shared" si="1"/>
        <v>0.18224727940212415</v>
      </c>
      <c r="R35" s="7"/>
    </row>
    <row r="36" spans="1:18" x14ac:dyDescent="0.2">
      <c r="A36" t="s">
        <v>43</v>
      </c>
      <c r="B36" t="s">
        <v>42</v>
      </c>
      <c r="C36">
        <v>98.8</v>
      </c>
      <c r="D36">
        <v>122.6</v>
      </c>
      <c r="E36">
        <v>150</v>
      </c>
      <c r="F36">
        <v>156</v>
      </c>
      <c r="G36">
        <v>169</v>
      </c>
      <c r="H36" s="7">
        <v>170.8</v>
      </c>
      <c r="I36" s="7">
        <f>I31/1.242</f>
        <v>212.10950080515298</v>
      </c>
      <c r="J36" s="7">
        <f>J31/1.242</f>
        <v>228.15571658615136</v>
      </c>
      <c r="K36" s="7">
        <v>188.4</v>
      </c>
      <c r="L36" s="7">
        <v>196.2</v>
      </c>
      <c r="M36" s="7">
        <f>(M31+M32)/(M32/10)</f>
        <v>203.73454245671886</v>
      </c>
      <c r="N36" s="7">
        <f>(N31+N32)/(N32/10)</f>
        <v>241.14248994925194</v>
      </c>
      <c r="O36" s="7">
        <f>(O31+O32)/(O32/10)</f>
        <v>261.71277997364956</v>
      </c>
      <c r="P36" s="18">
        <f t="shared" si="0"/>
        <v>8.4565200528699869E-2</v>
      </c>
      <c r="Q36" s="18">
        <f t="shared" si="1"/>
        <v>8.5303465302720483E-2</v>
      </c>
      <c r="R36" s="7"/>
    </row>
    <row r="37" spans="1:18" x14ac:dyDescent="0.2">
      <c r="H37" s="7"/>
      <c r="I37" s="7"/>
      <c r="J37" s="7"/>
      <c r="K37" s="7"/>
      <c r="L37" s="7"/>
      <c r="M37" s="7"/>
      <c r="N37" s="7"/>
      <c r="O37" s="7"/>
      <c r="P37" s="35"/>
      <c r="Q37" s="35"/>
      <c r="R37" s="7"/>
    </row>
    <row r="38" spans="1:18" x14ac:dyDescent="0.2">
      <c r="C38" s="36">
        <v>40268</v>
      </c>
      <c r="D38" s="36">
        <v>40633</v>
      </c>
      <c r="E38" s="36">
        <v>40999</v>
      </c>
      <c r="F38" s="36">
        <v>41364</v>
      </c>
      <c r="G38" s="36">
        <v>41729</v>
      </c>
      <c r="H38" s="36">
        <v>42094</v>
      </c>
      <c r="I38" s="36">
        <v>42460</v>
      </c>
      <c r="J38" s="36">
        <v>42825</v>
      </c>
      <c r="K38" s="36">
        <v>43190</v>
      </c>
      <c r="L38" s="36">
        <v>43555</v>
      </c>
      <c r="M38" s="36">
        <v>43921</v>
      </c>
      <c r="N38" s="36">
        <v>44286</v>
      </c>
      <c r="O38" s="36">
        <v>44651</v>
      </c>
      <c r="P38" s="37"/>
      <c r="Q38" s="37"/>
      <c r="R38" s="36"/>
    </row>
    <row r="39" spans="1:18" x14ac:dyDescent="0.2">
      <c r="A39" t="s">
        <v>44</v>
      </c>
      <c r="C39" s="5">
        <v>39143</v>
      </c>
      <c r="D39" s="5">
        <v>47413</v>
      </c>
      <c r="E39" s="5">
        <v>55239</v>
      </c>
      <c r="F39" s="5">
        <v>57377</v>
      </c>
      <c r="G39" s="5">
        <v>74062</v>
      </c>
      <c r="H39" s="5">
        <v>64595</v>
      </c>
      <c r="I39" s="5">
        <v>64088</v>
      </c>
      <c r="J39" s="5">
        <v>82297</v>
      </c>
      <c r="K39" s="8">
        <v>92022</v>
      </c>
      <c r="L39" s="8">
        <f>L9</f>
        <v>99638</v>
      </c>
      <c r="M39" s="8">
        <v>89928</v>
      </c>
      <c r="N39" s="8">
        <v>113269</v>
      </c>
      <c r="O39" s="8">
        <v>116811</v>
      </c>
      <c r="P39" s="18">
        <f t="shared" ref="P39:P52" si="14">((O39/C39)^(1/12)-1)</f>
        <v>9.5390918867751306E-2</v>
      </c>
      <c r="Q39" s="18">
        <f t="shared" ref="Q39:Q52" si="15">O39/N39-1</f>
        <v>3.1270691892750779E-2</v>
      </c>
      <c r="R39" s="8"/>
    </row>
    <row r="40" spans="1:18" x14ac:dyDescent="0.2">
      <c r="A40" t="s">
        <v>45</v>
      </c>
      <c r="C40" s="7">
        <v>286.62</v>
      </c>
      <c r="D40" s="7">
        <v>363.45</v>
      </c>
      <c r="E40" s="7">
        <v>475.82060000000001</v>
      </c>
      <c r="F40" s="7">
        <v>506.08659999999998</v>
      </c>
      <c r="G40" s="7">
        <v>661.33839999999998</v>
      </c>
      <c r="H40" s="7">
        <v>581.92790000000002</v>
      </c>
      <c r="I40" s="7">
        <v>573.4357</v>
      </c>
      <c r="J40" s="7">
        <v>728.00559999999996</v>
      </c>
      <c r="K40" s="7">
        <v>747.54</v>
      </c>
      <c r="L40" s="7">
        <f>L10</f>
        <v>844.96799999999996</v>
      </c>
      <c r="M40" s="7">
        <f>M10</f>
        <v>750.44060000000002</v>
      </c>
      <c r="N40" s="7">
        <f>N10</f>
        <v>962.50440000000003</v>
      </c>
      <c r="O40" s="7">
        <f>O10</f>
        <v>1111.4392</v>
      </c>
      <c r="P40" s="18">
        <f t="shared" si="14"/>
        <v>0.11956230654943845</v>
      </c>
      <c r="Q40" s="18">
        <f t="shared" si="15"/>
        <v>0.15473674717746744</v>
      </c>
      <c r="R40" s="7"/>
    </row>
    <row r="41" spans="1:18" ht="28.5" x14ac:dyDescent="0.2">
      <c r="A41" s="38" t="s">
        <v>46</v>
      </c>
      <c r="B41" s="38"/>
      <c r="C41" s="39">
        <f>C26</f>
        <v>44.731200000000001</v>
      </c>
      <c r="D41" s="39">
        <f t="shared" ref="D41:O41" si="16">D26</f>
        <v>56.246399999999994</v>
      </c>
      <c r="E41" s="39">
        <f t="shared" si="16"/>
        <v>56.93</v>
      </c>
      <c r="F41" s="39">
        <f t="shared" si="16"/>
        <v>56.080000000000005</v>
      </c>
      <c r="G41" s="39">
        <f t="shared" si="16"/>
        <v>70.5</v>
      </c>
      <c r="H41" s="39">
        <f t="shared" si="16"/>
        <v>48.819999999999993</v>
      </c>
      <c r="I41" s="39">
        <f t="shared" si="16"/>
        <v>73.713399999999993</v>
      </c>
      <c r="J41" s="39">
        <f t="shared" si="16"/>
        <v>88.404599999999988</v>
      </c>
      <c r="K41" s="39">
        <f t="shared" si="16"/>
        <v>103.75999999999999</v>
      </c>
      <c r="L41" s="39">
        <f t="shared" si="16"/>
        <v>112.0189</v>
      </c>
      <c r="M41" s="39">
        <f t="shared" si="16"/>
        <v>80.30680000000001</v>
      </c>
      <c r="N41" s="39">
        <f t="shared" si="16"/>
        <v>115.89</v>
      </c>
      <c r="O41" s="39">
        <f t="shared" si="16"/>
        <v>137.28</v>
      </c>
      <c r="P41" s="18">
        <f t="shared" si="14"/>
        <v>9.7951256650601337E-2</v>
      </c>
      <c r="Q41" s="18">
        <f t="shared" si="15"/>
        <v>0.18457157649495204</v>
      </c>
      <c r="R41" s="39"/>
    </row>
    <row r="42" spans="1:18" x14ac:dyDescent="0.2">
      <c r="A42" t="s">
        <v>47</v>
      </c>
      <c r="C42" s="5">
        <f t="shared" ref="C42:O42" si="17">ROUND(C18*10^7/C9,0)</f>
        <v>72155</v>
      </c>
      <c r="D42" s="5">
        <f t="shared" si="17"/>
        <v>76061</v>
      </c>
      <c r="E42" s="5">
        <f t="shared" si="17"/>
        <v>81208</v>
      </c>
      <c r="F42" s="5">
        <f t="shared" si="17"/>
        <v>83489</v>
      </c>
      <c r="G42" s="5">
        <f t="shared" si="17"/>
        <v>82131</v>
      </c>
      <c r="H42" s="5">
        <f t="shared" si="17"/>
        <v>83551</v>
      </c>
      <c r="I42" s="5">
        <f t="shared" si="17"/>
        <v>82060</v>
      </c>
      <c r="J42" s="5">
        <f t="shared" si="17"/>
        <v>80939</v>
      </c>
      <c r="K42" s="5">
        <f t="shared" si="17"/>
        <v>83802</v>
      </c>
      <c r="L42" s="5">
        <f t="shared" si="17"/>
        <v>87491</v>
      </c>
      <c r="M42" s="5">
        <f t="shared" si="17"/>
        <v>85991</v>
      </c>
      <c r="N42" s="5">
        <f t="shared" si="17"/>
        <v>87100</v>
      </c>
      <c r="O42" s="5">
        <f t="shared" si="17"/>
        <v>97435</v>
      </c>
      <c r="P42" s="18">
        <f t="shared" si="14"/>
        <v>2.5346641428199534E-2</v>
      </c>
      <c r="Q42" s="18">
        <f t="shared" si="15"/>
        <v>0.11865671641791042</v>
      </c>
      <c r="R42" s="5"/>
    </row>
    <row r="43" spans="1:18" x14ac:dyDescent="0.2">
      <c r="A43" t="s">
        <v>48</v>
      </c>
      <c r="C43" s="5">
        <f t="shared" ref="C43:J43" si="18">ROUND(C23*10^7/C9,0)</f>
        <v>11188</v>
      </c>
      <c r="D43" s="5">
        <f t="shared" si="18"/>
        <v>11258</v>
      </c>
      <c r="E43" s="5">
        <f t="shared" si="18"/>
        <v>13386</v>
      </c>
      <c r="F43" s="5">
        <f t="shared" si="18"/>
        <v>14971</v>
      </c>
      <c r="G43" s="5">
        <f t="shared" si="18"/>
        <v>17226</v>
      </c>
      <c r="H43" s="5">
        <f t="shared" si="18"/>
        <v>18012</v>
      </c>
      <c r="I43" s="5">
        <f t="shared" si="18"/>
        <v>17422</v>
      </c>
      <c r="J43" s="5">
        <f t="shared" si="18"/>
        <v>18161</v>
      </c>
      <c r="K43" s="5">
        <f>ROUND(K23*10^7/K9,0)</f>
        <v>18729</v>
      </c>
      <c r="L43" s="5">
        <f>ROUND(L23*10^7/L9,0)</f>
        <v>18908</v>
      </c>
      <c r="M43" s="5">
        <f>ROUND(M23*10^7/M9,0)</f>
        <v>17567</v>
      </c>
      <c r="N43" s="5">
        <f>ROUND(N23*10^7/N9,0)</f>
        <v>17376</v>
      </c>
      <c r="O43" s="5">
        <f>ROUND(O23*10^7/O9,0)</f>
        <v>18939</v>
      </c>
      <c r="P43" s="18">
        <f t="shared" si="14"/>
        <v>4.4841423504676126E-2</v>
      </c>
      <c r="Q43" s="18">
        <f t="shared" si="15"/>
        <v>8.9951657458563483E-2</v>
      </c>
      <c r="R43" s="5"/>
    </row>
    <row r="44" spans="1:18" x14ac:dyDescent="0.2">
      <c r="A44" t="s">
        <v>49</v>
      </c>
      <c r="C44" s="5">
        <f t="shared" ref="C44:D44" si="19">ROUND(C26*10^7/C9,0)</f>
        <v>11428</v>
      </c>
      <c r="D44" s="5">
        <f t="shared" si="19"/>
        <v>11863</v>
      </c>
      <c r="E44" s="5">
        <f>ROUND(E26*10^7/E9,0)</f>
        <v>10306</v>
      </c>
      <c r="F44" s="5">
        <f>ROUND(F26*10^7/F9,0)</f>
        <v>9774</v>
      </c>
      <c r="G44" s="5">
        <f t="shared" ref="G44:O44" si="20">ROUND(G26*10^7/G9,0)</f>
        <v>9519</v>
      </c>
      <c r="H44" s="5">
        <f t="shared" si="20"/>
        <v>7558</v>
      </c>
      <c r="I44" s="5">
        <f t="shared" si="20"/>
        <v>11502</v>
      </c>
      <c r="J44" s="5">
        <f t="shared" si="20"/>
        <v>10742</v>
      </c>
      <c r="K44" s="5">
        <f t="shared" si="20"/>
        <v>11276</v>
      </c>
      <c r="L44" s="5">
        <f t="shared" si="20"/>
        <v>11243</v>
      </c>
      <c r="M44" s="5">
        <f t="shared" si="20"/>
        <v>8930</v>
      </c>
      <c r="N44" s="5">
        <f t="shared" si="20"/>
        <v>10231</v>
      </c>
      <c r="O44" s="5">
        <f t="shared" si="20"/>
        <v>11752</v>
      </c>
      <c r="P44" s="18">
        <f t="shared" si="14"/>
        <v>2.332462176047656E-3</v>
      </c>
      <c r="Q44" s="18">
        <f t="shared" si="15"/>
        <v>0.14866581956797975</v>
      </c>
      <c r="R44" s="5"/>
    </row>
    <row r="45" spans="1:18" x14ac:dyDescent="0.2">
      <c r="C45" s="36">
        <v>40268</v>
      </c>
      <c r="D45" s="36">
        <v>40633</v>
      </c>
      <c r="E45" s="36">
        <v>40999</v>
      </c>
      <c r="F45" s="36">
        <v>41364</v>
      </c>
      <c r="G45" s="36">
        <v>41729</v>
      </c>
      <c r="H45" s="36">
        <v>42094</v>
      </c>
      <c r="I45" s="36">
        <v>42460</v>
      </c>
      <c r="J45" s="36">
        <v>42825</v>
      </c>
      <c r="K45" s="36">
        <v>43190</v>
      </c>
      <c r="L45" s="36">
        <v>43555</v>
      </c>
      <c r="M45" s="36">
        <v>43921</v>
      </c>
      <c r="N45" s="36">
        <v>44286</v>
      </c>
      <c r="O45" s="36">
        <v>44651</v>
      </c>
      <c r="P45" s="37"/>
      <c r="Q45" s="37"/>
      <c r="R45" s="36"/>
    </row>
    <row r="46" spans="1:18" x14ac:dyDescent="0.2">
      <c r="A46" t="s">
        <v>50</v>
      </c>
      <c r="C46" s="8">
        <f>C8</f>
        <v>39254</v>
      </c>
      <c r="D46" s="8">
        <f t="shared" ref="D46:M46" si="21">D8</f>
        <v>48015</v>
      </c>
      <c r="E46" s="8">
        <f t="shared" si="21"/>
        <v>55099</v>
      </c>
      <c r="F46" s="8">
        <f t="shared" si="21"/>
        <v>57348</v>
      </c>
      <c r="G46" s="8">
        <f t="shared" si="21"/>
        <v>74786</v>
      </c>
      <c r="H46" s="8">
        <f t="shared" si="21"/>
        <v>63994</v>
      </c>
      <c r="I46" s="8">
        <f t="shared" si="21"/>
        <v>64256</v>
      </c>
      <c r="J46" s="8">
        <f t="shared" si="21"/>
        <v>81989</v>
      </c>
      <c r="K46" s="8">
        <f t="shared" si="21"/>
        <v>92475</v>
      </c>
      <c r="L46" s="8">
        <f t="shared" si="21"/>
        <v>100167</v>
      </c>
      <c r="M46" s="8">
        <f t="shared" si="21"/>
        <v>89144</v>
      </c>
      <c r="N46" s="8">
        <v>114214</v>
      </c>
      <c r="O46" s="8">
        <v>116869</v>
      </c>
      <c r="P46" s="18">
        <f t="shared" si="14"/>
        <v>9.5177763980710539E-2</v>
      </c>
      <c r="Q46" s="18">
        <f t="shared" si="15"/>
        <v>2.3245836762568528E-2</v>
      </c>
      <c r="R46" s="8"/>
    </row>
    <row r="47" spans="1:18" x14ac:dyDescent="0.2">
      <c r="A47" t="s">
        <v>51</v>
      </c>
      <c r="C47">
        <v>379</v>
      </c>
      <c r="D47">
        <v>515</v>
      </c>
      <c r="E47">
        <v>547</v>
      </c>
      <c r="F47">
        <v>512</v>
      </c>
      <c r="G47">
        <v>489</v>
      </c>
      <c r="H47">
        <v>437</v>
      </c>
      <c r="I47">
        <v>394</v>
      </c>
      <c r="J47">
        <v>389</v>
      </c>
      <c r="K47">
        <v>382</v>
      </c>
      <c r="L47">
        <v>366</v>
      </c>
      <c r="M47">
        <v>360</v>
      </c>
      <c r="N47">
        <v>351</v>
      </c>
      <c r="O47">
        <v>335</v>
      </c>
      <c r="P47" s="18">
        <f t="shared" si="14"/>
        <v>-1.0231108569228153E-2</v>
      </c>
      <c r="Q47" s="18">
        <f t="shared" si="15"/>
        <v>-4.5584045584045607E-2</v>
      </c>
    </row>
    <row r="48" spans="1:18" x14ac:dyDescent="0.2">
      <c r="A48" t="s">
        <v>52</v>
      </c>
      <c r="M48">
        <v>419</v>
      </c>
      <c r="N48">
        <v>489</v>
      </c>
      <c r="O48">
        <v>668</v>
      </c>
      <c r="P48" s="18"/>
      <c r="Q48" s="18">
        <f t="shared" si="15"/>
        <v>0.36605316973415136</v>
      </c>
    </row>
    <row r="49" spans="1:18" x14ac:dyDescent="0.2">
      <c r="A49" t="s">
        <v>53</v>
      </c>
      <c r="C49" s="5">
        <f t="shared" ref="C49:O49" si="22">ROUND(C8/C47,0)</f>
        <v>104</v>
      </c>
      <c r="D49" s="5">
        <f t="shared" si="22"/>
        <v>93</v>
      </c>
      <c r="E49" s="5">
        <f t="shared" si="22"/>
        <v>101</v>
      </c>
      <c r="F49" s="5">
        <f t="shared" si="22"/>
        <v>112</v>
      </c>
      <c r="G49" s="5">
        <f t="shared" si="22"/>
        <v>153</v>
      </c>
      <c r="H49" s="5">
        <f t="shared" si="22"/>
        <v>146</v>
      </c>
      <c r="I49" s="5">
        <f t="shared" si="22"/>
        <v>163</v>
      </c>
      <c r="J49" s="5">
        <f t="shared" si="22"/>
        <v>211</v>
      </c>
      <c r="K49" s="5">
        <f t="shared" si="22"/>
        <v>242</v>
      </c>
      <c r="L49" s="5">
        <f t="shared" si="22"/>
        <v>274</v>
      </c>
      <c r="M49" s="5">
        <f t="shared" si="22"/>
        <v>248</v>
      </c>
      <c r="N49" s="5">
        <f t="shared" si="22"/>
        <v>325</v>
      </c>
      <c r="O49" s="5">
        <f t="shared" si="22"/>
        <v>349</v>
      </c>
      <c r="P49" s="18">
        <f t="shared" si="14"/>
        <v>0.10615505233090006</v>
      </c>
      <c r="Q49" s="18">
        <f t="shared" si="15"/>
        <v>7.3846153846153895E-2</v>
      </c>
      <c r="R49" s="5"/>
    </row>
    <row r="51" spans="1:18" x14ac:dyDescent="0.2">
      <c r="A51" t="s">
        <v>54</v>
      </c>
      <c r="C51" s="40">
        <f>C27/C33</f>
        <v>0.38997767501195985</v>
      </c>
      <c r="D51" s="40">
        <f t="shared" ref="D51:O51" si="23">D27/D33</f>
        <v>0.3803088101725704</v>
      </c>
      <c r="E51" s="40">
        <f t="shared" si="23"/>
        <v>0.36505172049820567</v>
      </c>
      <c r="F51" s="40">
        <f t="shared" si="23"/>
        <v>0.35689293212036394</v>
      </c>
      <c r="G51" s="40">
        <f t="shared" si="23"/>
        <v>0.40582049626418226</v>
      </c>
      <c r="H51" s="40">
        <f t="shared" si="23"/>
        <v>0.29822794083978205</v>
      </c>
      <c r="I51" s="40">
        <f t="shared" si="23"/>
        <v>0.33208530106257372</v>
      </c>
      <c r="J51" s="40">
        <f t="shared" si="23"/>
        <v>0.36452699903328267</v>
      </c>
      <c r="K51" s="40">
        <f t="shared" si="23"/>
        <v>0.52379529642750444</v>
      </c>
      <c r="L51" s="40">
        <f t="shared" si="23"/>
        <v>0.51970302684180469</v>
      </c>
      <c r="M51" s="40">
        <f t="shared" si="23"/>
        <v>0.38707098008233193</v>
      </c>
      <c r="N51" s="40">
        <f t="shared" si="23"/>
        <v>0.44273723146962579</v>
      </c>
      <c r="O51" s="40">
        <f t="shared" si="23"/>
        <v>0.48031135531135538</v>
      </c>
      <c r="P51" s="18">
        <f t="shared" si="14"/>
        <v>1.7513685176376859E-2</v>
      </c>
      <c r="Q51" s="18">
        <f t="shared" si="15"/>
        <v>8.4867775219639174E-2</v>
      </c>
      <c r="R51" s="40"/>
    </row>
    <row r="52" spans="1:18" x14ac:dyDescent="0.2">
      <c r="A52" t="s">
        <v>55</v>
      </c>
      <c r="C52" s="40">
        <f>C29/C31</f>
        <v>0.30434006843734723</v>
      </c>
      <c r="D52" s="40">
        <f t="shared" ref="D52:O52" si="24">D29/D31</f>
        <v>0.28847654710287746</v>
      </c>
      <c r="E52" s="40">
        <f t="shared" si="24"/>
        <v>0.28355164268842603</v>
      </c>
      <c r="F52" s="40">
        <f t="shared" si="24"/>
        <v>0.28596500283900272</v>
      </c>
      <c r="G52" s="40">
        <f t="shared" si="24"/>
        <v>0.3192300362111683</v>
      </c>
      <c r="H52" s="40">
        <f t="shared" si="24"/>
        <v>0.19826366313535013</v>
      </c>
      <c r="I52" s="40">
        <f t="shared" si="24"/>
        <v>0.19435165502581234</v>
      </c>
      <c r="J52" s="40">
        <f t="shared" si="24"/>
        <v>0.24289849221546153</v>
      </c>
      <c r="K52" s="40">
        <f t="shared" si="24"/>
        <v>0.35054704595185993</v>
      </c>
      <c r="L52" s="40">
        <f t="shared" si="24"/>
        <v>0.34633134789322745</v>
      </c>
      <c r="M52" s="40">
        <f t="shared" si="24"/>
        <v>0.30230723404255316</v>
      </c>
      <c r="N52" s="40">
        <f t="shared" si="24"/>
        <v>0.32982856328189047</v>
      </c>
      <c r="O52" s="40">
        <f t="shared" si="24"/>
        <v>0.35811960219837735</v>
      </c>
      <c r="P52" s="18">
        <f t="shared" si="14"/>
        <v>1.3652462953871014E-2</v>
      </c>
      <c r="Q52" s="18">
        <f t="shared" si="15"/>
        <v>8.577498150852314E-2</v>
      </c>
      <c r="R52" s="40"/>
    </row>
    <row r="56" spans="1:18" x14ac:dyDescent="0.2">
      <c r="A56" t="s">
        <v>56</v>
      </c>
      <c r="F56">
        <f>F57*25+F58*35+F59*45+F60*55</f>
        <v>38.85</v>
      </c>
      <c r="L56">
        <f>L57*25+L58*35+L59*45+L60*55</f>
        <v>40.299999999999997</v>
      </c>
    </row>
    <row r="57" spans="1:18" x14ac:dyDescent="0.2">
      <c r="A57" t="s">
        <v>57</v>
      </c>
      <c r="F57" s="40">
        <v>0.13</v>
      </c>
      <c r="L57" s="40">
        <v>0.1</v>
      </c>
    </row>
    <row r="58" spans="1:18" x14ac:dyDescent="0.2">
      <c r="A58" t="s">
        <v>58</v>
      </c>
      <c r="F58" s="40">
        <v>0.36</v>
      </c>
      <c r="L58" s="40">
        <v>0.35</v>
      </c>
    </row>
    <row r="59" spans="1:18" x14ac:dyDescent="0.2">
      <c r="A59" t="s">
        <v>59</v>
      </c>
      <c r="F59" s="40">
        <v>0.45</v>
      </c>
      <c r="L59" s="40">
        <v>0.47</v>
      </c>
    </row>
    <row r="60" spans="1:18" x14ac:dyDescent="0.2">
      <c r="A60" t="s">
        <v>60</v>
      </c>
      <c r="F60" s="40">
        <v>0.05</v>
      </c>
      <c r="L60" s="40">
        <v>0.08</v>
      </c>
    </row>
  </sheetData>
  <conditionalFormatting sqref="C43:O4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O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:O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2022-12-27T05:37:14Z</dcterms:created>
  <dcterms:modified xsi:type="dcterms:W3CDTF">2022-12-27T05:37:58Z</dcterms:modified>
</cp:coreProperties>
</file>