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fit &amp; Loss" sheetId="1" r:id="rId4"/>
    <sheet state="visible" name="Quarters" sheetId="2" r:id="rId5"/>
    <sheet state="visible" name="Balance Sheet" sheetId="3" r:id="rId6"/>
    <sheet state="visible" name="Cash Flow" sheetId="4" r:id="rId7"/>
    <sheet state="visible" name="Common Size Analysis" sheetId="5" r:id="rId8"/>
    <sheet state="visible" name="Customization" sheetId="6" r:id="rId9"/>
    <sheet state="visible" name="Data Sheet" sheetId="7" r:id="rId10"/>
    <sheet state="visible" name="Calculated Data" sheetId="8" r:id="rId11"/>
    <sheet state="visible" name="Cost Analysis" sheetId="9" r:id="rId12"/>
    <sheet state="visible" name="Price Implied Expectations" sheetId="10" r:id="rId13"/>
    <sheet state="visible" name="Business Robustness" sheetId="11" r:id="rId14"/>
    <sheet state="visible" name="Buffet-Valuation" sheetId="12" r:id="rId15"/>
    <sheet state="visible" name="Deep Dive" sheetId="13" r:id="rId16"/>
  </sheets>
  <definedNames>
    <definedName name="FinCodes">#REF!</definedName>
    <definedName name="UPDATE">'Data Sheet'!$E$1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4">
      <text>
        <t xml:space="preserve">Vishal: Excludes Current Investments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2">
      <text>
        <t xml:space="preserve">Shrey Sao:
measures potential credit risk.</t>
      </text>
    </comment>
    <comment authorId="0" ref="A23">
      <text>
        <t xml:space="preserve">Shrey Sao</t>
      </text>
    </comment>
    <comment authorId="0" ref="A25">
      <text>
        <t xml:space="preserve">
</t>
      </text>
    </comment>
    <comment authorId="0" ref="A26">
      <text>
        <t xml:space="preserve">Shrey</t>
      </text>
    </comment>
    <comment authorId="0" ref="A55">
      <text>
        <t xml:space="preserve">Shrey Sao:</t>
      </text>
    </comment>
  </commentList>
</comments>
</file>

<file path=xl/sharedStrings.xml><?xml version="1.0" encoding="utf-8"?>
<sst xmlns="http://schemas.openxmlformats.org/spreadsheetml/2006/main" count="646" uniqueCount="458">
  <si>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</si>
  <si>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</si>
  <si>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</si>
  <si>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</si>
  <si>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</si>
  <si>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</si>
  <si>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</si>
  <si>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</si>
  <si>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</si>
  <si>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</si>
  <si>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</si>
  <si>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</si>
  <si>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</si>
  <si>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</si>
  <si>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EPS</t>
  </si>
  <si>
    <t>Price to earning</t>
  </si>
  <si>
    <t>Price</t>
  </si>
  <si>
    <t>EBIT</t>
  </si>
  <si>
    <t>EBITDA</t>
  </si>
  <si>
    <t>Operating Profit (excl Other Income)</t>
  </si>
  <si>
    <t>RATIOS:</t>
  </si>
  <si>
    <t>DPS</t>
  </si>
  <si>
    <t>Dividend Payout</t>
  </si>
  <si>
    <t>OPM</t>
  </si>
  <si>
    <t>TRENDS:</t>
  </si>
  <si>
    <t>10 YEARS</t>
  </si>
  <si>
    <t>7 YEARS</t>
  </si>
  <si>
    <t>5 YEARS</t>
  </si>
  <si>
    <t>3 YEARS</t>
  </si>
  <si>
    <t>RECENT</t>
  </si>
  <si>
    <t>BEST</t>
  </si>
  <si>
    <t>WORST</t>
  </si>
  <si>
    <t>Sales Growth</t>
  </si>
  <si>
    <t>Price to Earning</t>
  </si>
  <si>
    <t>2HFY20</t>
  </si>
  <si>
    <t>Input data from 2QFY BS</t>
  </si>
  <si>
    <t>Equity Share Capital</t>
  </si>
  <si>
    <t>Reserves</t>
  </si>
  <si>
    <t>Borrowings</t>
  </si>
  <si>
    <t>Other Liabilities</t>
  </si>
  <si>
    <t>def tax liab+oth long term liab+other current liab</t>
  </si>
  <si>
    <t>Total</t>
  </si>
  <si>
    <t>Net Block / PPE</t>
  </si>
  <si>
    <t>Capital Work in Progress</t>
  </si>
  <si>
    <t>Investments</t>
  </si>
  <si>
    <t>Other Assets</t>
  </si>
  <si>
    <t>total current assets+long term loans and advances+other non current assets</t>
  </si>
  <si>
    <t>check TA matching</t>
  </si>
  <si>
    <t>Working Capital</t>
  </si>
  <si>
    <t>Debtors (Trade receivables)</t>
  </si>
  <si>
    <t>Inventory</t>
  </si>
  <si>
    <t>Trade Payables (Creditors)</t>
  </si>
  <si>
    <t>input Creditors (Payables) data from Screener/Annual Reports</t>
  </si>
  <si>
    <t>Inventory Turnover</t>
  </si>
  <si>
    <t>Inventory Days</t>
  </si>
  <si>
    <t>Debtor Days</t>
  </si>
  <si>
    <t>Creditor Days</t>
  </si>
  <si>
    <t>Cash Conversion Cycle</t>
  </si>
  <si>
    <t>Working Capital/Sales</t>
  </si>
  <si>
    <t>Return on Equity</t>
  </si>
  <si>
    <t>Return on Capital Emp</t>
  </si>
  <si>
    <t>Book Value</t>
  </si>
  <si>
    <t>BVPS</t>
  </si>
  <si>
    <t>Cash &amp; Bank Balances</t>
  </si>
  <si>
    <t>Cash/Sales</t>
  </si>
  <si>
    <t>Common Size Balance Sheet</t>
  </si>
  <si>
    <t>Check back how Assets are being put to use</t>
  </si>
  <si>
    <t>Net Block/Total Assets</t>
  </si>
  <si>
    <t>high historical Fixed Assets/Total Assets - strong correlation high Op Leverage</t>
  </si>
  <si>
    <t>Working Capital/Total Assets</t>
  </si>
  <si>
    <t>Debtors/Total Assets</t>
  </si>
  <si>
    <t>Inventory/Total Assets</t>
  </si>
  <si>
    <t>Cash/Total Assets</t>
  </si>
  <si>
    <t>check for excluding excess cash (over and above historical normalised levels)</t>
  </si>
  <si>
    <t>Borrowings/Total Assets</t>
  </si>
  <si>
    <t>Cash from Operating Activity</t>
  </si>
  <si>
    <t>Cash from Investing Activity</t>
  </si>
  <si>
    <t>Cash from Financing Activity</t>
  </si>
  <si>
    <t>Net Cash Flow</t>
  </si>
  <si>
    <t>FCF</t>
  </si>
  <si>
    <t>3-yr avg</t>
  </si>
  <si>
    <t>5-yr avg</t>
  </si>
  <si>
    <t>Common Size P&amp;L</t>
  </si>
  <si>
    <t>Rs Cr</t>
  </si>
  <si>
    <t>A common-size financial statement is displays line items as a percentage of one selected or common figure. Creating common-size financial statements makes it easier to analyze a company over time and compare it with its peers. Using common-size financial statements helps investors spot trends that a raw financial statement may not uncover.</t>
  </si>
  <si>
    <t>Raw Material Cost</t>
  </si>
  <si>
    <t>Change in Inventory</t>
  </si>
  <si>
    <t>Power and Fuel</t>
  </si>
  <si>
    <t>Other Mfr. Exp</t>
  </si>
  <si>
    <t>Employee Cost</t>
  </si>
  <si>
    <t>Selling and Admin Cost</t>
  </si>
  <si>
    <t>Other Expenses</t>
  </si>
  <si>
    <t>Profit Before Tax</t>
  </si>
  <si>
    <t>Net Profit</t>
  </si>
  <si>
    <t>Dividend Amount</t>
  </si>
  <si>
    <t>Total Liabilities</t>
  </si>
  <si>
    <t>Net Block</t>
  </si>
  <si>
    <t>Total Assets</t>
  </si>
  <si>
    <t>Receivables</t>
  </si>
  <si>
    <t>Cash &amp; Bank</t>
  </si>
  <si>
    <t xml:space="preserve"> </t>
  </si>
  <si>
    <t>DELTA NETWORTH</t>
  </si>
  <si>
    <t>DELTA MKTCAP</t>
  </si>
  <si>
    <t>IMPACT*</t>
  </si>
  <si>
    <t>HISTORICAL VALUATIONS</t>
  </si>
  <si>
    <t>PRE-TAX BOND</t>
  </si>
  <si>
    <t>10 YR</t>
  </si>
  <si>
    <t>P/E</t>
  </si>
  <si>
    <t>P/B</t>
  </si>
  <si>
    <t>EV/EBITDA</t>
  </si>
  <si>
    <t>P/SALES</t>
  </si>
  <si>
    <t>YIELD</t>
  </si>
  <si>
    <t>P/CFO</t>
  </si>
  <si>
    <t>LongTerm Bond</t>
  </si>
  <si>
    <t>7 YR</t>
  </si>
  <si>
    <t>MIN</t>
  </si>
  <si>
    <t>LTB Quote</t>
  </si>
  <si>
    <t>5 YR</t>
  </si>
  <si>
    <t>MAX</t>
  </si>
  <si>
    <t>Equity Quoting @</t>
  </si>
  <si>
    <t>3 YR</t>
  </si>
  <si>
    <t>TRAILING</t>
  </si>
  <si>
    <t>1 YR</t>
  </si>
  <si>
    <t>* IMPACT – Every Rupee retained added xx.yy in incremental market value</t>
  </si>
  <si>
    <t>SALES</t>
  </si>
  <si>
    <t>GROSS PROFIT</t>
  </si>
  <si>
    <t>PAT</t>
  </si>
  <si>
    <t>DIVIDEND</t>
  </si>
  <si>
    <t>EPA**</t>
  </si>
  <si>
    <t>MKTCAP</t>
  </si>
  <si>
    <t>CFO**</t>
  </si>
  <si>
    <t>FCF**</t>
  </si>
  <si>
    <t>NETWORTH</t>
  </si>
  <si>
    <t>TOTAL RETURNS</t>
  </si>
  <si>
    <t>10 YR CAGR</t>
  </si>
  <si>
    <t>5 YR CAGR</t>
  </si>
  <si>
    <t>3 YR CAGR</t>
  </si>
  <si>
    <t>1 YR GROWTH</t>
  </si>
  <si>
    <t>**modify (if, then) for negative values</t>
  </si>
  <si>
    <t>TTM</t>
  </si>
  <si>
    <t>input TTM BS data in Balance Sheet from Half yearly results</t>
  </si>
  <si>
    <t>Total Assets/Networth= Financial Leverage</t>
  </si>
  <si>
    <t>Long term debt/Earning</t>
  </si>
  <si>
    <t>Current liablility/Earning</t>
  </si>
  <si>
    <t>Total liability/Earning</t>
  </si>
  <si>
    <t>Debt/Equity</t>
  </si>
  <si>
    <t>Interest Coverage</t>
  </si>
  <si>
    <t>Check for improving or deteriorating picture</t>
  </si>
  <si>
    <t>Inventory Turns</t>
  </si>
  <si>
    <t>Check back to see if Creditor policy change is impacting Working Cap cycle</t>
  </si>
  <si>
    <t>Cash In/Cash Out Ratio</t>
  </si>
  <si>
    <t xml:space="preserve">  </t>
  </si>
  <si>
    <t>Current Ratio</t>
  </si>
  <si>
    <t>CFO/PAT</t>
  </si>
  <si>
    <t>Gross Margin =Gross Profit/Sales</t>
  </si>
  <si>
    <t>EBIT/Sales</t>
  </si>
  <si>
    <t>EBITDA/Sales</t>
  </si>
  <si>
    <t>Op Profit (Ex Other Income)/Sales</t>
  </si>
  <si>
    <t>Net Margin =PAT/Sales</t>
  </si>
  <si>
    <t>Op Cash Flow/Sales</t>
  </si>
  <si>
    <t>Free Cash Flow/Sales</t>
  </si>
  <si>
    <t>EPA/Sales</t>
  </si>
  <si>
    <t>EPA/Sales Increase - last 5 Years</t>
  </si>
  <si>
    <t>EPA/Sales Increase - last 3 Years</t>
  </si>
  <si>
    <t>MktCap Cagr  - last 5 years</t>
  </si>
  <si>
    <t>MktCap Cagr  - last 3 years</t>
  </si>
  <si>
    <t>Sales/Invested Capital =Capital Turns</t>
  </si>
  <si>
    <t>Sales/Fixed Assets= Fixed Asset Turns</t>
  </si>
  <si>
    <t>Sales/Total Assets= Asset Turns</t>
  </si>
  <si>
    <t>Net Margin*Asset Turns= RoA</t>
  </si>
  <si>
    <t>Check back what is really driving RoA (Net Margins or Asset Turns, or both)</t>
  </si>
  <si>
    <t>Net Margin*Asset Turn*Fin Leverage= RoE</t>
  </si>
  <si>
    <t>Check back what is really driving RoE (Net Margins, Asset Turns, or Financial Leverage)</t>
  </si>
  <si>
    <t>RoCE</t>
  </si>
  <si>
    <t>EBIT Margin*Cap Turns*(1-Tax rate)= RoIC</t>
  </si>
  <si>
    <t>Check back what is really driving RoIC (Op Margins or Capital Turns, or both)</t>
  </si>
  <si>
    <t>Return on Incremental Invested Cap= RoIIC</t>
  </si>
  <si>
    <t>better to check when NOPLAT and/or Investments are Lumpy</t>
  </si>
  <si>
    <t>Altman Z-Score</t>
  </si>
  <si>
    <t>Cash/Assets</t>
  </si>
  <si>
    <t>EBIT/Invested Capital</t>
  </si>
  <si>
    <t xml:space="preserve">Check back the significant role of EBIT/Invested Capital </t>
  </si>
  <si>
    <t>EPA</t>
  </si>
  <si>
    <t>Check back what is really driving EPA (Invested Capital or RoIC, or both)</t>
  </si>
  <si>
    <t>MktCap</t>
  </si>
  <si>
    <t>MktCap Change</t>
  </si>
  <si>
    <t>MktCap Change - EPA</t>
  </si>
  <si>
    <t>Capex/Net Profits 10 yr</t>
  </si>
  <si>
    <t>Capex/Net Profits 7 yr</t>
  </si>
  <si>
    <t>Capex/Net Profits 5 yr</t>
  </si>
  <si>
    <t>Capex/Net Profits 3 yr</t>
  </si>
  <si>
    <t>Capex/Depreciation 10 yr</t>
  </si>
  <si>
    <t>COMPANY NAME</t>
  </si>
  <si>
    <t>ASIAN PAINTS LTD</t>
  </si>
  <si>
    <t>LATEST VERSION</t>
  </si>
  <si>
    <t>PLEASE DO NOT MAKE ANY CHANGES TO THIS SHEET</t>
  </si>
  <si>
    <t>CURRENT VERSION</t>
  </si>
  <si>
    <t>META</t>
  </si>
  <si>
    <t>Number of shares</t>
  </si>
  <si>
    <t>Face Value</t>
  </si>
  <si>
    <t>Current Price</t>
  </si>
  <si>
    <t>Market Capitalization</t>
  </si>
  <si>
    <t>PROFIT &amp; LOSS</t>
  </si>
  <si>
    <t>Report Date</t>
  </si>
  <si>
    <t>Selling and admin</t>
  </si>
  <si>
    <t>Quarters</t>
  </si>
  <si>
    <t>BALANCE SHEET</t>
  </si>
  <si>
    <t>No. of Equity Shares</t>
  </si>
  <si>
    <t>New Bonus Shares</t>
  </si>
  <si>
    <t>Face value</t>
  </si>
  <si>
    <t>CASH FLOW:</t>
  </si>
  <si>
    <t>PRICE:</t>
  </si>
  <si>
    <t>DERIVED:</t>
  </si>
  <si>
    <t>Adjusted Equity Shares in Cr</t>
  </si>
  <si>
    <t>Gross Profit</t>
  </si>
  <si>
    <t>Dividend</t>
  </si>
  <si>
    <t>1HFY17</t>
  </si>
  <si>
    <t>Networth</t>
  </si>
  <si>
    <t>Exclude one-off excess Cash (if any)</t>
  </si>
  <si>
    <t>check historical normalised levels of cash/total assets for excluding one-off excess cash for RoIC calculations</t>
  </si>
  <si>
    <t>Invested Capital</t>
  </si>
  <si>
    <t>Capital Employed</t>
  </si>
  <si>
    <t>Operating Cash Flow</t>
  </si>
  <si>
    <t>Capex</t>
  </si>
  <si>
    <t>CHECK?</t>
  </si>
  <si>
    <t>derived from BS</t>
  </si>
  <si>
    <t>Free Cash Flow</t>
  </si>
  <si>
    <t>RoE</t>
  </si>
  <si>
    <t>Tax Rate</t>
  </si>
  <si>
    <t>NOPLAT</t>
  </si>
  <si>
    <t>RoIC</t>
  </si>
  <si>
    <t>WACC</t>
  </si>
  <si>
    <t>EPA (Economic Profit Added)</t>
  </si>
  <si>
    <t>RoIIC</t>
  </si>
  <si>
    <t xml:space="preserve">3Yr Rolling RoIIC </t>
  </si>
  <si>
    <t>5Yr Rolling RoIIC</t>
  </si>
  <si>
    <t>Operating Leverage</t>
  </si>
  <si>
    <t>Sustainable Growth Rate</t>
  </si>
  <si>
    <t>coy can grow at this rate safely with internal accruals</t>
  </si>
  <si>
    <t>CURRENT</t>
  </si>
  <si>
    <t>MktCap+Dividend</t>
  </si>
  <si>
    <t>Retained Profit</t>
  </si>
  <si>
    <t>EV</t>
  </si>
  <si>
    <t>Price/Earnings</t>
  </si>
  <si>
    <t>Price/Book</t>
  </si>
  <si>
    <t>Price/CashFlow</t>
  </si>
  <si>
    <t>Price/Sales</t>
  </si>
  <si>
    <t>Dividend Yield</t>
  </si>
  <si>
    <t>Z-Weights</t>
  </si>
  <si>
    <t>Retained Profits/Total Assets</t>
  </si>
  <si>
    <t>EBIT/Total Assets</t>
  </si>
  <si>
    <t>Market Cap/Total Liabilities</t>
  </si>
  <si>
    <t>Sales/Total Assets</t>
  </si>
  <si>
    <t>Z &gt; 2.99 -“Safe” Zones</t>
  </si>
  <si>
    <t>1.81 &lt; Z &lt; 2.99 -“Grey” Zones</t>
  </si>
  <si>
    <t>Z &lt; 1.81 -“Distress” Zones</t>
  </si>
  <si>
    <t>Growth Rate Perpetual</t>
  </si>
  <si>
    <t>DCF</t>
  </si>
  <si>
    <t>Discount Rate</t>
  </si>
  <si>
    <t>Discounted FCF at R=10</t>
  </si>
  <si>
    <t>Sum of Discounted FCF</t>
  </si>
  <si>
    <t>Discounted FCF at R=12</t>
  </si>
  <si>
    <t>Discounted FCF at R=15</t>
  </si>
  <si>
    <t>Sum at R=15</t>
  </si>
  <si>
    <t>Perpetuity Value at R=10</t>
  </si>
  <si>
    <t>Perpetuity Value at R=12</t>
  </si>
  <si>
    <t>Perpetuity Value at R=15</t>
  </si>
  <si>
    <t>Per Share Price</t>
  </si>
  <si>
    <t>Total Equity value at R=10</t>
  </si>
  <si>
    <t>Total Equity value at R=12</t>
  </si>
  <si>
    <t>Total Equity Value at R=15</t>
  </si>
  <si>
    <t>FCF/SHARE</t>
  </si>
  <si>
    <t>Ratio</t>
  </si>
  <si>
    <t>Sales Increase</t>
  </si>
  <si>
    <t>EBIT Increase</t>
  </si>
  <si>
    <t>Operating Expenses</t>
  </si>
  <si>
    <t>Interest Expense</t>
  </si>
  <si>
    <t>Coomon Size Expenses</t>
  </si>
  <si>
    <t>check lower RM/Sales - high correlation with Op Leverage</t>
  </si>
  <si>
    <t>check high Emp Cost/Sales - high correlation with Op Leverage</t>
  </si>
  <si>
    <t>Interest Expense Capitalised</t>
  </si>
  <si>
    <t>Add back from AR - any interest costs capitalised</t>
  </si>
  <si>
    <t>Year on Year Escalation</t>
  </si>
  <si>
    <t>Raw Material Increase/Sales Increase</t>
  </si>
  <si>
    <t>Change in Inventory Increase/Sales Increase</t>
  </si>
  <si>
    <t>Power &amp; Fuel Increase/Sales Increase</t>
  </si>
  <si>
    <t>Other Mfg Increase/Sales Increase</t>
  </si>
  <si>
    <t>Employee Cost Increase/Sales Increase</t>
  </si>
  <si>
    <t>Selling &amp; Admin Cost Increase/Sales Increase</t>
  </si>
  <si>
    <t>Other Expenses Increase/Sales Increase</t>
  </si>
  <si>
    <t>Working Capital Increase/Sales Increase</t>
  </si>
  <si>
    <t>Debtors Increase/Sales Increase</t>
  </si>
  <si>
    <t>Inventory Increase/Sales Increase</t>
  </si>
  <si>
    <t>Creditors Increase/Sales Increase</t>
  </si>
  <si>
    <t>Invested Capital Increase/Sales Increase</t>
  </si>
  <si>
    <t xml:space="preserve">Dilution </t>
  </si>
  <si>
    <t>Equity Capital Increase/Decrease</t>
  </si>
  <si>
    <t>Consensus Forecasts</t>
  </si>
  <si>
    <t>5 Yr Avg</t>
  </si>
  <si>
    <t>Inputs</t>
  </si>
  <si>
    <t>Sales Growth Rate</t>
  </si>
  <si>
    <t>EBIT Margin</t>
  </si>
  <si>
    <t>Incremental Fixed Capital Investment</t>
  </si>
  <si>
    <t>Inc Fixed Capital Rate</t>
  </si>
  <si>
    <t>Incremental Sales</t>
  </si>
  <si>
    <t>Inc Working Capital Rate</t>
  </si>
  <si>
    <t>Incremental Fixed Capital Investment Rate</t>
  </si>
  <si>
    <t>Cost of Capital</t>
  </si>
  <si>
    <t>Inflation Rate</t>
  </si>
  <si>
    <t>9 Yr Avg</t>
  </si>
  <si>
    <t>Cash &amp; Bank Balance</t>
  </si>
  <si>
    <t>Non-Operative Assets</t>
  </si>
  <si>
    <t>Incremental Working Capital</t>
  </si>
  <si>
    <t>Debt</t>
  </si>
  <si>
    <t>Incremental Working Capital Investment Rate</t>
  </si>
  <si>
    <t># Shares Outstanding</t>
  </si>
  <si>
    <t>CMP</t>
  </si>
  <si>
    <t>Years in Future</t>
  </si>
  <si>
    <t>Year</t>
  </si>
  <si>
    <t>NOPAT</t>
  </si>
  <si>
    <t>Incremental Working Capital Investment</t>
  </si>
  <si>
    <t>Present Value of Free Cash Flow</t>
  </si>
  <si>
    <t>Cumulative Present Value of Free Cash Flow</t>
  </si>
  <si>
    <t>Present Value of Residual Value</t>
  </si>
  <si>
    <t>Corporate Value</t>
  </si>
  <si>
    <t>Add: Non-Operative Assets</t>
  </si>
  <si>
    <t>Less: Debt</t>
  </si>
  <si>
    <t>Shareholder Value</t>
  </si>
  <si>
    <t>Shareholder Value/Share</t>
  </si>
  <si>
    <t>Market-Implied-Forecast-Period</t>
  </si>
  <si>
    <t>Steady State Value</t>
  </si>
  <si>
    <t>(as per Rajshekhar Iyer formula)</t>
  </si>
  <si>
    <t>Future Value</t>
  </si>
  <si>
    <t>(present value of year 10 shareholder future value)</t>
  </si>
  <si>
    <t>Value</t>
  </si>
  <si>
    <t>Value/Share</t>
  </si>
  <si>
    <t>(as per Credit Suisse paper What's captured in P/E)</t>
  </si>
  <si>
    <t>Business Robustness Snapshot (Annual)</t>
  </si>
  <si>
    <t>Annual Historical Performance</t>
  </si>
  <si>
    <t>Operating Profit (ex Other Income)</t>
  </si>
  <si>
    <t>Operating Profit Margin (ex Other Income)</t>
  </si>
  <si>
    <t>1Yr Sales Increase</t>
  </si>
  <si>
    <t>1Yr EBIT Increase</t>
  </si>
  <si>
    <t>3Yr Sales Increase</t>
  </si>
  <si>
    <t>3Yr EBIT Increase</t>
  </si>
  <si>
    <t>Abnormal margin exclusion (RM cycle)</t>
  </si>
  <si>
    <t>1 Yr Operating Leverage</t>
  </si>
  <si>
    <t>3Yr Operating Leverage</t>
  </si>
  <si>
    <t>Capital Turns</t>
  </si>
  <si>
    <t>Sustainable Growth Rate (without addl financing?)</t>
  </si>
  <si>
    <t>Business Robustness Snapshot (Quarterly)</t>
  </si>
  <si>
    <t>Latest 10 Quarters Performance</t>
  </si>
  <si>
    <t>Threshold Margin Snapshot</t>
  </si>
  <si>
    <t>Incremental Threshold Margin</t>
  </si>
  <si>
    <t>Threshold Margin (Value Neutral Operating Margin)</t>
  </si>
  <si>
    <t>higher capital intensity business demands higher threshold margin (to break even) than lower cap intensive</t>
  </si>
  <si>
    <t>Threshold Exceed Rate</t>
  </si>
  <si>
    <t>(adapted from the methodology described in the book "Buffetology" by Mary Buffet - using current Visibility aided by Historicals)</t>
  </si>
  <si>
    <t>Current Data</t>
  </si>
  <si>
    <t>10 yr Projected Company data using historical earnings growth rate/current visibility</t>
  </si>
  <si>
    <t>10yr Sales Projection</t>
  </si>
  <si>
    <t>EPS:</t>
  </si>
  <si>
    <t>Current</t>
  </si>
  <si>
    <t>Earnings after 10 years</t>
  </si>
  <si>
    <t>DPS:</t>
  </si>
  <si>
    <t>Year 1</t>
  </si>
  <si>
    <t>Dividends paid over 10 years</t>
  </si>
  <si>
    <t>BVPS:</t>
  </si>
  <si>
    <t>Year 2</t>
  </si>
  <si>
    <t>P/E:</t>
  </si>
  <si>
    <t>Year 3</t>
  </si>
  <si>
    <t>Projected price [Avg Sustainable P/E*EPS]</t>
  </si>
  <si>
    <t>Earnings Yield:</t>
  </si>
  <si>
    <t>Year 4</t>
  </si>
  <si>
    <t>Total Gain [Projected Price+Dividends]</t>
  </si>
  <si>
    <t>Dividend Yield:</t>
  </si>
  <si>
    <t>Year 5</t>
  </si>
  <si>
    <t>P/BV:</t>
  </si>
  <si>
    <t>Year 6</t>
  </si>
  <si>
    <t>Projected annual return using current EPS growth visibility</t>
  </si>
  <si>
    <t>Year 7</t>
  </si>
  <si>
    <t>[(Total Gain/Current Price)^1/9)-1]</t>
  </si>
  <si>
    <t xml:space="preserve">Input Visibility data </t>
  </si>
  <si>
    <t>below</t>
  </si>
  <si>
    <t>Year 8</t>
  </si>
  <si>
    <t>Year 9</t>
  </si>
  <si>
    <t>Med Term Visibility</t>
  </si>
  <si>
    <t>Year 10</t>
  </si>
  <si>
    <t>Sales 10 Yr CAGR</t>
  </si>
  <si>
    <t>Sales 5yr CAGR</t>
  </si>
  <si>
    <t>10 yr Projected Company data using sustainable growth rate based on current visibility</t>
  </si>
  <si>
    <t>Sales 3yr CAGR</t>
  </si>
  <si>
    <t>Sales Y-o-Y growth</t>
  </si>
  <si>
    <t>Sales TTM Growth</t>
  </si>
  <si>
    <t>EPS 10 Yr CAGR</t>
  </si>
  <si>
    <t>EPS 5yr CAGR</t>
  </si>
  <si>
    <t>EPS 3yr CAGR</t>
  </si>
  <si>
    <t>Projected annual return using sustainable growth visbility*</t>
  </si>
  <si>
    <t>EPS Y-o-Y growth</t>
  </si>
  <si>
    <t>EPS TTM Growth</t>
  </si>
  <si>
    <t>5Yr Averages</t>
  </si>
  <si>
    <t>Return on Equity:</t>
  </si>
  <si>
    <t>Payout Ratio:</t>
  </si>
  <si>
    <t>*Assuming current capital structure is maintained - business's inherent ability to grow with internal accruals from here</t>
  </si>
  <si>
    <t>P/E Ratio-High:</t>
  </si>
  <si>
    <t>P/E Ratio-Low:</t>
  </si>
  <si>
    <t>Avg. P/E Ratio:</t>
  </si>
  <si>
    <t>Avg Sustainable P/E</t>
  </si>
  <si>
    <t>RoE/Payout Visibility</t>
  </si>
  <si>
    <t>RoE Visibility</t>
  </si>
  <si>
    <t>Payout Visbility</t>
  </si>
  <si>
    <t>Sustainable Growth</t>
  </si>
  <si>
    <t>Key figures extracted/highlighted automatically from Excel for quick scan that helps tell a more complete story?</t>
  </si>
  <si>
    <t>TTM Sales</t>
  </si>
  <si>
    <t>TTM Net Profit</t>
  </si>
  <si>
    <t>TTM EBIT</t>
  </si>
  <si>
    <t>ROIC</t>
  </si>
  <si>
    <t>Invested Cap</t>
  </si>
  <si>
    <t>EPA /Sales</t>
  </si>
  <si>
    <t>Mkt Cap</t>
  </si>
  <si>
    <t>P/S</t>
  </si>
  <si>
    <t>Div Yield</t>
  </si>
  <si>
    <t>Earnings Yield</t>
  </si>
  <si>
    <t>10Yr Incr FA Invest Rate</t>
  </si>
  <si>
    <t>5yrAvg Sust. Growth</t>
  </si>
  <si>
    <t>Retained Earnings / TA</t>
  </si>
  <si>
    <t>WCap /TA</t>
  </si>
  <si>
    <t>Total Asset Turns</t>
  </si>
  <si>
    <t>Fixed Asset Turn</t>
  </si>
  <si>
    <t>Cash Eqv</t>
  </si>
  <si>
    <t>Invest ments</t>
  </si>
  <si>
    <t>CFO</t>
  </si>
  <si>
    <t>FCF/ Sales</t>
  </si>
  <si>
    <t>Op Leverage</t>
  </si>
  <si>
    <t>10Yr Incr Wcap Invest Rate</t>
  </si>
  <si>
    <t>Industry FA Turns</t>
  </si>
  <si>
    <t>Industry WCap /TA</t>
  </si>
  <si>
    <t>Industry RE /TA</t>
  </si>
  <si>
    <t>Industry RoE</t>
  </si>
  <si>
    <t>5YrAvg WCap /TA</t>
  </si>
  <si>
    <t>5YrAvg TA Turns</t>
  </si>
  <si>
    <t>5YrAvg FA Turns</t>
  </si>
  <si>
    <t>Future Earnings Value</t>
  </si>
  <si>
    <t>SState Value/ Mcap</t>
  </si>
  <si>
    <t>Future Value /Mcap</t>
  </si>
  <si>
    <t>FY 2010</t>
  </si>
  <si>
    <t>FY 2011</t>
  </si>
  <si>
    <t>FY2012</t>
  </si>
  <si>
    <t>FY 2013</t>
  </si>
  <si>
    <t>FY 2014</t>
  </si>
  <si>
    <t>FY 2015</t>
  </si>
  <si>
    <t>FY 2016</t>
  </si>
  <si>
    <t>FY 2017</t>
  </si>
  <si>
    <t>FY 2018</t>
  </si>
  <si>
    <t>FY 2019</t>
  </si>
  <si>
    <t>CC Cycle</t>
  </si>
  <si>
    <t>Gr Margin</t>
  </si>
  <si>
    <t>Eq Dilution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</si>
</sst>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 * #,##0.00_ ;_ * \-#,##0.00_ ;_ * &quot;-&quot;??_ ;_ @_ "/>
    <numFmt numFmtId="165" formatCode="[$-409]mmm\-yy"/>
    <numFmt numFmtId="166" formatCode="_-* #,##0.00_-;\-* #,##0.00_-;_-* &quot;-&quot;??_-;_-@"/>
    <numFmt numFmtId="167" formatCode="_ * #,##0_ ;_ * \-#,##0_ ;_ * &quot;-&quot;??_ ;_ @_ "/>
    <numFmt numFmtId="168" formatCode="_(* #,##0.00_);_(* \(#,##0.00\);_(* &quot;-&quot;??_);_(@_)"/>
    <numFmt numFmtId="169" formatCode="_ * #,##0.0_ ;_ * \-#,##0.0_ ;_ * &quot;-&quot;??_ ;_ @_ "/>
    <numFmt numFmtId="170" formatCode="0.0"/>
  </numFmts>
  <fonts count="23">
    <font>
      <sz val="11.0"/>
      <color theme="1"/>
      <name val="Arial"/>
    </font>
    <font>
      <b/>
      <sz val="11.0"/>
      <color theme="1"/>
      <name val="Calibri"/>
    </font>
    <font>
      <color theme="1"/>
      <name val="Calibri"/>
    </font>
    <font>
      <b/>
      <sz val="11.0"/>
      <color rgb="FFFF0000"/>
      <name val="Calibri"/>
    </font>
    <font>
      <b/>
      <u/>
      <sz val="11.0"/>
      <color theme="1"/>
    </font>
    <font>
      <sz val="11.0"/>
      <color theme="1"/>
      <name val="Calibri"/>
    </font>
    <font>
      <b/>
      <sz val="11.0"/>
      <color theme="0"/>
      <name val="Calibri"/>
    </font>
    <font>
      <sz val="10.0"/>
      <color theme="1"/>
      <name val="Calibri"/>
    </font>
    <font>
      <sz val="11.0"/>
      <color theme="0"/>
      <name val="Calibri"/>
    </font>
    <font>
      <sz val="11.0"/>
      <color rgb="FF000000"/>
      <name val="Calibri"/>
    </font>
    <font>
      <b/>
      <sz val="20.0"/>
      <color theme="0"/>
      <name val="Arial"/>
    </font>
    <font/>
    <font>
      <sz val="10.0"/>
      <color theme="1"/>
      <name val="Arial"/>
    </font>
    <font>
      <b/>
      <sz val="12.0"/>
      <color theme="0"/>
      <name val="Arial"/>
    </font>
    <font>
      <sz val="12.0"/>
      <color theme="1"/>
      <name val="Arial"/>
    </font>
    <font>
      <i/>
      <sz val="12.0"/>
      <color theme="1"/>
      <name val="Arial"/>
    </font>
    <font>
      <b/>
      <sz val="11.0"/>
      <color rgb="FF000000"/>
      <name val="Calibri"/>
    </font>
    <font>
      <sz val="11.0"/>
      <color rgb="FFFFFFFF"/>
      <name val="Calibri"/>
    </font>
    <font>
      <b/>
      <sz val="11.0"/>
      <color rgb="FFFFFFFF"/>
      <name val="Calibri"/>
    </font>
    <font>
      <u/>
      <sz val="11.0"/>
      <color rgb="FFFF8119"/>
      <name val="Calibri"/>
    </font>
    <font>
      <sz val="10.0"/>
      <color rgb="FF000000"/>
      <name val="Calibri"/>
    </font>
    <font>
      <b/>
      <sz val="11.0"/>
      <color theme="1"/>
      <name val="Arial"/>
    </font>
    <font>
      <sz val="15.0"/>
      <color rgb="FF4A4A4A"/>
      <name val="Helvetica Neue"/>
    </font>
  </fonts>
  <fills count="21">
    <fill>
      <patternFill patternType="none"/>
    </fill>
    <fill>
      <patternFill patternType="lightGray"/>
    </fill>
    <fill>
      <patternFill patternType="solid">
        <fgColor rgb="FF0275D8"/>
        <bgColor rgb="FF0275D8"/>
      </patternFill>
    </fill>
    <fill>
      <patternFill patternType="solid">
        <fgColor rgb="FF79CBDF"/>
        <bgColor rgb="FF79CBDF"/>
      </patternFill>
    </fill>
    <fill>
      <patternFill patternType="solid">
        <fgColor rgb="FFF2A176"/>
        <bgColor rgb="FFF2A176"/>
      </patternFill>
    </fill>
    <fill>
      <patternFill patternType="solid">
        <fgColor rgb="FF008000"/>
        <bgColor rgb="FF008000"/>
      </patternFill>
    </fill>
    <fill>
      <patternFill patternType="solid">
        <fgColor theme="0"/>
        <bgColor theme="0"/>
      </patternFill>
    </fill>
    <fill>
      <patternFill patternType="solid">
        <fgColor rgb="FF0D82DF"/>
        <bgColor rgb="FF0D82DF"/>
      </patternFill>
    </fill>
    <fill>
      <patternFill patternType="solid">
        <fgColor rgb="FFF2F2F2"/>
        <bgColor rgb="FFF2F2F2"/>
      </patternFill>
    </fill>
    <fill>
      <patternFill patternType="solid">
        <fgColor rgb="FF993366"/>
        <bgColor rgb="FF993366"/>
      </patternFill>
    </fill>
    <fill>
      <patternFill patternType="solid">
        <fgColor rgb="FF808000"/>
        <bgColor rgb="FF808000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7D3C4A"/>
        <bgColor rgb="FF7D3C4A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99CC00"/>
        <bgColor rgb="FF99CC00"/>
      </patternFill>
    </fill>
    <fill>
      <patternFill patternType="solid">
        <fgColor rgb="FFBFBFBF"/>
        <bgColor rgb="FFBFBFBF"/>
      </patternFill>
    </fill>
    <fill>
      <patternFill patternType="solid">
        <fgColor rgb="FFA6DCEA"/>
        <bgColor rgb="FFA6DCEA"/>
      </patternFill>
    </fill>
    <fill>
      <patternFill patternType="solid">
        <fgColor rgb="FF7C9FCF"/>
        <bgColor rgb="FF7C9FCF"/>
      </patternFill>
    </fill>
    <fill>
      <patternFill patternType="solid">
        <fgColor rgb="FFC0C0C0"/>
        <bgColor rgb="FFC0C0C0"/>
      </patternFill>
    </fill>
  </fills>
  <borders count="46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43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1" numFmtId="0" xfId="0" applyFont="1"/>
    <xf borderId="0" fillId="0" fontId="2" numFmtId="164" xfId="0" applyFont="1" applyNumberFormat="1"/>
    <xf borderId="0" fillId="0" fontId="3" numFmtId="0" xfId="0" applyFont="1"/>
    <xf borderId="0" fillId="0" fontId="4" numFmtId="0" xfId="0" applyFont="1"/>
    <xf borderId="0" fillId="0" fontId="5" numFmtId="0" xfId="0" applyFont="1"/>
    <xf borderId="1" fillId="2" fontId="6" numFmtId="0" xfId="0" applyBorder="1" applyFill="1" applyFont="1"/>
    <xf borderId="1" fillId="2" fontId="6" numFmtId="165" xfId="0" applyAlignment="1" applyBorder="1" applyFont="1" applyNumberFormat="1">
      <alignment horizontal="center"/>
    </xf>
    <xf borderId="1" fillId="2" fontId="6" numFmtId="0" xfId="0" applyAlignment="1" applyBorder="1" applyFont="1">
      <alignment horizontal="center"/>
    </xf>
    <xf borderId="0" fillId="0" fontId="5" numFmtId="164" xfId="0" applyFont="1" applyNumberFormat="1"/>
    <xf borderId="0" fillId="0" fontId="5" numFmtId="9" xfId="0" applyFont="1" applyNumberFormat="1"/>
    <xf borderId="1" fillId="3" fontId="6" numFmtId="164" xfId="0" applyBorder="1" applyFill="1" applyFont="1" applyNumberFormat="1"/>
    <xf borderId="1" fillId="4" fontId="6" numFmtId="164" xfId="0" applyBorder="1" applyFill="1" applyFont="1" applyNumberFormat="1"/>
    <xf borderId="2" fillId="0" fontId="5" numFmtId="0" xfId="0" applyBorder="1" applyFont="1"/>
    <xf borderId="0" fillId="0" fontId="5" numFmtId="10" xfId="0" applyFont="1" applyNumberFormat="1"/>
    <xf borderId="0" fillId="0" fontId="1" numFmtId="10" xfId="0" applyFont="1" applyNumberFormat="1"/>
    <xf borderId="0" fillId="0" fontId="1" numFmtId="0" xfId="0" applyAlignment="1" applyFont="1">
      <alignment horizontal="right"/>
    </xf>
    <xf borderId="0" fillId="0" fontId="5" numFmtId="2" xfId="0" applyFont="1" applyNumberFormat="1"/>
    <xf borderId="0" fillId="0" fontId="1" numFmtId="9" xfId="0" applyFont="1" applyNumberFormat="1"/>
    <xf borderId="0" fillId="0" fontId="5" numFmtId="166" xfId="0" applyFont="1" applyNumberFormat="1"/>
    <xf borderId="1" fillId="5" fontId="6" numFmtId="165" xfId="0" applyAlignment="1" applyBorder="1" applyFill="1" applyFont="1" applyNumberFormat="1">
      <alignment horizontal="center"/>
    </xf>
    <xf borderId="0" fillId="0" fontId="7" numFmtId="0" xfId="0" applyFont="1"/>
    <xf borderId="0" fillId="0" fontId="5" numFmtId="164" xfId="0" applyAlignment="1" applyFont="1" applyNumberFormat="1">
      <alignment horizontal="center"/>
    </xf>
    <xf borderId="2" fillId="5" fontId="8" numFmtId="0" xfId="0" applyBorder="1" applyFont="1"/>
    <xf borderId="2" fillId="5" fontId="8" numFmtId="2" xfId="0" applyBorder="1" applyFont="1" applyNumberFormat="1"/>
    <xf borderId="2" fillId="0" fontId="5" numFmtId="2" xfId="0" applyBorder="1" applyFont="1" applyNumberFormat="1"/>
    <xf borderId="0" fillId="0" fontId="1" numFmtId="164" xfId="0" applyAlignment="1" applyFont="1" applyNumberFormat="1">
      <alignment horizontal="center"/>
    </xf>
    <xf borderId="0" fillId="0" fontId="1" numFmtId="2" xfId="0" applyFont="1" applyNumberFormat="1"/>
    <xf borderId="2" fillId="0" fontId="1" numFmtId="0" xfId="0" applyBorder="1" applyFont="1"/>
    <xf borderId="0" fillId="0" fontId="9" numFmtId="0" xfId="0" applyFont="1"/>
    <xf borderId="2" fillId="5" fontId="6" numFmtId="2" xfId="0" applyBorder="1" applyFont="1" applyNumberFormat="1"/>
    <xf borderId="2" fillId="6" fontId="5" numFmtId="2" xfId="0" applyBorder="1" applyFill="1" applyFont="1" applyNumberFormat="1"/>
    <xf borderId="0" fillId="0" fontId="5" numFmtId="167" xfId="0" applyFont="1" applyNumberFormat="1"/>
    <xf borderId="2" fillId="6" fontId="1" numFmtId="9" xfId="0" applyBorder="1" applyFont="1" applyNumberFormat="1"/>
    <xf borderId="0" fillId="0" fontId="9" numFmtId="10" xfId="0" applyFont="1" applyNumberFormat="1"/>
    <xf borderId="3" fillId="7" fontId="10" numFmtId="9" xfId="0" applyAlignment="1" applyBorder="1" applyFill="1" applyFont="1" applyNumberFormat="1">
      <alignment horizontal="center"/>
    </xf>
    <xf borderId="4" fillId="0" fontId="11" numFmtId="0" xfId="0" applyBorder="1" applyFont="1"/>
    <xf borderId="5" fillId="0" fontId="11" numFmtId="0" xfId="0" applyBorder="1" applyFont="1"/>
    <xf borderId="1" fillId="6" fontId="12" numFmtId="0" xfId="0" applyBorder="1" applyFont="1"/>
    <xf borderId="6" fillId="7" fontId="13" numFmtId="165" xfId="0" applyBorder="1" applyFont="1" applyNumberFormat="1"/>
    <xf borderId="2" fillId="7" fontId="13" numFmtId="165" xfId="0" applyAlignment="1" applyBorder="1" applyFont="1" applyNumberFormat="1">
      <alignment horizontal="center"/>
    </xf>
    <xf borderId="7" fillId="7" fontId="13" numFmtId="165" xfId="0" applyAlignment="1" applyBorder="1" applyFont="1" applyNumberFormat="1">
      <alignment horizontal="center"/>
    </xf>
    <xf borderId="1" fillId="6" fontId="14" numFmtId="0" xfId="0" applyBorder="1" applyFont="1"/>
    <xf borderId="8" fillId="8" fontId="14" numFmtId="0" xfId="0" applyAlignment="1" applyBorder="1" applyFill="1" applyFont="1">
      <alignment horizontal="center" shrinkToFit="0" vertical="center" wrapText="1"/>
    </xf>
    <xf borderId="9" fillId="0" fontId="11" numFmtId="0" xfId="0" applyBorder="1" applyFont="1"/>
    <xf borderId="10" fillId="0" fontId="11" numFmtId="0" xfId="0" applyBorder="1" applyFont="1"/>
    <xf borderId="6" fillId="0" fontId="14" numFmtId="9" xfId="0" applyBorder="1" applyFont="1" applyNumberFormat="1"/>
    <xf borderId="2" fillId="0" fontId="14" numFmtId="9" xfId="0" applyBorder="1" applyFont="1" applyNumberFormat="1"/>
    <xf borderId="7" fillId="0" fontId="14" numFmtId="9" xfId="0" applyBorder="1" applyFont="1" applyNumberFormat="1"/>
    <xf borderId="11" fillId="0" fontId="11" numFmtId="0" xfId="0" applyBorder="1" applyFont="1"/>
    <xf borderId="12" fillId="0" fontId="11" numFmtId="0" xfId="0" applyBorder="1" applyFont="1"/>
    <xf borderId="13" fillId="0" fontId="11" numFmtId="0" xfId="0" applyBorder="1" applyFont="1"/>
    <xf borderId="14" fillId="0" fontId="11" numFmtId="0" xfId="0" applyBorder="1" applyFont="1"/>
    <xf borderId="15" fillId="0" fontId="11" numFmtId="0" xfId="0" applyBorder="1" applyFont="1"/>
    <xf borderId="6" fillId="8" fontId="14" numFmtId="9" xfId="0" applyBorder="1" applyFont="1" applyNumberFormat="1"/>
    <xf borderId="2" fillId="8" fontId="14" numFmtId="9" xfId="0" applyBorder="1" applyFont="1" applyNumberFormat="1"/>
    <xf borderId="7" fillId="8" fontId="14" numFmtId="9" xfId="0" applyBorder="1" applyFont="1" applyNumberFormat="1"/>
    <xf borderId="16" fillId="0" fontId="14" numFmtId="9" xfId="0" applyBorder="1" applyFont="1" applyNumberFormat="1"/>
    <xf borderId="17" fillId="0" fontId="14" numFmtId="9" xfId="0" applyBorder="1" applyFont="1" applyNumberFormat="1"/>
    <xf borderId="18" fillId="0" fontId="14" numFmtId="9" xfId="0" applyBorder="1" applyFont="1" applyNumberFormat="1"/>
    <xf borderId="6" fillId="7" fontId="13" numFmtId="9" xfId="0" applyBorder="1" applyFont="1" applyNumberFormat="1"/>
    <xf borderId="2" fillId="7" fontId="13" numFmtId="9" xfId="0" applyBorder="1" applyFont="1" applyNumberFormat="1"/>
    <xf borderId="7" fillId="7" fontId="13" numFmtId="9" xfId="0" applyBorder="1" applyFont="1" applyNumberFormat="1"/>
    <xf borderId="1" fillId="6" fontId="15" numFmtId="0" xfId="0" applyBorder="1" applyFont="1"/>
    <xf borderId="0" fillId="0" fontId="12" numFmtId="0" xfId="0" applyFont="1"/>
    <xf borderId="1" fillId="2" fontId="6" numFmtId="165" xfId="0" applyAlignment="1" applyBorder="1" applyFont="1" applyNumberFormat="1">
      <alignment horizontal="center" shrinkToFit="0" wrapText="1"/>
    </xf>
    <xf borderId="19" fillId="2" fontId="6" numFmtId="165" xfId="0" applyAlignment="1" applyBorder="1" applyFont="1" applyNumberFormat="1">
      <alignment horizontal="center" shrinkToFit="0" wrapText="1"/>
    </xf>
    <xf borderId="20" fillId="2" fontId="6" numFmtId="165" xfId="0" applyAlignment="1" applyBorder="1" applyFont="1" applyNumberFormat="1">
      <alignment horizontal="center" shrinkToFit="0" wrapText="1"/>
    </xf>
    <xf borderId="2" fillId="0" fontId="16" numFmtId="0" xfId="0" applyAlignment="1" applyBorder="1" applyFont="1">
      <alignment horizontal="right"/>
    </xf>
    <xf borderId="2" fillId="9" fontId="17" numFmtId="1" xfId="0" applyBorder="1" applyFill="1" applyFont="1" applyNumberFormat="1"/>
    <xf borderId="2" fillId="9" fontId="17" numFmtId="2" xfId="0" applyBorder="1" applyFont="1" applyNumberFormat="1"/>
    <xf borderId="2" fillId="9" fontId="17" numFmtId="0" xfId="0" applyAlignment="1" applyBorder="1" applyFont="1">
      <alignment horizontal="center" shrinkToFit="0" wrapText="1"/>
    </xf>
    <xf borderId="2" fillId="9" fontId="17" numFmtId="0" xfId="0" applyAlignment="1" applyBorder="1" applyFont="1">
      <alignment horizontal="center"/>
    </xf>
    <xf borderId="2" fillId="9" fontId="17" numFmtId="0" xfId="0" applyBorder="1" applyFont="1"/>
    <xf borderId="2" fillId="9" fontId="17" numFmtId="9" xfId="0" applyAlignment="1" applyBorder="1" applyFont="1" applyNumberFormat="1">
      <alignment horizontal="center"/>
    </xf>
    <xf borderId="2" fillId="9" fontId="17" numFmtId="2" xfId="0" applyAlignment="1" applyBorder="1" applyFont="1" applyNumberFormat="1">
      <alignment horizontal="center"/>
    </xf>
    <xf borderId="2" fillId="9" fontId="17" numFmtId="10" xfId="0" applyAlignment="1" applyBorder="1" applyFont="1" applyNumberFormat="1">
      <alignment horizontal="center"/>
    </xf>
    <xf borderId="1" fillId="9" fontId="17" numFmtId="0" xfId="0" applyBorder="1" applyFont="1"/>
    <xf borderId="2" fillId="9" fontId="17" numFmtId="0" xfId="0" applyAlignment="1" applyBorder="1" applyFont="1">
      <alignment horizontal="left"/>
    </xf>
    <xf borderId="1" fillId="9" fontId="5" numFmtId="0" xfId="0" applyBorder="1" applyFont="1"/>
    <xf borderId="2" fillId="0" fontId="17" numFmtId="0" xfId="0" applyAlignment="1" applyBorder="1" applyFont="1">
      <alignment horizontal="center"/>
    </xf>
    <xf borderId="0" fillId="0" fontId="5" numFmtId="0" xfId="0" applyAlignment="1" applyFont="1">
      <alignment horizontal="left"/>
    </xf>
    <xf borderId="21" fillId="0" fontId="5" numFmtId="0" xfId="0" applyAlignment="1" applyBorder="1" applyFont="1">
      <alignment horizontal="left"/>
    </xf>
    <xf borderId="22" fillId="0" fontId="1" numFmtId="0" xfId="0" applyAlignment="1" applyBorder="1" applyFont="1">
      <alignment horizontal="right"/>
    </xf>
    <xf borderId="22" fillId="10" fontId="18" numFmtId="10" xfId="0" applyBorder="1" applyFill="1" applyFont="1" applyNumberFormat="1"/>
    <xf borderId="2" fillId="2" fontId="6" numFmtId="165" xfId="0" applyAlignment="1" applyBorder="1" applyFont="1" applyNumberFormat="1">
      <alignment horizontal="center"/>
    </xf>
    <xf borderId="22" fillId="9" fontId="18" numFmtId="2" xfId="0" applyBorder="1" applyFont="1" applyNumberFormat="1"/>
    <xf borderId="23" fillId="9" fontId="18" numFmtId="2" xfId="0" applyBorder="1" applyFont="1" applyNumberFormat="1"/>
    <xf borderId="2" fillId="9" fontId="18" numFmtId="2" xfId="0" applyBorder="1" applyFont="1" applyNumberFormat="1"/>
    <xf borderId="22" fillId="11" fontId="1" numFmtId="0" xfId="0" applyAlignment="1" applyBorder="1" applyFill="1" applyFont="1">
      <alignment horizontal="right"/>
    </xf>
    <xf borderId="22" fillId="9" fontId="18" numFmtId="10" xfId="0" applyBorder="1" applyFont="1" applyNumberFormat="1"/>
    <xf borderId="23" fillId="9" fontId="18" numFmtId="10" xfId="0" applyBorder="1" applyFont="1" applyNumberFormat="1"/>
    <xf borderId="22" fillId="9" fontId="18" numFmtId="1" xfId="0" applyBorder="1" applyFont="1" applyNumberFormat="1"/>
    <xf borderId="23" fillId="9" fontId="18" numFmtId="1" xfId="0" applyBorder="1" applyFont="1" applyNumberFormat="1"/>
    <xf borderId="22" fillId="9" fontId="18" numFmtId="167" xfId="0" applyBorder="1" applyFont="1" applyNumberFormat="1"/>
    <xf borderId="23" fillId="9" fontId="18" numFmtId="167" xfId="0" applyBorder="1" applyFont="1" applyNumberFormat="1"/>
    <xf borderId="24" fillId="12" fontId="5" numFmtId="0" xfId="0" applyAlignment="1" applyBorder="1" applyFill="1" applyFont="1">
      <alignment horizontal="right"/>
    </xf>
    <xf borderId="25" fillId="0" fontId="11" numFmtId="0" xfId="0" applyBorder="1" applyFont="1"/>
    <xf borderId="22" fillId="10" fontId="17" numFmtId="10" xfId="0" applyAlignment="1" applyBorder="1" applyFont="1" applyNumberFormat="1">
      <alignment horizontal="right"/>
    </xf>
    <xf borderId="23" fillId="10" fontId="17" numFmtId="10" xfId="0" applyAlignment="1" applyBorder="1" applyFont="1" applyNumberFormat="1">
      <alignment horizontal="right"/>
    </xf>
    <xf borderId="2" fillId="0" fontId="5" numFmtId="10" xfId="0" applyBorder="1" applyFont="1" applyNumberFormat="1"/>
    <xf borderId="23" fillId="10" fontId="18" numFmtId="10" xfId="0" applyBorder="1" applyFont="1" applyNumberFormat="1"/>
    <xf borderId="2" fillId="10" fontId="18" numFmtId="10" xfId="0" applyBorder="1" applyFont="1" applyNumberFormat="1"/>
    <xf borderId="22" fillId="0" fontId="5" numFmtId="0" xfId="0" applyAlignment="1" applyBorder="1" applyFont="1">
      <alignment horizontal="left"/>
    </xf>
    <xf borderId="22" fillId="0" fontId="5" numFmtId="2" xfId="0" applyAlignment="1" applyBorder="1" applyFont="1" applyNumberFormat="1">
      <alignment horizontal="right"/>
    </xf>
    <xf borderId="24" fillId="0" fontId="5" numFmtId="2" xfId="0" applyAlignment="1" applyBorder="1" applyFont="1" applyNumberFormat="1">
      <alignment horizontal="right"/>
    </xf>
    <xf borderId="22" fillId="0" fontId="5" numFmtId="0" xfId="0" applyBorder="1" applyFont="1"/>
    <xf borderId="22" fillId="0" fontId="5" numFmtId="10" xfId="0" applyBorder="1" applyFont="1" applyNumberFormat="1"/>
    <xf borderId="24" fillId="0" fontId="5" numFmtId="10" xfId="0" applyBorder="1" applyFont="1" applyNumberFormat="1"/>
    <xf borderId="22" fillId="0" fontId="5" numFmtId="2" xfId="0" applyBorder="1" applyFont="1" applyNumberFormat="1"/>
    <xf borderId="24" fillId="0" fontId="5" numFmtId="2" xfId="0" applyBorder="1" applyFont="1" applyNumberFormat="1"/>
    <xf borderId="22" fillId="0" fontId="5" numFmtId="1" xfId="0" applyBorder="1" applyFont="1" applyNumberFormat="1"/>
    <xf borderId="24" fillId="0" fontId="5" numFmtId="1" xfId="0" applyBorder="1" applyFont="1" applyNumberFormat="1"/>
    <xf borderId="2" fillId="0" fontId="5" numFmtId="1" xfId="0" applyBorder="1" applyFont="1" applyNumberFormat="1"/>
    <xf borderId="26" fillId="0" fontId="5" numFmtId="1" xfId="0" applyBorder="1" applyFont="1" applyNumberFormat="1"/>
    <xf borderId="26" fillId="0" fontId="5" numFmtId="2" xfId="0" applyBorder="1" applyFont="1" applyNumberFormat="1"/>
    <xf borderId="2" fillId="0" fontId="5" numFmtId="9" xfId="0" applyBorder="1" applyFont="1" applyNumberFormat="1"/>
    <xf borderId="0" fillId="0" fontId="1" numFmtId="164" xfId="0" applyAlignment="1" applyFont="1" applyNumberFormat="1">
      <alignment vertical="bottom"/>
    </xf>
    <xf borderId="2" fillId="0" fontId="1" numFmtId="164" xfId="0" applyAlignment="1" applyBorder="1" applyFont="1" applyNumberFormat="1">
      <alignment shrinkToFit="0" vertical="bottom" wrapText="0"/>
    </xf>
    <xf borderId="26" fillId="0" fontId="19" numFmtId="164" xfId="0" applyAlignment="1" applyBorder="1" applyFont="1" applyNumberFormat="1">
      <alignment horizontal="center" vertical="bottom"/>
    </xf>
    <xf borderId="27" fillId="0" fontId="11" numFmtId="0" xfId="0" applyBorder="1" applyFont="1"/>
    <xf borderId="28" fillId="0" fontId="11" numFmtId="0" xfId="0" applyBorder="1" applyFont="1"/>
    <xf borderId="0" fillId="0" fontId="5" numFmtId="164" xfId="0" applyAlignment="1" applyFont="1" applyNumberFormat="1">
      <alignment horizontal="right" vertical="bottom"/>
    </xf>
    <xf borderId="0" fillId="0" fontId="5" numFmtId="164" xfId="0" applyAlignment="1" applyFont="1" applyNumberFormat="1">
      <alignment vertical="bottom"/>
    </xf>
    <xf borderId="2" fillId="0" fontId="5" numFmtId="164" xfId="0" applyAlignment="1" applyBorder="1" applyFont="1" applyNumberFormat="1">
      <alignment vertical="bottom"/>
    </xf>
    <xf borderId="26" fillId="13" fontId="18" numFmtId="164" xfId="0" applyAlignment="1" applyBorder="1" applyFill="1" applyFont="1" applyNumberFormat="1">
      <alignment horizontal="center" vertical="bottom"/>
    </xf>
    <xf borderId="0" fillId="0" fontId="5" numFmtId="0" xfId="0" applyAlignment="1" applyFont="1">
      <alignment horizontal="right" vertical="bottom"/>
    </xf>
    <xf borderId="2" fillId="0" fontId="1" numFmtId="164" xfId="0" applyAlignment="1" applyBorder="1" applyFont="1" applyNumberFormat="1">
      <alignment vertical="bottom"/>
    </xf>
    <xf borderId="2" fillId="2" fontId="18" numFmtId="165" xfId="0" applyAlignment="1" applyBorder="1" applyFont="1" applyNumberFormat="1">
      <alignment vertical="bottom"/>
    </xf>
    <xf borderId="2" fillId="2" fontId="18" numFmtId="165" xfId="0" applyAlignment="1" applyBorder="1" applyFont="1" applyNumberFormat="1">
      <alignment horizontal="center" vertical="bottom"/>
    </xf>
    <xf borderId="0" fillId="0" fontId="5" numFmtId="165" xfId="0" applyAlignment="1" applyFont="1" applyNumberFormat="1">
      <alignment vertical="bottom"/>
    </xf>
    <xf borderId="0" fillId="0" fontId="5" numFmtId="168" xfId="0" applyAlignment="1" applyFont="1" applyNumberFormat="1">
      <alignment horizontal="right" vertical="bottom"/>
    </xf>
    <xf borderId="2" fillId="0" fontId="7" numFmtId="0" xfId="0" applyBorder="1" applyFont="1"/>
    <xf borderId="2" fillId="0" fontId="7" numFmtId="164" xfId="0" applyBorder="1" applyFont="1" applyNumberFormat="1"/>
    <xf borderId="2" fillId="0" fontId="7" numFmtId="2" xfId="0" applyBorder="1" applyFont="1" applyNumberFormat="1"/>
    <xf borderId="26" fillId="0" fontId="5" numFmtId="0" xfId="0" applyBorder="1" applyFont="1"/>
    <xf borderId="26" fillId="0" fontId="7" numFmtId="0" xfId="0" applyBorder="1" applyFont="1"/>
    <xf borderId="26" fillId="0" fontId="7" numFmtId="2" xfId="0" applyBorder="1" applyFont="1" applyNumberFormat="1"/>
    <xf borderId="2" fillId="0" fontId="7" numFmtId="9" xfId="0" applyBorder="1" applyFont="1" applyNumberFormat="1"/>
    <xf borderId="26" fillId="0" fontId="7" numFmtId="9" xfId="0" applyBorder="1" applyFont="1" applyNumberFormat="1"/>
    <xf borderId="2" fillId="0" fontId="20" numFmtId="9" xfId="0" applyBorder="1" applyFont="1" applyNumberFormat="1"/>
    <xf borderId="26" fillId="0" fontId="20" numFmtId="9" xfId="0" applyBorder="1" applyFont="1" applyNumberFormat="1"/>
    <xf borderId="28" fillId="0" fontId="7" numFmtId="0" xfId="0" applyBorder="1" applyFont="1"/>
    <xf borderId="2" fillId="0" fontId="7" numFmtId="0" xfId="0" applyAlignment="1" applyBorder="1" applyFont="1">
      <alignment horizontal="left"/>
    </xf>
    <xf borderId="2" fillId="0" fontId="7" numFmtId="10" xfId="0" applyBorder="1" applyFont="1" applyNumberFormat="1"/>
    <xf borderId="0" fillId="0" fontId="7" numFmtId="2" xfId="0" applyFont="1" applyNumberFormat="1"/>
    <xf borderId="2" fillId="2" fontId="6" numFmtId="165" xfId="0" applyBorder="1" applyFont="1" applyNumberFormat="1"/>
    <xf borderId="2" fillId="0" fontId="5" numFmtId="164" xfId="0" applyBorder="1" applyFont="1" applyNumberFormat="1"/>
    <xf borderId="2" fillId="14" fontId="5" numFmtId="0" xfId="0" applyBorder="1" applyFill="1" applyFont="1"/>
    <xf borderId="2" fillId="14" fontId="5" numFmtId="10" xfId="0" applyBorder="1" applyFont="1" applyNumberFormat="1"/>
    <xf borderId="2" fillId="15" fontId="5" numFmtId="164" xfId="0" applyBorder="1" applyFill="1" applyFont="1" applyNumberFormat="1"/>
    <xf borderId="2" fillId="15" fontId="5" numFmtId="10" xfId="0" applyBorder="1" applyFont="1" applyNumberFormat="1"/>
    <xf borderId="0" fillId="0" fontId="2" numFmtId="0" xfId="0" applyFont="1"/>
    <xf borderId="2" fillId="5" fontId="8" numFmtId="10" xfId="0" applyBorder="1" applyFont="1" applyNumberFormat="1"/>
    <xf borderId="2" fillId="15" fontId="5" numFmtId="0" xfId="0" applyBorder="1" applyFont="1"/>
    <xf borderId="2" fillId="15" fontId="5" numFmtId="2" xfId="0" applyBorder="1" applyFont="1" applyNumberFormat="1"/>
    <xf borderId="2" fillId="0" fontId="5" numFmtId="169" xfId="0" applyBorder="1" applyFont="1" applyNumberFormat="1"/>
    <xf borderId="26" fillId="2" fontId="6" numFmtId="165" xfId="0" applyAlignment="1" applyBorder="1" applyFont="1" applyNumberFormat="1">
      <alignment horizontal="center"/>
    </xf>
    <xf borderId="2" fillId="16" fontId="7" numFmtId="9" xfId="0" applyAlignment="1" applyBorder="1" applyFill="1" applyFont="1" applyNumberFormat="1">
      <alignment horizontal="center"/>
    </xf>
    <xf borderId="26" fillId="0" fontId="5" numFmtId="0" xfId="0" applyAlignment="1" applyBorder="1" applyFont="1">
      <alignment horizontal="right"/>
    </xf>
    <xf borderId="2" fillId="0" fontId="1" numFmtId="0" xfId="0" applyAlignment="1" applyBorder="1" applyFont="1">
      <alignment horizontal="right"/>
    </xf>
    <xf borderId="2" fillId="0" fontId="1" numFmtId="10" xfId="0" applyBorder="1" applyFont="1" applyNumberFormat="1"/>
    <xf borderId="2" fillId="0" fontId="5" numFmtId="164" xfId="0" applyAlignment="1" applyBorder="1" applyFont="1" applyNumberFormat="1">
      <alignment horizontal="center"/>
    </xf>
    <xf borderId="26" fillId="17" fontId="5" numFmtId="0" xfId="0" applyAlignment="1" applyBorder="1" applyFill="1" applyFont="1">
      <alignment horizontal="center"/>
    </xf>
    <xf borderId="2" fillId="0" fontId="5" numFmtId="2" xfId="0" applyAlignment="1" applyBorder="1" applyFont="1" applyNumberFormat="1">
      <alignment horizontal="center"/>
    </xf>
    <xf borderId="2" fillId="0" fontId="5" numFmtId="0" xfId="0" applyAlignment="1" applyBorder="1" applyFont="1">
      <alignment horizontal="center"/>
    </xf>
    <xf borderId="1" fillId="17" fontId="1" numFmtId="0" xfId="0" applyAlignment="1" applyBorder="1" applyFont="1">
      <alignment horizontal="right"/>
    </xf>
    <xf borderId="29" fillId="17" fontId="5" numFmtId="0" xfId="0" applyAlignment="1" applyBorder="1" applyFont="1">
      <alignment horizontal="center"/>
    </xf>
    <xf borderId="30" fillId="17" fontId="5" numFmtId="0" xfId="0" applyAlignment="1" applyBorder="1" applyFont="1">
      <alignment horizontal="center"/>
    </xf>
    <xf borderId="2" fillId="0" fontId="5" numFmtId="0" xfId="0" applyAlignment="1" applyBorder="1" applyFont="1">
      <alignment horizontal="right"/>
    </xf>
    <xf borderId="2" fillId="0" fontId="5" numFmtId="4" xfId="0" applyBorder="1" applyFont="1" applyNumberFormat="1"/>
    <xf borderId="2" fillId="17" fontId="5" numFmtId="0" xfId="0" applyBorder="1" applyFont="1"/>
    <xf borderId="0" fillId="0" fontId="5" numFmtId="0" xfId="0" applyAlignment="1" applyFont="1">
      <alignment horizontal="right"/>
    </xf>
    <xf borderId="0" fillId="0" fontId="5" numFmtId="4" xfId="0" applyFont="1" applyNumberFormat="1"/>
    <xf borderId="0" fillId="0" fontId="2" numFmtId="4" xfId="0" applyFont="1" applyNumberFormat="1"/>
    <xf borderId="2" fillId="2" fontId="6" numFmtId="165" xfId="0" applyAlignment="1" applyBorder="1" applyFont="1" applyNumberFormat="1">
      <alignment horizontal="left"/>
    </xf>
    <xf borderId="31" fillId="2" fontId="6" numFmtId="165" xfId="0" applyAlignment="1" applyBorder="1" applyFont="1" applyNumberFormat="1">
      <alignment horizontal="center"/>
    </xf>
    <xf borderId="32" fillId="0" fontId="11" numFmtId="0" xfId="0" applyBorder="1" applyFont="1"/>
    <xf borderId="2" fillId="6" fontId="1" numFmtId="165" xfId="0" applyAlignment="1" applyBorder="1" applyFont="1" applyNumberFormat="1">
      <alignment horizontal="center"/>
    </xf>
    <xf borderId="2" fillId="6" fontId="5" numFmtId="164" xfId="0" applyBorder="1" applyFont="1" applyNumberFormat="1"/>
    <xf borderId="2" fillId="6" fontId="5" numFmtId="10" xfId="0" applyBorder="1" applyFont="1" applyNumberFormat="1"/>
    <xf borderId="2" fillId="5" fontId="8" numFmtId="168" xfId="0" applyBorder="1" applyFont="1" applyNumberFormat="1"/>
    <xf borderId="2" fillId="18" fontId="5" numFmtId="0" xfId="0" applyBorder="1" applyFill="1" applyFont="1"/>
    <xf borderId="2" fillId="18" fontId="5" numFmtId="10" xfId="0" applyBorder="1" applyFont="1" applyNumberFormat="1"/>
    <xf borderId="2" fillId="14" fontId="5" numFmtId="2" xfId="0" applyBorder="1" applyFont="1" applyNumberFormat="1"/>
    <xf borderId="2" fillId="4" fontId="5" numFmtId="0" xfId="0" applyBorder="1" applyFont="1"/>
    <xf borderId="2" fillId="4" fontId="5" numFmtId="2" xfId="0" applyBorder="1" applyFont="1" applyNumberFormat="1"/>
    <xf borderId="2" fillId="19" fontId="5" numFmtId="0" xfId="0" applyBorder="1" applyFill="1" applyFont="1"/>
    <xf borderId="2" fillId="19" fontId="5" numFmtId="9" xfId="0" applyBorder="1" applyFont="1" applyNumberFormat="1"/>
    <xf borderId="2" fillId="0" fontId="5" numFmtId="167" xfId="0" applyBorder="1" applyFont="1" applyNumberFormat="1"/>
    <xf borderId="2" fillId="0" fontId="1" numFmtId="165" xfId="0" applyBorder="1" applyFont="1" applyNumberFormat="1"/>
    <xf borderId="2" fillId="0" fontId="5" numFmtId="166" xfId="0" applyBorder="1" applyFont="1" applyNumberFormat="1"/>
    <xf borderId="26" fillId="20" fontId="1" numFmtId="164" xfId="0" applyAlignment="1" applyBorder="1" applyFill="1" applyFont="1" applyNumberFormat="1">
      <alignment horizontal="left" shrinkToFit="0" wrapText="1"/>
    </xf>
    <xf borderId="3" fillId="0" fontId="5" numFmtId="0" xfId="0" applyAlignment="1" applyBorder="1" applyFont="1">
      <alignment horizontal="left"/>
    </xf>
    <xf borderId="26" fillId="20" fontId="1" numFmtId="0" xfId="0" applyAlignment="1" applyBorder="1" applyFont="1">
      <alignment horizontal="center"/>
    </xf>
    <xf borderId="0" fillId="0" fontId="21" numFmtId="0" xfId="0" applyFont="1"/>
    <xf borderId="33" fillId="20" fontId="1" numFmtId="0" xfId="0" applyAlignment="1" applyBorder="1" applyFont="1">
      <alignment horizontal="left"/>
    </xf>
    <xf borderId="34" fillId="20" fontId="1" numFmtId="0" xfId="0" applyAlignment="1" applyBorder="1" applyFont="1">
      <alignment horizontal="left"/>
    </xf>
    <xf borderId="2" fillId="6" fontId="5" numFmtId="0" xfId="0" applyBorder="1" applyFont="1"/>
    <xf borderId="26" fillId="0" fontId="5" numFmtId="0" xfId="0" applyAlignment="1" applyBorder="1" applyFont="1">
      <alignment horizontal="center"/>
    </xf>
    <xf borderId="26" fillId="0" fontId="5" numFmtId="0" xfId="0" applyAlignment="1" applyBorder="1" applyFont="1">
      <alignment horizontal="left"/>
    </xf>
    <xf borderId="26" fillId="20" fontId="5" numFmtId="0" xfId="0" applyAlignment="1" applyBorder="1" applyFont="1">
      <alignment horizontal="center"/>
    </xf>
    <xf borderId="2" fillId="0" fontId="0" numFmtId="2" xfId="0" applyBorder="1" applyFont="1" applyNumberFormat="1"/>
    <xf borderId="2" fillId="0" fontId="0" numFmtId="10" xfId="0" applyBorder="1" applyFont="1" applyNumberFormat="1"/>
    <xf borderId="2" fillId="14" fontId="1" numFmtId="10" xfId="0" applyBorder="1" applyFont="1" applyNumberFormat="1"/>
    <xf borderId="26" fillId="14" fontId="1" numFmtId="0" xfId="0" applyAlignment="1" applyBorder="1" applyFont="1">
      <alignment horizontal="left"/>
    </xf>
    <xf borderId="0" fillId="0" fontId="7" numFmtId="0" xfId="0" applyAlignment="1" applyFont="1">
      <alignment horizontal="right"/>
    </xf>
    <xf borderId="2" fillId="16" fontId="7" numFmtId="9" xfId="0" applyBorder="1" applyFont="1" applyNumberFormat="1"/>
    <xf borderId="35" fillId="0" fontId="5" numFmtId="0" xfId="0" applyAlignment="1" applyBorder="1" applyFont="1">
      <alignment horizontal="center"/>
    </xf>
    <xf borderId="36" fillId="0" fontId="11" numFmtId="0" xfId="0" applyBorder="1" applyFont="1"/>
    <xf borderId="37" fillId="0" fontId="11" numFmtId="0" xfId="0" applyBorder="1" applyFont="1"/>
    <xf borderId="38" fillId="0" fontId="5" numFmtId="0" xfId="0" applyAlignment="1" applyBorder="1" applyFont="1">
      <alignment horizontal="center"/>
    </xf>
    <xf borderId="39" fillId="0" fontId="11" numFmtId="0" xfId="0" applyBorder="1" applyFont="1"/>
    <xf borderId="2" fillId="16" fontId="1" numFmtId="9" xfId="0" applyBorder="1" applyFont="1" applyNumberFormat="1"/>
    <xf borderId="40" fillId="0" fontId="5" numFmtId="0" xfId="0" applyAlignment="1" applyBorder="1" applyFont="1">
      <alignment horizontal="center"/>
    </xf>
    <xf borderId="41" fillId="0" fontId="11" numFmtId="0" xfId="0" applyBorder="1" applyFont="1"/>
    <xf borderId="42" fillId="0" fontId="11" numFmtId="0" xfId="0" applyBorder="1" applyFont="1"/>
    <xf borderId="2" fillId="0" fontId="5" numFmtId="10" xfId="0" applyAlignment="1" applyBorder="1" applyFont="1" applyNumberFormat="1">
      <alignment horizontal="right"/>
    </xf>
    <xf borderId="27" fillId="0" fontId="5" numFmtId="0" xfId="0" applyAlignment="1" applyBorder="1" applyFont="1">
      <alignment horizontal="center"/>
    </xf>
    <xf borderId="2" fillId="0" fontId="5" numFmtId="0" xfId="0" applyAlignment="1" applyBorder="1" applyFont="1">
      <alignment horizontal="center" vertical="center"/>
    </xf>
    <xf borderId="28" fillId="0" fontId="5" numFmtId="10" xfId="0" applyAlignment="1" applyBorder="1" applyFont="1" applyNumberFormat="1">
      <alignment horizontal="right"/>
    </xf>
    <xf borderId="0" fillId="0" fontId="5" numFmtId="1" xfId="0" applyFont="1" applyNumberFormat="1"/>
    <xf borderId="2" fillId="14" fontId="1" numFmtId="0" xfId="0" applyAlignment="1" applyBorder="1" applyFont="1">
      <alignment horizontal="left"/>
    </xf>
    <xf borderId="35" fillId="0" fontId="5" numFmtId="0" xfId="0" applyAlignment="1" applyBorder="1" applyFont="1">
      <alignment horizontal="left"/>
    </xf>
    <xf borderId="2" fillId="0" fontId="5" numFmtId="170" xfId="0" applyAlignment="1" applyBorder="1" applyFont="1" applyNumberFormat="1">
      <alignment horizontal="right"/>
    </xf>
    <xf borderId="2" fillId="16" fontId="1" numFmtId="1" xfId="0" applyBorder="1" applyFont="1" applyNumberFormat="1"/>
    <xf borderId="2" fillId="16" fontId="5" numFmtId="9" xfId="0" applyBorder="1" applyFont="1" applyNumberFormat="1"/>
    <xf borderId="2" fillId="0" fontId="5" numFmtId="10" xfId="0" applyAlignment="1" applyBorder="1" applyFont="1" applyNumberFormat="1">
      <alignment horizontal="center"/>
    </xf>
    <xf borderId="2" fillId="0" fontId="1" numFmtId="10" xfId="0" applyAlignment="1" applyBorder="1" applyFont="1" applyNumberFormat="1">
      <alignment horizontal="right"/>
    </xf>
    <xf borderId="43" fillId="2" fontId="6" numFmtId="165" xfId="0" applyAlignment="1" applyBorder="1" applyFont="1" applyNumberFormat="1">
      <alignment horizontal="center"/>
    </xf>
    <xf borderId="44" fillId="0" fontId="11" numFmtId="0" xfId="0" applyBorder="1" applyFont="1"/>
    <xf borderId="0" fillId="0" fontId="5" numFmtId="0" xfId="0" applyAlignment="1" applyFont="1">
      <alignment horizontal="center"/>
    </xf>
    <xf borderId="39" fillId="0" fontId="5" numFmtId="0" xfId="0" applyAlignment="1" applyBorder="1" applyFont="1">
      <alignment horizontal="center"/>
    </xf>
    <xf borderId="0" fillId="0" fontId="22" numFmtId="0" xfId="0" applyFont="1"/>
    <xf borderId="2" fillId="0" fontId="5" numFmtId="0" xfId="0" applyAlignment="1" applyBorder="1" applyFont="1">
      <alignment horizontal="center" shrinkToFit="0" wrapText="1"/>
    </xf>
    <xf borderId="2" fillId="0" fontId="5" numFmtId="9" xfId="0" applyAlignment="1" applyBorder="1" applyFont="1" applyNumberFormat="1">
      <alignment horizontal="center"/>
    </xf>
    <xf borderId="2" fillId="0" fontId="5" numFmtId="0" xfId="0" applyAlignment="1" applyBorder="1" applyFont="1">
      <alignment shrinkToFit="0" wrapText="1"/>
    </xf>
    <xf borderId="45" fillId="0" fontId="5" numFmtId="0" xfId="0" applyAlignment="1" applyBorder="1" applyFont="1">
      <alignment horizontal="center"/>
    </xf>
    <xf borderId="45" fillId="0" fontId="5" numFmtId="9" xfId="0" applyAlignment="1" applyBorder="1" applyFont="1" applyNumberFormat="1">
      <alignment horizontal="center"/>
    </xf>
    <xf borderId="45" fillId="0" fontId="5" numFmtId="2" xfId="0" applyAlignment="1" applyBorder="1" applyFont="1" applyNumberFormat="1">
      <alignment horizontal="center"/>
    </xf>
    <xf borderId="2" fillId="0" fontId="5" numFmtId="1" xfId="0" applyAlignment="1" applyBorder="1" applyFont="1" applyNumberFormat="1">
      <alignment horizontal="center"/>
    </xf>
    <xf borderId="39" fillId="0" fontId="5" numFmtId="0" xfId="0" applyBorder="1" applyFont="1"/>
  </cellXfs>
  <cellStyles count="1">
    <cellStyle xfId="0" name="Normal" builtinId="0"/>
  </cellStyles>
  <dxfs count="5">
    <dxf>
      <font>
        <b/>
        <color theme="0"/>
      </font>
      <fill>
        <patternFill patternType="solid">
          <fgColor theme="5"/>
          <bgColor theme="5"/>
        </patternFill>
      </fill>
      <border/>
    </dxf>
    <dxf>
      <font>
        <color theme="0"/>
      </font>
      <fill>
        <patternFill patternType="solid">
          <fgColor rgb="FFEB757B"/>
          <bgColor rgb="FFEB757B"/>
        </patternFill>
      </fill>
      <border/>
    </dxf>
    <dxf>
      <font>
        <color theme="0"/>
      </font>
      <fill>
        <patternFill patternType="solid">
          <fgColor rgb="FF008000"/>
          <bgColor rgb="FF008000"/>
        </patternFill>
      </fill>
      <border/>
    </dxf>
    <dxf>
      <font>
        <color theme="0"/>
      </font>
      <fill>
        <patternFill patternType="solid">
          <fgColor theme="5"/>
          <bgColor theme="5"/>
        </patternFill>
      </fill>
      <border/>
    </dxf>
    <dxf>
      <font>
        <color rgb="FF9C0006"/>
      </font>
      <fill>
        <patternFill patternType="solid">
          <fgColor rgb="FF008000"/>
          <bgColor rgb="FF008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hyperlink" Target="#Summary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-19050</xdr:colOff>
      <xdr:row>35</xdr:row>
      <xdr:rowOff>-19050</xdr:rowOff>
    </xdr:from>
    <xdr:ext cx="1866900" cy="409575"/>
    <xdr:sp>
      <xdr:nvSpPr>
        <xdr:cNvPr id="3" name="Shape 3">
          <a:hlinkClick r:id="rId1"/>
        </xdr:cNvPr>
        <xdr:cNvSpPr/>
      </xdr:nvSpPr>
      <xdr:spPr>
        <a:xfrm>
          <a:off x="4422075" y="3584738"/>
          <a:ext cx="1847850" cy="390525"/>
        </a:xfrm>
        <a:prstGeom prst="rect">
          <a:avLst/>
        </a:prstGeom>
        <a:solidFill>
          <a:srgbClr val="0D82DF"/>
        </a:solidFill>
        <a:ln cap="flat" cmpd="sng" w="25400">
          <a:solidFill>
            <a:srgbClr val="20768B"/>
          </a:solidFill>
          <a:prstDash val="solid"/>
          <a:round/>
          <a:headEnd len="sm" w="sm" type="none"/>
          <a:tailEnd len="sm" w="sm" type="none"/>
        </a:ln>
      </xdr:spPr>
      <xdr:txBody>
        <a:bodyPr anchorCtr="1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500"/>
            <a:buFont typeface="Arial"/>
            <a:buNone/>
          </a:pPr>
          <a:r>
            <a:rPr b="1" lang="en-US" sz="15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Go to Main Sheet</a:t>
          </a: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FF8119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screener.in/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screener.in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screener.in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www.screener.in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2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2.63" defaultRowHeight="15.0"/>
  <cols>
    <col customWidth="1" min="1" max="1" width="26.0"/>
    <col customWidth="1" min="2" max="6" width="11.75"/>
    <col customWidth="1" min="7" max="7" width="13.0"/>
    <col customWidth="1" min="8" max="11" width="11.75"/>
    <col customWidth="1" min="12" max="12" width="11.63"/>
    <col customWidth="1" min="13" max="14" width="10.63"/>
    <col customWidth="1" min="15" max="26" width="7.75"/>
  </cols>
  <sheetData>
    <row r="1" ht="13.5" customHeight="1">
      <c r="A1" s="1" t="str">
        <f>'Data Sheet'!B1</f>
        <v>ASIAN PAINTS LTD</v>
      </c>
      <c r="B1" s="2"/>
      <c r="C1" s="2"/>
      <c r="D1" s="2"/>
      <c r="E1" s="2"/>
      <c r="F1" s="2"/>
      <c r="G1" s="2"/>
      <c r="H1" s="3" t="str">
        <f>UPDATE</f>
        <v/>
      </c>
      <c r="I1" s="2"/>
      <c r="J1" s="4"/>
      <c r="K1" s="4"/>
      <c r="L1" s="2"/>
      <c r="M1" s="5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3.5" customHeight="1">
      <c r="A3" s="7" t="s">
        <v>1</v>
      </c>
      <c r="B3" s="8">
        <f>'Data Sheet'!B16</f>
        <v>40633</v>
      </c>
      <c r="C3" s="8">
        <f>'Data Sheet'!C16</f>
        <v>40999</v>
      </c>
      <c r="D3" s="8">
        <f>'Data Sheet'!D16</f>
        <v>41364</v>
      </c>
      <c r="E3" s="8">
        <f>'Data Sheet'!E16</f>
        <v>41729</v>
      </c>
      <c r="F3" s="8">
        <f>'Data Sheet'!F16</f>
        <v>42094</v>
      </c>
      <c r="G3" s="8">
        <f>'Data Sheet'!G16</f>
        <v>42460</v>
      </c>
      <c r="H3" s="8">
        <f>'Data Sheet'!H16</f>
        <v>42825</v>
      </c>
      <c r="I3" s="8">
        <f>'Data Sheet'!I16</f>
        <v>43190</v>
      </c>
      <c r="J3" s="8">
        <f>'Data Sheet'!J16</f>
        <v>43555</v>
      </c>
      <c r="K3" s="8">
        <f>'Data Sheet'!K16</f>
        <v>43921</v>
      </c>
      <c r="L3" s="9" t="s">
        <v>2</v>
      </c>
      <c r="M3" s="9" t="s">
        <v>3</v>
      </c>
      <c r="N3" s="9" t="s">
        <v>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2" t="s">
        <v>5</v>
      </c>
      <c r="B4" s="1">
        <f>'Data Sheet'!B17</f>
        <v>7402.91</v>
      </c>
      <c r="C4" s="1">
        <f>'Data Sheet'!C17</f>
        <v>9231.25</v>
      </c>
      <c r="D4" s="1">
        <f>'Data Sheet'!D17</f>
        <v>10503.91</v>
      </c>
      <c r="E4" s="1">
        <f>'Data Sheet'!E17</f>
        <v>12220.37</v>
      </c>
      <c r="F4" s="1">
        <f>'Data Sheet'!F17</f>
        <v>13615.26</v>
      </c>
      <c r="G4" s="1">
        <f>'Data Sheet'!G17</f>
        <v>14271.49</v>
      </c>
      <c r="H4" s="1">
        <f>'Data Sheet'!H17</f>
        <v>15061.99</v>
      </c>
      <c r="I4" s="1">
        <f>'Data Sheet'!I17</f>
        <v>16824.55</v>
      </c>
      <c r="J4" s="1">
        <f>'Data Sheet'!J17</f>
        <v>19240.13</v>
      </c>
      <c r="K4" s="1">
        <f>'Data Sheet'!K17</f>
        <v>20211.25</v>
      </c>
      <c r="L4" s="1">
        <f>SUM(Quarters!H4:K4)</f>
        <v>18328.76</v>
      </c>
      <c r="M4" s="1">
        <f t="shared" ref="M4:N4" si="1">$K4+M27*K4</f>
        <v>22292.73981</v>
      </c>
      <c r="N4" s="1">
        <f t="shared" si="1"/>
        <v>21136.36981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6" t="s">
        <v>6</v>
      </c>
      <c r="B5" s="10">
        <f>SUM('Data Sheet'!B18,'Data Sheet'!B20:B24, -1*'Data Sheet'!B19)</f>
        <v>6072.04</v>
      </c>
      <c r="C5" s="10">
        <f>SUM('Data Sheet'!C18,'Data Sheet'!C20:C24, -1*'Data Sheet'!C19)</f>
        <v>7720.07</v>
      </c>
      <c r="D5" s="10">
        <f>SUM('Data Sheet'!D18,'Data Sheet'!D20:D24, -1*'Data Sheet'!D19)</f>
        <v>8766.52</v>
      </c>
      <c r="E5" s="10">
        <f>SUM('Data Sheet'!E18,'Data Sheet'!E20:E24, -1*'Data Sheet'!E19)</f>
        <v>10226.67</v>
      </c>
      <c r="F5" s="10">
        <f>SUM('Data Sheet'!F18,'Data Sheet'!F20:F24, -1*'Data Sheet'!F19)</f>
        <v>11399.94</v>
      </c>
      <c r="G5" s="10">
        <f>SUM('Data Sheet'!G18,'Data Sheet'!G20:G24, -1*'Data Sheet'!G19)</f>
        <v>11546.45</v>
      </c>
      <c r="H5" s="10">
        <f>SUM('Data Sheet'!H18,'Data Sheet'!H20:H24, -1*'Data Sheet'!H19)</f>
        <v>12068.23</v>
      </c>
      <c r="I5" s="10">
        <f>SUM('Data Sheet'!I18,'Data Sheet'!I20:I24, -1*'Data Sheet'!I19)</f>
        <v>13620.54</v>
      </c>
      <c r="J5" s="10">
        <f>SUM('Data Sheet'!J18,'Data Sheet'!J20:J24, -1*'Data Sheet'!J19)</f>
        <v>15475.19</v>
      </c>
      <c r="K5" s="10">
        <f>SUM('Data Sheet'!K18,'Data Sheet'!K20:K24, -1*'Data Sheet'!K19)</f>
        <v>16048.81</v>
      </c>
      <c r="L5" s="10">
        <f>SUM(Quarters!H5:K5)</f>
        <v>14544.58</v>
      </c>
      <c r="M5" s="10">
        <f t="shared" ref="M5:N5" si="2">M4-M6</f>
        <v>17690.1513</v>
      </c>
      <c r="N5" s="10">
        <f t="shared" si="2"/>
        <v>17226.02325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2" t="s">
        <v>7</v>
      </c>
      <c r="B6" s="1">
        <f t="shared" ref="B6:K6" si="3">B4-B5</f>
        <v>1330.87</v>
      </c>
      <c r="C6" s="1">
        <f t="shared" si="3"/>
        <v>1511.18</v>
      </c>
      <c r="D6" s="1">
        <f t="shared" si="3"/>
        <v>1737.39</v>
      </c>
      <c r="E6" s="1">
        <f t="shared" si="3"/>
        <v>1993.7</v>
      </c>
      <c r="F6" s="1">
        <f t="shared" si="3"/>
        <v>2215.32</v>
      </c>
      <c r="G6" s="1">
        <f t="shared" si="3"/>
        <v>2725.04</v>
      </c>
      <c r="H6" s="1">
        <f t="shared" si="3"/>
        <v>2993.76</v>
      </c>
      <c r="I6" s="1">
        <f t="shared" si="3"/>
        <v>3204.01</v>
      </c>
      <c r="J6" s="1">
        <f t="shared" si="3"/>
        <v>3764.94</v>
      </c>
      <c r="K6" s="1">
        <f t="shared" si="3"/>
        <v>4162.44</v>
      </c>
      <c r="L6" s="1">
        <f>SUM(Quarters!H6:K6)</f>
        <v>3784.18</v>
      </c>
      <c r="M6" s="1">
        <f t="shared" ref="M6:N6" si="4">M4*M28</f>
        <v>4602.588507</v>
      </c>
      <c r="N6" s="1">
        <f t="shared" si="4"/>
        <v>3910.346563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6" t="s">
        <v>8</v>
      </c>
      <c r="B7" s="10">
        <f>'Data Sheet'!B25</f>
        <v>67.98</v>
      </c>
      <c r="C7" s="10">
        <f>'Data Sheet'!C25</f>
        <v>107.41</v>
      </c>
      <c r="D7" s="10">
        <f>'Data Sheet'!D25</f>
        <v>114.48</v>
      </c>
      <c r="E7" s="10">
        <f>'Data Sheet'!E25</f>
        <v>134.22</v>
      </c>
      <c r="F7" s="10">
        <f>'Data Sheet'!F25</f>
        <v>169.71</v>
      </c>
      <c r="G7" s="10">
        <f>'Data Sheet'!G25</f>
        <v>213.39</v>
      </c>
      <c r="H7" s="10">
        <f>'Data Sheet'!H25</f>
        <v>337.9</v>
      </c>
      <c r="I7" s="10">
        <f>'Data Sheet'!I25</f>
        <v>336.41</v>
      </c>
      <c r="J7" s="10">
        <f>'Data Sheet'!J25</f>
        <v>273.77</v>
      </c>
      <c r="K7" s="10">
        <f>'Data Sheet'!K25</f>
        <v>355.05</v>
      </c>
      <c r="L7" s="10">
        <f>SUM(Quarters!H7:K7)</f>
        <v>290.3</v>
      </c>
      <c r="M7" s="10">
        <v>0.0</v>
      </c>
      <c r="N7" s="10">
        <v>0.0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6" t="s">
        <v>9</v>
      </c>
      <c r="B8" s="10">
        <f>'Data Sheet'!B26</f>
        <v>113.13</v>
      </c>
      <c r="C8" s="10">
        <f>'Data Sheet'!C26</f>
        <v>121.13</v>
      </c>
      <c r="D8" s="10">
        <f>'Data Sheet'!D26</f>
        <v>154.6</v>
      </c>
      <c r="E8" s="10">
        <f>'Data Sheet'!E26</f>
        <v>245.66</v>
      </c>
      <c r="F8" s="10">
        <f>'Data Sheet'!F26</f>
        <v>265.92</v>
      </c>
      <c r="G8" s="10">
        <f>'Data Sheet'!G26</f>
        <v>275.58</v>
      </c>
      <c r="H8" s="10">
        <f>'Data Sheet'!H26</f>
        <v>334.79</v>
      </c>
      <c r="I8" s="10">
        <f>'Data Sheet'!I26</f>
        <v>360.47</v>
      </c>
      <c r="J8" s="10">
        <f>'Data Sheet'!J26</f>
        <v>622.14</v>
      </c>
      <c r="K8" s="10">
        <f>'Data Sheet'!K26</f>
        <v>780.5</v>
      </c>
      <c r="L8" s="10">
        <f>SUM(Quarters!H8:K8)</f>
        <v>776.33</v>
      </c>
      <c r="M8" s="10">
        <f t="shared" ref="M8:N8" si="5">+$L8</f>
        <v>776.33</v>
      </c>
      <c r="N8" s="10">
        <f t="shared" si="5"/>
        <v>776.33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3.5" customHeight="1">
      <c r="A9" s="6" t="s">
        <v>10</v>
      </c>
      <c r="B9" s="10">
        <f>'Data Sheet'!B27</f>
        <v>25.98</v>
      </c>
      <c r="C9" s="10">
        <f>'Data Sheet'!C27</f>
        <v>43.38</v>
      </c>
      <c r="D9" s="10">
        <f>'Data Sheet'!D27</f>
        <v>42.06</v>
      </c>
      <c r="E9" s="10">
        <f>'Data Sheet'!E27</f>
        <v>47.99</v>
      </c>
      <c r="F9" s="10">
        <f>'Data Sheet'!F27</f>
        <v>42.24</v>
      </c>
      <c r="G9" s="10">
        <f>'Data Sheet'!G27</f>
        <v>49</v>
      </c>
      <c r="H9" s="10">
        <f>'Data Sheet'!H27</f>
        <v>37.33</v>
      </c>
      <c r="I9" s="10">
        <f>'Data Sheet'!I27</f>
        <v>41.47</v>
      </c>
      <c r="J9" s="10">
        <f>'Data Sheet'!J27</f>
        <v>110.47</v>
      </c>
      <c r="K9" s="10">
        <f>'Data Sheet'!K27</f>
        <v>107.95</v>
      </c>
      <c r="L9" s="10">
        <f>SUM(Quarters!H9:K9)</f>
        <v>90.37</v>
      </c>
      <c r="M9" s="10">
        <f t="shared" ref="M9:N9" si="6">+$L9</f>
        <v>90.37</v>
      </c>
      <c r="N9" s="10">
        <f t="shared" si="6"/>
        <v>90.37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6" t="s">
        <v>11</v>
      </c>
      <c r="B10" s="10">
        <f>'Data Sheet'!B28</f>
        <v>1259.74</v>
      </c>
      <c r="C10" s="10">
        <f>'Data Sheet'!C28</f>
        <v>1454.08</v>
      </c>
      <c r="D10" s="10">
        <f>'Data Sheet'!D28</f>
        <v>1655.21</v>
      </c>
      <c r="E10" s="10">
        <f>'Data Sheet'!E28</f>
        <v>1834.27</v>
      </c>
      <c r="F10" s="10">
        <f>'Data Sheet'!F28</f>
        <v>2076.87</v>
      </c>
      <c r="G10" s="10">
        <f>'Data Sheet'!G28</f>
        <v>2613.85</v>
      </c>
      <c r="H10" s="10">
        <f>'Data Sheet'!H28</f>
        <v>2959.54</v>
      </c>
      <c r="I10" s="10">
        <f>'Data Sheet'!I28</f>
        <v>3138.48</v>
      </c>
      <c r="J10" s="10">
        <f>'Data Sheet'!J28</f>
        <v>3306.1</v>
      </c>
      <c r="K10" s="10">
        <f>'Data Sheet'!K28</f>
        <v>3629.04</v>
      </c>
      <c r="L10" s="10">
        <f>SUM(Quarters!H10:K10)</f>
        <v>3207.78</v>
      </c>
      <c r="M10" s="10">
        <f t="shared" ref="M10:N10" si="7">M6+M7-SUM(M8:M9)</f>
        <v>3735.888507</v>
      </c>
      <c r="N10" s="10">
        <f t="shared" si="7"/>
        <v>3043.646563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6" t="s">
        <v>12</v>
      </c>
      <c r="B11" s="10">
        <f>'Data Sheet'!B29</f>
        <v>378.39</v>
      </c>
      <c r="C11" s="10">
        <f>'Data Sheet'!C29</f>
        <v>433.5</v>
      </c>
      <c r="D11" s="10">
        <f>'Data Sheet'!D29</f>
        <v>495.69</v>
      </c>
      <c r="E11" s="10">
        <f>'Data Sheet'!E29</f>
        <v>571.51</v>
      </c>
      <c r="F11" s="10">
        <f>'Data Sheet'!F29</f>
        <v>649.54</v>
      </c>
      <c r="G11" s="10">
        <f>'Data Sheet'!G29</f>
        <v>844.49</v>
      </c>
      <c r="H11" s="10">
        <f>'Data Sheet'!H29</f>
        <v>943.29</v>
      </c>
      <c r="I11" s="10">
        <f>'Data Sheet'!I29</f>
        <v>1040.96</v>
      </c>
      <c r="J11" s="10">
        <f>'Data Sheet'!J29</f>
        <v>1098.06</v>
      </c>
      <c r="K11" s="10">
        <f>'Data Sheet'!K29</f>
        <v>854.85</v>
      </c>
      <c r="L11" s="10">
        <f>SUM(Quarters!H11:K11)</f>
        <v>876.31</v>
      </c>
      <c r="M11" s="11">
        <f t="shared" ref="M11:N11" si="8">IF($L10&gt;0,$L11/$L10,0)</f>
        <v>0.2731826996</v>
      </c>
      <c r="N11" s="11">
        <f t="shared" si="8"/>
        <v>0.2731826996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2" t="s">
        <v>13</v>
      </c>
      <c r="B12" s="1">
        <f>'Data Sheet'!B30</f>
        <v>843.24</v>
      </c>
      <c r="C12" s="1">
        <f>'Data Sheet'!C30</f>
        <v>988.73</v>
      </c>
      <c r="D12" s="1">
        <f>'Data Sheet'!D30</f>
        <v>1113.88</v>
      </c>
      <c r="E12" s="1">
        <f>'Data Sheet'!E30</f>
        <v>1218.81</v>
      </c>
      <c r="F12" s="1">
        <f>'Data Sheet'!F30</f>
        <v>1395.15</v>
      </c>
      <c r="G12" s="1">
        <f>'Data Sheet'!G30</f>
        <v>1745.16</v>
      </c>
      <c r="H12" s="1">
        <f>'Data Sheet'!H30</f>
        <v>1939.43</v>
      </c>
      <c r="I12" s="1">
        <f>'Data Sheet'!I30</f>
        <v>2038.93</v>
      </c>
      <c r="J12" s="1">
        <f>'Data Sheet'!J30</f>
        <v>2155.92</v>
      </c>
      <c r="K12" s="1">
        <f>'Data Sheet'!K30</f>
        <v>2705.17</v>
      </c>
      <c r="L12" s="1">
        <f>SUM(Quarters!H12:K12)</f>
        <v>2275.14</v>
      </c>
      <c r="M12" s="1">
        <f t="shared" ref="M12:N12" si="9">M10-M11*M10</f>
        <v>2715.308399</v>
      </c>
      <c r="N12" s="1">
        <f t="shared" si="9"/>
        <v>2212.174978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6" t="s">
        <v>14</v>
      </c>
      <c r="B13" s="10">
        <f>IF('Data Sheet'!B93&gt;0,B12/'Data Sheet'!B93,0)</f>
        <v>8.791075897</v>
      </c>
      <c r="C13" s="10">
        <f>IF('Data Sheet'!C93&gt;0,C12/'Data Sheet'!C93,0)</f>
        <v>10.30786072</v>
      </c>
      <c r="D13" s="10">
        <f>IF('Data Sheet'!D93&gt;0,D12/'Data Sheet'!D93,0)</f>
        <v>11.61259383</v>
      </c>
      <c r="E13" s="10">
        <f>IF('Data Sheet'!E93&gt;0,E12/'Data Sheet'!E93,0)</f>
        <v>12.70652627</v>
      </c>
      <c r="F13" s="10">
        <f>IF('Data Sheet'!F93&gt;0,F12/'Data Sheet'!F93,0)</f>
        <v>14.54493328</v>
      </c>
      <c r="G13" s="10">
        <f>IF('Data Sheet'!G93&gt;0,G12/'Data Sheet'!G93,0)</f>
        <v>18.19391159</v>
      </c>
      <c r="H13" s="10">
        <f>IF('Data Sheet'!H93&gt;0,H12/'Data Sheet'!H93,0)</f>
        <v>20.2192452</v>
      </c>
      <c r="I13" s="10">
        <f>IF('Data Sheet'!I93&gt;0,I12/'Data Sheet'!I93,0)</f>
        <v>21.25656797</v>
      </c>
      <c r="J13" s="10">
        <f>IF('Data Sheet'!J93&gt;0,J12/'Data Sheet'!J93,0)</f>
        <v>22.47623019</v>
      </c>
      <c r="K13" s="10">
        <f>IF('Data Sheet'!K93&gt;0,K12/'Data Sheet'!K93,0)</f>
        <v>28.20235613</v>
      </c>
      <c r="L13" s="10">
        <f>IF('Data Sheet'!$B6&gt;0,'Profit &amp; Loss'!L12/'Data Sheet'!$B6,0)</f>
        <v>23.71449534</v>
      </c>
      <c r="M13" s="10">
        <f>IF('Data Sheet'!$B6&gt;0,'Profit &amp; Loss'!M12/'Data Sheet'!$B6,0)</f>
        <v>28.30250815</v>
      </c>
      <c r="N13" s="10">
        <f>IF('Data Sheet'!$B6&gt;0,'Profit &amp; Loss'!N12/'Data Sheet'!$B6,0)</f>
        <v>23.05819124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6" t="s">
        <v>15</v>
      </c>
      <c r="B14" s="10">
        <f t="shared" ref="B14:K14" si="10">IF(B15&gt;0,B15/B13,"")</f>
        <v>28.73140933</v>
      </c>
      <c r="C14" s="10">
        <f t="shared" si="10"/>
        <v>31.45172494</v>
      </c>
      <c r="D14" s="10">
        <f t="shared" si="10"/>
        <v>42.34454483</v>
      </c>
      <c r="E14" s="10">
        <f t="shared" si="10"/>
        <v>43.123509</v>
      </c>
      <c r="F14" s="10">
        <f t="shared" si="10"/>
        <v>55.77887396</v>
      </c>
      <c r="G14" s="10">
        <f t="shared" si="10"/>
        <v>47.73025281</v>
      </c>
      <c r="H14" s="10">
        <f t="shared" si="10"/>
        <v>53.09298093</v>
      </c>
      <c r="I14" s="10">
        <f t="shared" si="10"/>
        <v>52.70841471</v>
      </c>
      <c r="J14" s="10">
        <f t="shared" si="10"/>
        <v>66.41238265</v>
      </c>
      <c r="K14" s="10">
        <f t="shared" si="10"/>
        <v>59.0908076</v>
      </c>
      <c r="L14" s="10">
        <f>IF(L13&gt;0,L15/L13,0)</f>
        <v>116.1652382</v>
      </c>
      <c r="M14" s="10">
        <f t="shared" ref="M14:N14" si="11">M29</f>
        <v>116.1652382</v>
      </c>
      <c r="N14" s="10">
        <f t="shared" si="11"/>
        <v>54.23910354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2" t="s">
        <v>16</v>
      </c>
      <c r="B15" s="1">
        <f>'Data Sheet'!B90</f>
        <v>252.58</v>
      </c>
      <c r="C15" s="1">
        <f>'Data Sheet'!C90</f>
        <v>324.2</v>
      </c>
      <c r="D15" s="1">
        <f>'Data Sheet'!D90</f>
        <v>491.73</v>
      </c>
      <c r="E15" s="1">
        <f>'Data Sheet'!E90</f>
        <v>547.95</v>
      </c>
      <c r="F15" s="1">
        <f>'Data Sheet'!F90</f>
        <v>811.3</v>
      </c>
      <c r="G15" s="1">
        <f>'Data Sheet'!G90</f>
        <v>868.4</v>
      </c>
      <c r="H15" s="1">
        <f>'Data Sheet'!H90</f>
        <v>1073.5</v>
      </c>
      <c r="I15" s="1">
        <f>'Data Sheet'!I90</f>
        <v>1120.4</v>
      </c>
      <c r="J15" s="1">
        <f>'Data Sheet'!J90</f>
        <v>1492.7</v>
      </c>
      <c r="K15" s="1">
        <f>'Data Sheet'!K90</f>
        <v>1666.5</v>
      </c>
      <c r="L15" s="1">
        <f>'Data Sheet'!B8</f>
        <v>2754.8</v>
      </c>
      <c r="M15" s="12">
        <f t="shared" ref="M15:N15" si="12">M13*M14</f>
        <v>3287.7676</v>
      </c>
      <c r="N15" s="13">
        <f t="shared" si="12"/>
        <v>1250.655622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"/>
      <c r="N16" s="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6" t="s">
        <v>17</v>
      </c>
      <c r="B17" s="10">
        <f t="shared" ref="B17:L17" si="13">B10+B9</f>
        <v>1285.72</v>
      </c>
      <c r="C17" s="10">
        <f t="shared" si="13"/>
        <v>1497.46</v>
      </c>
      <c r="D17" s="10">
        <f t="shared" si="13"/>
        <v>1697.27</v>
      </c>
      <c r="E17" s="10">
        <f t="shared" si="13"/>
        <v>1882.26</v>
      </c>
      <c r="F17" s="10">
        <f t="shared" si="13"/>
        <v>2119.11</v>
      </c>
      <c r="G17" s="10">
        <f t="shared" si="13"/>
        <v>2662.85</v>
      </c>
      <c r="H17" s="10">
        <f t="shared" si="13"/>
        <v>2996.87</v>
      </c>
      <c r="I17" s="10">
        <f t="shared" si="13"/>
        <v>3179.95</v>
      </c>
      <c r="J17" s="10">
        <f t="shared" si="13"/>
        <v>3416.57</v>
      </c>
      <c r="K17" s="10">
        <f t="shared" si="13"/>
        <v>3736.99</v>
      </c>
      <c r="L17" s="10">
        <f t="shared" si="13"/>
        <v>3298.15</v>
      </c>
      <c r="M17" s="6"/>
      <c r="N17" s="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6" t="s">
        <v>18</v>
      </c>
      <c r="B18" s="10">
        <f t="shared" ref="B18:L18" si="14">B17+B8</f>
        <v>1398.85</v>
      </c>
      <c r="C18" s="10">
        <f t="shared" si="14"/>
        <v>1618.59</v>
      </c>
      <c r="D18" s="10">
        <f t="shared" si="14"/>
        <v>1851.87</v>
      </c>
      <c r="E18" s="10">
        <f t="shared" si="14"/>
        <v>2127.92</v>
      </c>
      <c r="F18" s="10">
        <f t="shared" si="14"/>
        <v>2385.03</v>
      </c>
      <c r="G18" s="10">
        <f t="shared" si="14"/>
        <v>2938.43</v>
      </c>
      <c r="H18" s="10">
        <f t="shared" si="14"/>
        <v>3331.66</v>
      </c>
      <c r="I18" s="10">
        <f t="shared" si="14"/>
        <v>3540.42</v>
      </c>
      <c r="J18" s="10">
        <f t="shared" si="14"/>
        <v>4038.71</v>
      </c>
      <c r="K18" s="10">
        <f t="shared" si="14"/>
        <v>4517.49</v>
      </c>
      <c r="L18" s="10">
        <f t="shared" si="14"/>
        <v>4074.48</v>
      </c>
      <c r="M18" s="6"/>
      <c r="N18" s="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4" t="s">
        <v>19</v>
      </c>
      <c r="B19" s="10">
        <f t="shared" ref="B19:L19" si="15">B18-B7</f>
        <v>1330.87</v>
      </c>
      <c r="C19" s="10">
        <f t="shared" si="15"/>
        <v>1511.18</v>
      </c>
      <c r="D19" s="10">
        <f t="shared" si="15"/>
        <v>1737.39</v>
      </c>
      <c r="E19" s="10">
        <f t="shared" si="15"/>
        <v>1993.7</v>
      </c>
      <c r="F19" s="10">
        <f t="shared" si="15"/>
        <v>2215.32</v>
      </c>
      <c r="G19" s="10">
        <f t="shared" si="15"/>
        <v>2725.04</v>
      </c>
      <c r="H19" s="10">
        <f t="shared" si="15"/>
        <v>2993.76</v>
      </c>
      <c r="I19" s="10">
        <f t="shared" si="15"/>
        <v>3204.01</v>
      </c>
      <c r="J19" s="10">
        <f t="shared" si="15"/>
        <v>3764.94</v>
      </c>
      <c r="K19" s="10">
        <f t="shared" si="15"/>
        <v>4162.44</v>
      </c>
      <c r="L19" s="10">
        <f t="shared" si="15"/>
        <v>3784.18</v>
      </c>
      <c r="M19" s="6"/>
      <c r="N19" s="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5" customHeight="1">
      <c r="A21" s="2" t="s">
        <v>20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6" t="s">
        <v>21</v>
      </c>
      <c r="B22" s="10">
        <f>IF('Data Sheet'!B93&gt;0,'Data Sheet'!B31/'Data Sheet'!B93,0)</f>
        <v>3.199958299</v>
      </c>
      <c r="C22" s="10">
        <f>IF('Data Sheet'!C93&gt;0,'Data Sheet'!C31/'Data Sheet'!C93,0)</f>
        <v>4</v>
      </c>
      <c r="D22" s="10">
        <f>IF('Data Sheet'!D93&gt;0,'Data Sheet'!D31/'Data Sheet'!D93,0)</f>
        <v>4.599979149</v>
      </c>
      <c r="E22" s="10">
        <f>IF('Data Sheet'!E93&gt;0,'Data Sheet'!E31/'Data Sheet'!E93,0)</f>
        <v>5.300041701</v>
      </c>
      <c r="F22" s="10">
        <f>IF('Data Sheet'!F93&gt;0,'Data Sheet'!F31/'Data Sheet'!F93,0)</f>
        <v>6.099979149</v>
      </c>
      <c r="G22" s="10">
        <f>IF('Data Sheet'!G93&gt;0,'Data Sheet'!G31/'Data Sheet'!G93,0)</f>
        <v>7.5</v>
      </c>
      <c r="H22" s="10">
        <f>IF('Data Sheet'!H93&gt;0,'Data Sheet'!H31/'Data Sheet'!H93,0)</f>
        <v>10.3000417</v>
      </c>
      <c r="I22" s="10">
        <f>IF('Data Sheet'!I93&gt;0,'Data Sheet'!I31/'Data Sheet'!I93,0)</f>
        <v>8.699958299</v>
      </c>
      <c r="J22" s="10">
        <f>IF('Data Sheet'!J93&gt;0,'Data Sheet'!J31/'Data Sheet'!J93,0)</f>
        <v>10.5</v>
      </c>
      <c r="K22" s="10">
        <f>IF('Data Sheet'!K93&gt;0,'Data Sheet'!K31/'Data Sheet'!K93,0)</f>
        <v>12</v>
      </c>
      <c r="L22" s="10"/>
      <c r="M22" s="6"/>
      <c r="N22" s="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6" t="s">
        <v>22</v>
      </c>
      <c r="B23" s="15">
        <f>IF('Data Sheet'!B30&gt;0, 'Data Sheet'!B31/'Data Sheet'!B30, 0)</f>
        <v>0.364000759</v>
      </c>
      <c r="C23" s="15">
        <f>IF('Data Sheet'!C30&gt;0, 'Data Sheet'!C31/'Data Sheet'!C30, 0)</f>
        <v>0.3880533614</v>
      </c>
      <c r="D23" s="15">
        <f>IF('Data Sheet'!D30&gt;0, 'Data Sheet'!D31/'Data Sheet'!D30, 0)</f>
        <v>0.3961198693</v>
      </c>
      <c r="E23" s="15">
        <f>IF('Data Sheet'!E30&gt;0, 'Data Sheet'!E31/'Data Sheet'!E30, 0)</f>
        <v>0.417111773</v>
      </c>
      <c r="F23" s="15">
        <f>IF('Data Sheet'!F30&gt;0, 'Data Sheet'!F31/'Data Sheet'!F30, 0)</f>
        <v>0.4193885962</v>
      </c>
      <c r="G23" s="15">
        <f>IF('Data Sheet'!G30&gt;0, 'Data Sheet'!G31/'Data Sheet'!G30, 0)</f>
        <v>0.4122258131</v>
      </c>
      <c r="H23" s="15">
        <f>IF('Data Sheet'!H30&gt;0, 'Data Sheet'!H31/'Data Sheet'!H30, 0)</f>
        <v>0.5094177155</v>
      </c>
      <c r="I23" s="15">
        <f>IF('Data Sheet'!I30&gt;0, 'Data Sheet'!I31/'Data Sheet'!I30, 0)</f>
        <v>0.4092833006</v>
      </c>
      <c r="J23" s="15">
        <f>IF('Data Sheet'!J30&gt;0, 'Data Sheet'!J31/'Data Sheet'!J30, 0)</f>
        <v>0.4671601915</v>
      </c>
      <c r="K23" s="15">
        <f>IF('Data Sheet'!K30&gt;0, 'Data Sheet'!K31/'Data Sheet'!K30, 0)</f>
        <v>0.4254963644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6" t="s">
        <v>23</v>
      </c>
      <c r="B24" s="15">
        <f t="shared" ref="B24:L24" si="16">IF(B6&gt;0,B6/B4,0)</f>
        <v>0.1797766014</v>
      </c>
      <c r="C24" s="15">
        <f t="shared" si="16"/>
        <v>0.1637026405</v>
      </c>
      <c r="D24" s="15">
        <f t="shared" si="16"/>
        <v>0.1654041209</v>
      </c>
      <c r="E24" s="15">
        <f t="shared" si="16"/>
        <v>0.1631456331</v>
      </c>
      <c r="F24" s="15">
        <f t="shared" si="16"/>
        <v>0.1627086078</v>
      </c>
      <c r="G24" s="15">
        <f t="shared" si="16"/>
        <v>0.1909429219</v>
      </c>
      <c r="H24" s="15">
        <f t="shared" si="16"/>
        <v>0.1987625805</v>
      </c>
      <c r="I24" s="15">
        <f t="shared" si="16"/>
        <v>0.1904365941</v>
      </c>
      <c r="J24" s="15">
        <f t="shared" si="16"/>
        <v>0.19568163</v>
      </c>
      <c r="K24" s="15">
        <f t="shared" si="16"/>
        <v>0.2059466881</v>
      </c>
      <c r="L24" s="15">
        <f t="shared" si="16"/>
        <v>0.2064613209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7"/>
      <c r="B26" s="8"/>
      <c r="C26" s="8"/>
      <c r="D26" s="8"/>
      <c r="E26" s="8"/>
      <c r="F26" s="8"/>
      <c r="G26" s="8" t="s">
        <v>24</v>
      </c>
      <c r="H26" s="8" t="s">
        <v>25</v>
      </c>
      <c r="I26" s="8" t="s">
        <v>26</v>
      </c>
      <c r="J26" s="8" t="s">
        <v>27</v>
      </c>
      <c r="K26" s="8" t="s">
        <v>28</v>
      </c>
      <c r="L26" s="9" t="s">
        <v>29</v>
      </c>
      <c r="M26" s="9" t="s">
        <v>30</v>
      </c>
      <c r="N26" s="9" t="s">
        <v>31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6"/>
      <c r="B27" s="6"/>
      <c r="C27" s="6"/>
      <c r="D27" s="6"/>
      <c r="E27" s="6"/>
      <c r="F27" s="6"/>
      <c r="G27" s="6" t="s">
        <v>32</v>
      </c>
      <c r="H27" s="15">
        <f>IF(B4=0,"",POWER($K4/B4,1/9)-1)</f>
        <v>0.1180613477</v>
      </c>
      <c r="I27" s="15">
        <f>IF(D4=0,"",POWER($K4/D4,1/7)-1)</f>
        <v>0.09800931887</v>
      </c>
      <c r="J27" s="15">
        <f>IF(F4=0,"",POWER($K4/F4,1/5)-1)</f>
        <v>0.08221474538</v>
      </c>
      <c r="K27" s="15">
        <f>IF(H4=0,"",POWER($K4/H4, 1/3)-1)</f>
        <v>0.1029866933</v>
      </c>
      <c r="L27" s="15">
        <f>IF(ISERROR(MAX(IF(J4=0,"",(K4-J4)/J4),IF(K4=0,"",(L4-K4)/K4))),"",MAX(IF(J4=0,"",(K4-J4)/J4),IF(K4=0,"",(L4-K4)/K4)))</f>
        <v>0.05047367144</v>
      </c>
      <c r="M27" s="16">
        <f t="shared" ref="M27:M29" si="17">MAX(K27:L27)</f>
        <v>0.1029866933</v>
      </c>
      <c r="N27" s="16">
        <f t="shared" ref="N27:N29" si="18">MIN(H27:L27)</f>
        <v>0.05047367144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6"/>
      <c r="B28" s="6"/>
      <c r="C28" s="6"/>
      <c r="D28" s="6"/>
      <c r="E28" s="6"/>
      <c r="F28" s="6"/>
      <c r="G28" s="6" t="s">
        <v>23</v>
      </c>
      <c r="H28" s="15">
        <f>IF(SUM(B4:$K$4)=0,"",SUMPRODUCT(B24:$K$24,B4:$K$4)/SUM(B4:$K$4))</f>
        <v>0.1850055898</v>
      </c>
      <c r="I28" s="15">
        <f>IF(SUM(E4:$K$4)=0,"",SUMPRODUCT(E24:$K$24,E4:$K$4)/SUM(E4:$K$4))</f>
        <v>0.1889649822</v>
      </c>
      <c r="J28" s="15">
        <f>IF(SUM(G4:$K$4)=0,"",SUMPRODUCT(G24:$K$24,G4:$K$4)/SUM(G4:$K$4))</f>
        <v>0.1968263769</v>
      </c>
      <c r="K28" s="15">
        <f>IF(SUM(I4:$K$4)=0, "", SUMPRODUCT(I24:$K$24,I4:$K$4)/SUM(I4:$K$4))</f>
        <v>0.1978001963</v>
      </c>
      <c r="L28" s="15">
        <f>L24</f>
        <v>0.2064613209</v>
      </c>
      <c r="M28" s="16">
        <f t="shared" si="17"/>
        <v>0.2064613209</v>
      </c>
      <c r="N28" s="16">
        <f t="shared" si="18"/>
        <v>0.1850055898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5" customHeight="1">
      <c r="A29" s="6"/>
      <c r="B29" s="6"/>
      <c r="C29" s="6"/>
      <c r="D29" s="6"/>
      <c r="E29" s="6"/>
      <c r="F29" s="6"/>
      <c r="G29" s="6" t="s">
        <v>33</v>
      </c>
      <c r="H29" s="10">
        <f>IF(ISERROR(AVERAGEIF(B14:$L14,"&gt;0")),"",AVERAGEIF(B14:$L14,"&gt;0"))</f>
        <v>54.23910354</v>
      </c>
      <c r="I29" s="10">
        <f>IF(ISERROR(AVERAGEIF(E14:$L14,"&gt;0")),"",AVERAGEIF(E14:$L14,"&gt;0"))</f>
        <v>61.76280748</v>
      </c>
      <c r="J29" s="10">
        <f>IF(ISERROR(AVERAGEIF(G14:$L14,"&gt;0")),"",AVERAGEIF(G14:$L14,"&gt;0"))</f>
        <v>65.86667948</v>
      </c>
      <c r="K29" s="10">
        <f>IF(ISERROR(AVERAGEIF(I14:$L14,"&gt;0")),"",AVERAGEIF(I14:$L14,"&gt;0"))</f>
        <v>73.59421079</v>
      </c>
      <c r="L29" s="10">
        <f>L14</f>
        <v>116.1652382</v>
      </c>
      <c r="M29" s="1">
        <f t="shared" si="17"/>
        <v>116.1652382</v>
      </c>
      <c r="N29" s="1">
        <f t="shared" si="18"/>
        <v>54.23910354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5" customHeight="1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5" customHeight="1">
      <c r="A32" s="6"/>
      <c r="B32" s="2"/>
      <c r="C32" s="2"/>
      <c r="D32" s="17"/>
      <c r="E32" s="2"/>
      <c r="F32" s="2"/>
      <c r="G32" s="1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5" customHeight="1">
      <c r="A33" s="6"/>
      <c r="B33" s="10"/>
      <c r="C33" s="10"/>
      <c r="D33" s="15"/>
      <c r="E33" s="10"/>
      <c r="F33" s="10"/>
      <c r="G33" s="1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5" customHeight="1">
      <c r="A34" s="6"/>
      <c r="B34" s="10"/>
      <c r="C34" s="10"/>
      <c r="D34" s="15"/>
      <c r="E34" s="10"/>
      <c r="F34" s="10"/>
      <c r="G34" s="1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5" customHeight="1">
      <c r="A35" s="6"/>
      <c r="B35" s="18"/>
      <c r="C35" s="18"/>
      <c r="D35" s="15"/>
      <c r="E35" s="18"/>
      <c r="F35" s="18"/>
      <c r="G35" s="1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M1"/>
  </hyperlinks>
  <printOptions gridLines="1"/>
  <pageMargins bottom="0.75" footer="0.0" header="0.0" left="0.7" right="0.7" top="0.75"/>
  <pageSetup paperSize="9" orientation="landscape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25"/>
    <col customWidth="1" min="2" max="2" width="6.88"/>
    <col customWidth="1" min="3" max="3" width="7.38"/>
    <col customWidth="1" min="4" max="11" width="6.88"/>
    <col customWidth="1" min="12" max="13" width="7.13"/>
    <col customWidth="1" min="14" max="14" width="7.25"/>
    <col customWidth="1" min="15" max="15" width="7.0"/>
    <col customWidth="1" min="16" max="16" width="7.25"/>
    <col customWidth="1" min="17" max="17" width="7.0"/>
    <col customWidth="1" min="18" max="18" width="6.88"/>
    <col customWidth="1" min="19" max="26" width="9.38"/>
  </cols>
  <sheetData>
    <row r="1" ht="13.5" customHeight="1">
      <c r="A1" s="1" t="str">
        <f>'Data Sheet'!B1</f>
        <v>ASIAN PAINTS LTD</v>
      </c>
    </row>
    <row r="2" ht="13.5" customHeight="1">
      <c r="A2" s="14"/>
      <c r="B2" s="86">
        <f>'Data Sheet'!B16</f>
        <v>40633</v>
      </c>
      <c r="C2" s="86">
        <f>'Data Sheet'!C16</f>
        <v>40999</v>
      </c>
      <c r="D2" s="86">
        <f>'Data Sheet'!D16</f>
        <v>41364</v>
      </c>
      <c r="E2" s="86">
        <f>'Data Sheet'!E16</f>
        <v>41729</v>
      </c>
      <c r="F2" s="86">
        <f>'Data Sheet'!F16</f>
        <v>42094</v>
      </c>
      <c r="G2" s="86">
        <f>'Data Sheet'!G16</f>
        <v>42460</v>
      </c>
      <c r="H2" s="86">
        <f>'Data Sheet'!H16</f>
        <v>42825</v>
      </c>
      <c r="I2" s="86">
        <f>'Data Sheet'!I16</f>
        <v>43190</v>
      </c>
      <c r="J2" s="86">
        <f>'Data Sheet'!J16</f>
        <v>43555</v>
      </c>
      <c r="K2" s="86">
        <f>'Data Sheet'!K16</f>
        <v>43921</v>
      </c>
      <c r="M2" s="158" t="s">
        <v>297</v>
      </c>
      <c r="N2" s="121"/>
      <c r="O2" s="122"/>
      <c r="P2" s="86" t="s">
        <v>298</v>
      </c>
      <c r="Q2" s="159" t="s">
        <v>299</v>
      </c>
      <c r="R2" s="86" t="s">
        <v>139</v>
      </c>
    </row>
    <row r="3" ht="13.5" customHeight="1">
      <c r="A3" s="14" t="s">
        <v>5</v>
      </c>
      <c r="B3" s="14">
        <f>'Data Sheet'!B17</f>
        <v>7402.91</v>
      </c>
      <c r="C3" s="14">
        <f>'Data Sheet'!C17</f>
        <v>9231.25</v>
      </c>
      <c r="D3" s="14">
        <f>'Data Sheet'!D17</f>
        <v>10503.91</v>
      </c>
      <c r="E3" s="14">
        <f>'Data Sheet'!E17</f>
        <v>12220.37</v>
      </c>
      <c r="F3" s="14">
        <f>'Data Sheet'!F17</f>
        <v>13615.26</v>
      </c>
      <c r="G3" s="14">
        <f>'Data Sheet'!G17</f>
        <v>14271.49</v>
      </c>
      <c r="H3" s="14">
        <f>'Data Sheet'!H17</f>
        <v>15061.99</v>
      </c>
      <c r="I3" s="14">
        <f>'Data Sheet'!I17</f>
        <v>16824.55</v>
      </c>
      <c r="J3" s="14">
        <f>'Data Sheet'!J17</f>
        <v>19240.13</v>
      </c>
      <c r="K3" s="14">
        <f>'Data Sheet'!K17</f>
        <v>20211.25</v>
      </c>
      <c r="M3" s="160" t="s">
        <v>300</v>
      </c>
      <c r="N3" s="121"/>
      <c r="O3" s="122"/>
      <c r="P3" s="101">
        <f>Customization!B14</f>
        <v>0.09089000868</v>
      </c>
      <c r="Q3" s="159">
        <v>0.15</v>
      </c>
      <c r="R3" s="101" t="str">
        <f>'Profit &amp; Loss'!L31</f>
        <v/>
      </c>
    </row>
    <row r="4" ht="13.5" customHeight="1">
      <c r="A4" s="14" t="s">
        <v>223</v>
      </c>
      <c r="B4" s="14"/>
      <c r="C4" s="14">
        <f>'Calculated Data'!C18</f>
        <v>685.57</v>
      </c>
      <c r="D4" s="14">
        <f>'Calculated Data'!D18</f>
        <v>737.15</v>
      </c>
      <c r="E4" s="14">
        <f>'Calculated Data'!E18</f>
        <v>378.66</v>
      </c>
      <c r="F4" s="14">
        <f>'Calculated Data'!F18</f>
        <v>488.78</v>
      </c>
      <c r="G4" s="14">
        <f>'Calculated Data'!G18</f>
        <v>942.48</v>
      </c>
      <c r="H4" s="14">
        <f>'Calculated Data'!H18</f>
        <v>373.13</v>
      </c>
      <c r="I4" s="14">
        <f>'Calculated Data'!I18</f>
        <v>1936.54</v>
      </c>
      <c r="J4" s="14">
        <f>'Calculated Data'!J18</f>
        <v>2191.02</v>
      </c>
      <c r="K4" s="14">
        <f>'Calculated Data'!K18</f>
        <v>486.82</v>
      </c>
      <c r="M4" s="160" t="s">
        <v>301</v>
      </c>
      <c r="N4" s="121"/>
      <c r="O4" s="122"/>
      <c r="P4" s="101">
        <v>0.18</v>
      </c>
      <c r="Q4" s="159">
        <v>0.18</v>
      </c>
      <c r="R4" s="101">
        <f>'Calculated Data'!L4/'Profit &amp; Loss'!$L4</f>
        <v>0.1799439788</v>
      </c>
    </row>
    <row r="5" ht="13.5" customHeight="1">
      <c r="A5" s="14" t="s">
        <v>9</v>
      </c>
      <c r="B5" s="14"/>
      <c r="C5" s="14">
        <f>'Data Sheet'!C26</f>
        <v>121.13</v>
      </c>
      <c r="D5" s="14">
        <f>'Data Sheet'!D26</f>
        <v>154.6</v>
      </c>
      <c r="E5" s="14">
        <f>'Data Sheet'!E26</f>
        <v>245.66</v>
      </c>
      <c r="F5" s="14">
        <f>'Data Sheet'!F26</f>
        <v>265.92</v>
      </c>
      <c r="G5" s="14">
        <f>'Data Sheet'!G26</f>
        <v>275.58</v>
      </c>
      <c r="H5" s="14">
        <f>'Data Sheet'!H26</f>
        <v>334.79</v>
      </c>
      <c r="I5" s="14">
        <f>'Data Sheet'!I26</f>
        <v>360.47</v>
      </c>
      <c r="J5" s="14">
        <f>'Data Sheet'!J26</f>
        <v>622.14</v>
      </c>
      <c r="K5" s="14">
        <f>'Data Sheet'!K26</f>
        <v>780.5</v>
      </c>
      <c r="M5" s="160" t="s">
        <v>228</v>
      </c>
      <c r="N5" s="121"/>
      <c r="O5" s="122"/>
      <c r="P5" s="117">
        <f>AVERAGE('Calculated Data'!G22:K22)</f>
        <v>0.3082355108</v>
      </c>
      <c r="Q5" s="159">
        <v>0.25</v>
      </c>
    </row>
    <row r="6" ht="13.5" customHeight="1">
      <c r="A6" s="14" t="s">
        <v>302</v>
      </c>
      <c r="B6" s="14"/>
      <c r="C6" s="14">
        <f t="shared" ref="C6:K6" si="1">C4-C5</f>
        <v>564.44</v>
      </c>
      <c r="D6" s="14">
        <f t="shared" si="1"/>
        <v>582.55</v>
      </c>
      <c r="E6" s="14">
        <f t="shared" si="1"/>
        <v>133</v>
      </c>
      <c r="F6" s="14">
        <f t="shared" si="1"/>
        <v>222.86</v>
      </c>
      <c r="G6" s="14">
        <f t="shared" si="1"/>
        <v>666.9</v>
      </c>
      <c r="H6" s="14">
        <f t="shared" si="1"/>
        <v>38.34</v>
      </c>
      <c r="I6" s="14">
        <f t="shared" si="1"/>
        <v>1576.07</v>
      </c>
      <c r="J6" s="14">
        <f t="shared" si="1"/>
        <v>1568.88</v>
      </c>
      <c r="K6" s="14">
        <f t="shared" si="1"/>
        <v>-293.68</v>
      </c>
      <c r="M6" s="160" t="s">
        <v>303</v>
      </c>
      <c r="N6" s="121"/>
      <c r="O6" s="122"/>
      <c r="P6" s="101">
        <f>AVERAGE(G9:K9)</f>
        <v>0.4268879012</v>
      </c>
      <c r="Q6" s="159">
        <v>0.2</v>
      </c>
    </row>
    <row r="7" ht="13.5" customHeight="1">
      <c r="A7" s="14" t="s">
        <v>304</v>
      </c>
      <c r="B7" s="14"/>
      <c r="C7" s="14">
        <f t="shared" ref="C7:K7" si="2">C3-B3</f>
        <v>1828.34</v>
      </c>
      <c r="D7" s="14">
        <f t="shared" si="2"/>
        <v>1272.66</v>
      </c>
      <c r="E7" s="14">
        <f t="shared" si="2"/>
        <v>1716.46</v>
      </c>
      <c r="F7" s="14">
        <f t="shared" si="2"/>
        <v>1394.89</v>
      </c>
      <c r="G7" s="14">
        <f t="shared" si="2"/>
        <v>656.23</v>
      </c>
      <c r="H7" s="14">
        <f t="shared" si="2"/>
        <v>790.5</v>
      </c>
      <c r="I7" s="14">
        <f t="shared" si="2"/>
        <v>1762.56</v>
      </c>
      <c r="J7" s="14">
        <f t="shared" si="2"/>
        <v>2415.58</v>
      </c>
      <c r="K7" s="14">
        <f t="shared" si="2"/>
        <v>971.12</v>
      </c>
      <c r="M7" s="160" t="s">
        <v>305</v>
      </c>
      <c r="N7" s="121"/>
      <c r="O7" s="122"/>
      <c r="P7" s="101">
        <f>AVERAGE(G15:K15)</f>
        <v>0.1645502952</v>
      </c>
      <c r="Q7" s="159">
        <v>0.15</v>
      </c>
    </row>
    <row r="8" ht="13.5" customHeight="1">
      <c r="A8" s="29" t="s">
        <v>306</v>
      </c>
      <c r="B8" s="14"/>
      <c r="C8" s="101">
        <f t="shared" ref="C8:K8" si="3">C6/C7</f>
        <v>0.308717197</v>
      </c>
      <c r="D8" s="101">
        <f t="shared" si="3"/>
        <v>0.4577420521</v>
      </c>
      <c r="E8" s="101">
        <f t="shared" si="3"/>
        <v>0.07748505645</v>
      </c>
      <c r="F8" s="101">
        <f t="shared" si="3"/>
        <v>0.1597688707</v>
      </c>
      <c r="G8" s="101">
        <f t="shared" si="3"/>
        <v>1.016259543</v>
      </c>
      <c r="H8" s="101">
        <f t="shared" si="3"/>
        <v>0.04850094877</v>
      </c>
      <c r="I8" s="101">
        <f t="shared" si="3"/>
        <v>0.8941936728</v>
      </c>
      <c r="J8" s="101">
        <f t="shared" si="3"/>
        <v>0.6494837679</v>
      </c>
      <c r="K8" s="101">
        <f t="shared" si="3"/>
        <v>-0.3024137079</v>
      </c>
      <c r="M8" s="160" t="s">
        <v>307</v>
      </c>
      <c r="N8" s="121"/>
      <c r="O8" s="122"/>
      <c r="P8" s="14"/>
      <c r="Q8" s="159">
        <v>0.12</v>
      </c>
    </row>
    <row r="9" ht="13.5" customHeight="1">
      <c r="A9" s="161" t="s">
        <v>298</v>
      </c>
      <c r="B9" s="29"/>
      <c r="C9" s="29"/>
      <c r="D9" s="29"/>
      <c r="E9" s="29"/>
      <c r="F9" s="29"/>
      <c r="G9" s="162">
        <f t="shared" ref="G9:K9" si="4">SUM(C6:G6)/SUM(C7:G7)</f>
        <v>0.3158949885</v>
      </c>
      <c r="H9" s="162">
        <f t="shared" si="4"/>
        <v>0.2818938934</v>
      </c>
      <c r="I9" s="162">
        <f t="shared" si="4"/>
        <v>0.4172314829</v>
      </c>
      <c r="J9" s="162">
        <f t="shared" si="4"/>
        <v>0.5802263895</v>
      </c>
      <c r="K9" s="162">
        <f t="shared" si="4"/>
        <v>0.539192752</v>
      </c>
      <c r="L9" s="2"/>
      <c r="M9" s="160" t="s">
        <v>308</v>
      </c>
      <c r="N9" s="121"/>
      <c r="O9" s="122"/>
      <c r="P9" s="29"/>
      <c r="Q9" s="159">
        <v>0.05</v>
      </c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161" t="s">
        <v>309</v>
      </c>
      <c r="B10" s="29"/>
      <c r="C10" s="29"/>
      <c r="D10" s="29"/>
      <c r="E10" s="29"/>
      <c r="F10" s="29"/>
      <c r="G10" s="29"/>
      <c r="H10" s="29"/>
      <c r="I10" s="29"/>
      <c r="J10" s="29"/>
      <c r="K10" s="162">
        <f>SUM(C6:K6)/SUM(C7:K7)</f>
        <v>0.3950051295</v>
      </c>
      <c r="L10" s="2"/>
      <c r="M10" s="160" t="s">
        <v>310</v>
      </c>
      <c r="N10" s="121"/>
      <c r="O10" s="122"/>
      <c r="P10" s="29"/>
      <c r="Q10" s="163">
        <f>'Balance Sheet'!K34</f>
        <v>782.83</v>
      </c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164"/>
      <c r="B11" s="121"/>
      <c r="C11" s="121"/>
      <c r="D11" s="121"/>
      <c r="E11" s="121"/>
      <c r="F11" s="121"/>
      <c r="G11" s="121"/>
      <c r="H11" s="121"/>
      <c r="I11" s="121"/>
      <c r="J11" s="121"/>
      <c r="K11" s="122"/>
      <c r="M11" s="160" t="s">
        <v>44</v>
      </c>
      <c r="N11" s="121"/>
      <c r="O11" s="122"/>
      <c r="P11" s="14"/>
      <c r="Q11" s="163">
        <f>'Balance Sheet'!K12</f>
        <v>2018.85</v>
      </c>
    </row>
    <row r="12" ht="13.5" customHeight="1">
      <c r="A12" s="14" t="s">
        <v>48</v>
      </c>
      <c r="B12" s="14">
        <f>'Calculated Data'!B11</f>
        <v>638.69</v>
      </c>
      <c r="C12" s="14">
        <f>'Calculated Data'!C11</f>
        <v>817.24</v>
      </c>
      <c r="D12" s="14">
        <f>'Calculated Data'!D11</f>
        <v>839.39</v>
      </c>
      <c r="E12" s="14">
        <f>'Calculated Data'!E11</f>
        <v>231.64</v>
      </c>
      <c r="F12" s="14">
        <f>'Calculated Data'!F11</f>
        <v>716.7</v>
      </c>
      <c r="G12" s="14">
        <f>'Calculated Data'!G11</f>
        <v>613.04</v>
      </c>
      <c r="H12" s="14">
        <f>'Calculated Data'!H11</f>
        <v>1950.96</v>
      </c>
      <c r="I12" s="14">
        <f>'Calculated Data'!I11</f>
        <v>1665.61</v>
      </c>
      <c r="J12" s="14">
        <f>'Calculated Data'!J11</f>
        <v>1515.34</v>
      </c>
      <c r="K12" s="14">
        <f>'Calculated Data'!K11</f>
        <v>2817.26</v>
      </c>
      <c r="M12" s="160" t="s">
        <v>311</v>
      </c>
      <c r="N12" s="121"/>
      <c r="O12" s="122"/>
      <c r="P12" s="14"/>
      <c r="Q12" s="163">
        <f>Q10+Q11</f>
        <v>2801.68</v>
      </c>
    </row>
    <row r="13" ht="13.5" customHeight="1">
      <c r="A13" s="14" t="s">
        <v>312</v>
      </c>
      <c r="B13" s="14"/>
      <c r="C13" s="14">
        <f t="shared" ref="C13:K13" si="5">C12-B12</f>
        <v>178.55</v>
      </c>
      <c r="D13" s="14">
        <f t="shared" si="5"/>
        <v>22.15</v>
      </c>
      <c r="E13" s="14">
        <f t="shared" si="5"/>
        <v>-607.75</v>
      </c>
      <c r="F13" s="14">
        <f t="shared" si="5"/>
        <v>485.06</v>
      </c>
      <c r="G13" s="14">
        <f t="shared" si="5"/>
        <v>-103.66</v>
      </c>
      <c r="H13" s="14">
        <f t="shared" si="5"/>
        <v>1337.92</v>
      </c>
      <c r="I13" s="14">
        <f t="shared" si="5"/>
        <v>-285.35</v>
      </c>
      <c r="J13" s="14">
        <f t="shared" si="5"/>
        <v>-150.27</v>
      </c>
      <c r="K13" s="14">
        <f t="shared" si="5"/>
        <v>1301.92</v>
      </c>
      <c r="M13" s="160" t="s">
        <v>313</v>
      </c>
      <c r="N13" s="121"/>
      <c r="O13" s="122"/>
      <c r="P13" s="14"/>
      <c r="Q13" s="163">
        <f>'Balance Sheet'!K6</f>
        <v>1118.5</v>
      </c>
    </row>
    <row r="14" ht="13.5" customHeight="1">
      <c r="A14" s="29" t="s">
        <v>314</v>
      </c>
      <c r="B14" s="14"/>
      <c r="C14" s="101">
        <f t="shared" ref="C14:K14" si="6">C13/C7</f>
        <v>0.09765689095</v>
      </c>
      <c r="D14" s="101">
        <f t="shared" si="6"/>
        <v>0.01740449138</v>
      </c>
      <c r="E14" s="101">
        <f t="shared" si="6"/>
        <v>-0.3540717523</v>
      </c>
      <c r="F14" s="101">
        <f t="shared" si="6"/>
        <v>0.3477406821</v>
      </c>
      <c r="G14" s="101">
        <f t="shared" si="6"/>
        <v>-0.1579629093</v>
      </c>
      <c r="H14" s="101">
        <f t="shared" si="6"/>
        <v>1.692498419</v>
      </c>
      <c r="I14" s="101">
        <f t="shared" si="6"/>
        <v>-0.1618951979</v>
      </c>
      <c r="J14" s="101">
        <f t="shared" si="6"/>
        <v>-0.0622086621</v>
      </c>
      <c r="K14" s="101">
        <f t="shared" si="6"/>
        <v>1.340637614</v>
      </c>
      <c r="M14" s="160" t="s">
        <v>315</v>
      </c>
      <c r="N14" s="121"/>
      <c r="O14" s="122"/>
      <c r="P14" s="14"/>
      <c r="Q14" s="165">
        <f>'Data Sheet'!B6</f>
        <v>95.93879047</v>
      </c>
    </row>
    <row r="15" ht="13.5" customHeight="1">
      <c r="A15" s="161" t="s">
        <v>298</v>
      </c>
      <c r="B15" s="14"/>
      <c r="C15" s="14"/>
      <c r="D15" s="14"/>
      <c r="E15" s="14"/>
      <c r="F15" s="14"/>
      <c r="G15" s="162">
        <f t="shared" ref="G15:K15" si="7">SUM(C13:G13)/SUM(C7:G7)</f>
        <v>-0.003734396338</v>
      </c>
      <c r="H15" s="162">
        <f t="shared" si="7"/>
        <v>0.1944384418</v>
      </c>
      <c r="I15" s="162">
        <f t="shared" si="7"/>
        <v>0.1307177754</v>
      </c>
      <c r="J15" s="162">
        <f t="shared" si="7"/>
        <v>0.1828694998</v>
      </c>
      <c r="K15" s="162">
        <f t="shared" si="7"/>
        <v>0.3184601553</v>
      </c>
      <c r="M15" s="160" t="s">
        <v>316</v>
      </c>
      <c r="N15" s="121"/>
      <c r="O15" s="122"/>
      <c r="P15" s="14"/>
      <c r="Q15" s="166">
        <f>'Data Sheet'!B8</f>
        <v>2754.8</v>
      </c>
    </row>
    <row r="16" ht="13.5" customHeight="1">
      <c r="A16" s="161" t="s">
        <v>309</v>
      </c>
      <c r="B16" s="14"/>
      <c r="C16" s="14"/>
      <c r="D16" s="14"/>
      <c r="E16" s="14"/>
      <c r="F16" s="14"/>
      <c r="G16" s="29"/>
      <c r="H16" s="29"/>
      <c r="I16" s="29"/>
      <c r="J16" s="29"/>
      <c r="K16" s="162">
        <f>SUM(C13:K13)/SUM(C7:K7)</f>
        <v>0.170089957</v>
      </c>
    </row>
    <row r="17" ht="13.5" customHeight="1">
      <c r="A17" s="167" t="s">
        <v>317</v>
      </c>
      <c r="B17" s="168">
        <v>0.0</v>
      </c>
      <c r="C17" s="168">
        <v>1.0</v>
      </c>
      <c r="D17" s="168">
        <v>2.0</v>
      </c>
      <c r="E17" s="168">
        <v>3.0</v>
      </c>
      <c r="F17" s="168">
        <v>4.0</v>
      </c>
      <c r="G17" s="168">
        <v>5.0</v>
      </c>
      <c r="H17" s="168">
        <v>6.0</v>
      </c>
      <c r="I17" s="168">
        <v>7.0</v>
      </c>
      <c r="J17" s="168">
        <v>8.0</v>
      </c>
      <c r="K17" s="168">
        <v>9.0</v>
      </c>
      <c r="L17" s="169">
        <v>10.0</v>
      </c>
      <c r="M17" s="169">
        <v>11.0</v>
      </c>
      <c r="N17" s="169">
        <v>12.0</v>
      </c>
      <c r="O17" s="169">
        <v>13.0</v>
      </c>
      <c r="P17" s="169">
        <v>14.0</v>
      </c>
      <c r="Q17" s="169">
        <v>15.0</v>
      </c>
    </row>
    <row r="18" ht="13.5" customHeight="1">
      <c r="A18" s="170" t="s">
        <v>318</v>
      </c>
      <c r="B18" s="86">
        <v>43525.0</v>
      </c>
      <c r="C18" s="86">
        <v>43891.0</v>
      </c>
      <c r="D18" s="86">
        <v>44256.0</v>
      </c>
      <c r="E18" s="86">
        <v>44621.0</v>
      </c>
      <c r="F18" s="86">
        <v>44986.0</v>
      </c>
      <c r="G18" s="86">
        <v>45352.0</v>
      </c>
      <c r="H18" s="86">
        <v>45717.0</v>
      </c>
      <c r="I18" s="86">
        <v>46082.0</v>
      </c>
      <c r="J18" s="86">
        <v>46447.0</v>
      </c>
      <c r="K18" s="86">
        <v>46813.0</v>
      </c>
      <c r="L18" s="86">
        <v>47178.0</v>
      </c>
      <c r="M18" s="86">
        <v>47543.0</v>
      </c>
      <c r="N18" s="86">
        <v>47908.0</v>
      </c>
      <c r="O18" s="86">
        <v>48274.0</v>
      </c>
      <c r="P18" s="86">
        <v>12114.0</v>
      </c>
      <c r="Q18" s="86">
        <v>12479.0</v>
      </c>
    </row>
    <row r="19" ht="13.5" customHeight="1">
      <c r="A19" s="170" t="s">
        <v>5</v>
      </c>
      <c r="B19" s="171">
        <f>'Data Sheet'!K17</f>
        <v>20211.25</v>
      </c>
      <c r="C19" s="171">
        <f>B19*(1+10%)</f>
        <v>22232.375</v>
      </c>
      <c r="D19" s="171">
        <f t="shared" ref="D19:Q19" si="8">C19*(1+$Q$3)</f>
        <v>25567.23125</v>
      </c>
      <c r="E19" s="171">
        <f t="shared" si="8"/>
        <v>29402.31594</v>
      </c>
      <c r="F19" s="171">
        <f t="shared" si="8"/>
        <v>33812.66333</v>
      </c>
      <c r="G19" s="171">
        <f t="shared" si="8"/>
        <v>38884.56283</v>
      </c>
      <c r="H19" s="171">
        <f t="shared" si="8"/>
        <v>44717.24725</v>
      </c>
      <c r="I19" s="171">
        <f t="shared" si="8"/>
        <v>51424.83434</v>
      </c>
      <c r="J19" s="171">
        <f t="shared" si="8"/>
        <v>59138.55949</v>
      </c>
      <c r="K19" s="171">
        <f t="shared" si="8"/>
        <v>68009.34341</v>
      </c>
      <c r="L19" s="171">
        <f t="shared" si="8"/>
        <v>78210.74493</v>
      </c>
      <c r="M19" s="171">
        <f t="shared" si="8"/>
        <v>89942.35666</v>
      </c>
      <c r="N19" s="171">
        <f t="shared" si="8"/>
        <v>103433.7102</v>
      </c>
      <c r="O19" s="171">
        <f t="shared" si="8"/>
        <v>118948.7667</v>
      </c>
      <c r="P19" s="171">
        <f t="shared" si="8"/>
        <v>136791.0817</v>
      </c>
      <c r="Q19" s="171">
        <f t="shared" si="8"/>
        <v>157309.7439</v>
      </c>
    </row>
    <row r="20" ht="13.5" customHeight="1">
      <c r="A20" s="170" t="s">
        <v>17</v>
      </c>
      <c r="B20" s="171">
        <f>'Calculated Data'!K4</f>
        <v>3736.99</v>
      </c>
      <c r="C20" s="171">
        <f>R4*C19</f>
        <v>4000.582015</v>
      </c>
      <c r="D20" s="171">
        <f t="shared" ref="D20:Q20" si="9">D19*$Q$4</f>
        <v>4602.101625</v>
      </c>
      <c r="E20" s="171">
        <f t="shared" si="9"/>
        <v>5292.416869</v>
      </c>
      <c r="F20" s="171">
        <f t="shared" si="9"/>
        <v>6086.279399</v>
      </c>
      <c r="G20" s="171">
        <f t="shared" si="9"/>
        <v>6999.221309</v>
      </c>
      <c r="H20" s="171">
        <f t="shared" si="9"/>
        <v>8049.104505</v>
      </c>
      <c r="I20" s="171">
        <f t="shared" si="9"/>
        <v>9256.470181</v>
      </c>
      <c r="J20" s="171">
        <f t="shared" si="9"/>
        <v>10644.94071</v>
      </c>
      <c r="K20" s="171">
        <f t="shared" si="9"/>
        <v>12241.68181</v>
      </c>
      <c r="L20" s="171">
        <f t="shared" si="9"/>
        <v>14077.93409</v>
      </c>
      <c r="M20" s="171">
        <f t="shared" si="9"/>
        <v>16189.6242</v>
      </c>
      <c r="N20" s="171">
        <f t="shared" si="9"/>
        <v>18618.06783</v>
      </c>
      <c r="O20" s="171">
        <f t="shared" si="9"/>
        <v>21410.778</v>
      </c>
      <c r="P20" s="171">
        <f t="shared" si="9"/>
        <v>24622.3947</v>
      </c>
      <c r="Q20" s="171">
        <f t="shared" si="9"/>
        <v>28315.75391</v>
      </c>
    </row>
    <row r="21" ht="13.5" customHeight="1">
      <c r="A21" s="170" t="s">
        <v>319</v>
      </c>
      <c r="B21" s="171">
        <f>'Calculated Data'!K23</f>
        <v>2856.711496</v>
      </c>
      <c r="C21" s="171">
        <f t="shared" ref="C21:Q21" si="10">C20*(1-$Q$5)</f>
        <v>3000.436511</v>
      </c>
      <c r="D21" s="171">
        <f t="shared" si="10"/>
        <v>3451.576219</v>
      </c>
      <c r="E21" s="171">
        <f t="shared" si="10"/>
        <v>3969.312652</v>
      </c>
      <c r="F21" s="171">
        <f t="shared" si="10"/>
        <v>4564.709549</v>
      </c>
      <c r="G21" s="171">
        <f t="shared" si="10"/>
        <v>5249.415982</v>
      </c>
      <c r="H21" s="171">
        <f t="shared" si="10"/>
        <v>6036.828379</v>
      </c>
      <c r="I21" s="171">
        <f t="shared" si="10"/>
        <v>6942.352636</v>
      </c>
      <c r="J21" s="171">
        <f t="shared" si="10"/>
        <v>7983.705531</v>
      </c>
      <c r="K21" s="171">
        <f t="shared" si="10"/>
        <v>9181.261361</v>
      </c>
      <c r="L21" s="171">
        <f t="shared" si="10"/>
        <v>10558.45056</v>
      </c>
      <c r="M21" s="171">
        <f t="shared" si="10"/>
        <v>12142.21815</v>
      </c>
      <c r="N21" s="171">
        <f t="shared" si="10"/>
        <v>13963.55087</v>
      </c>
      <c r="O21" s="171">
        <f t="shared" si="10"/>
        <v>16058.0835</v>
      </c>
      <c r="P21" s="171">
        <f t="shared" si="10"/>
        <v>18466.79603</v>
      </c>
      <c r="Q21" s="171">
        <f t="shared" si="10"/>
        <v>21236.81543</v>
      </c>
    </row>
    <row r="22" ht="13.5" customHeight="1">
      <c r="A22" s="170" t="s">
        <v>302</v>
      </c>
      <c r="B22" s="171"/>
      <c r="C22" s="171">
        <f t="shared" ref="C22:Q22" si="11">(C19-B19)*$Q$6</f>
        <v>404.225</v>
      </c>
      <c r="D22" s="171">
        <f t="shared" si="11"/>
        <v>666.97125</v>
      </c>
      <c r="E22" s="171">
        <f t="shared" si="11"/>
        <v>767.0169375</v>
      </c>
      <c r="F22" s="171">
        <f t="shared" si="11"/>
        <v>882.0694781</v>
      </c>
      <c r="G22" s="171">
        <f t="shared" si="11"/>
        <v>1014.3799</v>
      </c>
      <c r="H22" s="171">
        <f t="shared" si="11"/>
        <v>1166.536885</v>
      </c>
      <c r="I22" s="171">
        <f t="shared" si="11"/>
        <v>1341.517418</v>
      </c>
      <c r="J22" s="171">
        <f t="shared" si="11"/>
        <v>1542.74503</v>
      </c>
      <c r="K22" s="171">
        <f t="shared" si="11"/>
        <v>1774.156785</v>
      </c>
      <c r="L22" s="171">
        <f t="shared" si="11"/>
        <v>2040.280302</v>
      </c>
      <c r="M22" s="171">
        <f t="shared" si="11"/>
        <v>2346.322348</v>
      </c>
      <c r="N22" s="171">
        <f t="shared" si="11"/>
        <v>2698.2707</v>
      </c>
      <c r="O22" s="171">
        <f t="shared" si="11"/>
        <v>3103.011305</v>
      </c>
      <c r="P22" s="171">
        <f t="shared" si="11"/>
        <v>3568.463001</v>
      </c>
      <c r="Q22" s="171">
        <f t="shared" si="11"/>
        <v>4103.732451</v>
      </c>
    </row>
    <row r="23" ht="13.5" customHeight="1">
      <c r="A23" s="170" t="s">
        <v>320</v>
      </c>
      <c r="B23" s="171"/>
      <c r="C23" s="171">
        <f t="shared" ref="C23:Q23" si="12">(C19-B19)*$Q$7</f>
        <v>303.16875</v>
      </c>
      <c r="D23" s="171">
        <f t="shared" si="12"/>
        <v>500.2284375</v>
      </c>
      <c r="E23" s="171">
        <f t="shared" si="12"/>
        <v>575.2627031</v>
      </c>
      <c r="F23" s="171">
        <f t="shared" si="12"/>
        <v>661.5521086</v>
      </c>
      <c r="G23" s="171">
        <f t="shared" si="12"/>
        <v>760.7849249</v>
      </c>
      <c r="H23" s="171">
        <f t="shared" si="12"/>
        <v>874.9026636</v>
      </c>
      <c r="I23" s="171">
        <f t="shared" si="12"/>
        <v>1006.138063</v>
      </c>
      <c r="J23" s="171">
        <f t="shared" si="12"/>
        <v>1157.058773</v>
      </c>
      <c r="K23" s="171">
        <f t="shared" si="12"/>
        <v>1330.617589</v>
      </c>
      <c r="L23" s="171">
        <f t="shared" si="12"/>
        <v>1530.210227</v>
      </c>
      <c r="M23" s="171">
        <f t="shared" si="12"/>
        <v>1759.741761</v>
      </c>
      <c r="N23" s="171">
        <f t="shared" si="12"/>
        <v>2023.703025</v>
      </c>
      <c r="O23" s="171">
        <f t="shared" si="12"/>
        <v>2327.258479</v>
      </c>
      <c r="P23" s="171">
        <f t="shared" si="12"/>
        <v>2676.34725</v>
      </c>
      <c r="Q23" s="171">
        <f t="shared" si="12"/>
        <v>3077.799338</v>
      </c>
    </row>
    <row r="24" ht="13.5" customHeight="1">
      <c r="A24" s="170" t="s">
        <v>226</v>
      </c>
      <c r="B24" s="171"/>
      <c r="C24" s="171">
        <f t="shared" ref="C24:Q24" si="13">C21-(C22+C23)</f>
        <v>2293.042761</v>
      </c>
      <c r="D24" s="171">
        <f t="shared" si="13"/>
        <v>2284.376531</v>
      </c>
      <c r="E24" s="171">
        <f t="shared" si="13"/>
        <v>2627.033011</v>
      </c>
      <c r="F24" s="171">
        <f t="shared" si="13"/>
        <v>3021.087963</v>
      </c>
      <c r="G24" s="171">
        <f t="shared" si="13"/>
        <v>3474.251157</v>
      </c>
      <c r="H24" s="171">
        <f t="shared" si="13"/>
        <v>3995.388831</v>
      </c>
      <c r="I24" s="171">
        <f t="shared" si="13"/>
        <v>4594.697155</v>
      </c>
      <c r="J24" s="171">
        <f t="shared" si="13"/>
        <v>5283.901728</v>
      </c>
      <c r="K24" s="171">
        <f t="shared" si="13"/>
        <v>6076.486988</v>
      </c>
      <c r="L24" s="171">
        <f t="shared" si="13"/>
        <v>6987.960036</v>
      </c>
      <c r="M24" s="171">
        <f t="shared" si="13"/>
        <v>8036.154041</v>
      </c>
      <c r="N24" s="171">
        <f t="shared" si="13"/>
        <v>9241.577147</v>
      </c>
      <c r="O24" s="171">
        <f t="shared" si="13"/>
        <v>10627.81372</v>
      </c>
      <c r="P24" s="171">
        <f t="shared" si="13"/>
        <v>12221.98578</v>
      </c>
      <c r="Q24" s="171">
        <f t="shared" si="13"/>
        <v>14055.28364</v>
      </c>
    </row>
    <row r="25" ht="13.5" customHeight="1">
      <c r="A25" s="170" t="s">
        <v>321</v>
      </c>
      <c r="B25" s="171"/>
      <c r="C25" s="171">
        <f t="shared" ref="C25:Q25" si="14">C24/((1+$Q$8)^C17)</f>
        <v>2047.359608</v>
      </c>
      <c r="D25" s="171">
        <f t="shared" si="14"/>
        <v>1821.090985</v>
      </c>
      <c r="E25" s="171">
        <f t="shared" si="14"/>
        <v>1869.870208</v>
      </c>
      <c r="F25" s="171">
        <f t="shared" si="14"/>
        <v>1919.956017</v>
      </c>
      <c r="G25" s="171">
        <f t="shared" si="14"/>
        <v>1971.38341</v>
      </c>
      <c r="H25" s="171">
        <f t="shared" si="14"/>
        <v>2024.188323</v>
      </c>
      <c r="I25" s="171">
        <f t="shared" si="14"/>
        <v>2078.407653</v>
      </c>
      <c r="J25" s="171">
        <f t="shared" si="14"/>
        <v>2134.079286</v>
      </c>
      <c r="K25" s="171">
        <f t="shared" si="14"/>
        <v>2191.242124</v>
      </c>
      <c r="L25" s="171">
        <f t="shared" si="14"/>
        <v>2249.93611</v>
      </c>
      <c r="M25" s="171">
        <f t="shared" si="14"/>
        <v>2310.202256</v>
      </c>
      <c r="N25" s="171">
        <f t="shared" si="14"/>
        <v>2372.082673</v>
      </c>
      <c r="O25" s="171">
        <f t="shared" si="14"/>
        <v>2435.620602</v>
      </c>
      <c r="P25" s="171">
        <f t="shared" si="14"/>
        <v>2500.86044</v>
      </c>
      <c r="Q25" s="171">
        <f t="shared" si="14"/>
        <v>2567.847773</v>
      </c>
    </row>
    <row r="26" ht="13.5" customHeight="1">
      <c r="A26" s="170" t="s">
        <v>322</v>
      </c>
      <c r="B26" s="171"/>
      <c r="C26" s="171">
        <f>C25</f>
        <v>2047.359608</v>
      </c>
      <c r="D26" s="171">
        <f t="shared" ref="D26:Q26" si="15">D25+C26</f>
        <v>3868.450593</v>
      </c>
      <c r="E26" s="171">
        <f t="shared" si="15"/>
        <v>5738.3208</v>
      </c>
      <c r="F26" s="171">
        <f t="shared" si="15"/>
        <v>7658.276817</v>
      </c>
      <c r="G26" s="171">
        <f t="shared" si="15"/>
        <v>9629.660227</v>
      </c>
      <c r="H26" s="171">
        <f t="shared" si="15"/>
        <v>11653.84855</v>
      </c>
      <c r="I26" s="171">
        <f t="shared" si="15"/>
        <v>13732.2562</v>
      </c>
      <c r="J26" s="171">
        <f t="shared" si="15"/>
        <v>15866.33549</v>
      </c>
      <c r="K26" s="171">
        <f t="shared" si="15"/>
        <v>18057.57761</v>
      </c>
      <c r="L26" s="171">
        <f t="shared" si="15"/>
        <v>20307.51372</v>
      </c>
      <c r="M26" s="171">
        <f t="shared" si="15"/>
        <v>22617.71598</v>
      </c>
      <c r="N26" s="171">
        <f t="shared" si="15"/>
        <v>24989.79865</v>
      </c>
      <c r="O26" s="171">
        <f t="shared" si="15"/>
        <v>27425.41925</v>
      </c>
      <c r="P26" s="171">
        <f t="shared" si="15"/>
        <v>29926.27969</v>
      </c>
      <c r="Q26" s="171">
        <f t="shared" si="15"/>
        <v>32494.12747</v>
      </c>
    </row>
    <row r="27" ht="13.5" customHeight="1">
      <c r="A27" s="170" t="s">
        <v>323</v>
      </c>
      <c r="B27" s="171"/>
      <c r="C27" s="171">
        <f t="shared" ref="C27:Q27" si="16">((C21*(1+$Q$9))/($Q$8-$Q$9))/((1+$Q$8)^C17)</f>
        <v>40184.41756</v>
      </c>
      <c r="D27" s="171">
        <f t="shared" si="16"/>
        <v>41273.63144</v>
      </c>
      <c r="E27" s="171">
        <f t="shared" si="16"/>
        <v>42379.17514</v>
      </c>
      <c r="F27" s="171">
        <f t="shared" si="16"/>
        <v>43514.33162</v>
      </c>
      <c r="G27" s="171">
        <f t="shared" si="16"/>
        <v>44679.89407</v>
      </c>
      <c r="H27" s="171">
        <f t="shared" si="16"/>
        <v>45876.67695</v>
      </c>
      <c r="I27" s="171">
        <f t="shared" si="16"/>
        <v>47105.51651</v>
      </c>
      <c r="J27" s="171">
        <f t="shared" si="16"/>
        <v>48367.27142</v>
      </c>
      <c r="K27" s="171">
        <f t="shared" si="16"/>
        <v>49662.82333</v>
      </c>
      <c r="L27" s="171">
        <f t="shared" si="16"/>
        <v>50993.07753</v>
      </c>
      <c r="M27" s="171">
        <f t="shared" si="16"/>
        <v>52358.96353</v>
      </c>
      <c r="N27" s="171">
        <f t="shared" si="16"/>
        <v>53761.43577</v>
      </c>
      <c r="O27" s="171">
        <f t="shared" si="16"/>
        <v>55201.47423</v>
      </c>
      <c r="P27" s="171">
        <f t="shared" si="16"/>
        <v>56680.08514</v>
      </c>
      <c r="Q27" s="171">
        <f t="shared" si="16"/>
        <v>58198.30171</v>
      </c>
    </row>
    <row r="28" ht="13.5" customHeight="1">
      <c r="A28" s="172"/>
      <c r="B28" s="164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</row>
    <row r="29" ht="13.5" customHeight="1">
      <c r="A29" s="170" t="s">
        <v>324</v>
      </c>
      <c r="B29" s="14"/>
      <c r="C29" s="26">
        <f t="shared" ref="C29:Q29" si="17">C27+C26</f>
        <v>42231.77717</v>
      </c>
      <c r="D29" s="26">
        <f t="shared" si="17"/>
        <v>45142.08204</v>
      </c>
      <c r="E29" s="26">
        <f t="shared" si="17"/>
        <v>48117.49594</v>
      </c>
      <c r="F29" s="26">
        <f t="shared" si="17"/>
        <v>51172.60844</v>
      </c>
      <c r="G29" s="26">
        <f t="shared" si="17"/>
        <v>54309.5543</v>
      </c>
      <c r="H29" s="26">
        <f t="shared" si="17"/>
        <v>57530.5255</v>
      </c>
      <c r="I29" s="26">
        <f t="shared" si="17"/>
        <v>60837.77271</v>
      </c>
      <c r="J29" s="26">
        <f t="shared" si="17"/>
        <v>64233.60691</v>
      </c>
      <c r="K29" s="26">
        <f t="shared" si="17"/>
        <v>67720.40094</v>
      </c>
      <c r="L29" s="26">
        <f t="shared" si="17"/>
        <v>71300.59125</v>
      </c>
      <c r="M29" s="26">
        <f t="shared" si="17"/>
        <v>74976.67951</v>
      </c>
      <c r="N29" s="26">
        <f t="shared" si="17"/>
        <v>78751.23442</v>
      </c>
      <c r="O29" s="26">
        <f t="shared" si="17"/>
        <v>82626.89348</v>
      </c>
      <c r="P29" s="26">
        <f t="shared" si="17"/>
        <v>86606.36484</v>
      </c>
      <c r="Q29" s="26">
        <f t="shared" si="17"/>
        <v>90692.42918</v>
      </c>
    </row>
    <row r="30" ht="13.5" customHeight="1">
      <c r="A30" s="170" t="s">
        <v>325</v>
      </c>
      <c r="B30" s="14"/>
      <c r="C30" s="148">
        <f t="shared" ref="C30:Q30" si="18">$Q$12</f>
        <v>2801.68</v>
      </c>
      <c r="D30" s="148">
        <f t="shared" si="18"/>
        <v>2801.68</v>
      </c>
      <c r="E30" s="148">
        <f t="shared" si="18"/>
        <v>2801.68</v>
      </c>
      <c r="F30" s="148">
        <f t="shared" si="18"/>
        <v>2801.68</v>
      </c>
      <c r="G30" s="148">
        <f t="shared" si="18"/>
        <v>2801.68</v>
      </c>
      <c r="H30" s="148">
        <f t="shared" si="18"/>
        <v>2801.68</v>
      </c>
      <c r="I30" s="148">
        <f t="shared" si="18"/>
        <v>2801.68</v>
      </c>
      <c r="J30" s="148">
        <f t="shared" si="18"/>
        <v>2801.68</v>
      </c>
      <c r="K30" s="148">
        <f t="shared" si="18"/>
        <v>2801.68</v>
      </c>
      <c r="L30" s="148">
        <f t="shared" si="18"/>
        <v>2801.68</v>
      </c>
      <c r="M30" s="148">
        <f t="shared" si="18"/>
        <v>2801.68</v>
      </c>
      <c r="N30" s="148">
        <f t="shared" si="18"/>
        <v>2801.68</v>
      </c>
      <c r="O30" s="148">
        <f t="shared" si="18"/>
        <v>2801.68</v>
      </c>
      <c r="P30" s="148">
        <f t="shared" si="18"/>
        <v>2801.68</v>
      </c>
      <c r="Q30" s="148">
        <f t="shared" si="18"/>
        <v>2801.68</v>
      </c>
    </row>
    <row r="31" ht="13.5" customHeight="1">
      <c r="A31" s="170" t="s">
        <v>326</v>
      </c>
      <c r="B31" s="14"/>
      <c r="C31" s="148">
        <f t="shared" ref="C31:Q31" si="19">$Q$13</f>
        <v>1118.5</v>
      </c>
      <c r="D31" s="148">
        <f t="shared" si="19"/>
        <v>1118.5</v>
      </c>
      <c r="E31" s="148">
        <f t="shared" si="19"/>
        <v>1118.5</v>
      </c>
      <c r="F31" s="148">
        <f t="shared" si="19"/>
        <v>1118.5</v>
      </c>
      <c r="G31" s="148">
        <f t="shared" si="19"/>
        <v>1118.5</v>
      </c>
      <c r="H31" s="148">
        <f t="shared" si="19"/>
        <v>1118.5</v>
      </c>
      <c r="I31" s="148">
        <f t="shared" si="19"/>
        <v>1118.5</v>
      </c>
      <c r="J31" s="148">
        <f t="shared" si="19"/>
        <v>1118.5</v>
      </c>
      <c r="K31" s="148">
        <f t="shared" si="19"/>
        <v>1118.5</v>
      </c>
      <c r="L31" s="148">
        <f t="shared" si="19"/>
        <v>1118.5</v>
      </c>
      <c r="M31" s="148">
        <f t="shared" si="19"/>
        <v>1118.5</v>
      </c>
      <c r="N31" s="148">
        <f t="shared" si="19"/>
        <v>1118.5</v>
      </c>
      <c r="O31" s="148">
        <f t="shared" si="19"/>
        <v>1118.5</v>
      </c>
      <c r="P31" s="148">
        <f t="shared" si="19"/>
        <v>1118.5</v>
      </c>
      <c r="Q31" s="148">
        <f t="shared" si="19"/>
        <v>1118.5</v>
      </c>
    </row>
    <row r="32" ht="13.5" customHeight="1">
      <c r="A32" s="170" t="s">
        <v>327</v>
      </c>
      <c r="B32" s="14"/>
      <c r="C32" s="26">
        <f t="shared" ref="C32:Q32" si="20">C29+C30-C31</f>
        <v>43914.95717</v>
      </c>
      <c r="D32" s="26">
        <f t="shared" si="20"/>
        <v>46825.26204</v>
      </c>
      <c r="E32" s="26">
        <f t="shared" si="20"/>
        <v>49800.67594</v>
      </c>
      <c r="F32" s="26">
        <f t="shared" si="20"/>
        <v>52855.78844</v>
      </c>
      <c r="G32" s="26">
        <f t="shared" si="20"/>
        <v>55992.7343</v>
      </c>
      <c r="H32" s="26">
        <f t="shared" si="20"/>
        <v>59213.7055</v>
      </c>
      <c r="I32" s="26">
        <f t="shared" si="20"/>
        <v>62520.95271</v>
      </c>
      <c r="J32" s="26">
        <f t="shared" si="20"/>
        <v>65916.78691</v>
      </c>
      <c r="K32" s="26">
        <f t="shared" si="20"/>
        <v>69403.58094</v>
      </c>
      <c r="L32" s="26">
        <f t="shared" si="20"/>
        <v>72983.77125</v>
      </c>
      <c r="M32" s="26">
        <f t="shared" si="20"/>
        <v>76659.85951</v>
      </c>
      <c r="N32" s="26">
        <f t="shared" si="20"/>
        <v>80434.41442</v>
      </c>
      <c r="O32" s="26">
        <f t="shared" si="20"/>
        <v>84310.07348</v>
      </c>
      <c r="P32" s="26">
        <f t="shared" si="20"/>
        <v>88289.54484</v>
      </c>
      <c r="Q32" s="26">
        <f t="shared" si="20"/>
        <v>92375.60918</v>
      </c>
    </row>
    <row r="33" ht="13.5" customHeight="1">
      <c r="A33" s="172"/>
      <c r="B33" s="164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</row>
    <row r="34" ht="13.5" customHeight="1">
      <c r="A34" s="170" t="s">
        <v>328</v>
      </c>
      <c r="B34" s="14"/>
      <c r="C34" s="26">
        <f t="shared" ref="C34:Q34" si="21">C32/$Q$14</f>
        <v>457.7393247</v>
      </c>
      <c r="D34" s="26">
        <f t="shared" si="21"/>
        <v>488.074342</v>
      </c>
      <c r="E34" s="26">
        <f t="shared" si="21"/>
        <v>519.0880112</v>
      </c>
      <c r="F34" s="26">
        <f t="shared" si="21"/>
        <v>550.9324036</v>
      </c>
      <c r="G34" s="26">
        <f t="shared" si="21"/>
        <v>583.6297708</v>
      </c>
      <c r="H34" s="26">
        <f t="shared" si="21"/>
        <v>617.2029604</v>
      </c>
      <c r="I34" s="26">
        <f t="shared" si="21"/>
        <v>651.6754318</v>
      </c>
      <c r="J34" s="26">
        <f t="shared" si="21"/>
        <v>687.071273</v>
      </c>
      <c r="K34" s="26">
        <f t="shared" si="21"/>
        <v>723.4152171</v>
      </c>
      <c r="L34" s="26">
        <f t="shared" si="21"/>
        <v>760.7326597</v>
      </c>
      <c r="M34" s="26">
        <f t="shared" si="21"/>
        <v>799.0496767</v>
      </c>
      <c r="N34" s="26">
        <f t="shared" si="21"/>
        <v>838.3930423</v>
      </c>
      <c r="O34" s="26">
        <f t="shared" si="21"/>
        <v>878.7902481</v>
      </c>
      <c r="P34" s="26">
        <f t="shared" si="21"/>
        <v>920.2695219</v>
      </c>
      <c r="Q34" s="26">
        <f t="shared" si="21"/>
        <v>962.8598476</v>
      </c>
    </row>
    <row r="35" ht="13.5" customHeight="1">
      <c r="A35" s="17" t="s">
        <v>329</v>
      </c>
      <c r="B35" s="2"/>
      <c r="C35" s="2" t="str">
        <f>IF(Q15&gt;Q34,"15+",IF(Q15&lt;C34,"&lt;1",LOOKUP(Q15,C34:Q34,C17:Q17)))</f>
        <v>15+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/>
    <row r="37" ht="13.5" customHeight="1">
      <c r="A37" s="173" t="s">
        <v>330</v>
      </c>
      <c r="B37" s="174">
        <f>C32</f>
        <v>43914.95717</v>
      </c>
      <c r="C37" s="175">
        <f>B21*16</f>
        <v>45707.38394</v>
      </c>
      <c r="D37" s="153" t="s">
        <v>331</v>
      </c>
    </row>
    <row r="38" ht="13.5" customHeight="1">
      <c r="A38" s="173" t="s">
        <v>332</v>
      </c>
      <c r="B38" s="175">
        <f>'Calculated Data'!K13*('Calculated Data'!K24-'Calculated Data'!K25)*10/('Price Implied Expectations'!Q8)*(1+'Price Implied Expectations'!Q8)</f>
        <v>163252.5343</v>
      </c>
      <c r="C38" s="174">
        <f>L32</f>
        <v>72983.77125</v>
      </c>
      <c r="D38" s="153" t="s">
        <v>333</v>
      </c>
    </row>
    <row r="39" ht="13.5" customHeight="1">
      <c r="A39" s="173" t="s">
        <v>334</v>
      </c>
      <c r="B39" s="175">
        <f t="shared" ref="B39:C39" si="22">B37+B38</f>
        <v>207167.4915</v>
      </c>
      <c r="C39" s="174">
        <f t="shared" si="22"/>
        <v>118691.1552</v>
      </c>
    </row>
    <row r="40" ht="13.5" customHeight="1">
      <c r="A40" s="173" t="s">
        <v>335</v>
      </c>
      <c r="B40" s="175">
        <f>B39/'Data Sheet'!B6</f>
        <v>2159.371516</v>
      </c>
      <c r="C40" s="175">
        <f>C39/'Data Sheet'!B6</f>
        <v>1237.155009</v>
      </c>
    </row>
    <row r="41" ht="13.5" customHeight="1">
      <c r="B41" s="153" t="s">
        <v>336</v>
      </c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M9:O9"/>
    <mergeCell ref="M10:O10"/>
    <mergeCell ref="A11:K11"/>
    <mergeCell ref="M11:O11"/>
    <mergeCell ref="M12:O12"/>
    <mergeCell ref="M13:O13"/>
    <mergeCell ref="M14:O14"/>
    <mergeCell ref="M15:O15"/>
    <mergeCell ref="B28:Q28"/>
    <mergeCell ref="B33:Q33"/>
    <mergeCell ref="M2:O2"/>
    <mergeCell ref="M3:O3"/>
    <mergeCell ref="M4:O4"/>
    <mergeCell ref="M5:O5"/>
    <mergeCell ref="M6:O6"/>
    <mergeCell ref="M7:O7"/>
    <mergeCell ref="M8:O8"/>
  </mergeCells>
  <printOptions/>
  <pageMargins bottom="1.0" footer="0.0" header="0.0" left="0.75" right="0.75" top="1.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5.13"/>
    <col customWidth="1" min="2" max="2" width="8.0"/>
    <col customWidth="1" min="3" max="3" width="7.63"/>
    <col customWidth="1" min="4" max="8" width="6.5"/>
    <col customWidth="1" min="9" max="10" width="7.13"/>
    <col customWidth="1" min="11" max="11" width="6.5"/>
    <col customWidth="1" min="12" max="12" width="7.13"/>
    <col customWidth="1" min="13" max="13" width="9.38"/>
  </cols>
  <sheetData>
    <row r="1" ht="13.5" customHeight="1">
      <c r="A1" s="176" t="s">
        <v>337</v>
      </c>
      <c r="B1" s="177" t="s">
        <v>338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ht="13.5" customHeight="1">
      <c r="A2" s="179" t="str">
        <f>'Data Sheet'!B1</f>
        <v>ASIAN PAINTS LTD</v>
      </c>
      <c r="B2" s="86">
        <f>'Data Sheet'!B16</f>
        <v>40633</v>
      </c>
      <c r="C2" s="86">
        <f>'Data Sheet'!C16</f>
        <v>40999</v>
      </c>
      <c r="D2" s="86">
        <f>'Data Sheet'!D16</f>
        <v>41364</v>
      </c>
      <c r="E2" s="86">
        <f>'Data Sheet'!E16</f>
        <v>41729</v>
      </c>
      <c r="F2" s="86">
        <f>'Data Sheet'!F16</f>
        <v>42094</v>
      </c>
      <c r="G2" s="86">
        <f>'Data Sheet'!G16</f>
        <v>42460</v>
      </c>
      <c r="H2" s="86">
        <f>'Data Sheet'!H16</f>
        <v>42825</v>
      </c>
      <c r="I2" s="86">
        <f>'Data Sheet'!I16</f>
        <v>43190</v>
      </c>
      <c r="J2" s="86">
        <f>'Data Sheet'!J16</f>
        <v>43555</v>
      </c>
      <c r="K2" s="86">
        <f>'Data Sheet'!K16</f>
        <v>43921</v>
      </c>
      <c r="L2" s="86" t="s">
        <v>139</v>
      </c>
    </row>
    <row r="3" ht="13.5" customHeight="1">
      <c r="A3" s="14" t="s">
        <v>5</v>
      </c>
      <c r="B3" s="14">
        <f>'Data Sheet'!B17</f>
        <v>7402.91</v>
      </c>
      <c r="C3" s="14">
        <f>'Data Sheet'!C17</f>
        <v>9231.25</v>
      </c>
      <c r="D3" s="14">
        <f>'Data Sheet'!D17</f>
        <v>10503.91</v>
      </c>
      <c r="E3" s="14">
        <f>'Data Sheet'!E17</f>
        <v>12220.37</v>
      </c>
      <c r="F3" s="14">
        <f>'Data Sheet'!F17</f>
        <v>13615.26</v>
      </c>
      <c r="G3" s="14">
        <f>'Data Sheet'!G17</f>
        <v>14271.49</v>
      </c>
      <c r="H3" s="14">
        <f>'Data Sheet'!H17</f>
        <v>15061.99</v>
      </c>
      <c r="I3" s="14">
        <f>'Data Sheet'!I17</f>
        <v>16824.55</v>
      </c>
      <c r="J3" s="14">
        <f>'Data Sheet'!J17</f>
        <v>19240.13</v>
      </c>
      <c r="K3" s="14">
        <f>'Data Sheet'!K17</f>
        <v>20211.25</v>
      </c>
      <c r="L3" s="180">
        <f>'Profit &amp; Loss'!L4</f>
        <v>18328.76</v>
      </c>
    </row>
    <row r="4" ht="13.5" customHeight="1">
      <c r="A4" s="14" t="s">
        <v>17</v>
      </c>
      <c r="B4" s="148">
        <f>'Profit &amp; Loss'!B10+'Profit &amp; Loss'!B9</f>
        <v>1285.72</v>
      </c>
      <c r="C4" s="148">
        <f>'Profit &amp; Loss'!C10+'Profit &amp; Loss'!C9</f>
        <v>1497.46</v>
      </c>
      <c r="D4" s="148">
        <f>'Profit &amp; Loss'!D10+'Profit &amp; Loss'!D9</f>
        <v>1697.27</v>
      </c>
      <c r="E4" s="148">
        <f>'Profit &amp; Loss'!E10+'Profit &amp; Loss'!E9</f>
        <v>1882.26</v>
      </c>
      <c r="F4" s="148">
        <f>'Profit &amp; Loss'!F10+'Profit &amp; Loss'!F9</f>
        <v>2119.11</v>
      </c>
      <c r="G4" s="148">
        <f>'Profit &amp; Loss'!G10+'Profit &amp; Loss'!G9</f>
        <v>2662.85</v>
      </c>
      <c r="H4" s="148">
        <f>'Profit &amp; Loss'!H10+'Profit &amp; Loss'!H9</f>
        <v>2996.87</v>
      </c>
      <c r="I4" s="148">
        <f>'Profit &amp; Loss'!I10+'Profit &amp; Loss'!I9</f>
        <v>3179.95</v>
      </c>
      <c r="J4" s="148">
        <f>'Profit &amp; Loss'!J10+'Profit &amp; Loss'!J9</f>
        <v>3416.57</v>
      </c>
      <c r="K4" s="148">
        <f>'Profit &amp; Loss'!K10+'Profit &amp; Loss'!K9</f>
        <v>3736.99</v>
      </c>
      <c r="L4" s="180">
        <f>'Profit &amp; Loss'!L10+'Profit &amp; Loss'!L9</f>
        <v>3298.15</v>
      </c>
    </row>
    <row r="5" ht="13.5" customHeight="1">
      <c r="A5" s="14" t="s">
        <v>339</v>
      </c>
      <c r="B5" s="14">
        <f>'Calculated Data'!B6</f>
        <v>1330.87</v>
      </c>
      <c r="C5" s="14">
        <f>'Calculated Data'!C6</f>
        <v>1511.18</v>
      </c>
      <c r="D5" s="14">
        <f>'Calculated Data'!D6</f>
        <v>1737.39</v>
      </c>
      <c r="E5" s="14">
        <f>'Calculated Data'!E6</f>
        <v>1993.7</v>
      </c>
      <c r="F5" s="14">
        <f>'Calculated Data'!F6</f>
        <v>2215.32</v>
      </c>
      <c r="G5" s="14">
        <f>'Calculated Data'!G6</f>
        <v>2725.04</v>
      </c>
      <c r="H5" s="14">
        <f>'Calculated Data'!H6</f>
        <v>2993.76</v>
      </c>
      <c r="I5" s="14">
        <f>'Calculated Data'!I6</f>
        <v>3204.01</v>
      </c>
      <c r="J5" s="14">
        <f>'Calculated Data'!J6</f>
        <v>3764.94</v>
      </c>
      <c r="K5" s="14">
        <f>'Calculated Data'!K6</f>
        <v>4162.44</v>
      </c>
      <c r="L5" s="180">
        <f>'Profit &amp; Loss'!L6</f>
        <v>3784.18</v>
      </c>
    </row>
    <row r="6" ht="13.5" customHeight="1">
      <c r="A6" s="14" t="s">
        <v>340</v>
      </c>
      <c r="B6" s="101">
        <f t="shared" ref="B6:L6" si="1">B5/B3</f>
        <v>0.1797766014</v>
      </c>
      <c r="C6" s="101">
        <f t="shared" si="1"/>
        <v>0.1637026405</v>
      </c>
      <c r="D6" s="101">
        <f t="shared" si="1"/>
        <v>0.1654041209</v>
      </c>
      <c r="E6" s="101">
        <f t="shared" si="1"/>
        <v>0.1631456331</v>
      </c>
      <c r="F6" s="101">
        <f t="shared" si="1"/>
        <v>0.1627086078</v>
      </c>
      <c r="G6" s="101">
        <f t="shared" si="1"/>
        <v>0.1909429219</v>
      </c>
      <c r="H6" s="101">
        <f t="shared" si="1"/>
        <v>0.1987625805</v>
      </c>
      <c r="I6" s="101">
        <f t="shared" si="1"/>
        <v>0.1904365941</v>
      </c>
      <c r="J6" s="101">
        <f t="shared" si="1"/>
        <v>0.19568163</v>
      </c>
      <c r="K6" s="101">
        <f t="shared" si="1"/>
        <v>0.2059466881</v>
      </c>
      <c r="L6" s="181">
        <f t="shared" si="1"/>
        <v>0.2064613209</v>
      </c>
    </row>
    <row r="7" ht="13.5" customHeight="1">
      <c r="A7" s="14" t="s">
        <v>341</v>
      </c>
      <c r="B7" s="101"/>
      <c r="C7" s="101">
        <f t="shared" ref="C7:L7" si="2">(C3-B3)/B3</f>
        <v>0.2469758514</v>
      </c>
      <c r="D7" s="101">
        <f t="shared" si="2"/>
        <v>0.1378643196</v>
      </c>
      <c r="E7" s="101">
        <f t="shared" si="2"/>
        <v>0.1634115296</v>
      </c>
      <c r="F7" s="101">
        <f t="shared" si="2"/>
        <v>0.1141446617</v>
      </c>
      <c r="G7" s="101">
        <f t="shared" si="2"/>
        <v>0.04819812475</v>
      </c>
      <c r="H7" s="101">
        <f t="shared" si="2"/>
        <v>0.05539015197</v>
      </c>
      <c r="I7" s="101">
        <f t="shared" si="2"/>
        <v>0.1170203937</v>
      </c>
      <c r="J7" s="101">
        <f t="shared" si="2"/>
        <v>0.1435747167</v>
      </c>
      <c r="K7" s="101">
        <f t="shared" si="2"/>
        <v>0.05047367144</v>
      </c>
      <c r="L7" s="101">
        <f t="shared" si="2"/>
        <v>-0.09314070134</v>
      </c>
    </row>
    <row r="8" ht="13.5" customHeight="1">
      <c r="A8" s="14" t="s">
        <v>342</v>
      </c>
      <c r="B8" s="101"/>
      <c r="C8" s="101">
        <f t="shared" ref="C8:L8" si="3">(C4-B4)/B4</f>
        <v>0.1646859347</v>
      </c>
      <c r="D8" s="101">
        <f t="shared" si="3"/>
        <v>0.1334326126</v>
      </c>
      <c r="E8" s="101">
        <f t="shared" si="3"/>
        <v>0.1089926765</v>
      </c>
      <c r="F8" s="101">
        <f t="shared" si="3"/>
        <v>0.1258327755</v>
      </c>
      <c r="G8" s="101">
        <f t="shared" si="3"/>
        <v>0.256588851</v>
      </c>
      <c r="H8" s="101">
        <f t="shared" si="3"/>
        <v>0.1254370318</v>
      </c>
      <c r="I8" s="101">
        <f t="shared" si="3"/>
        <v>0.06109040432</v>
      </c>
      <c r="J8" s="101">
        <f t="shared" si="3"/>
        <v>0.074409975</v>
      </c>
      <c r="K8" s="101">
        <f t="shared" si="3"/>
        <v>0.09378411682</v>
      </c>
      <c r="L8" s="101">
        <f t="shared" si="3"/>
        <v>-0.1174314087</v>
      </c>
    </row>
    <row r="9" ht="13.5" customHeight="1">
      <c r="A9" s="14" t="s">
        <v>343</v>
      </c>
      <c r="B9" s="101"/>
      <c r="C9" s="101"/>
      <c r="D9" s="101"/>
      <c r="E9" s="101">
        <f t="shared" ref="E9:L9" si="4">(E3-B3)/B3</f>
        <v>0.6507522042</v>
      </c>
      <c r="F9" s="101">
        <f t="shared" si="4"/>
        <v>0.4749096818</v>
      </c>
      <c r="G9" s="101">
        <f t="shared" si="4"/>
        <v>0.3586835759</v>
      </c>
      <c r="H9" s="101">
        <f t="shared" si="4"/>
        <v>0.2325314209</v>
      </c>
      <c r="I9" s="101">
        <f t="shared" si="4"/>
        <v>0.2357127223</v>
      </c>
      <c r="J9" s="101">
        <f t="shared" si="4"/>
        <v>0.3481514544</v>
      </c>
      <c r="K9" s="101">
        <f t="shared" si="4"/>
        <v>0.3418711605</v>
      </c>
      <c r="L9" s="101">
        <f t="shared" si="4"/>
        <v>0.08940566018</v>
      </c>
    </row>
    <row r="10" ht="13.5" customHeight="1">
      <c r="A10" s="14" t="s">
        <v>344</v>
      </c>
      <c r="B10" s="101"/>
      <c r="C10" s="101"/>
      <c r="D10" s="101"/>
      <c r="E10" s="101">
        <f t="shared" ref="E10:L10" si="5">(E4-B4)/B4</f>
        <v>0.4639734935</v>
      </c>
      <c r="F10" s="101">
        <f t="shared" si="5"/>
        <v>0.4151362975</v>
      </c>
      <c r="G10" s="101">
        <f t="shared" si="5"/>
        <v>0.5689018247</v>
      </c>
      <c r="H10" s="101">
        <f t="shared" si="5"/>
        <v>0.5921658007</v>
      </c>
      <c r="I10" s="101">
        <f t="shared" si="5"/>
        <v>0.5006063866</v>
      </c>
      <c r="J10" s="101">
        <f t="shared" si="5"/>
        <v>0.2830501155</v>
      </c>
      <c r="K10" s="101">
        <f t="shared" si="5"/>
        <v>0.2469643328</v>
      </c>
      <c r="L10" s="101">
        <f t="shared" si="5"/>
        <v>0.03717039576</v>
      </c>
    </row>
    <row r="11" ht="13.5" customHeight="1">
      <c r="A11" s="14" t="s">
        <v>345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ht="13.5" customHeight="1">
      <c r="A12" s="24" t="s">
        <v>346</v>
      </c>
      <c r="B12" s="25"/>
      <c r="C12" s="182">
        <f t="shared" ref="C12:L12" si="6">IF((C3-B3)&gt;0,(C8/C7),0)</f>
        <v>0.6668098675</v>
      </c>
      <c r="D12" s="182">
        <f t="shared" si="6"/>
        <v>0.967854576</v>
      </c>
      <c r="E12" s="182">
        <f t="shared" si="6"/>
        <v>0.666982781</v>
      </c>
      <c r="F12" s="182">
        <f t="shared" si="6"/>
        <v>1.102397375</v>
      </c>
      <c r="G12" s="182">
        <f t="shared" si="6"/>
        <v>5.323627264</v>
      </c>
      <c r="H12" s="182">
        <f t="shared" si="6"/>
        <v>2.264608911</v>
      </c>
      <c r="I12" s="182">
        <f t="shared" si="6"/>
        <v>0.5220492119</v>
      </c>
      <c r="J12" s="182">
        <f t="shared" si="6"/>
        <v>0.5182665633</v>
      </c>
      <c r="K12" s="182">
        <f t="shared" si="6"/>
        <v>1.858079948</v>
      </c>
      <c r="L12" s="25">
        <f t="shared" si="6"/>
        <v>0</v>
      </c>
    </row>
    <row r="13" ht="13.5" customHeight="1">
      <c r="A13" s="24" t="s">
        <v>347</v>
      </c>
      <c r="B13" s="25"/>
      <c r="C13" s="182"/>
      <c r="D13" s="182"/>
      <c r="E13" s="182">
        <f t="shared" ref="E13:L13" si="7">IF((E3-B3)&gt;0,E10/E9,0)</f>
        <v>0.7129802872</v>
      </c>
      <c r="F13" s="182">
        <f t="shared" si="7"/>
        <v>0.8741373642</v>
      </c>
      <c r="G13" s="182">
        <f t="shared" si="7"/>
        <v>1.586082728</v>
      </c>
      <c r="H13" s="182">
        <f t="shared" si="7"/>
        <v>2.546605523</v>
      </c>
      <c r="I13" s="182">
        <f t="shared" si="7"/>
        <v>2.123798757</v>
      </c>
      <c r="J13" s="182">
        <f t="shared" si="7"/>
        <v>0.8130085682</v>
      </c>
      <c r="K13" s="182">
        <f t="shared" si="7"/>
        <v>0.7223900737</v>
      </c>
      <c r="L13" s="25">
        <f t="shared" si="7"/>
        <v>0.4157499166</v>
      </c>
    </row>
    <row r="14" ht="13.5" customHeight="1">
      <c r="A14" s="183" t="s">
        <v>301</v>
      </c>
      <c r="B14" s="184">
        <f t="shared" ref="B14:L14" si="8">B4/B3</f>
        <v>0.1736776484</v>
      </c>
      <c r="C14" s="184">
        <f t="shared" si="8"/>
        <v>0.1622163846</v>
      </c>
      <c r="D14" s="184">
        <f t="shared" si="8"/>
        <v>0.1615845909</v>
      </c>
      <c r="E14" s="184">
        <f t="shared" si="8"/>
        <v>0.1540264329</v>
      </c>
      <c r="F14" s="184">
        <f t="shared" si="8"/>
        <v>0.155642272</v>
      </c>
      <c r="G14" s="184">
        <f t="shared" si="8"/>
        <v>0.186585283</v>
      </c>
      <c r="H14" s="184">
        <f t="shared" si="8"/>
        <v>0.1989690605</v>
      </c>
      <c r="I14" s="184">
        <f t="shared" si="8"/>
        <v>0.189006541</v>
      </c>
      <c r="J14" s="184">
        <f t="shared" si="8"/>
        <v>0.1775752035</v>
      </c>
      <c r="K14" s="184">
        <f t="shared" si="8"/>
        <v>0.1848965304</v>
      </c>
      <c r="L14" s="184">
        <f t="shared" si="8"/>
        <v>0.1799439788</v>
      </c>
    </row>
    <row r="15" ht="13.5" customHeight="1">
      <c r="A15" s="149" t="s">
        <v>220</v>
      </c>
      <c r="B15" s="149">
        <f>'Calculated Data'!B13</f>
        <v>1991.88</v>
      </c>
      <c r="C15" s="149">
        <f>'Calculated Data'!C13</f>
        <v>2734.87</v>
      </c>
      <c r="D15" s="149">
        <f>'Calculated Data'!D13</f>
        <v>3339.57</v>
      </c>
      <c r="E15" s="149">
        <f>'Calculated Data'!E13</f>
        <v>2864.82</v>
      </c>
      <c r="F15" s="149">
        <f>'Calculated Data'!F13</f>
        <v>3572.74</v>
      </c>
      <c r="G15" s="149">
        <f>'Calculated Data'!G13</f>
        <v>4135.98</v>
      </c>
      <c r="H15" s="149">
        <f>'Calculated Data'!H13</f>
        <v>5512.24</v>
      </c>
      <c r="I15" s="149">
        <f>'Calculated Data'!I13</f>
        <v>6802.96</v>
      </c>
      <c r="J15" s="149">
        <f>'Calculated Data'!J13</f>
        <v>8221.57</v>
      </c>
      <c r="K15" s="149">
        <f>'Calculated Data'!K13</f>
        <v>9229.81</v>
      </c>
      <c r="L15" s="185">
        <f>'Balance Sheet'!L10+'Balance Sheet'!L11+'Balance Sheet'!L16</f>
        <v>0</v>
      </c>
    </row>
    <row r="16" ht="13.5" customHeight="1">
      <c r="A16" s="186" t="s">
        <v>348</v>
      </c>
      <c r="B16" s="187">
        <f t="shared" ref="B16:L16" si="9">B3/B15</f>
        <v>3.716544169</v>
      </c>
      <c r="C16" s="187">
        <f t="shared" si="9"/>
        <v>3.375388958</v>
      </c>
      <c r="D16" s="187">
        <f t="shared" si="9"/>
        <v>3.145288166</v>
      </c>
      <c r="E16" s="187">
        <f t="shared" si="9"/>
        <v>4.265667651</v>
      </c>
      <c r="F16" s="187">
        <f t="shared" si="9"/>
        <v>3.810873447</v>
      </c>
      <c r="G16" s="187">
        <f t="shared" si="9"/>
        <v>3.450570361</v>
      </c>
      <c r="H16" s="187">
        <f t="shared" si="9"/>
        <v>2.732462665</v>
      </c>
      <c r="I16" s="187">
        <f t="shared" si="9"/>
        <v>2.473121994</v>
      </c>
      <c r="J16" s="187">
        <f t="shared" si="9"/>
        <v>2.340201446</v>
      </c>
      <c r="K16" s="187">
        <f t="shared" si="9"/>
        <v>2.189779638</v>
      </c>
      <c r="L16" s="187" t="str">
        <f t="shared" si="9"/>
        <v>#DIV/0!</v>
      </c>
    </row>
    <row r="17" ht="13.5" customHeight="1">
      <c r="A17" s="188" t="s">
        <v>230</v>
      </c>
      <c r="B17" s="189">
        <f>'Calculated Data'!B24</f>
        <v>0.4515966566</v>
      </c>
      <c r="C17" s="189">
        <f>'Calculated Data'!C24</f>
        <v>0.3843061154</v>
      </c>
      <c r="D17" s="189">
        <f>'Calculated Data'!D24</f>
        <v>0.3560291246</v>
      </c>
      <c r="E17" s="189">
        <f>'Calculated Data'!E24</f>
        <v>0.4523137879</v>
      </c>
      <c r="F17" s="189">
        <f>'Calculated Data'!F24</f>
        <v>0.4076309673</v>
      </c>
      <c r="G17" s="189">
        <f>'Calculated Data'!G24</f>
        <v>0.4358166486</v>
      </c>
      <c r="H17" s="189">
        <f>'Calculated Data'!H24</f>
        <v>0.3703905965</v>
      </c>
      <c r="I17" s="189">
        <f>'Calculated Data'!I24</f>
        <v>0.3123986289</v>
      </c>
      <c r="J17" s="189">
        <f>'Calculated Data'!J24</f>
        <v>0.2775405952</v>
      </c>
      <c r="K17" s="189">
        <f>'Calculated Data'!K24</f>
        <v>0.3095092419</v>
      </c>
      <c r="L17" s="189" t="str">
        <f>(L4/L15)*(1-'Calculated Data'!K22)</f>
        <v>#DIV/0!</v>
      </c>
      <c r="M17" s="15"/>
    </row>
    <row r="18" ht="13.5" customHeight="1">
      <c r="A18" s="14" t="s">
        <v>235</v>
      </c>
      <c r="B18" s="190" t="str">
        <f>Customization!B58</f>
        <v/>
      </c>
      <c r="C18" s="190" t="str">
        <f>Customization!C58</f>
        <v/>
      </c>
      <c r="D18" s="190" t="str">
        <f>Customization!D58</f>
        <v/>
      </c>
      <c r="E18" s="190" t="str">
        <f>Customization!E58</f>
        <v/>
      </c>
      <c r="F18" s="190" t="str">
        <f>Customization!F58</f>
        <v/>
      </c>
      <c r="G18" s="190" t="str">
        <f>Customization!G58</f>
        <v/>
      </c>
      <c r="H18" s="117">
        <f>Customization!H58</f>
        <v>0.4620374964</v>
      </c>
      <c r="I18" s="117">
        <f>Customization!I58</f>
        <v>0.3370999157</v>
      </c>
      <c r="J18" s="117">
        <f>Customization!J58</f>
        <v>0.2846984734</v>
      </c>
      <c r="K18" s="117">
        <f>Customization!K58</f>
        <v>0.261418217</v>
      </c>
      <c r="L18" s="14"/>
    </row>
    <row r="19" ht="13.5" customHeight="1">
      <c r="A19" s="14" t="s">
        <v>182</v>
      </c>
      <c r="B19" s="26">
        <f>'Calculated Data'!B26</f>
        <v>660.5007483</v>
      </c>
      <c r="C19" s="26">
        <f>'Calculated Data'!C26</f>
        <v>722.8428659</v>
      </c>
      <c r="D19" s="26">
        <f>'Calculated Data'!D26</f>
        <v>788.2357835</v>
      </c>
      <c r="E19" s="26">
        <f>'Calculated Data'!E26</f>
        <v>952.0191857</v>
      </c>
      <c r="F19" s="26">
        <f>'Calculated Data'!F26</f>
        <v>1027.630662</v>
      </c>
      <c r="G19" s="26">
        <f>'Calculated Data'!G26</f>
        <v>1306.211342</v>
      </c>
      <c r="H19" s="26">
        <f>'Calculated Data'!H26</f>
        <v>1380.213062</v>
      </c>
      <c r="I19" s="26">
        <f>'Calculated Data'!I26</f>
        <v>1308.880176</v>
      </c>
      <c r="J19" s="26">
        <f>'Calculated Data'!J26</f>
        <v>1295.231032</v>
      </c>
      <c r="K19" s="26">
        <f>'Calculated Data'!K26</f>
        <v>1749.134296</v>
      </c>
      <c r="L19" s="26" t="str">
        <f>L15*(L17-'Calculated Data'!K25)</f>
        <v>#DIV/0!</v>
      </c>
    </row>
    <row r="20" ht="13.5" customHeight="1">
      <c r="A20" s="14" t="s">
        <v>161</v>
      </c>
      <c r="B20" s="101">
        <f t="shared" ref="B20:L20" si="10">B19/B3</f>
        <v>0.08922177202</v>
      </c>
      <c r="C20" s="101">
        <f t="shared" si="10"/>
        <v>0.07830389881</v>
      </c>
      <c r="D20" s="101">
        <f t="shared" si="10"/>
        <v>0.07504213036</v>
      </c>
      <c r="E20" s="101">
        <f t="shared" si="10"/>
        <v>0.07790428487</v>
      </c>
      <c r="F20" s="101">
        <f t="shared" si="10"/>
        <v>0.07547638916</v>
      </c>
      <c r="G20" s="101">
        <f t="shared" si="10"/>
        <v>0.09152592633</v>
      </c>
      <c r="H20" s="101">
        <f t="shared" si="10"/>
        <v>0.09163550513</v>
      </c>
      <c r="I20" s="101">
        <f t="shared" si="10"/>
        <v>0.07779585049</v>
      </c>
      <c r="J20" s="101">
        <f t="shared" si="10"/>
        <v>0.06731924533</v>
      </c>
      <c r="K20" s="101">
        <f t="shared" si="10"/>
        <v>0.08654260851</v>
      </c>
      <c r="L20" s="101" t="str">
        <f t="shared" si="10"/>
        <v>#DIV/0!</v>
      </c>
    </row>
    <row r="21" ht="13.5" customHeight="1">
      <c r="A21" s="14" t="s">
        <v>349</v>
      </c>
      <c r="B21" s="117">
        <f>'Calculated Data'!B31</f>
        <v>0.2451746807</v>
      </c>
      <c r="C21" s="117">
        <f>'Calculated Data'!C31</f>
        <v>0.2201382572</v>
      </c>
      <c r="D21" s="117">
        <f>'Calculated Data'!D31</f>
        <v>0.1987566077</v>
      </c>
      <c r="E21" s="117">
        <f>'Calculated Data'!E31</f>
        <v>0.1758829675</v>
      </c>
      <c r="F21" s="117">
        <f>'Calculated Data'!F31</f>
        <v>0.1708094704</v>
      </c>
      <c r="G21" s="117">
        <f>'Calculated Data'!G31</f>
        <v>0.1572089345</v>
      </c>
      <c r="H21" s="117">
        <f>'Calculated Data'!H31</f>
        <v>0.1251267443</v>
      </c>
      <c r="I21" s="117">
        <f>'Calculated Data'!I31</f>
        <v>0.1432101143</v>
      </c>
      <c r="J21" s="117">
        <f>'Calculated Data'!J31</f>
        <v>0.1212981295</v>
      </c>
      <c r="K21" s="117">
        <f>'Calculated Data'!K31</f>
        <v>0.1534161356</v>
      </c>
      <c r="L21" s="117"/>
    </row>
    <row r="22" ht="13.5" customHeight="1">
      <c r="A22" s="176" t="s">
        <v>350</v>
      </c>
      <c r="B22" s="158" t="s">
        <v>351</v>
      </c>
      <c r="C22" s="121"/>
      <c r="D22" s="121"/>
      <c r="E22" s="121"/>
      <c r="F22" s="121"/>
      <c r="G22" s="121"/>
      <c r="H22" s="121"/>
      <c r="I22" s="121"/>
      <c r="J22" s="121"/>
      <c r="K22" s="122"/>
    </row>
    <row r="23" ht="13.5" customHeight="1">
      <c r="A23" s="191" t="str">
        <f>A2</f>
        <v>ASIAN PAINTS LTD</v>
      </c>
      <c r="B23" s="86">
        <f>'Data Sheet'!B41</f>
        <v>43281</v>
      </c>
      <c r="C23" s="86">
        <f>'Data Sheet'!C41</f>
        <v>43373</v>
      </c>
      <c r="D23" s="86">
        <f>'Data Sheet'!D41</f>
        <v>43465</v>
      </c>
      <c r="E23" s="86">
        <f>'Data Sheet'!E41</f>
        <v>43555</v>
      </c>
      <c r="F23" s="86">
        <f>'Data Sheet'!F41</f>
        <v>43646</v>
      </c>
      <c r="G23" s="86">
        <f>'Data Sheet'!G41</f>
        <v>43738</v>
      </c>
      <c r="H23" s="86">
        <f>'Data Sheet'!H41</f>
        <v>43830</v>
      </c>
      <c r="I23" s="86">
        <f>'Data Sheet'!I41</f>
        <v>43921</v>
      </c>
      <c r="J23" s="86">
        <f>'Data Sheet'!J41</f>
        <v>44012</v>
      </c>
      <c r="K23" s="86">
        <f>'Data Sheet'!K41</f>
        <v>44104</v>
      </c>
    </row>
    <row r="24" ht="13.5" customHeight="1">
      <c r="A24" s="14" t="s">
        <v>5</v>
      </c>
      <c r="B24" s="14">
        <f>'Data Sheet'!B42</f>
        <v>4390.27</v>
      </c>
      <c r="C24" s="14">
        <f>'Data Sheet'!C42</f>
        <v>4615.49</v>
      </c>
      <c r="D24" s="14">
        <f>'Data Sheet'!D42</f>
        <v>5263.04</v>
      </c>
      <c r="E24" s="14">
        <f>'Data Sheet'!E42</f>
        <v>4991.5</v>
      </c>
      <c r="F24" s="14">
        <f>'Data Sheet'!F42</f>
        <v>5104.72</v>
      </c>
      <c r="G24" s="14">
        <f>'Data Sheet'!G42</f>
        <v>5050.66</v>
      </c>
      <c r="H24" s="14">
        <f>'Data Sheet'!H42</f>
        <v>5420.28</v>
      </c>
      <c r="I24" s="14">
        <f>'Data Sheet'!I42</f>
        <v>4635.59</v>
      </c>
      <c r="J24" s="14">
        <f>'Data Sheet'!J42</f>
        <v>2922.66</v>
      </c>
      <c r="K24" s="14">
        <f>'Data Sheet'!K42</f>
        <v>5350.23</v>
      </c>
    </row>
    <row r="25" ht="13.5" customHeight="1">
      <c r="A25" s="14" t="s">
        <v>17</v>
      </c>
      <c r="B25" s="192">
        <f>Quarters!B16</f>
        <v>867.08</v>
      </c>
      <c r="C25" s="192">
        <f>Quarters!C16</f>
        <v>772.93</v>
      </c>
      <c r="D25" s="192">
        <f>Quarters!D16</f>
        <v>1003.25</v>
      </c>
      <c r="E25" s="192">
        <f>Quarters!E16</f>
        <v>767.9</v>
      </c>
      <c r="F25" s="192">
        <f>Quarters!F16</f>
        <v>1049.83</v>
      </c>
      <c r="G25" s="192">
        <f>Quarters!G16</f>
        <v>875.31</v>
      </c>
      <c r="H25" s="192">
        <f>Quarters!H16</f>
        <v>1081.35</v>
      </c>
      <c r="I25" s="192">
        <f>Quarters!I16</f>
        <v>724.88</v>
      </c>
      <c r="J25" s="192">
        <f>Quarters!J16</f>
        <v>325.89</v>
      </c>
      <c r="K25" s="192">
        <f>Quarters!K16</f>
        <v>1166.03</v>
      </c>
    </row>
    <row r="26" ht="13.5" customHeight="1">
      <c r="A26" s="14" t="s">
        <v>339</v>
      </c>
      <c r="B26" s="192">
        <f>Quarters!B6</f>
        <v>929.7</v>
      </c>
      <c r="C26" s="192">
        <f>Quarters!C6</f>
        <v>843.7</v>
      </c>
      <c r="D26" s="192">
        <f>Quarters!D6</f>
        <v>1103.59</v>
      </c>
      <c r="E26" s="192">
        <f>Quarters!E6</f>
        <v>883.36</v>
      </c>
      <c r="F26" s="192">
        <f>Quarters!F6</f>
        <v>1155.87</v>
      </c>
      <c r="G26" s="192">
        <f>Quarters!G6</f>
        <v>951.94</v>
      </c>
      <c r="H26" s="192">
        <f>Quarters!H6</f>
        <v>1189.39</v>
      </c>
      <c r="I26" s="192">
        <f>Quarters!I6</f>
        <v>859.62</v>
      </c>
      <c r="J26" s="192">
        <f>Quarters!J6</f>
        <v>469.97</v>
      </c>
      <c r="K26" s="192">
        <f>Quarters!K6</f>
        <v>1265.2</v>
      </c>
    </row>
    <row r="27" ht="13.5" customHeight="1">
      <c r="A27" s="14" t="s">
        <v>301</v>
      </c>
      <c r="B27" s="101">
        <f t="shared" ref="B27:K27" si="11">B25/B24</f>
        <v>0.1975003815</v>
      </c>
      <c r="C27" s="101">
        <f t="shared" si="11"/>
        <v>0.1674643429</v>
      </c>
      <c r="D27" s="101">
        <f t="shared" si="11"/>
        <v>0.1906217699</v>
      </c>
      <c r="E27" s="101">
        <f t="shared" si="11"/>
        <v>0.1538415306</v>
      </c>
      <c r="F27" s="101">
        <f t="shared" si="11"/>
        <v>0.2056586845</v>
      </c>
      <c r="G27" s="101">
        <f t="shared" si="11"/>
        <v>0.173306063</v>
      </c>
      <c r="H27" s="101">
        <f t="shared" si="11"/>
        <v>0.1995007638</v>
      </c>
      <c r="I27" s="101">
        <f t="shared" si="11"/>
        <v>0.1563727595</v>
      </c>
      <c r="J27" s="101">
        <f t="shared" si="11"/>
        <v>0.1115045883</v>
      </c>
      <c r="K27" s="101">
        <f t="shared" si="11"/>
        <v>0.2179401633</v>
      </c>
    </row>
    <row r="28" ht="13.5" customHeight="1">
      <c r="A28" s="14" t="s">
        <v>340</v>
      </c>
      <c r="B28" s="101">
        <f t="shared" ref="B28:K28" si="12">B26/B24</f>
        <v>0.2117637412</v>
      </c>
      <c r="C28" s="101">
        <f t="shared" si="12"/>
        <v>0.1827974928</v>
      </c>
      <c r="D28" s="101">
        <f t="shared" si="12"/>
        <v>0.209686797</v>
      </c>
      <c r="E28" s="101">
        <f t="shared" si="12"/>
        <v>0.1769728539</v>
      </c>
      <c r="F28" s="101">
        <f t="shared" si="12"/>
        <v>0.2264316162</v>
      </c>
      <c r="G28" s="101">
        <f t="shared" si="12"/>
        <v>0.1884783375</v>
      </c>
      <c r="H28" s="101">
        <f t="shared" si="12"/>
        <v>0.2194333134</v>
      </c>
      <c r="I28" s="101">
        <f t="shared" si="12"/>
        <v>0.1854391782</v>
      </c>
      <c r="J28" s="101">
        <f t="shared" si="12"/>
        <v>0.160802146</v>
      </c>
      <c r="K28" s="101">
        <f t="shared" si="12"/>
        <v>0.2364758151</v>
      </c>
    </row>
    <row r="29" ht="13.5" customHeight="1">
      <c r="A29" s="176" t="s">
        <v>352</v>
      </c>
      <c r="B29" s="86">
        <f t="shared" ref="B29:L29" si="13">B2</f>
        <v>40633</v>
      </c>
      <c r="C29" s="86">
        <f t="shared" si="13"/>
        <v>40999</v>
      </c>
      <c r="D29" s="86">
        <f t="shared" si="13"/>
        <v>41364</v>
      </c>
      <c r="E29" s="86">
        <f t="shared" si="13"/>
        <v>41729</v>
      </c>
      <c r="F29" s="86">
        <f t="shared" si="13"/>
        <v>42094</v>
      </c>
      <c r="G29" s="86">
        <f t="shared" si="13"/>
        <v>42460</v>
      </c>
      <c r="H29" s="86">
        <f t="shared" si="13"/>
        <v>42825</v>
      </c>
      <c r="I29" s="86">
        <f t="shared" si="13"/>
        <v>43190</v>
      </c>
      <c r="J29" s="86">
        <f t="shared" si="13"/>
        <v>43555</v>
      </c>
      <c r="K29" s="86">
        <f t="shared" si="13"/>
        <v>43921</v>
      </c>
      <c r="L29" s="86" t="str">
        <f t="shared" si="13"/>
        <v>TTM</v>
      </c>
    </row>
    <row r="30" ht="13.5" customHeight="1">
      <c r="A30" s="14" t="s">
        <v>306</v>
      </c>
      <c r="B30" s="14"/>
      <c r="C30" s="117">
        <f>('Calculated Data'!C18-'Data Sheet'!C26)/('Business Robustness'!C3-'Business Robustness'!B3)</f>
        <v>0.308717197</v>
      </c>
      <c r="D30" s="117">
        <f>('Calculated Data'!D18-'Data Sheet'!D26)/('Business Robustness'!D3-'Business Robustness'!C3)</f>
        <v>0.4577420521</v>
      </c>
      <c r="E30" s="117">
        <f>('Calculated Data'!E18-'Data Sheet'!E26)/('Business Robustness'!E3-'Business Robustness'!D3)</f>
        <v>0.07748505645</v>
      </c>
      <c r="F30" s="117">
        <f>('Calculated Data'!F18-'Data Sheet'!F26)/('Business Robustness'!F3-'Business Robustness'!E3)</f>
        <v>0.1597688707</v>
      </c>
      <c r="G30" s="117">
        <f>('Calculated Data'!G18-'Data Sheet'!G26)/('Business Robustness'!G3-'Business Robustness'!F3)</f>
        <v>1.016259543</v>
      </c>
      <c r="H30" s="117">
        <f>('Calculated Data'!H18-'Data Sheet'!H26)/('Business Robustness'!H3-'Business Robustness'!G3)</f>
        <v>0.04850094877</v>
      </c>
      <c r="I30" s="117">
        <f>('Calculated Data'!I18-'Data Sheet'!I26)/('Business Robustness'!I3-'Business Robustness'!H3)</f>
        <v>0.8941936728</v>
      </c>
      <c r="J30" s="117">
        <f>('Calculated Data'!J18-'Data Sheet'!J26)/('Business Robustness'!J3-'Business Robustness'!I3)</f>
        <v>0.6494837679</v>
      </c>
      <c r="K30" s="117">
        <f>('Calculated Data'!K18-'Data Sheet'!K26)/('Business Robustness'!K3-'Business Robustness'!J3)</f>
        <v>-0.3024137079</v>
      </c>
    </row>
    <row r="31" ht="13.5" customHeight="1">
      <c r="A31" s="14" t="s">
        <v>314</v>
      </c>
      <c r="B31" s="14"/>
      <c r="C31" s="117">
        <f>('Calculated Data'!C11-'Calculated Data'!B11)/('Business Robustness'!C3-'Business Robustness'!B3)</f>
        <v>0.09765689095</v>
      </c>
      <c r="D31" s="117">
        <f>('Calculated Data'!D11-'Calculated Data'!C11)/('Business Robustness'!D3-'Business Robustness'!C3)</f>
        <v>0.01740449138</v>
      </c>
      <c r="E31" s="117">
        <f>('Calculated Data'!E11-'Calculated Data'!D11)/('Business Robustness'!E3-'Business Robustness'!D3)</f>
        <v>-0.3540717523</v>
      </c>
      <c r="F31" s="117">
        <f>('Calculated Data'!F11-'Calculated Data'!E11)/('Business Robustness'!F3-'Business Robustness'!E3)</f>
        <v>0.3477406821</v>
      </c>
      <c r="G31" s="117">
        <f>('Calculated Data'!G11-'Calculated Data'!F11)/('Business Robustness'!G3-'Business Robustness'!F3)</f>
        <v>-0.1579629093</v>
      </c>
      <c r="H31" s="117">
        <f>('Calculated Data'!H11-'Calculated Data'!G11)/('Business Robustness'!H3-'Business Robustness'!G3)</f>
        <v>1.692498419</v>
      </c>
      <c r="I31" s="117">
        <f>('Calculated Data'!I11-'Calculated Data'!H11)/('Business Robustness'!I3-'Business Robustness'!H3)</f>
        <v>-0.1618951979</v>
      </c>
      <c r="J31" s="117">
        <f>('Calculated Data'!J11-'Calculated Data'!I11)/('Business Robustness'!J3-'Business Robustness'!I3)</f>
        <v>-0.0622086621</v>
      </c>
      <c r="K31" s="117">
        <f>('Calculated Data'!K11-'Calculated Data'!J11)/('Business Robustness'!K3-'Business Robustness'!J3)</f>
        <v>1.340637614</v>
      </c>
    </row>
    <row r="32" ht="13.5" customHeight="1">
      <c r="A32" s="14" t="s">
        <v>353</v>
      </c>
      <c r="B32" s="14"/>
      <c r="C32" s="117">
        <f>((C30+C31)*'Calculated Data'!C25)/((1+'Calculated Data'!C25)*(1-'Calculated Data'!C22))</f>
        <v>0.06203409901</v>
      </c>
      <c r="D32" s="117">
        <f>((D30+D31)*'Calculated Data'!D25)/((1+'Calculated Data'!D25)*(1-'Calculated Data'!D22))</f>
        <v>0.07267175613</v>
      </c>
      <c r="E32" s="117">
        <f>((E30+E31)*'Calculated Data'!E25)/((1+'Calculated Data'!E25)*(1-'Calculated Data'!E22))</f>
        <v>-0.04304641183</v>
      </c>
      <c r="F32" s="117">
        <f>((F30+F31)*'Calculated Data'!F25)/((1+'Calculated Data'!F25)*(1-'Calculated Data'!F22))</f>
        <v>0.0791211086</v>
      </c>
      <c r="G32" s="117">
        <f>((G30+G31)*'Calculated Data'!G25)/((1+'Calculated Data'!G25)*(1-'Calculated Data'!G22))</f>
        <v>0.1358517036</v>
      </c>
      <c r="H32" s="117">
        <f>((H30+H31)*'Calculated Data'!H25)/((1+'Calculated Data'!H25)*(1-'Calculated Data'!H22))</f>
        <v>0.2738051865</v>
      </c>
      <c r="I32" s="117">
        <f>((I30+I31)*'Calculated Data'!I25)/((1+'Calculated Data'!I25)*(1-'Calculated Data'!I22))</f>
        <v>0.1173990569</v>
      </c>
      <c r="J32" s="117">
        <f>((J30+J31)*'Calculated Data'!J25)/((1+'Calculated Data'!J25)*(1-'Calculated Data'!J22))</f>
        <v>0.09421365752</v>
      </c>
      <c r="K32" s="117">
        <f>((K30+K31)*'Calculated Data'!K25)/((1+'Calculated Data'!K25)*(1-'Calculated Data'!K22))</f>
        <v>0.1455156828</v>
      </c>
    </row>
    <row r="33" ht="13.5" customHeight="1">
      <c r="A33" s="14" t="s">
        <v>354</v>
      </c>
      <c r="B33" s="14"/>
      <c r="C33" s="101">
        <f t="shared" ref="C33:K33" si="14">(B4+(C32*(C3-B3)))/C3</f>
        <v>0.1515655436</v>
      </c>
      <c r="D33" s="101">
        <f t="shared" si="14"/>
        <v>0.151367104</v>
      </c>
      <c r="E33" s="101">
        <f t="shared" si="14"/>
        <v>0.1328423408</v>
      </c>
      <c r="F33" s="101">
        <f t="shared" si="14"/>
        <v>0.1463523461</v>
      </c>
      <c r="G33" s="101">
        <f t="shared" si="14"/>
        <v>0.1547322644</v>
      </c>
      <c r="H33" s="101">
        <f t="shared" si="14"/>
        <v>0.1911628543</v>
      </c>
      <c r="I33" s="101">
        <f t="shared" si="14"/>
        <v>0.1904236893</v>
      </c>
      <c r="J33" s="101">
        <f t="shared" si="14"/>
        <v>0.1771053848</v>
      </c>
      <c r="K33" s="101">
        <f t="shared" si="14"/>
        <v>0.176034792</v>
      </c>
      <c r="L33" s="153" t="s">
        <v>355</v>
      </c>
    </row>
    <row r="34" ht="13.5" customHeight="1">
      <c r="A34" s="14" t="s">
        <v>356</v>
      </c>
      <c r="B34" s="14"/>
      <c r="C34" s="101">
        <f t="shared" ref="C34:K34" si="15">C14-C33</f>
        <v>0.01065084094</v>
      </c>
      <c r="D34" s="101">
        <f t="shared" si="15"/>
        <v>0.0102174869</v>
      </c>
      <c r="E34" s="101">
        <f t="shared" si="15"/>
        <v>0.02118409214</v>
      </c>
      <c r="F34" s="101">
        <f t="shared" si="15"/>
        <v>0.009289925923</v>
      </c>
      <c r="G34" s="101">
        <f t="shared" si="15"/>
        <v>0.03185301861</v>
      </c>
      <c r="H34" s="101">
        <f t="shared" si="15"/>
        <v>0.007806206223</v>
      </c>
      <c r="I34" s="101">
        <f t="shared" si="15"/>
        <v>-0.001417148254</v>
      </c>
      <c r="J34" s="101">
        <f t="shared" si="15"/>
        <v>0.0004698187163</v>
      </c>
      <c r="K34" s="101">
        <f t="shared" si="15"/>
        <v>0.008861738395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L1"/>
    <mergeCell ref="B22:K22"/>
  </mergeCells>
  <printOptions/>
  <pageMargins bottom="1.0" footer="0.0" header="0.0" left="0.75" right="0.75" top="1.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75"/>
    <col customWidth="1" min="2" max="2" width="8.25"/>
    <col customWidth="1" min="3" max="3" width="7.75"/>
    <col customWidth="1" min="4" max="4" width="8.5"/>
    <col customWidth="1" min="5" max="12" width="7.75"/>
    <col customWidth="1" min="13" max="13" width="15.0"/>
    <col customWidth="1" min="14" max="14" width="7.75"/>
    <col customWidth="1" min="15" max="15" width="15.13"/>
    <col customWidth="1" min="16" max="16" width="8.25"/>
    <col customWidth="1" min="17" max="26" width="7.75"/>
  </cols>
  <sheetData>
    <row r="1" ht="13.5" customHeight="1">
      <c r="A1" s="193" t="str">
        <f>'Data Sheet'!B1</f>
        <v>ASIAN PAINTS LTD</v>
      </c>
      <c r="B1" s="122"/>
      <c r="C1" s="6"/>
      <c r="D1" s="194" t="s">
        <v>357</v>
      </c>
      <c r="E1" s="37"/>
      <c r="F1" s="37"/>
      <c r="G1" s="37"/>
      <c r="H1" s="37"/>
      <c r="I1" s="37"/>
      <c r="J1" s="37"/>
      <c r="K1" s="37"/>
      <c r="L1" s="37"/>
      <c r="M1" s="3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3.5" customHeight="1">
      <c r="A2" s="195" t="s">
        <v>358</v>
      </c>
      <c r="B2" s="122"/>
      <c r="C2" s="196"/>
      <c r="D2" s="195" t="s">
        <v>359</v>
      </c>
      <c r="E2" s="121"/>
      <c r="F2" s="121"/>
      <c r="G2" s="121"/>
      <c r="H2" s="121"/>
      <c r="I2" s="121"/>
      <c r="J2" s="121"/>
      <c r="K2" s="121"/>
      <c r="L2" s="121"/>
      <c r="M2" s="122"/>
      <c r="N2" s="196"/>
      <c r="O2" s="197" t="s">
        <v>360</v>
      </c>
      <c r="P2" s="198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ht="13.5" customHeight="1">
      <c r="A3" s="170" t="s">
        <v>16</v>
      </c>
      <c r="B3" s="199">
        <f>'Data Sheet'!B8</f>
        <v>2754.8</v>
      </c>
      <c r="C3" s="6"/>
      <c r="D3" s="14" t="s">
        <v>318</v>
      </c>
      <c r="E3" s="14" t="s">
        <v>14</v>
      </c>
      <c r="F3" s="14" t="s">
        <v>21</v>
      </c>
      <c r="G3" s="14"/>
      <c r="H3" s="200"/>
      <c r="I3" s="121"/>
      <c r="J3" s="121"/>
      <c r="K3" s="121"/>
      <c r="L3" s="121"/>
      <c r="M3" s="122"/>
      <c r="N3" s="6"/>
      <c r="O3" s="14" t="s">
        <v>318</v>
      </c>
      <c r="P3" s="14" t="s">
        <v>5</v>
      </c>
      <c r="Q3" s="15"/>
      <c r="R3" s="6"/>
      <c r="S3" s="6"/>
      <c r="T3" s="6"/>
      <c r="U3" s="6"/>
      <c r="V3" s="6"/>
      <c r="W3" s="6"/>
      <c r="X3" s="6"/>
      <c r="Y3" s="6"/>
      <c r="Z3" s="6"/>
    </row>
    <row r="4" ht="13.5" customHeight="1">
      <c r="A4" s="170" t="s">
        <v>361</v>
      </c>
      <c r="B4" s="26">
        <f>'Profit &amp; Loss'!L13</f>
        <v>23.71449534</v>
      </c>
      <c r="C4" s="6"/>
      <c r="D4" s="14" t="s">
        <v>362</v>
      </c>
      <c r="E4" s="26">
        <f>B4</f>
        <v>23.71449534</v>
      </c>
      <c r="F4" s="26">
        <f>B5</f>
        <v>12</v>
      </c>
      <c r="G4" s="14"/>
      <c r="H4" s="26">
        <f>E14</f>
        <v>220.8584486</v>
      </c>
      <c r="I4" s="201" t="s">
        <v>363</v>
      </c>
      <c r="J4" s="121"/>
      <c r="K4" s="121"/>
      <c r="L4" s="121"/>
      <c r="M4" s="122"/>
      <c r="N4" s="6"/>
      <c r="O4" s="14" t="s">
        <v>362</v>
      </c>
      <c r="P4" s="26">
        <f>'Profit &amp; Loss'!K4</f>
        <v>20211.25</v>
      </c>
      <c r="Q4" s="6"/>
      <c r="R4" s="6"/>
      <c r="S4" s="6"/>
      <c r="T4" s="6"/>
      <c r="U4" s="6"/>
      <c r="V4" s="6"/>
      <c r="W4" s="6"/>
      <c r="X4" s="6"/>
      <c r="Y4" s="6"/>
      <c r="Z4" s="6"/>
    </row>
    <row r="5" ht="13.5" customHeight="1">
      <c r="A5" s="170" t="s">
        <v>364</v>
      </c>
      <c r="B5" s="26">
        <f>'Profit &amp; Loss'!K22</f>
        <v>12</v>
      </c>
      <c r="C5" s="6"/>
      <c r="D5" s="14" t="s">
        <v>365</v>
      </c>
      <c r="E5" s="26">
        <f t="shared" ref="E5:E14" si="1">E4*(1+$B$21)</f>
        <v>29.64311918</v>
      </c>
      <c r="F5" s="26">
        <f t="shared" ref="F5:F14" si="2">E5*$B$36</f>
        <v>1.482155959</v>
      </c>
      <c r="G5" s="14"/>
      <c r="H5" s="26">
        <f>SUM(F5:F14)</f>
        <v>49.28598831</v>
      </c>
      <c r="I5" s="201" t="s">
        <v>366</v>
      </c>
      <c r="J5" s="121"/>
      <c r="K5" s="121"/>
      <c r="L5" s="121"/>
      <c r="M5" s="122"/>
      <c r="N5" s="6"/>
      <c r="O5" s="14" t="s">
        <v>365</v>
      </c>
      <c r="P5" s="26">
        <f t="shared" ref="P5:P14" si="3">P4*(1+$B$14)</f>
        <v>25264.0625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170" t="s">
        <v>367</v>
      </c>
      <c r="B6" s="26">
        <f>'Balance Sheet'!K32</f>
        <v>105.6105088</v>
      </c>
      <c r="C6" s="6"/>
      <c r="D6" s="14" t="s">
        <v>368</v>
      </c>
      <c r="E6" s="26">
        <f t="shared" si="1"/>
        <v>37.05389897</v>
      </c>
      <c r="F6" s="26">
        <f t="shared" si="2"/>
        <v>1.852694949</v>
      </c>
      <c r="G6" s="14"/>
      <c r="H6" s="202"/>
      <c r="I6" s="121"/>
      <c r="J6" s="121"/>
      <c r="K6" s="121"/>
      <c r="L6" s="121"/>
      <c r="M6" s="122"/>
      <c r="N6" s="6"/>
      <c r="O6" s="14" t="s">
        <v>368</v>
      </c>
      <c r="P6" s="26">
        <f t="shared" si="3"/>
        <v>31580.07813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170" t="s">
        <v>369</v>
      </c>
      <c r="B7" s="203">
        <f>B3/B4</f>
        <v>116.1652382</v>
      </c>
      <c r="C7" s="6"/>
      <c r="D7" s="14" t="s">
        <v>370</v>
      </c>
      <c r="E7" s="26">
        <f t="shared" si="1"/>
        <v>46.31737372</v>
      </c>
      <c r="F7" s="26">
        <f t="shared" si="2"/>
        <v>2.315868686</v>
      </c>
      <c r="G7" s="14"/>
      <c r="H7" s="26">
        <f>$B$33*H4</f>
        <v>3312.876729</v>
      </c>
      <c r="I7" s="201" t="s">
        <v>371</v>
      </c>
      <c r="J7" s="121"/>
      <c r="K7" s="121"/>
      <c r="L7" s="121"/>
      <c r="M7" s="122"/>
      <c r="N7" s="6"/>
      <c r="O7" s="14" t="s">
        <v>370</v>
      </c>
      <c r="P7" s="26">
        <f t="shared" si="3"/>
        <v>39475.09766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170" t="s">
        <v>372</v>
      </c>
      <c r="B8" s="204">
        <f>B4/B3</f>
        <v>0.008608427234</v>
      </c>
      <c r="C8" s="6"/>
      <c r="D8" s="14" t="s">
        <v>373</v>
      </c>
      <c r="E8" s="26">
        <f t="shared" si="1"/>
        <v>57.89671715</v>
      </c>
      <c r="F8" s="26">
        <f t="shared" si="2"/>
        <v>2.894835857</v>
      </c>
      <c r="G8" s="14"/>
      <c r="H8" s="26">
        <f>H7+H5</f>
        <v>3362.162717</v>
      </c>
      <c r="I8" s="201" t="s">
        <v>374</v>
      </c>
      <c r="J8" s="121"/>
      <c r="K8" s="121"/>
      <c r="L8" s="121"/>
      <c r="M8" s="122"/>
      <c r="N8" s="6"/>
      <c r="O8" s="14" t="s">
        <v>373</v>
      </c>
      <c r="P8" s="26">
        <f t="shared" si="3"/>
        <v>49343.87207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ht="13.5" customHeight="1">
      <c r="A9" s="170" t="s">
        <v>375</v>
      </c>
      <c r="B9" s="204">
        <f>B5/B3</f>
        <v>0.004356033106</v>
      </c>
      <c r="C9" s="6"/>
      <c r="D9" s="14" t="s">
        <v>376</v>
      </c>
      <c r="E9" s="26">
        <f t="shared" si="1"/>
        <v>72.37089643</v>
      </c>
      <c r="F9" s="26">
        <f t="shared" si="2"/>
        <v>3.618544822</v>
      </c>
      <c r="G9" s="14"/>
      <c r="H9" s="202"/>
      <c r="I9" s="121"/>
      <c r="J9" s="121"/>
      <c r="K9" s="121"/>
      <c r="L9" s="121"/>
      <c r="M9" s="122"/>
      <c r="N9" s="6"/>
      <c r="O9" s="14" t="s">
        <v>376</v>
      </c>
      <c r="P9" s="26">
        <f t="shared" si="3"/>
        <v>61679.84009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170" t="s">
        <v>377</v>
      </c>
      <c r="B10" s="203">
        <f>B3/B6</f>
        <v>26.08452542</v>
      </c>
      <c r="C10" s="6"/>
      <c r="D10" s="14" t="s">
        <v>378</v>
      </c>
      <c r="E10" s="26">
        <f t="shared" si="1"/>
        <v>90.46362054</v>
      </c>
      <c r="F10" s="26">
        <f t="shared" si="2"/>
        <v>4.523181027</v>
      </c>
      <c r="G10" s="14"/>
      <c r="H10" s="205">
        <f>POWER(H8/$B$3,1/9)-1</f>
        <v>0.02238458985</v>
      </c>
      <c r="I10" s="206" t="s">
        <v>379</v>
      </c>
      <c r="J10" s="121"/>
      <c r="K10" s="121"/>
      <c r="L10" s="121"/>
      <c r="M10" s="122"/>
      <c r="N10" s="6"/>
      <c r="O10" s="14" t="s">
        <v>378</v>
      </c>
      <c r="P10" s="26">
        <f t="shared" si="3"/>
        <v>77099.80011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6"/>
      <c r="B11" s="6"/>
      <c r="C11" s="6"/>
      <c r="D11" s="14" t="s">
        <v>380</v>
      </c>
      <c r="E11" s="26">
        <f t="shared" si="1"/>
        <v>113.0795257</v>
      </c>
      <c r="F11" s="26">
        <f t="shared" si="2"/>
        <v>5.653976284</v>
      </c>
      <c r="G11" s="14"/>
      <c r="H11" s="14"/>
      <c r="I11" s="201" t="s">
        <v>381</v>
      </c>
      <c r="J11" s="121"/>
      <c r="K11" s="121"/>
      <c r="L11" s="121"/>
      <c r="M11" s="122"/>
      <c r="N11" s="6"/>
      <c r="O11" s="14" t="s">
        <v>380</v>
      </c>
      <c r="P11" s="26">
        <f t="shared" si="3"/>
        <v>96374.75014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207" t="s">
        <v>382</v>
      </c>
      <c r="B12" s="208" t="s">
        <v>383</v>
      </c>
      <c r="C12" s="6"/>
      <c r="D12" s="14" t="s">
        <v>384</v>
      </c>
      <c r="E12" s="26">
        <f t="shared" si="1"/>
        <v>141.3494071</v>
      </c>
      <c r="F12" s="26">
        <f t="shared" si="2"/>
        <v>7.067470355</v>
      </c>
      <c r="G12" s="14"/>
      <c r="H12" s="209"/>
      <c r="I12" s="210"/>
      <c r="J12" s="210"/>
      <c r="K12" s="210"/>
      <c r="L12" s="210"/>
      <c r="M12" s="211"/>
      <c r="N12" s="6"/>
      <c r="O12" s="14" t="s">
        <v>384</v>
      </c>
      <c r="P12" s="26">
        <f t="shared" si="3"/>
        <v>120468.4377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195" t="s">
        <v>5</v>
      </c>
      <c r="B13" s="122"/>
      <c r="C13" s="6"/>
      <c r="D13" s="14" t="s">
        <v>385</v>
      </c>
      <c r="E13" s="26">
        <f t="shared" si="1"/>
        <v>176.6867589</v>
      </c>
      <c r="F13" s="26">
        <f t="shared" si="2"/>
        <v>8.834337944</v>
      </c>
      <c r="G13" s="14"/>
      <c r="H13" s="212"/>
      <c r="M13" s="213"/>
      <c r="N13" s="6"/>
      <c r="O13" s="14" t="s">
        <v>385</v>
      </c>
      <c r="P13" s="26">
        <f t="shared" si="3"/>
        <v>150585.5471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161" t="s">
        <v>386</v>
      </c>
      <c r="B14" s="214">
        <v>0.25</v>
      </c>
      <c r="C14" s="6"/>
      <c r="D14" s="14" t="s">
        <v>387</v>
      </c>
      <c r="E14" s="26">
        <f t="shared" si="1"/>
        <v>220.8584486</v>
      </c>
      <c r="F14" s="26">
        <f t="shared" si="2"/>
        <v>11.04292243</v>
      </c>
      <c r="G14" s="14"/>
      <c r="H14" s="215"/>
      <c r="I14" s="216"/>
      <c r="J14" s="216"/>
      <c r="K14" s="216"/>
      <c r="L14" s="216"/>
      <c r="M14" s="217"/>
      <c r="N14" s="6"/>
      <c r="O14" s="14" t="s">
        <v>387</v>
      </c>
      <c r="P14" s="26">
        <f t="shared" si="3"/>
        <v>188231.9339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170" t="s">
        <v>388</v>
      </c>
      <c r="B15" s="218">
        <f>POWER('Profit &amp; Loss'!K4/'Profit &amp; Loss'!B4, 1/9)-1</f>
        <v>0.1180613477</v>
      </c>
      <c r="C15" s="6"/>
      <c r="D15" s="219"/>
      <c r="E15" s="121"/>
      <c r="F15" s="121"/>
      <c r="G15" s="121"/>
      <c r="H15" s="121"/>
      <c r="I15" s="121"/>
      <c r="J15" s="121"/>
      <c r="K15" s="121"/>
      <c r="L15" s="121"/>
      <c r="M15" s="12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170" t="s">
        <v>389</v>
      </c>
      <c r="B16" s="218">
        <f>POWER('Profit &amp; Loss'!K4/'Profit &amp; Loss'!G4, 1/4)-1</f>
        <v>0.09089000868</v>
      </c>
      <c r="C16" s="6"/>
      <c r="D16" s="195" t="s">
        <v>390</v>
      </c>
      <c r="E16" s="121"/>
      <c r="F16" s="121"/>
      <c r="G16" s="121"/>
      <c r="H16" s="121"/>
      <c r="I16" s="121"/>
      <c r="J16" s="121"/>
      <c r="K16" s="121"/>
      <c r="L16" s="121"/>
      <c r="M16" s="122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170" t="s">
        <v>391</v>
      </c>
      <c r="B17" s="218">
        <f>POWER('Profit &amp; Loss'!K4/'Profit &amp; Loss'!I4, 1/2)-1</f>
        <v>0.09603609942</v>
      </c>
      <c r="C17" s="6"/>
      <c r="D17" s="14" t="s">
        <v>318</v>
      </c>
      <c r="E17" s="220" t="s">
        <v>62</v>
      </c>
      <c r="F17" s="220" t="s">
        <v>14</v>
      </c>
      <c r="G17" s="220" t="s">
        <v>21</v>
      </c>
      <c r="H17" s="200"/>
      <c r="I17" s="121"/>
      <c r="J17" s="121"/>
      <c r="K17" s="121"/>
      <c r="L17" s="121"/>
      <c r="M17" s="12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5" customHeight="1">
      <c r="A18" s="170" t="s">
        <v>392</v>
      </c>
      <c r="B18" s="218">
        <f>('Profit &amp; Loss'!K4-'Profit &amp; Loss'!J4)/'Profit &amp; Loss'!J4</f>
        <v>0.05047367144</v>
      </c>
      <c r="C18" s="6"/>
      <c r="D18" s="14" t="s">
        <v>362</v>
      </c>
      <c r="E18" s="165">
        <f>B6</f>
        <v>105.6105088</v>
      </c>
      <c r="F18" s="165">
        <f>B4</f>
        <v>23.71449534</v>
      </c>
      <c r="G18" s="165">
        <f>B5</f>
        <v>12</v>
      </c>
      <c r="H18" s="26">
        <f>F28</f>
        <v>173.8892327</v>
      </c>
      <c r="I18" s="201" t="s">
        <v>363</v>
      </c>
      <c r="J18" s="121"/>
      <c r="K18" s="121"/>
      <c r="L18" s="121"/>
      <c r="M18" s="12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160" t="s">
        <v>393</v>
      </c>
      <c r="B19" s="221">
        <f>('Profit &amp; Loss'!L4-'Profit &amp; Loss'!K4)/'Profit &amp; Loss'!K4</f>
        <v>-0.09314070134</v>
      </c>
      <c r="C19" s="6"/>
      <c r="D19" s="14" t="s">
        <v>365</v>
      </c>
      <c r="E19" s="165">
        <f t="shared" ref="E19:E28" si="4">E18+F18-G18</f>
        <v>117.3250041</v>
      </c>
      <c r="F19" s="165">
        <f t="shared" ref="F19:F28" si="5">E19*$B$37</f>
        <v>27.86468847</v>
      </c>
      <c r="G19" s="165">
        <f t="shared" ref="G19:G28" si="6">F19*$B$36</f>
        <v>1.393234424</v>
      </c>
      <c r="H19" s="26">
        <f>SUM(G19:G28)</f>
        <v>41.05447144</v>
      </c>
      <c r="I19" s="201" t="s">
        <v>366</v>
      </c>
      <c r="J19" s="121"/>
      <c r="K19" s="121"/>
      <c r="L19" s="121"/>
      <c r="M19" s="122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5" customHeight="1">
      <c r="A20" s="195" t="s">
        <v>14</v>
      </c>
      <c r="B20" s="122"/>
      <c r="C20" s="6"/>
      <c r="D20" s="14" t="s">
        <v>368</v>
      </c>
      <c r="E20" s="165">
        <f t="shared" si="4"/>
        <v>143.7964582</v>
      </c>
      <c r="F20" s="165">
        <f t="shared" si="5"/>
        <v>34.15165881</v>
      </c>
      <c r="G20" s="165">
        <f t="shared" si="6"/>
        <v>1.707582941</v>
      </c>
      <c r="H20" s="202"/>
      <c r="I20" s="121"/>
      <c r="J20" s="121"/>
      <c r="K20" s="121"/>
      <c r="L20" s="121"/>
      <c r="M20" s="122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5" customHeight="1">
      <c r="A21" s="161" t="s">
        <v>386</v>
      </c>
      <c r="B21" s="214">
        <v>0.25</v>
      </c>
      <c r="C21" s="6"/>
      <c r="D21" s="14" t="s">
        <v>370</v>
      </c>
      <c r="E21" s="165">
        <f t="shared" si="4"/>
        <v>176.240534</v>
      </c>
      <c r="F21" s="165">
        <f t="shared" si="5"/>
        <v>41.85712683</v>
      </c>
      <c r="G21" s="165">
        <f t="shared" si="6"/>
        <v>2.092856342</v>
      </c>
      <c r="H21" s="26">
        <f>$B$33*H18</f>
        <v>2608.338491</v>
      </c>
      <c r="I21" s="201" t="s">
        <v>371</v>
      </c>
      <c r="J21" s="121"/>
      <c r="K21" s="121"/>
      <c r="L21" s="121"/>
      <c r="M21" s="122"/>
      <c r="N21" s="6"/>
      <c r="O21" s="6"/>
      <c r="P21" s="11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5" customHeight="1">
      <c r="A22" s="170" t="s">
        <v>394</v>
      </c>
      <c r="B22" s="218">
        <f>POWER('Profit &amp; Loss'!K13/'Profit &amp; Loss'!B13, 1/9)-1</f>
        <v>0.1382804124</v>
      </c>
      <c r="C22" s="6"/>
      <c r="D22" s="14" t="s">
        <v>373</v>
      </c>
      <c r="E22" s="165">
        <f t="shared" si="4"/>
        <v>216.0048045</v>
      </c>
      <c r="F22" s="165">
        <f t="shared" si="5"/>
        <v>51.30114107</v>
      </c>
      <c r="G22" s="165">
        <f t="shared" si="6"/>
        <v>2.565057054</v>
      </c>
      <c r="H22" s="26">
        <f>H21+H19</f>
        <v>2649.392962</v>
      </c>
      <c r="I22" s="201" t="s">
        <v>374</v>
      </c>
      <c r="J22" s="121"/>
      <c r="K22" s="121"/>
      <c r="L22" s="121"/>
      <c r="M22" s="122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5" customHeight="1">
      <c r="A23" s="170" t="s">
        <v>395</v>
      </c>
      <c r="B23" s="218">
        <f>POWER('Profit &amp; Loss'!K13/'Profit &amp; Loss'!G13, 1/4)-1</f>
        <v>0.1158089178</v>
      </c>
      <c r="C23" s="6"/>
      <c r="D23" s="14" t="s">
        <v>376</v>
      </c>
      <c r="E23" s="165">
        <f t="shared" si="4"/>
        <v>264.7408885</v>
      </c>
      <c r="F23" s="165">
        <f t="shared" si="5"/>
        <v>62.87596103</v>
      </c>
      <c r="G23" s="165">
        <f t="shared" si="6"/>
        <v>3.143798051</v>
      </c>
      <c r="H23" s="202"/>
      <c r="I23" s="121"/>
      <c r="J23" s="121"/>
      <c r="K23" s="121"/>
      <c r="L23" s="121"/>
      <c r="M23" s="122"/>
      <c r="N23" s="6"/>
      <c r="O23" s="22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170" t="s">
        <v>396</v>
      </c>
      <c r="B24" s="218">
        <f>POWER('Profit &amp; Loss'!K13/'Profit &amp; Loss'!I13, 1/2)-1</f>
        <v>0.1518505215</v>
      </c>
      <c r="C24" s="6"/>
      <c r="D24" s="14" t="s">
        <v>378</v>
      </c>
      <c r="E24" s="165">
        <f t="shared" si="4"/>
        <v>324.4730515</v>
      </c>
      <c r="F24" s="165">
        <f t="shared" si="5"/>
        <v>77.06234973</v>
      </c>
      <c r="G24" s="165">
        <f t="shared" si="6"/>
        <v>3.853117487</v>
      </c>
      <c r="H24" s="205">
        <f>POWER(H22/$B$3,1/9)-1</f>
        <v>-0.004325540217</v>
      </c>
      <c r="I24" s="223" t="s">
        <v>397</v>
      </c>
      <c r="J24" s="223"/>
      <c r="K24" s="223"/>
      <c r="L24" s="223"/>
      <c r="M24" s="223"/>
      <c r="N24" s="6"/>
      <c r="O24" s="22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170" t="s">
        <v>398</v>
      </c>
      <c r="B25" s="218">
        <f>('Profit &amp; Loss'!K13-'Profit &amp; Loss'!J13)/'Profit &amp; Loss'!J13</f>
        <v>0.2547636276</v>
      </c>
      <c r="C25" s="6"/>
      <c r="D25" s="14" t="s">
        <v>380</v>
      </c>
      <c r="E25" s="165">
        <f t="shared" si="4"/>
        <v>397.6822837</v>
      </c>
      <c r="F25" s="165">
        <f t="shared" si="5"/>
        <v>94.44954239</v>
      </c>
      <c r="G25" s="165">
        <f t="shared" si="6"/>
        <v>4.72247712</v>
      </c>
      <c r="H25" s="14"/>
      <c r="I25" s="201" t="s">
        <v>381</v>
      </c>
      <c r="J25" s="121"/>
      <c r="K25" s="121"/>
      <c r="L25" s="121"/>
      <c r="M25" s="122"/>
      <c r="N25" s="6"/>
      <c r="O25" s="22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170" t="s">
        <v>399</v>
      </c>
      <c r="B26" s="218">
        <f>('Profit &amp; Loss'!L13-'Profit &amp; Loss'!K13)/'Profit &amp; Loss'!K13</f>
        <v>-0.159130704</v>
      </c>
      <c r="C26" s="6"/>
      <c r="D26" s="14" t="s">
        <v>384</v>
      </c>
      <c r="E26" s="165">
        <f t="shared" si="4"/>
        <v>487.409349</v>
      </c>
      <c r="F26" s="165">
        <f t="shared" si="5"/>
        <v>115.7597204</v>
      </c>
      <c r="G26" s="165">
        <f t="shared" si="6"/>
        <v>5.78798602</v>
      </c>
      <c r="H26" s="200"/>
      <c r="I26" s="121"/>
      <c r="J26" s="121"/>
      <c r="K26" s="121"/>
      <c r="L26" s="121"/>
      <c r="M26" s="122"/>
      <c r="N26" s="6"/>
      <c r="O26" s="22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5" customHeight="1">
      <c r="A27" s="195" t="s">
        <v>400</v>
      </c>
      <c r="B27" s="122"/>
      <c r="C27" s="6"/>
      <c r="D27" s="14" t="s">
        <v>385</v>
      </c>
      <c r="E27" s="165">
        <f t="shared" si="4"/>
        <v>597.3810834</v>
      </c>
      <c r="F27" s="165">
        <f t="shared" si="5"/>
        <v>141.8780073</v>
      </c>
      <c r="G27" s="165">
        <f t="shared" si="6"/>
        <v>7.093900365</v>
      </c>
      <c r="H27" s="200"/>
      <c r="I27" s="121"/>
      <c r="J27" s="121"/>
      <c r="K27" s="121"/>
      <c r="L27" s="121"/>
      <c r="M27" s="122"/>
      <c r="N27" s="6"/>
      <c r="O27" s="22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5" customHeight="1">
      <c r="A28" s="170" t="s">
        <v>401</v>
      </c>
      <c r="B28" s="218">
        <f>AVERAGE(Customization!G53:K53)</f>
        <v>0.2519285614</v>
      </c>
      <c r="C28" s="6"/>
      <c r="D28" s="14" t="s">
        <v>387</v>
      </c>
      <c r="E28" s="165">
        <f t="shared" si="4"/>
        <v>732.1651903</v>
      </c>
      <c r="F28" s="165">
        <f t="shared" si="5"/>
        <v>173.8892327</v>
      </c>
      <c r="G28" s="165">
        <f t="shared" si="6"/>
        <v>8.694461635</v>
      </c>
      <c r="H28" s="200"/>
      <c r="I28" s="121"/>
      <c r="J28" s="121"/>
      <c r="K28" s="121"/>
      <c r="L28" s="121"/>
      <c r="M28" s="122"/>
      <c r="N28" s="6"/>
      <c r="O28" s="22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5" customHeight="1">
      <c r="A29" s="170" t="s">
        <v>402</v>
      </c>
      <c r="B29" s="218">
        <f>AVERAGE('Profit &amp; Loss'!G23:K23)</f>
        <v>0.444716677</v>
      </c>
      <c r="C29" s="6"/>
      <c r="D29" s="224" t="s">
        <v>403</v>
      </c>
      <c r="E29" s="210"/>
      <c r="F29" s="210"/>
      <c r="G29" s="210"/>
      <c r="H29" s="210"/>
      <c r="I29" s="210"/>
      <c r="J29" s="210"/>
      <c r="K29" s="210"/>
      <c r="L29" s="210"/>
      <c r="M29" s="210"/>
      <c r="N29" s="6"/>
      <c r="O29" s="22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5" customHeight="1">
      <c r="A30" s="170" t="s">
        <v>404</v>
      </c>
      <c r="B30" s="225">
        <f>MAX('Calculated Data'!G38:K38)</f>
        <v>66.41238265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2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5" customHeight="1">
      <c r="A31" s="170" t="s">
        <v>405</v>
      </c>
      <c r="B31" s="225">
        <f>MIN('Calculated Data'!G38:K38)</f>
        <v>47.73025281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5" customHeight="1">
      <c r="A32" s="170" t="s">
        <v>406</v>
      </c>
      <c r="B32" s="225">
        <f>AVERAGE('Calculated Data'!G38:K39)</f>
        <v>34.90192141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2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5" customHeight="1">
      <c r="A33" s="161" t="s">
        <v>407</v>
      </c>
      <c r="B33" s="226">
        <v>15.0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5" customHeight="1">
      <c r="A34" s="195" t="s">
        <v>408</v>
      </c>
      <c r="B34" s="122"/>
      <c r="C34" s="166" t="s">
        <v>298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5" customHeight="1">
      <c r="A35" s="173" t="s">
        <v>409</v>
      </c>
      <c r="B35" s="227">
        <v>0.25</v>
      </c>
      <c r="C35" s="228">
        <f>AVERAGE('Calculated Data'!G20:'Calculated Data'!K20)</f>
        <v>0.2519285614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5" customHeight="1">
      <c r="A36" s="173" t="s">
        <v>410</v>
      </c>
      <c r="B36" s="227">
        <v>0.05</v>
      </c>
      <c r="C36" s="228">
        <f>AVERAGE('Calculated Data'!G21:K21)</f>
        <v>0.444716677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5" customHeight="1">
      <c r="A37" s="170" t="s">
        <v>411</v>
      </c>
      <c r="B37" s="229">
        <f t="shared" ref="B37:C37" si="7">B35*(1-B36)</f>
        <v>0.2375</v>
      </c>
      <c r="C37" s="228">
        <f t="shared" si="7"/>
        <v>0.1398917288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1:B1"/>
    <mergeCell ref="D1:M1"/>
    <mergeCell ref="A2:B2"/>
    <mergeCell ref="D2:M2"/>
    <mergeCell ref="H3:M3"/>
    <mergeCell ref="I4:M4"/>
    <mergeCell ref="I5:M5"/>
    <mergeCell ref="H6:M6"/>
    <mergeCell ref="I7:M7"/>
    <mergeCell ref="I8:M8"/>
    <mergeCell ref="H9:M9"/>
    <mergeCell ref="I10:M10"/>
    <mergeCell ref="I11:M11"/>
    <mergeCell ref="A13:B13"/>
    <mergeCell ref="H12:M12"/>
    <mergeCell ref="H13:M13"/>
    <mergeCell ref="H14:M14"/>
    <mergeCell ref="D15:M15"/>
    <mergeCell ref="D16:M16"/>
    <mergeCell ref="H17:M17"/>
    <mergeCell ref="I18:M18"/>
    <mergeCell ref="A20:B20"/>
    <mergeCell ref="A27:B27"/>
    <mergeCell ref="A34:B34"/>
    <mergeCell ref="H27:M27"/>
    <mergeCell ref="H28:M28"/>
    <mergeCell ref="D29:M29"/>
    <mergeCell ref="I19:M19"/>
    <mergeCell ref="H20:M20"/>
    <mergeCell ref="I21:M21"/>
    <mergeCell ref="I22:M22"/>
    <mergeCell ref="H23:M23"/>
    <mergeCell ref="I25:M25"/>
    <mergeCell ref="H26:M26"/>
  </mergeCells>
  <printOptions/>
  <pageMargins bottom="1.0" footer="0.0" header="0.0" left="0.75" right="0.75" top="1.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13"/>
    <col customWidth="1" min="2" max="3" width="6.5"/>
    <col customWidth="1" min="4" max="4" width="8.5"/>
    <col customWidth="1" min="5" max="6" width="6.5"/>
    <col customWidth="1" min="7" max="7" width="7.13"/>
    <col customWidth="1" min="8" max="8" width="6.88"/>
    <col customWidth="1" min="9" max="10" width="7.0"/>
    <col customWidth="1" min="11" max="11" width="7.13"/>
    <col customWidth="1" min="12" max="12" width="7.88"/>
    <col customWidth="1" min="13" max="13" width="8.0"/>
    <col customWidth="1" min="14" max="14" width="7.13"/>
    <col customWidth="1" min="15" max="15" width="6.88"/>
    <col customWidth="1" min="16" max="16" width="6.75"/>
    <col customWidth="1" min="17" max="17" width="8.0"/>
    <col customWidth="1" min="18" max="18" width="7.13"/>
  </cols>
  <sheetData>
    <row r="1" ht="13.5" customHeight="1">
      <c r="A1" s="230" t="str">
        <f>'Data Sheet'!B1</f>
        <v>ASIAN PAINTS LTD</v>
      </c>
      <c r="B1" s="231"/>
      <c r="C1" s="231"/>
      <c r="F1" s="232"/>
      <c r="G1" s="232"/>
      <c r="H1" s="232"/>
      <c r="I1" s="232"/>
      <c r="J1" s="232"/>
      <c r="K1" s="233"/>
      <c r="L1" s="232"/>
      <c r="M1" s="232"/>
      <c r="N1" s="232"/>
      <c r="O1" s="232"/>
      <c r="P1" s="232"/>
      <c r="Q1" s="232"/>
      <c r="R1" s="232"/>
    </row>
    <row r="2" ht="13.5" customHeight="1">
      <c r="E2" s="234" t="s">
        <v>412</v>
      </c>
      <c r="F2" s="232"/>
      <c r="G2" s="232"/>
      <c r="H2" s="232"/>
      <c r="I2" s="232"/>
      <c r="J2" s="232"/>
      <c r="K2" s="233"/>
      <c r="L2" s="232"/>
      <c r="M2" s="232"/>
      <c r="N2" s="232"/>
      <c r="O2" s="232"/>
      <c r="P2" s="232"/>
      <c r="Q2" s="232"/>
      <c r="R2" s="232"/>
    </row>
    <row r="3" ht="30.0" customHeight="1">
      <c r="E3" s="235" t="s">
        <v>413</v>
      </c>
      <c r="F3" s="235" t="s">
        <v>414</v>
      </c>
      <c r="G3" s="235" t="s">
        <v>415</v>
      </c>
      <c r="H3" s="235" t="s">
        <v>416</v>
      </c>
      <c r="I3" s="235" t="s">
        <v>417</v>
      </c>
      <c r="J3" s="235" t="s">
        <v>418</v>
      </c>
      <c r="K3" s="235" t="s">
        <v>419</v>
      </c>
      <c r="L3" s="166" t="s">
        <v>108</v>
      </c>
      <c r="M3" s="166" t="s">
        <v>420</v>
      </c>
      <c r="N3" s="166" t="s">
        <v>107</v>
      </c>
      <c r="O3" s="166" t="s">
        <v>112</v>
      </c>
      <c r="P3" s="166" t="s">
        <v>421</v>
      </c>
      <c r="Q3" s="166" t="s">
        <v>109</v>
      </c>
      <c r="R3" s="235" t="s">
        <v>422</v>
      </c>
    </row>
    <row r="4" ht="13.5" customHeight="1">
      <c r="E4" s="165">
        <f>'Profit &amp; Loss'!$L4</f>
        <v>18328.76</v>
      </c>
      <c r="F4" s="163">
        <f>'Calculated Data'!L7</f>
        <v>2275.14</v>
      </c>
      <c r="G4" s="163">
        <f>'Calculated Data'!L4</f>
        <v>3298.15</v>
      </c>
      <c r="H4" s="236">
        <f>'Calculated Data'!K24</f>
        <v>0.3095092419</v>
      </c>
      <c r="I4" s="166">
        <f>'Calculated Data'!K13</f>
        <v>9229.81</v>
      </c>
      <c r="J4" s="228">
        <f>Customization!K42</f>
        <v>0.08654260851</v>
      </c>
      <c r="K4" s="166">
        <f>'Calculated Data'!L33</f>
        <v>264292.18</v>
      </c>
      <c r="L4" s="165">
        <f>Customization!H8</f>
        <v>26.08963531</v>
      </c>
      <c r="M4" s="165">
        <f>Customization!J8</f>
        <v>14.41953411</v>
      </c>
      <c r="N4" s="165">
        <f>Customization!G8</f>
        <v>116.1652382</v>
      </c>
      <c r="O4" s="165">
        <f>IF(Customization!L8&gt;0,0)</f>
        <v>0</v>
      </c>
      <c r="P4" s="228">
        <f>Customization!K8</f>
        <v>0.004355179938</v>
      </c>
      <c r="Q4" s="165">
        <f>Customization!I8</f>
        <v>35.45914878</v>
      </c>
      <c r="R4" s="228">
        <f>1/N4</f>
        <v>0.008608427234</v>
      </c>
    </row>
    <row r="5" ht="13.5" customHeight="1">
      <c r="D5" s="235" t="s">
        <v>423</v>
      </c>
      <c r="E5" s="235" t="s">
        <v>22</v>
      </c>
      <c r="F5" s="235" t="s">
        <v>424</v>
      </c>
      <c r="G5" s="235" t="s">
        <v>425</v>
      </c>
      <c r="H5" s="235" t="s">
        <v>227</v>
      </c>
      <c r="I5" s="235" t="s">
        <v>426</v>
      </c>
      <c r="J5" s="235" t="s">
        <v>427</v>
      </c>
      <c r="K5" s="235" t="s">
        <v>428</v>
      </c>
      <c r="L5" s="235" t="s">
        <v>429</v>
      </c>
      <c r="M5" s="235" t="s">
        <v>430</v>
      </c>
      <c r="N5" s="235" t="s">
        <v>93</v>
      </c>
      <c r="O5" s="235" t="s">
        <v>431</v>
      </c>
      <c r="P5" s="235" t="s">
        <v>432</v>
      </c>
      <c r="Q5" s="235" t="s">
        <v>433</v>
      </c>
      <c r="R5" s="232"/>
    </row>
    <row r="6" ht="13.5" customHeight="1">
      <c r="D6" s="228">
        <f>'Price Implied Expectations'!K10</f>
        <v>0.3950051295</v>
      </c>
      <c r="E6" s="228">
        <f>'Calculated Data'!K21</f>
        <v>0.4254963644</v>
      </c>
      <c r="F6" s="228">
        <f>'Buffet-Valuation'!C37</f>
        <v>0.1398917288</v>
      </c>
      <c r="G6" s="236">
        <f>'Calculated Data'!K46</f>
        <v>0.09630269482</v>
      </c>
      <c r="H6" s="236">
        <f>'Calculated Data'!K20</f>
        <v>0.2670411918</v>
      </c>
      <c r="I6" s="117">
        <f>'Calculated Data'!K45</f>
        <v>0.1745733819</v>
      </c>
      <c r="J6" s="165">
        <f>Customization!K51</f>
        <v>1.252403493</v>
      </c>
      <c r="K6" s="165">
        <f>Customization!K50</f>
        <v>3.222297686</v>
      </c>
      <c r="L6" s="163">
        <f>'Balance Sheet'!K34</f>
        <v>782.83</v>
      </c>
      <c r="M6" s="163">
        <f>'Balance Sheet'!K12</f>
        <v>2018.85</v>
      </c>
      <c r="N6" s="232">
        <f>'Calculated Data'!K7</f>
        <v>2705.17</v>
      </c>
      <c r="O6" s="163">
        <f>'Cash Flow'!K4</f>
        <v>2631.89</v>
      </c>
      <c r="P6" s="236">
        <f>'Calculated Data'!K19/'Profit &amp; Loss'!K4</f>
        <v>0.1061324757</v>
      </c>
      <c r="Q6" s="165">
        <f>'Calculated Data'!K30</f>
        <v>1.858079948</v>
      </c>
      <c r="R6" s="232"/>
    </row>
    <row r="7" ht="13.5" customHeight="1">
      <c r="D7" s="235" t="s">
        <v>434</v>
      </c>
      <c r="E7" s="237" t="s">
        <v>435</v>
      </c>
      <c r="F7" s="235" t="s">
        <v>436</v>
      </c>
      <c r="G7" s="237" t="s">
        <v>437</v>
      </c>
      <c r="H7" s="235" t="s">
        <v>438</v>
      </c>
      <c r="I7" s="235" t="s">
        <v>439</v>
      </c>
      <c r="J7" s="235" t="s">
        <v>440</v>
      </c>
      <c r="K7" s="235" t="s">
        <v>441</v>
      </c>
      <c r="L7" s="235" t="s">
        <v>330</v>
      </c>
      <c r="M7" s="235" t="s">
        <v>442</v>
      </c>
      <c r="N7" s="235" t="s">
        <v>443</v>
      </c>
      <c r="O7" s="235" t="s">
        <v>444</v>
      </c>
      <c r="R7" s="232"/>
    </row>
    <row r="8" ht="13.5" customHeight="1">
      <c r="D8" s="228">
        <f>'Price Implied Expectations'!K16</f>
        <v>0.170089957</v>
      </c>
      <c r="E8" s="238"/>
      <c r="F8" s="238"/>
      <c r="G8" s="238"/>
      <c r="H8" s="238"/>
      <c r="I8" s="239">
        <f>AVERAGE('Calculated Data'!G45:K45)</f>
        <v>0.1208352772</v>
      </c>
      <c r="J8" s="240">
        <f>AVERAGE(Customization!G51:K51)</f>
        <v>1.244932137</v>
      </c>
      <c r="K8" s="165">
        <f>AVERAGE(Customization!G50:K50)</f>
        <v>3.885652439</v>
      </c>
      <c r="L8" s="241">
        <f>'Price Implied Expectations'!B37</f>
        <v>43914.95717</v>
      </c>
      <c r="M8" s="241">
        <v>0.0</v>
      </c>
      <c r="N8" s="236">
        <f>L8/'Data Sheet'!B9</f>
        <v>0.1661606377</v>
      </c>
      <c r="O8" s="236">
        <f>1-N8</f>
        <v>0.8338393623</v>
      </c>
      <c r="R8" s="232"/>
    </row>
    <row r="9" ht="13.5" customHeight="1">
      <c r="B9" s="166" t="s">
        <v>445</v>
      </c>
      <c r="C9" s="166" t="s">
        <v>446</v>
      </c>
      <c r="D9" s="166" t="s">
        <v>447</v>
      </c>
      <c r="E9" s="166" t="s">
        <v>448</v>
      </c>
      <c r="F9" s="166" t="s">
        <v>449</v>
      </c>
      <c r="G9" s="166" t="s">
        <v>450</v>
      </c>
      <c r="H9" s="166" t="s">
        <v>451</v>
      </c>
      <c r="I9" s="166" t="s">
        <v>452</v>
      </c>
      <c r="J9" s="166" t="s">
        <v>453</v>
      </c>
      <c r="K9" s="166" t="s">
        <v>454</v>
      </c>
      <c r="L9" s="232"/>
      <c r="M9" s="232"/>
      <c r="N9" s="232"/>
      <c r="O9" s="232"/>
      <c r="P9" s="232"/>
      <c r="Q9" s="232"/>
      <c r="R9" s="232"/>
    </row>
    <row r="10" ht="13.5" customHeight="1">
      <c r="A10" s="14" t="s">
        <v>227</v>
      </c>
      <c r="B10" s="236">
        <f>'Calculated Data'!B20</f>
        <v>0.385495241</v>
      </c>
      <c r="C10" s="236">
        <f>'Calculated Data'!C20</f>
        <v>0.3597344006</v>
      </c>
      <c r="D10" s="236">
        <f>'Calculated Data'!D20</f>
        <v>0.3291325507</v>
      </c>
      <c r="E10" s="236">
        <f>'Calculated Data'!E20</f>
        <v>0.3017439011</v>
      </c>
      <c r="F10" s="236">
        <f>'Calculated Data'!F20</f>
        <v>0.2941889692</v>
      </c>
      <c r="G10" s="236">
        <f>'Calculated Data'!G20</f>
        <v>0.2674648496</v>
      </c>
      <c r="H10" s="236">
        <f>'Calculated Data'!H20</f>
        <v>0.2550576087</v>
      </c>
      <c r="I10" s="236">
        <f>'Calculated Data'!I20</f>
        <v>0.2424345113</v>
      </c>
      <c r="J10" s="236">
        <f>'Calculated Data'!J20</f>
        <v>0.2276446458</v>
      </c>
      <c r="K10" s="236">
        <f>'Calculated Data'!K20</f>
        <v>0.2670411918</v>
      </c>
      <c r="P10" s="232"/>
      <c r="Q10" s="232"/>
      <c r="R10" s="232"/>
    </row>
    <row r="11" ht="13.5" customHeight="1">
      <c r="A11" s="14" t="s">
        <v>455</v>
      </c>
      <c r="B11" s="241">
        <f>Customization!B30</f>
        <v>92.1405704</v>
      </c>
      <c r="C11" s="241">
        <f>Customization!C30</f>
        <v>93.82630196</v>
      </c>
      <c r="D11" s="241">
        <f>Customization!D30</f>
        <v>97.40864592</v>
      </c>
      <c r="E11" s="241">
        <f>Customization!E30</f>
        <v>94.41176904</v>
      </c>
      <c r="F11" s="241">
        <f>Customization!F30</f>
        <v>91.23244066</v>
      </c>
      <c r="G11" s="241">
        <f>Customization!G30</f>
        <v>80.4916165</v>
      </c>
      <c r="H11" s="241">
        <f>Customization!H30</f>
        <v>98.09399688</v>
      </c>
      <c r="I11" s="241">
        <f>Customization!I30</f>
        <v>94.80860112</v>
      </c>
      <c r="J11" s="241">
        <f>Customization!J30</f>
        <v>95.26777106</v>
      </c>
      <c r="K11" s="241">
        <f>Customization!K30</f>
        <v>92.83284804</v>
      </c>
      <c r="P11" s="232"/>
      <c r="Q11" s="232"/>
      <c r="R11" s="232"/>
    </row>
    <row r="12" ht="13.5" customHeight="1">
      <c r="A12" s="14" t="s">
        <v>456</v>
      </c>
      <c r="B12" s="236">
        <f>Customization!B35</f>
        <v>0.4723466853</v>
      </c>
      <c r="C12" s="236">
        <f>Customization!C35</f>
        <v>0.4456211239</v>
      </c>
      <c r="D12" s="236">
        <f>Customization!D35</f>
        <v>0.4634160041</v>
      </c>
      <c r="E12" s="236">
        <f>Customization!E35</f>
        <v>0.4812145622</v>
      </c>
      <c r="F12" s="236">
        <f>Customization!F35</f>
        <v>0.4036441463</v>
      </c>
      <c r="G12" s="236">
        <f>Customization!G35</f>
        <v>0.4499298952</v>
      </c>
      <c r="H12" s="236">
        <f>Customization!H35</f>
        <v>0.5052048235</v>
      </c>
      <c r="I12" s="236">
        <f>Customization!I35</f>
        <v>0.5168863357</v>
      </c>
      <c r="J12" s="236">
        <f>Customization!J35</f>
        <v>0.4815835444</v>
      </c>
      <c r="K12" s="236">
        <f>Customization!K35</f>
        <v>0.5059093327</v>
      </c>
      <c r="O12" s="232"/>
      <c r="P12" s="232"/>
      <c r="Q12" s="232"/>
      <c r="R12" s="232"/>
    </row>
    <row r="13" ht="13.5" customHeight="1">
      <c r="A13" s="14" t="s">
        <v>457</v>
      </c>
      <c r="B13" s="166" t="str">
        <f>'Cost Analysis'!B41</f>
        <v/>
      </c>
      <c r="C13" s="228">
        <f>'Cost Analysis'!C41</f>
        <v>0</v>
      </c>
      <c r="D13" s="228">
        <f>'Cost Analysis'!D41</f>
        <v>0</v>
      </c>
      <c r="E13" s="228">
        <f>'Cost Analysis'!E41</f>
        <v>0</v>
      </c>
      <c r="F13" s="228">
        <f>'Cost Analysis'!F41</f>
        <v>0</v>
      </c>
      <c r="G13" s="228">
        <f>'Cost Analysis'!G41</f>
        <v>0</v>
      </c>
      <c r="H13" s="228">
        <f>'Cost Analysis'!H41</f>
        <v>0</v>
      </c>
      <c r="I13" s="228">
        <f>'Cost Analysis'!I41</f>
        <v>0</v>
      </c>
      <c r="J13" s="228">
        <f>'Cost Analysis'!J41</f>
        <v>0</v>
      </c>
      <c r="K13" s="228">
        <f>'Cost Analysis'!K41</f>
        <v>0</v>
      </c>
      <c r="L13" s="232"/>
      <c r="M13" s="232"/>
      <c r="N13" s="232"/>
      <c r="O13" s="232"/>
      <c r="P13" s="232"/>
      <c r="Q13" s="232"/>
      <c r="R13" s="232"/>
    </row>
    <row r="14" ht="13.5" customHeight="1">
      <c r="K14" s="242"/>
      <c r="L14" s="232"/>
      <c r="M14" s="232"/>
      <c r="N14" s="232"/>
      <c r="O14" s="232"/>
      <c r="P14" s="232"/>
      <c r="Q14" s="232"/>
      <c r="R14" s="232"/>
    </row>
    <row r="15" ht="13.5" customHeight="1">
      <c r="K15" s="242"/>
      <c r="L15" s="232"/>
      <c r="M15" s="232"/>
      <c r="N15" s="232"/>
      <c r="O15" s="232"/>
      <c r="P15" s="232"/>
      <c r="Q15" s="232"/>
      <c r="R15" s="232"/>
    </row>
    <row r="16" ht="13.5" customHeight="1">
      <c r="K16" s="242"/>
      <c r="L16" s="232"/>
      <c r="M16" s="232"/>
      <c r="N16" s="232"/>
      <c r="O16" s="232"/>
      <c r="P16" s="232"/>
      <c r="Q16" s="232"/>
      <c r="R16" s="232"/>
    </row>
    <row r="17" ht="13.5" customHeight="1">
      <c r="K17" s="242"/>
      <c r="L17" s="232"/>
      <c r="M17" s="232"/>
      <c r="N17" s="232"/>
      <c r="O17" s="232"/>
      <c r="P17" s="232"/>
      <c r="Q17" s="232"/>
      <c r="R17" s="232"/>
    </row>
    <row r="18" ht="13.5" customHeight="1">
      <c r="K18" s="242"/>
      <c r="L18" s="232"/>
      <c r="M18" s="232"/>
      <c r="N18" s="232"/>
      <c r="O18" s="232"/>
      <c r="P18" s="232"/>
      <c r="Q18" s="232"/>
      <c r="R18" s="232"/>
    </row>
    <row r="19" ht="13.5" customHeight="1">
      <c r="K19" s="242"/>
      <c r="L19" s="232"/>
      <c r="M19" s="232"/>
      <c r="N19" s="232"/>
      <c r="O19" s="232"/>
      <c r="P19" s="232"/>
      <c r="Q19" s="232"/>
      <c r="R19" s="232"/>
    </row>
    <row r="20" ht="13.5" customHeight="1">
      <c r="K20" s="242"/>
      <c r="L20" s="232"/>
      <c r="M20" s="232"/>
      <c r="N20" s="232"/>
      <c r="O20" s="232"/>
      <c r="P20" s="232"/>
      <c r="Q20" s="232"/>
      <c r="R20" s="232"/>
    </row>
    <row r="21" ht="13.5" customHeight="1">
      <c r="K21" s="242"/>
      <c r="L21" s="232"/>
      <c r="M21" s="232"/>
      <c r="N21" s="232"/>
      <c r="O21" s="232"/>
      <c r="P21" s="232"/>
      <c r="Q21" s="232"/>
      <c r="R21" s="232"/>
    </row>
    <row r="22" ht="13.5" customHeight="1">
      <c r="K22" s="242"/>
      <c r="L22" s="232"/>
      <c r="M22" s="232"/>
      <c r="N22" s="232"/>
      <c r="O22" s="232"/>
      <c r="P22" s="232"/>
      <c r="Q22" s="232"/>
      <c r="R22" s="232"/>
    </row>
    <row r="23" ht="13.5" customHeight="1">
      <c r="K23" s="242"/>
      <c r="L23" s="232"/>
      <c r="M23" s="232"/>
      <c r="N23" s="232"/>
      <c r="O23" s="232"/>
      <c r="P23" s="232"/>
      <c r="Q23" s="232"/>
      <c r="R23" s="232"/>
    </row>
    <row r="24" ht="13.5" customHeight="1">
      <c r="K24" s="242"/>
      <c r="L24" s="232"/>
      <c r="M24" s="232"/>
      <c r="N24" s="232"/>
      <c r="O24" s="232"/>
      <c r="P24" s="232"/>
      <c r="Q24" s="232"/>
      <c r="R24" s="232"/>
    </row>
    <row r="25" ht="13.5" customHeight="1">
      <c r="K25" s="242"/>
      <c r="L25" s="232"/>
      <c r="M25" s="232"/>
      <c r="N25" s="232"/>
      <c r="O25" s="232"/>
      <c r="P25" s="232"/>
      <c r="Q25" s="232"/>
      <c r="R25" s="232"/>
    </row>
    <row r="26" ht="13.5" customHeight="1">
      <c r="K26" s="242"/>
      <c r="L26" s="232"/>
      <c r="M26" s="232"/>
      <c r="N26" s="232"/>
      <c r="O26" s="232"/>
      <c r="P26" s="232"/>
      <c r="Q26" s="232"/>
      <c r="R26" s="232"/>
    </row>
    <row r="27" ht="13.5" customHeight="1">
      <c r="K27" s="242"/>
      <c r="L27" s="232"/>
      <c r="M27" s="232"/>
      <c r="N27" s="232"/>
      <c r="O27" s="232"/>
      <c r="P27" s="232"/>
      <c r="Q27" s="232"/>
      <c r="R27" s="232"/>
    </row>
    <row r="28" ht="13.5" customHeight="1">
      <c r="K28" s="242"/>
      <c r="L28" s="232"/>
      <c r="M28" s="232"/>
      <c r="N28" s="232"/>
      <c r="O28" s="232"/>
      <c r="P28" s="232"/>
      <c r="Q28" s="232"/>
      <c r="R28" s="232"/>
    </row>
    <row r="29" ht="13.5" customHeight="1">
      <c r="K29" s="242"/>
      <c r="L29" s="232"/>
      <c r="M29" s="232"/>
      <c r="N29" s="232"/>
      <c r="O29" s="232"/>
      <c r="P29" s="232"/>
      <c r="Q29" s="232"/>
      <c r="R29" s="232"/>
    </row>
    <row r="30" ht="13.5" customHeight="1">
      <c r="K30" s="242"/>
      <c r="L30" s="232"/>
      <c r="M30" s="232"/>
      <c r="N30" s="232"/>
      <c r="O30" s="232"/>
      <c r="P30" s="232"/>
      <c r="Q30" s="232"/>
      <c r="R30" s="232"/>
    </row>
    <row r="31" ht="13.5" customHeight="1">
      <c r="K31" s="242"/>
      <c r="L31" s="232"/>
      <c r="M31" s="232"/>
      <c r="N31" s="232"/>
      <c r="O31" s="232"/>
      <c r="P31" s="232"/>
      <c r="Q31" s="232"/>
      <c r="R31" s="232"/>
    </row>
    <row r="32" ht="13.5" customHeight="1">
      <c r="K32" s="242"/>
      <c r="L32" s="232"/>
      <c r="M32" s="232"/>
      <c r="N32" s="232"/>
      <c r="O32" s="232"/>
      <c r="P32" s="232"/>
      <c r="Q32" s="232"/>
      <c r="R32" s="232"/>
    </row>
    <row r="33" ht="13.5" customHeight="1">
      <c r="K33" s="242"/>
      <c r="L33" s="232"/>
      <c r="M33" s="232"/>
      <c r="N33" s="232"/>
      <c r="O33" s="232"/>
      <c r="P33" s="232"/>
      <c r="Q33" s="232"/>
      <c r="R33" s="232"/>
    </row>
    <row r="34" ht="13.5" customHeight="1">
      <c r="K34" s="242"/>
      <c r="L34" s="232"/>
      <c r="M34" s="232"/>
      <c r="N34" s="232"/>
      <c r="O34" s="232"/>
      <c r="P34" s="232"/>
      <c r="Q34" s="232"/>
      <c r="R34" s="232"/>
    </row>
    <row r="35" ht="13.5" customHeight="1">
      <c r="K35" s="242"/>
      <c r="L35" s="232"/>
      <c r="M35" s="232"/>
      <c r="N35" s="232"/>
      <c r="O35" s="232"/>
      <c r="P35" s="232"/>
      <c r="Q35" s="232"/>
      <c r="R35" s="232"/>
    </row>
    <row r="36" ht="13.5" customHeight="1">
      <c r="K36" s="242"/>
      <c r="L36" s="232"/>
      <c r="M36" s="232"/>
      <c r="N36" s="232"/>
      <c r="O36" s="232"/>
      <c r="P36" s="232"/>
      <c r="Q36" s="232"/>
      <c r="R36" s="232"/>
    </row>
    <row r="37" ht="13.5" customHeight="1">
      <c r="K37" s="242"/>
      <c r="L37" s="232"/>
      <c r="M37" s="232"/>
      <c r="N37" s="232"/>
      <c r="O37" s="232"/>
      <c r="P37" s="232"/>
      <c r="Q37" s="232"/>
      <c r="R37" s="232"/>
    </row>
    <row r="38" ht="13.5" customHeight="1">
      <c r="K38" s="242"/>
      <c r="L38" s="232"/>
      <c r="M38" s="232"/>
      <c r="N38" s="232"/>
      <c r="O38" s="232"/>
      <c r="P38" s="232"/>
      <c r="Q38" s="232"/>
      <c r="R38" s="232"/>
    </row>
    <row r="39" ht="13.5" customHeight="1">
      <c r="K39" s="242"/>
      <c r="L39" s="232"/>
      <c r="M39" s="232"/>
      <c r="N39" s="232"/>
      <c r="O39" s="232"/>
      <c r="P39" s="232"/>
      <c r="Q39" s="232"/>
      <c r="R39" s="232"/>
    </row>
    <row r="40" ht="13.5" customHeight="1">
      <c r="K40" s="6"/>
      <c r="L40" s="232"/>
      <c r="M40" s="232"/>
      <c r="N40" s="232"/>
      <c r="O40" s="232"/>
      <c r="P40" s="232"/>
      <c r="Q40" s="232"/>
      <c r="R40" s="232"/>
    </row>
    <row r="41" ht="13.5" customHeight="1">
      <c r="K41" s="6"/>
      <c r="L41" s="232"/>
      <c r="M41" s="232"/>
      <c r="N41" s="232"/>
      <c r="O41" s="232"/>
      <c r="P41" s="232"/>
      <c r="Q41" s="232"/>
      <c r="R41" s="232"/>
    </row>
    <row r="42" ht="13.5" customHeight="1">
      <c r="K42" s="6"/>
    </row>
    <row r="43" ht="13.5" customHeight="1">
      <c r="K43" s="6"/>
    </row>
    <row r="44" ht="13.5" customHeight="1">
      <c r="K44" s="6"/>
    </row>
    <row r="45" ht="13.5" customHeight="1">
      <c r="K45" s="6"/>
    </row>
    <row r="46" ht="13.5" customHeight="1">
      <c r="K46" s="6"/>
    </row>
    <row r="47" ht="13.5" customHeight="1">
      <c r="K47" s="6"/>
    </row>
    <row r="48" ht="13.5" customHeight="1">
      <c r="K48" s="6"/>
    </row>
    <row r="49" ht="13.5" customHeight="1">
      <c r="K49" s="6"/>
    </row>
    <row r="50" ht="13.5" customHeight="1">
      <c r="K50" s="6"/>
    </row>
    <row r="51" ht="13.5" customHeight="1">
      <c r="K51" s="6"/>
    </row>
    <row r="52" ht="13.5" customHeight="1">
      <c r="K52" s="6"/>
    </row>
    <row r="53" ht="13.5" customHeight="1">
      <c r="K53" s="6"/>
    </row>
    <row r="54" ht="13.5" customHeight="1">
      <c r="K54" s="6"/>
    </row>
    <row r="55" ht="13.5" customHeight="1">
      <c r="K55" s="6"/>
    </row>
    <row r="56" ht="13.5" customHeight="1">
      <c r="K56" s="6"/>
    </row>
    <row r="57" ht="13.5" customHeight="1">
      <c r="K57" s="6"/>
    </row>
    <row r="58" ht="13.5" customHeight="1">
      <c r="K58" s="6"/>
    </row>
    <row r="59" ht="13.5" customHeight="1">
      <c r="K59" s="6"/>
    </row>
    <row r="60" ht="13.5" customHeight="1">
      <c r="K60" s="6"/>
    </row>
    <row r="61" ht="13.5" customHeight="1">
      <c r="K61" s="6"/>
    </row>
    <row r="62" ht="13.5" customHeight="1">
      <c r="K62" s="6"/>
    </row>
    <row r="63" ht="13.5" customHeight="1">
      <c r="K63" s="6"/>
    </row>
    <row r="64" ht="13.5" customHeight="1">
      <c r="K64" s="6"/>
    </row>
    <row r="65" ht="13.5" customHeight="1">
      <c r="K65" s="6"/>
    </row>
    <row r="66" ht="13.5" customHeight="1">
      <c r="K66" s="6"/>
    </row>
    <row r="67" ht="13.5" customHeight="1">
      <c r="K67" s="6"/>
    </row>
    <row r="68" ht="13.5" customHeight="1">
      <c r="K68" s="6"/>
    </row>
    <row r="69" ht="13.5" customHeight="1">
      <c r="K69" s="6"/>
    </row>
    <row r="70" ht="13.5" customHeight="1">
      <c r="K70" s="6"/>
    </row>
    <row r="71" ht="13.5" customHeight="1">
      <c r="K71" s="6"/>
    </row>
    <row r="72" ht="13.5" customHeight="1">
      <c r="K72" s="6"/>
    </row>
    <row r="73" ht="13.5" customHeight="1">
      <c r="K73" s="6"/>
    </row>
    <row r="74" ht="13.5" customHeight="1">
      <c r="K74" s="6"/>
    </row>
    <row r="75" ht="13.5" customHeight="1">
      <c r="K75" s="6"/>
    </row>
    <row r="76" ht="13.5" customHeight="1">
      <c r="K76" s="6"/>
    </row>
    <row r="77" ht="13.5" customHeight="1">
      <c r="K77" s="6"/>
    </row>
    <row r="78" ht="13.5" customHeight="1">
      <c r="K78" s="6"/>
    </row>
    <row r="79" ht="13.5" customHeight="1">
      <c r="K79" s="6"/>
    </row>
    <row r="80" ht="13.5" customHeight="1">
      <c r="K80" s="6"/>
    </row>
    <row r="81" ht="13.5" customHeight="1">
      <c r="K81" s="6"/>
    </row>
    <row r="82" ht="13.5" customHeight="1">
      <c r="K82" s="6"/>
    </row>
    <row r="83" ht="13.5" customHeight="1">
      <c r="K83" s="6"/>
    </row>
    <row r="84" ht="13.5" customHeight="1">
      <c r="K84" s="6"/>
    </row>
    <row r="85" ht="13.5" customHeight="1">
      <c r="K85" s="6"/>
    </row>
    <row r="86" ht="13.5" customHeight="1">
      <c r="K86" s="6"/>
    </row>
    <row r="87" ht="13.5" customHeight="1">
      <c r="K87" s="6"/>
    </row>
    <row r="88" ht="13.5" customHeight="1">
      <c r="K88" s="6"/>
    </row>
    <row r="89" ht="13.5" customHeight="1">
      <c r="K89" s="6"/>
    </row>
    <row r="90" ht="13.5" customHeight="1">
      <c r="K90" s="6"/>
    </row>
    <row r="91" ht="13.5" customHeight="1">
      <c r="K91" s="6"/>
    </row>
    <row r="92" ht="13.5" customHeight="1">
      <c r="K92" s="6"/>
    </row>
    <row r="93" ht="13.5" customHeight="1">
      <c r="K93" s="6"/>
    </row>
    <row r="94" ht="13.5" customHeight="1">
      <c r="K94" s="6"/>
    </row>
    <row r="95" ht="13.5" customHeight="1">
      <c r="K95" s="6"/>
    </row>
    <row r="96" ht="13.5" customHeight="1">
      <c r="K96" s="6"/>
    </row>
    <row r="97" ht="13.5" customHeight="1">
      <c r="K97" s="6"/>
    </row>
    <row r="98" ht="13.5" customHeight="1">
      <c r="K98" s="6"/>
    </row>
    <row r="99" ht="13.5" customHeight="1">
      <c r="K99" s="6"/>
    </row>
    <row r="100" ht="13.5" customHeight="1">
      <c r="K100" s="6"/>
    </row>
    <row r="101" ht="13.5" customHeight="1">
      <c r="K101" s="6"/>
    </row>
    <row r="102" ht="13.5" customHeight="1">
      <c r="K102" s="6"/>
    </row>
    <row r="103" ht="13.5" customHeight="1">
      <c r="K103" s="6"/>
    </row>
    <row r="104" ht="13.5" customHeight="1">
      <c r="K104" s="6"/>
    </row>
    <row r="105" ht="13.5" customHeight="1">
      <c r="K105" s="6"/>
    </row>
    <row r="106" ht="13.5" customHeight="1">
      <c r="K106" s="6"/>
    </row>
    <row r="107" ht="13.5" customHeight="1">
      <c r="K107" s="6"/>
    </row>
    <row r="108" ht="13.5" customHeight="1">
      <c r="K108" s="6"/>
    </row>
    <row r="109" ht="13.5" customHeight="1">
      <c r="K109" s="6"/>
    </row>
    <row r="110" ht="13.5" customHeight="1">
      <c r="K110" s="6"/>
    </row>
    <row r="111" ht="13.5" customHeight="1">
      <c r="K111" s="6"/>
    </row>
    <row r="112" ht="13.5" customHeight="1">
      <c r="K112" s="6"/>
    </row>
    <row r="113" ht="13.5" customHeight="1">
      <c r="K113" s="6"/>
    </row>
    <row r="114" ht="13.5" customHeight="1">
      <c r="K114" s="6"/>
    </row>
    <row r="115" ht="13.5" customHeight="1">
      <c r="K115" s="6"/>
    </row>
    <row r="116" ht="13.5" customHeight="1">
      <c r="K116" s="6"/>
    </row>
    <row r="117" ht="13.5" customHeight="1">
      <c r="K117" s="6"/>
    </row>
    <row r="118" ht="13.5" customHeight="1">
      <c r="K118" s="6"/>
    </row>
    <row r="119" ht="13.5" customHeight="1">
      <c r="K119" s="6"/>
    </row>
    <row r="120" ht="13.5" customHeight="1">
      <c r="K120" s="6"/>
    </row>
    <row r="121" ht="13.5" customHeight="1">
      <c r="K121" s="6"/>
    </row>
    <row r="122" ht="13.5" customHeight="1">
      <c r="K122" s="6"/>
    </row>
    <row r="123" ht="13.5" customHeight="1">
      <c r="K123" s="6"/>
    </row>
    <row r="124" ht="13.5" customHeight="1">
      <c r="K124" s="6"/>
    </row>
    <row r="125" ht="13.5" customHeight="1">
      <c r="K125" s="6"/>
    </row>
    <row r="126" ht="13.5" customHeight="1">
      <c r="K126" s="6"/>
    </row>
    <row r="127" ht="13.5" customHeight="1">
      <c r="K127" s="6"/>
    </row>
    <row r="128" ht="13.5" customHeight="1">
      <c r="K128" s="6"/>
    </row>
    <row r="129" ht="13.5" customHeight="1">
      <c r="K129" s="6"/>
    </row>
    <row r="130" ht="13.5" customHeight="1">
      <c r="K130" s="6"/>
    </row>
    <row r="131" ht="13.5" customHeight="1">
      <c r="K131" s="6"/>
    </row>
    <row r="132" ht="13.5" customHeight="1">
      <c r="K132" s="6"/>
    </row>
    <row r="133" ht="13.5" customHeight="1">
      <c r="K133" s="6"/>
    </row>
    <row r="134" ht="13.5" customHeight="1">
      <c r="K134" s="6"/>
    </row>
    <row r="135" ht="13.5" customHeight="1">
      <c r="K135" s="6"/>
    </row>
    <row r="136" ht="13.5" customHeight="1">
      <c r="K136" s="6"/>
    </row>
    <row r="137" ht="13.5" customHeight="1">
      <c r="K137" s="6"/>
    </row>
    <row r="138" ht="13.5" customHeight="1">
      <c r="K138" s="6"/>
    </row>
    <row r="139" ht="13.5" customHeight="1">
      <c r="K139" s="6"/>
    </row>
    <row r="140" ht="13.5" customHeight="1">
      <c r="K140" s="6"/>
    </row>
    <row r="141" ht="13.5" customHeight="1">
      <c r="K141" s="6"/>
    </row>
    <row r="142" ht="13.5" customHeight="1">
      <c r="K142" s="6"/>
    </row>
    <row r="143" ht="13.5" customHeight="1">
      <c r="K143" s="6"/>
    </row>
    <row r="144" ht="13.5" customHeight="1">
      <c r="K144" s="6"/>
    </row>
    <row r="145" ht="13.5" customHeight="1">
      <c r="K145" s="6"/>
    </row>
    <row r="146" ht="13.5" customHeight="1">
      <c r="K146" s="6"/>
    </row>
    <row r="147" ht="13.5" customHeight="1">
      <c r="K147" s="6"/>
    </row>
    <row r="148" ht="13.5" customHeight="1">
      <c r="K148" s="6"/>
    </row>
    <row r="149" ht="13.5" customHeight="1">
      <c r="K149" s="6"/>
    </row>
    <row r="150" ht="13.5" customHeight="1">
      <c r="K150" s="6"/>
    </row>
    <row r="151" ht="13.5" customHeight="1">
      <c r="K151" s="6"/>
    </row>
    <row r="152" ht="13.5" customHeight="1">
      <c r="K152" s="6"/>
    </row>
    <row r="153" ht="13.5" customHeight="1">
      <c r="K153" s="6"/>
    </row>
    <row r="154" ht="13.5" customHeight="1">
      <c r="K154" s="6"/>
    </row>
    <row r="155" ht="13.5" customHeight="1">
      <c r="K155" s="6"/>
    </row>
    <row r="156" ht="13.5" customHeight="1">
      <c r="K156" s="6"/>
    </row>
    <row r="157" ht="13.5" customHeight="1">
      <c r="K157" s="6"/>
    </row>
    <row r="158" ht="13.5" customHeight="1">
      <c r="K158" s="6"/>
    </row>
    <row r="159" ht="13.5" customHeight="1">
      <c r="K159" s="6"/>
    </row>
    <row r="160" ht="13.5" customHeight="1">
      <c r="K160" s="6"/>
    </row>
    <row r="161" ht="13.5" customHeight="1">
      <c r="K161" s="6"/>
    </row>
    <row r="162" ht="13.5" customHeight="1">
      <c r="K162" s="6"/>
    </row>
    <row r="163" ht="13.5" customHeight="1">
      <c r="K163" s="6"/>
    </row>
    <row r="164" ht="13.5" customHeight="1">
      <c r="K164" s="6"/>
    </row>
    <row r="165" ht="13.5" customHeight="1">
      <c r="K165" s="6"/>
    </row>
    <row r="166" ht="13.5" customHeight="1">
      <c r="K166" s="6"/>
    </row>
    <row r="167" ht="13.5" customHeight="1">
      <c r="K167" s="6"/>
    </row>
    <row r="168" ht="13.5" customHeight="1">
      <c r="K168" s="6"/>
    </row>
    <row r="169" ht="13.5" customHeight="1">
      <c r="K169" s="6"/>
    </row>
    <row r="170" ht="13.5" customHeight="1">
      <c r="K170" s="6"/>
    </row>
    <row r="171" ht="13.5" customHeight="1">
      <c r="K171" s="6"/>
    </row>
    <row r="172" ht="13.5" customHeight="1">
      <c r="K172" s="6"/>
    </row>
    <row r="173" ht="13.5" customHeight="1">
      <c r="K173" s="6"/>
    </row>
    <row r="174" ht="13.5" customHeight="1">
      <c r="K174" s="6"/>
    </row>
    <row r="175" ht="13.5" customHeight="1">
      <c r="K175" s="6"/>
    </row>
    <row r="176" ht="13.5" customHeight="1">
      <c r="K176" s="6"/>
    </row>
    <row r="177" ht="13.5" customHeight="1">
      <c r="K177" s="6"/>
    </row>
    <row r="178" ht="13.5" customHeight="1">
      <c r="K178" s="6"/>
    </row>
    <row r="179" ht="13.5" customHeight="1">
      <c r="K179" s="6"/>
    </row>
    <row r="180" ht="13.5" customHeight="1">
      <c r="K180" s="6"/>
    </row>
    <row r="181" ht="13.5" customHeight="1">
      <c r="K181" s="6"/>
    </row>
    <row r="182" ht="13.5" customHeight="1">
      <c r="K182" s="6"/>
    </row>
    <row r="183" ht="13.5" customHeight="1">
      <c r="K183" s="6"/>
    </row>
    <row r="184" ht="13.5" customHeight="1">
      <c r="K184" s="6"/>
    </row>
    <row r="185" ht="13.5" customHeight="1">
      <c r="K185" s="6"/>
    </row>
    <row r="186" ht="13.5" customHeight="1">
      <c r="K186" s="6"/>
    </row>
    <row r="187" ht="13.5" customHeight="1">
      <c r="K187" s="6"/>
    </row>
    <row r="188" ht="13.5" customHeight="1">
      <c r="K188" s="6"/>
    </row>
    <row r="189" ht="13.5" customHeight="1">
      <c r="K189" s="6"/>
    </row>
    <row r="190" ht="13.5" customHeight="1">
      <c r="K190" s="6"/>
    </row>
    <row r="191" ht="13.5" customHeight="1">
      <c r="K191" s="6"/>
    </row>
    <row r="192" ht="13.5" customHeight="1">
      <c r="K192" s="6"/>
    </row>
    <row r="193" ht="13.5" customHeight="1">
      <c r="K193" s="6"/>
    </row>
    <row r="194" ht="13.5" customHeight="1">
      <c r="K194" s="6"/>
    </row>
    <row r="195" ht="13.5" customHeight="1">
      <c r="K195" s="6"/>
    </row>
    <row r="196" ht="13.5" customHeight="1">
      <c r="K196" s="6"/>
    </row>
    <row r="197" ht="13.5" customHeight="1">
      <c r="K197" s="6"/>
    </row>
    <row r="198" ht="13.5" customHeight="1">
      <c r="K198" s="6"/>
    </row>
    <row r="199" ht="13.5" customHeight="1">
      <c r="K199" s="6"/>
    </row>
    <row r="200" ht="13.5" customHeight="1">
      <c r="K200" s="6"/>
    </row>
    <row r="201" ht="13.5" customHeight="1">
      <c r="K201" s="6"/>
    </row>
    <row r="202" ht="13.5" customHeight="1">
      <c r="K202" s="6"/>
    </row>
    <row r="203" ht="13.5" customHeight="1">
      <c r="K203" s="6"/>
    </row>
    <row r="204" ht="13.5" customHeight="1">
      <c r="K204" s="6"/>
    </row>
    <row r="205" ht="13.5" customHeight="1">
      <c r="K205" s="6"/>
    </row>
    <row r="206" ht="13.5" customHeight="1">
      <c r="K206" s="6"/>
    </row>
    <row r="207" ht="13.5" customHeight="1">
      <c r="K207" s="6"/>
    </row>
    <row r="208" ht="13.5" customHeight="1">
      <c r="K208" s="6"/>
    </row>
    <row r="209" ht="13.5" customHeight="1">
      <c r="K209" s="6"/>
    </row>
    <row r="210" ht="13.5" customHeight="1">
      <c r="K210" s="6"/>
    </row>
    <row r="211" ht="13.5" customHeight="1">
      <c r="K211" s="6"/>
    </row>
    <row r="212" ht="13.5" customHeight="1">
      <c r="K212" s="6"/>
    </row>
    <row r="213" ht="13.5" customHeight="1">
      <c r="K213" s="6"/>
    </row>
    <row r="214" ht="13.5" customHeight="1">
      <c r="K214" s="6"/>
    </row>
    <row r="215" ht="13.5" customHeight="1">
      <c r="K215" s="6"/>
    </row>
    <row r="216" ht="13.5" customHeight="1">
      <c r="K216" s="6"/>
    </row>
    <row r="217" ht="13.5" customHeight="1">
      <c r="K217" s="6"/>
    </row>
    <row r="218" ht="13.5" customHeight="1">
      <c r="K218" s="6"/>
    </row>
    <row r="219" ht="13.5" customHeight="1">
      <c r="K219" s="6"/>
    </row>
    <row r="220" ht="13.5" customHeight="1">
      <c r="K220" s="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conditionalFormatting sqref="F4">
    <cfRule type="cellIs" dxfId="1" priority="1" operator="greaterThan">
      <formula>500</formula>
    </cfRule>
  </conditionalFormatting>
  <conditionalFormatting sqref="F4">
    <cfRule type="cellIs" dxfId="2" priority="2" operator="greaterThan">
      <formula>500</formula>
    </cfRule>
  </conditionalFormatting>
  <conditionalFormatting sqref="F6">
    <cfRule type="cellIs" dxfId="2" priority="3" operator="greaterThan">
      <formula>0.2</formula>
    </cfRule>
  </conditionalFormatting>
  <conditionalFormatting sqref="H6">
    <cfRule type="cellIs" dxfId="2" priority="4" operator="greaterThan">
      <formula>0.2</formula>
    </cfRule>
  </conditionalFormatting>
  <conditionalFormatting sqref="I6">
    <cfRule type="cellIs" dxfId="3" priority="5" operator="greaterThan">
      <formula>0.3</formula>
    </cfRule>
  </conditionalFormatting>
  <conditionalFormatting sqref="I8">
    <cfRule type="cellIs" dxfId="3" priority="6" operator="greaterThan">
      <formula>0.3</formula>
    </cfRule>
  </conditionalFormatting>
  <conditionalFormatting sqref="K6">
    <cfRule type="cellIs" dxfId="2" priority="7" operator="greaterThan">
      <formula>2.5</formula>
    </cfRule>
  </conditionalFormatting>
  <conditionalFormatting sqref="K6">
    <cfRule type="cellIs" dxfId="4" priority="8" operator="greaterThan">
      <formula>2.5</formula>
    </cfRule>
  </conditionalFormatting>
  <conditionalFormatting sqref="K8">
    <cfRule type="cellIs" dxfId="2" priority="9" operator="greaterThan">
      <formula>2.5</formula>
    </cfRule>
  </conditionalFormatting>
  <conditionalFormatting sqref="K8">
    <cfRule type="cellIs" dxfId="2" priority="10" operator="greaterThan">
      <formula>2.5</formula>
    </cfRule>
  </conditionalFormatting>
  <conditionalFormatting sqref="K8">
    <cfRule type="cellIs" dxfId="4" priority="11" operator="greaterThan">
      <formula>2.5</formula>
    </cfRule>
  </conditionalFormatting>
  <conditionalFormatting sqref="B13:K13">
    <cfRule type="cellIs" dxfId="2" priority="12" operator="lessThan">
      <formula>0.1</formula>
    </cfRule>
  </conditionalFormatting>
  <conditionalFormatting sqref="Q6">
    <cfRule type="cellIs" dxfId="2" priority="13" operator="greaterThan">
      <formula>2</formula>
    </cfRule>
  </conditionalFormatting>
  <conditionalFormatting sqref="Q6">
    <cfRule type="cellIs" dxfId="3" priority="14" operator="lessThan">
      <formula>1</formula>
    </cfRule>
  </conditionalFormatting>
  <conditionalFormatting sqref="K4">
    <cfRule type="cellIs" dxfId="1" priority="15" operator="lessThan">
      <formula>1000</formula>
    </cfRule>
  </conditionalFormatting>
  <conditionalFormatting sqref="N4">
    <cfRule type="cellIs" dxfId="2" priority="16" operator="lessThan">
      <formula>15</formula>
    </cfRule>
  </conditionalFormatting>
  <conditionalFormatting sqref="M4">
    <cfRule type="cellIs" dxfId="2" priority="17" operator="lessThan">
      <formula>2</formula>
    </cfRule>
  </conditionalFormatting>
  <conditionalFormatting sqref="L4">
    <cfRule type="cellIs" dxfId="2" priority="18" operator="lessThan">
      <formula>1.5</formula>
    </cfRule>
  </conditionalFormatting>
  <conditionalFormatting sqref="H4">
    <cfRule type="cellIs" dxfId="2" priority="19" operator="greaterThan">
      <formula>0.25</formula>
    </cfRule>
  </conditionalFormatting>
  <conditionalFormatting sqref="H4">
    <cfRule type="cellIs" dxfId="2" priority="20" operator="greaterThan">
      <formula>25</formula>
    </cfRule>
  </conditionalFormatting>
  <conditionalFormatting sqref="O6">
    <cfRule type="cellIs" dxfId="3" priority="21" operator="lessThan">
      <formula>0</formula>
    </cfRule>
  </conditionalFormatting>
  <conditionalFormatting sqref="O8">
    <cfRule type="cellIs" dxfId="3" priority="22" operator="greaterThan">
      <formula>50</formula>
    </cfRule>
  </conditionalFormatting>
  <conditionalFormatting sqref="J4">
    <cfRule type="cellIs" dxfId="2" priority="23" operator="greaterThan">
      <formula>0.07</formula>
    </cfRule>
  </conditionalFormatting>
  <conditionalFormatting sqref="R4">
    <cfRule type="cellIs" dxfId="2" priority="24" operator="greaterThan">
      <formula>0.15</formula>
    </cfRule>
  </conditionalFormatting>
  <conditionalFormatting sqref="N8">
    <cfRule type="cellIs" dxfId="2" priority="25" operator="greaterThan">
      <formula>100</formula>
    </cfRule>
  </conditionalFormatting>
  <conditionalFormatting sqref="P6">
    <cfRule type="cellIs" dxfId="2" priority="26" operator="greaterThan">
      <formula>0.05</formula>
    </cfRule>
  </conditionalFormatting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8.13"/>
    <col customWidth="1" min="2" max="11" width="11.75"/>
    <col customWidth="1" min="12" max="26" width="7.75"/>
  </cols>
  <sheetData>
    <row r="1" ht="13.5" customHeight="1">
      <c r="A1" s="1" t="str">
        <f>'Profit &amp; Loss'!A1</f>
        <v>ASIAN PAINTS LTD</v>
      </c>
      <c r="B1" s="2"/>
      <c r="C1" s="2"/>
      <c r="D1" s="2"/>
      <c r="E1" s="3" t="str">
        <f>UPDATE</f>
        <v/>
      </c>
      <c r="F1" s="2"/>
      <c r="G1" s="2"/>
      <c r="H1" s="2"/>
      <c r="I1" s="2"/>
      <c r="J1" s="5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3.5" customHeight="1">
      <c r="A3" s="7" t="s">
        <v>1</v>
      </c>
      <c r="B3" s="8">
        <f>'Data Sheet'!B41</f>
        <v>43281</v>
      </c>
      <c r="C3" s="8">
        <f>'Data Sheet'!C41</f>
        <v>43373</v>
      </c>
      <c r="D3" s="8">
        <f>'Data Sheet'!D41</f>
        <v>43465</v>
      </c>
      <c r="E3" s="8">
        <f>'Data Sheet'!E41</f>
        <v>43555</v>
      </c>
      <c r="F3" s="8">
        <f>'Data Sheet'!F41</f>
        <v>43646</v>
      </c>
      <c r="G3" s="8">
        <f>'Data Sheet'!G41</f>
        <v>43738</v>
      </c>
      <c r="H3" s="8">
        <f>'Data Sheet'!H41</f>
        <v>43830</v>
      </c>
      <c r="I3" s="8">
        <f>'Data Sheet'!I41</f>
        <v>43921</v>
      </c>
      <c r="J3" s="8">
        <f>'Data Sheet'!J41</f>
        <v>44012</v>
      </c>
      <c r="K3" s="8">
        <f>'Data Sheet'!K41</f>
        <v>44104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2" t="s">
        <v>5</v>
      </c>
      <c r="B4" s="1">
        <f>'Data Sheet'!B42</f>
        <v>4390.27</v>
      </c>
      <c r="C4" s="1">
        <f>'Data Sheet'!C42</f>
        <v>4615.49</v>
      </c>
      <c r="D4" s="1">
        <f>'Data Sheet'!D42</f>
        <v>5263.04</v>
      </c>
      <c r="E4" s="1">
        <f>'Data Sheet'!E42</f>
        <v>4991.5</v>
      </c>
      <c r="F4" s="1">
        <f>'Data Sheet'!F42</f>
        <v>5104.72</v>
      </c>
      <c r="G4" s="1">
        <f>'Data Sheet'!G42</f>
        <v>5050.66</v>
      </c>
      <c r="H4" s="1">
        <f>'Data Sheet'!H42</f>
        <v>5420.28</v>
      </c>
      <c r="I4" s="1">
        <f>'Data Sheet'!I42</f>
        <v>4635.59</v>
      </c>
      <c r="J4" s="1">
        <f>'Data Sheet'!J42</f>
        <v>2922.66</v>
      </c>
      <c r="K4" s="1">
        <f>'Data Sheet'!K42</f>
        <v>5350.23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6" t="s">
        <v>6</v>
      </c>
      <c r="B5" s="10">
        <f>'Data Sheet'!B43</f>
        <v>3460.57</v>
      </c>
      <c r="C5" s="10">
        <f>'Data Sheet'!C43</f>
        <v>3771.79</v>
      </c>
      <c r="D5" s="10">
        <f>'Data Sheet'!D43</f>
        <v>4159.45</v>
      </c>
      <c r="E5" s="10">
        <f>'Data Sheet'!E43</f>
        <v>4108.14</v>
      </c>
      <c r="F5" s="10">
        <f>'Data Sheet'!F43</f>
        <v>3948.85</v>
      </c>
      <c r="G5" s="10">
        <f>'Data Sheet'!G43</f>
        <v>4098.72</v>
      </c>
      <c r="H5" s="10">
        <f>'Data Sheet'!H43</f>
        <v>4230.89</v>
      </c>
      <c r="I5" s="10">
        <f>'Data Sheet'!I43</f>
        <v>3775.97</v>
      </c>
      <c r="J5" s="10">
        <f>'Data Sheet'!J43</f>
        <v>2452.69</v>
      </c>
      <c r="K5" s="10">
        <f>'Data Sheet'!K43</f>
        <v>4085.03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2" t="s">
        <v>7</v>
      </c>
      <c r="B6" s="1">
        <f>'Data Sheet'!B50</f>
        <v>929.7</v>
      </c>
      <c r="C6" s="1">
        <f>'Data Sheet'!C50</f>
        <v>843.7</v>
      </c>
      <c r="D6" s="1">
        <f>'Data Sheet'!D50</f>
        <v>1103.59</v>
      </c>
      <c r="E6" s="1">
        <f>'Data Sheet'!E50</f>
        <v>883.36</v>
      </c>
      <c r="F6" s="1">
        <f>'Data Sheet'!F50</f>
        <v>1155.87</v>
      </c>
      <c r="G6" s="1">
        <f>'Data Sheet'!G50</f>
        <v>951.94</v>
      </c>
      <c r="H6" s="1">
        <f>'Data Sheet'!H50</f>
        <v>1189.39</v>
      </c>
      <c r="I6" s="1">
        <f>'Data Sheet'!I50</f>
        <v>859.62</v>
      </c>
      <c r="J6" s="1">
        <f>'Data Sheet'!J50</f>
        <v>469.97</v>
      </c>
      <c r="K6" s="1">
        <f>'Data Sheet'!K50</f>
        <v>1265.2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6" t="s">
        <v>8</v>
      </c>
      <c r="B7" s="10">
        <f>'Data Sheet'!B44</f>
        <v>73.19</v>
      </c>
      <c r="C7" s="10">
        <f>'Data Sheet'!C44</f>
        <v>72.84</v>
      </c>
      <c r="D7" s="10">
        <f>'Data Sheet'!D44</f>
        <v>64.64</v>
      </c>
      <c r="E7" s="10">
        <f>'Data Sheet'!E44</f>
        <v>63.1</v>
      </c>
      <c r="F7" s="10">
        <f>'Data Sheet'!F44</f>
        <v>85.71</v>
      </c>
      <c r="G7" s="10">
        <f>'Data Sheet'!G44</f>
        <v>120.54</v>
      </c>
      <c r="H7" s="10">
        <f>'Data Sheet'!H44</f>
        <v>89.04</v>
      </c>
      <c r="I7" s="10">
        <f>'Data Sheet'!I44</f>
        <v>59.76</v>
      </c>
      <c r="J7" s="10">
        <f>'Data Sheet'!J44</f>
        <v>47.09</v>
      </c>
      <c r="K7" s="10">
        <f>'Data Sheet'!K44</f>
        <v>94.41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6" t="s">
        <v>9</v>
      </c>
      <c r="B8" s="10">
        <f>'Data Sheet'!B45</f>
        <v>135.81</v>
      </c>
      <c r="C8" s="10">
        <f>'Data Sheet'!C45</f>
        <v>143.61</v>
      </c>
      <c r="D8" s="10">
        <f>'Data Sheet'!D45</f>
        <v>164.98</v>
      </c>
      <c r="E8" s="10">
        <f>'Data Sheet'!E45</f>
        <v>178.56</v>
      </c>
      <c r="F8" s="10">
        <f>'Data Sheet'!F45</f>
        <v>191.75</v>
      </c>
      <c r="G8" s="10">
        <f>'Data Sheet'!G45</f>
        <v>197.17</v>
      </c>
      <c r="H8" s="10">
        <f>'Data Sheet'!H45</f>
        <v>197.08</v>
      </c>
      <c r="I8" s="10">
        <f>'Data Sheet'!I45</f>
        <v>194.5</v>
      </c>
      <c r="J8" s="10">
        <f>'Data Sheet'!J45</f>
        <v>191.17</v>
      </c>
      <c r="K8" s="10">
        <f>'Data Sheet'!K45</f>
        <v>193.58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3.5" customHeight="1">
      <c r="A9" s="6" t="s">
        <v>10</v>
      </c>
      <c r="B9" s="10">
        <f>'Data Sheet'!B46</f>
        <v>20.96</v>
      </c>
      <c r="C9" s="10">
        <f>'Data Sheet'!C46</f>
        <v>25.74</v>
      </c>
      <c r="D9" s="10">
        <f>'Data Sheet'!D46</f>
        <v>29.07</v>
      </c>
      <c r="E9" s="10">
        <f>'Data Sheet'!E46</f>
        <v>29.6</v>
      </c>
      <c r="F9" s="10">
        <f>'Data Sheet'!F46</f>
        <v>26.66</v>
      </c>
      <c r="G9" s="10">
        <f>'Data Sheet'!G46</f>
        <v>25.94</v>
      </c>
      <c r="H9" s="10">
        <f>'Data Sheet'!H46</f>
        <v>24.07</v>
      </c>
      <c r="I9" s="10">
        <f>'Data Sheet'!I46</f>
        <v>25.66</v>
      </c>
      <c r="J9" s="10">
        <f>'Data Sheet'!J46</f>
        <v>20.13</v>
      </c>
      <c r="K9" s="10">
        <f>'Data Sheet'!K46</f>
        <v>20.51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6" t="s">
        <v>11</v>
      </c>
      <c r="B10" s="10">
        <f>'Data Sheet'!B47</f>
        <v>846.12</v>
      </c>
      <c r="C10" s="10">
        <f>'Data Sheet'!C47</f>
        <v>747.19</v>
      </c>
      <c r="D10" s="10">
        <f>'Data Sheet'!D47</f>
        <v>974.18</v>
      </c>
      <c r="E10" s="10">
        <f>'Data Sheet'!E47</f>
        <v>738.3</v>
      </c>
      <c r="F10" s="10">
        <f>'Data Sheet'!F47</f>
        <v>1023.17</v>
      </c>
      <c r="G10" s="10">
        <f>'Data Sheet'!G47</f>
        <v>849.37</v>
      </c>
      <c r="H10" s="10">
        <f>'Data Sheet'!H47</f>
        <v>1057.28</v>
      </c>
      <c r="I10" s="10">
        <f>'Data Sheet'!I47</f>
        <v>699.22</v>
      </c>
      <c r="J10" s="10">
        <f>'Data Sheet'!J47</f>
        <v>305.76</v>
      </c>
      <c r="K10" s="10">
        <f>'Data Sheet'!K47</f>
        <v>1145.52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6" t="s">
        <v>12</v>
      </c>
      <c r="B11" s="10">
        <f>'Data Sheet'!B48</f>
        <v>276.1</v>
      </c>
      <c r="C11" s="10">
        <f>'Data Sheet'!C48</f>
        <v>242.45</v>
      </c>
      <c r="D11" s="10">
        <f>'Data Sheet'!D48</f>
        <v>326.9</v>
      </c>
      <c r="E11" s="10">
        <f>'Data Sheet'!E48</f>
        <v>252.31</v>
      </c>
      <c r="F11" s="10">
        <f>'Data Sheet'!F48</f>
        <v>351.08</v>
      </c>
      <c r="G11" s="10">
        <f>'Data Sheet'!G48</f>
        <v>7.23</v>
      </c>
      <c r="H11" s="10">
        <f>'Data Sheet'!H48</f>
        <v>277.57</v>
      </c>
      <c r="I11" s="10">
        <f>'Data Sheet'!I48</f>
        <v>218.97</v>
      </c>
      <c r="J11" s="10">
        <f>'Data Sheet'!J48</f>
        <v>86.15</v>
      </c>
      <c r="K11" s="10">
        <f>'Data Sheet'!K48</f>
        <v>293.62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2" t="s">
        <v>13</v>
      </c>
      <c r="B12" s="1">
        <f>'Data Sheet'!B49</f>
        <v>556.85</v>
      </c>
      <c r="C12" s="1">
        <f>'Data Sheet'!C49</f>
        <v>491.58</v>
      </c>
      <c r="D12" s="1">
        <f>'Data Sheet'!D49</f>
        <v>635.83</v>
      </c>
      <c r="E12" s="1">
        <f>'Data Sheet'!E49</f>
        <v>471.65</v>
      </c>
      <c r="F12" s="1">
        <f>'Data Sheet'!F49</f>
        <v>655.44</v>
      </c>
      <c r="G12" s="1">
        <f>'Data Sheet'!G49</f>
        <v>823.41</v>
      </c>
      <c r="H12" s="1">
        <f>'Data Sheet'!H49</f>
        <v>764.43</v>
      </c>
      <c r="I12" s="1">
        <f>'Data Sheet'!I49</f>
        <v>461.89</v>
      </c>
      <c r="J12" s="1">
        <f>'Data Sheet'!J49</f>
        <v>218.45</v>
      </c>
      <c r="K12" s="1">
        <f>'Data Sheet'!K49</f>
        <v>830.37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2" t="s">
        <v>23</v>
      </c>
      <c r="B14" s="19">
        <f t="shared" ref="B14:K14" si="1">IF(B4&gt;0,B6/B4,"")</f>
        <v>0.2117637412</v>
      </c>
      <c r="C14" s="19">
        <f t="shared" si="1"/>
        <v>0.1827974928</v>
      </c>
      <c r="D14" s="19">
        <f t="shared" si="1"/>
        <v>0.209686797</v>
      </c>
      <c r="E14" s="19">
        <f t="shared" si="1"/>
        <v>0.1769728539</v>
      </c>
      <c r="F14" s="19">
        <f t="shared" si="1"/>
        <v>0.2264316162</v>
      </c>
      <c r="G14" s="19">
        <f t="shared" si="1"/>
        <v>0.1884783375</v>
      </c>
      <c r="H14" s="19">
        <f t="shared" si="1"/>
        <v>0.2194333134</v>
      </c>
      <c r="I14" s="19">
        <f t="shared" si="1"/>
        <v>0.1854391782</v>
      </c>
      <c r="J14" s="19">
        <f t="shared" si="1"/>
        <v>0.160802146</v>
      </c>
      <c r="K14" s="19">
        <f t="shared" si="1"/>
        <v>0.2364758151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6" t="s">
        <v>17</v>
      </c>
      <c r="B16" s="20">
        <f t="shared" ref="B16:K16" si="2">B10+B9</f>
        <v>867.08</v>
      </c>
      <c r="C16" s="20">
        <f t="shared" si="2"/>
        <v>772.93</v>
      </c>
      <c r="D16" s="20">
        <f t="shared" si="2"/>
        <v>1003.25</v>
      </c>
      <c r="E16" s="20">
        <f t="shared" si="2"/>
        <v>767.9</v>
      </c>
      <c r="F16" s="20">
        <f t="shared" si="2"/>
        <v>1049.83</v>
      </c>
      <c r="G16" s="20">
        <f t="shared" si="2"/>
        <v>875.31</v>
      </c>
      <c r="H16" s="20">
        <f t="shared" si="2"/>
        <v>1081.35</v>
      </c>
      <c r="I16" s="20">
        <f t="shared" si="2"/>
        <v>724.88</v>
      </c>
      <c r="J16" s="20">
        <f t="shared" si="2"/>
        <v>325.89</v>
      </c>
      <c r="K16" s="20">
        <f t="shared" si="2"/>
        <v>1166.03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6" t="s">
        <v>18</v>
      </c>
      <c r="B17" s="20">
        <f t="shared" ref="B17:K17" si="3">B16+B8</f>
        <v>1002.89</v>
      </c>
      <c r="C17" s="20">
        <f t="shared" si="3"/>
        <v>916.54</v>
      </c>
      <c r="D17" s="20">
        <f t="shared" si="3"/>
        <v>1168.23</v>
      </c>
      <c r="E17" s="20">
        <f t="shared" si="3"/>
        <v>946.46</v>
      </c>
      <c r="F17" s="20">
        <f t="shared" si="3"/>
        <v>1241.58</v>
      </c>
      <c r="G17" s="20">
        <f t="shared" si="3"/>
        <v>1072.48</v>
      </c>
      <c r="H17" s="20">
        <f t="shared" si="3"/>
        <v>1278.43</v>
      </c>
      <c r="I17" s="20">
        <f t="shared" si="3"/>
        <v>919.38</v>
      </c>
      <c r="J17" s="20">
        <f t="shared" si="3"/>
        <v>517.06</v>
      </c>
      <c r="K17" s="20">
        <f t="shared" si="3"/>
        <v>1359.61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J1"/>
  </hyperlinks>
  <printOptions gridLines="1"/>
  <pageMargins bottom="0.75" footer="0.0" header="0.0" left="0.7" right="0.7" top="0.75"/>
  <pageSetup paperSize="9"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20.0"/>
    <col customWidth="1" min="2" max="11" width="10.75"/>
    <col customWidth="1" min="12" max="12" width="8.88"/>
    <col customWidth="1" min="13" max="26" width="7.75"/>
  </cols>
  <sheetData>
    <row r="1" ht="13.5" customHeight="1">
      <c r="A1" s="1" t="str">
        <f>'Profit &amp; Loss'!A1</f>
        <v>ASIAN PAINTS LTD</v>
      </c>
      <c r="B1" s="2"/>
      <c r="C1" s="2"/>
      <c r="D1" s="2"/>
      <c r="E1" s="3" t="str">
        <f>UPDATE</f>
        <v/>
      </c>
      <c r="F1" s="2"/>
      <c r="H1" s="2"/>
      <c r="I1" s="2"/>
      <c r="J1" s="5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6"/>
      <c r="B2" s="6"/>
      <c r="C2" s="6"/>
      <c r="D2" s="6"/>
      <c r="E2" s="6"/>
      <c r="F2" s="6"/>
      <c r="G2" s="2"/>
      <c r="H2" s="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3.5" customHeight="1">
      <c r="A3" s="7" t="s">
        <v>1</v>
      </c>
      <c r="B3" s="8">
        <f>'Data Sheet'!B56</f>
        <v>40633</v>
      </c>
      <c r="C3" s="8">
        <f>'Data Sheet'!C56</f>
        <v>40999</v>
      </c>
      <c r="D3" s="8">
        <f>'Data Sheet'!D56</f>
        <v>41364</v>
      </c>
      <c r="E3" s="8">
        <f>'Data Sheet'!E56</f>
        <v>41729</v>
      </c>
      <c r="F3" s="8">
        <f>'Data Sheet'!F56</f>
        <v>42094</v>
      </c>
      <c r="G3" s="8">
        <f>'Data Sheet'!G56</f>
        <v>42460</v>
      </c>
      <c r="H3" s="8">
        <f>'Data Sheet'!H56</f>
        <v>42825</v>
      </c>
      <c r="I3" s="8">
        <f>'Data Sheet'!I56</f>
        <v>43190</v>
      </c>
      <c r="J3" s="8">
        <f>'Data Sheet'!J56</f>
        <v>43555</v>
      </c>
      <c r="K3" s="8">
        <f>'Data Sheet'!K56</f>
        <v>43921</v>
      </c>
      <c r="L3" s="21" t="s">
        <v>34</v>
      </c>
      <c r="M3" s="22" t="s">
        <v>35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3.5" customHeight="1">
      <c r="A4" s="6" t="s">
        <v>36</v>
      </c>
      <c r="B4" s="23">
        <f>'Data Sheet'!B57</f>
        <v>95.92</v>
      </c>
      <c r="C4" s="23">
        <f>'Data Sheet'!C57</f>
        <v>95.92</v>
      </c>
      <c r="D4" s="23">
        <f>'Data Sheet'!D57</f>
        <v>95.92</v>
      </c>
      <c r="E4" s="23">
        <f>'Data Sheet'!E57</f>
        <v>95.92</v>
      </c>
      <c r="F4" s="23">
        <f>'Data Sheet'!F57</f>
        <v>95.92</v>
      </c>
      <c r="G4" s="23">
        <f>'Data Sheet'!G57</f>
        <v>95.92</v>
      </c>
      <c r="H4" s="23">
        <f>'Data Sheet'!H57</f>
        <v>95.92</v>
      </c>
      <c r="I4" s="23">
        <f>'Data Sheet'!I57</f>
        <v>95.92</v>
      </c>
      <c r="J4" s="23">
        <f>'Data Sheet'!J57</f>
        <v>95.92</v>
      </c>
      <c r="K4" s="23">
        <f>'Data Sheet'!K57</f>
        <v>95.92</v>
      </c>
      <c r="L4" s="2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3.5" customHeight="1">
      <c r="A5" s="6" t="s">
        <v>37</v>
      </c>
      <c r="B5" s="23">
        <f>'Data Sheet'!B58</f>
        <v>2091.5</v>
      </c>
      <c r="C5" s="23">
        <f>'Data Sheet'!C58</f>
        <v>2652.58</v>
      </c>
      <c r="D5" s="23">
        <f>'Data Sheet'!D58</f>
        <v>3288.37</v>
      </c>
      <c r="E5" s="23">
        <f>'Data Sheet'!E58</f>
        <v>3943.3</v>
      </c>
      <c r="F5" s="23">
        <f>'Data Sheet'!F58</f>
        <v>4646.44</v>
      </c>
      <c r="G5" s="23">
        <f>'Data Sheet'!G58</f>
        <v>6428.9</v>
      </c>
      <c r="H5" s="23">
        <f>'Data Sheet'!H58</f>
        <v>7507.97</v>
      </c>
      <c r="I5" s="23">
        <f>'Data Sheet'!I58</f>
        <v>8314.31</v>
      </c>
      <c r="J5" s="23">
        <f>'Data Sheet'!J58</f>
        <v>9374.63</v>
      </c>
      <c r="K5" s="23">
        <f>'Data Sheet'!K58</f>
        <v>10034.24</v>
      </c>
      <c r="L5" s="2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6" t="s">
        <v>38</v>
      </c>
      <c r="B6" s="23">
        <f>'Data Sheet'!B59</f>
        <v>233.43</v>
      </c>
      <c r="C6" s="23">
        <f>'Data Sheet'!C59</f>
        <v>341.11</v>
      </c>
      <c r="D6" s="23">
        <f>'Data Sheet'!D59</f>
        <v>250.96</v>
      </c>
      <c r="E6" s="23">
        <f>'Data Sheet'!E59</f>
        <v>249.15</v>
      </c>
      <c r="F6" s="23">
        <f>'Data Sheet'!F59</f>
        <v>418.17</v>
      </c>
      <c r="G6" s="23">
        <f>'Data Sheet'!G59</f>
        <v>323.29</v>
      </c>
      <c r="H6" s="23">
        <f>'Data Sheet'!H59</f>
        <v>560.34</v>
      </c>
      <c r="I6" s="23">
        <f>'Data Sheet'!I59</f>
        <v>533.43</v>
      </c>
      <c r="J6" s="23">
        <f>'Data Sheet'!J59</f>
        <v>1319.6</v>
      </c>
      <c r="K6" s="23">
        <f>'Data Sheet'!K59</f>
        <v>1118.5</v>
      </c>
      <c r="L6" s="26">
        <f>L8-(L7+L5+L4)</f>
        <v>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6" t="s">
        <v>39</v>
      </c>
      <c r="B7" s="23">
        <f>'Data Sheet'!B60</f>
        <v>2189.73</v>
      </c>
      <c r="C7" s="23">
        <f>'Data Sheet'!C60</f>
        <v>2622.58</v>
      </c>
      <c r="D7" s="23">
        <f>'Data Sheet'!D60</f>
        <v>3149.25</v>
      </c>
      <c r="E7" s="23">
        <f>'Data Sheet'!E60</f>
        <v>3787.03</v>
      </c>
      <c r="F7" s="23">
        <f>'Data Sheet'!F60</f>
        <v>3753.97</v>
      </c>
      <c r="G7" s="23">
        <f>'Data Sheet'!G60</f>
        <v>3710.92</v>
      </c>
      <c r="H7" s="23">
        <f>'Data Sheet'!H60</f>
        <v>4240.96</v>
      </c>
      <c r="I7" s="23">
        <f>'Data Sheet'!I60</f>
        <v>4819.82</v>
      </c>
      <c r="J7" s="23">
        <f>'Data Sheet'!J60</f>
        <v>5458.69</v>
      </c>
      <c r="K7" s="23">
        <f>'Data Sheet'!K60</f>
        <v>4889.31</v>
      </c>
      <c r="L7" s="25"/>
      <c r="M7" s="6" t="s">
        <v>40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2" t="s">
        <v>41</v>
      </c>
      <c r="B8" s="27">
        <f>'Data Sheet'!B61</f>
        <v>4610.58</v>
      </c>
      <c r="C8" s="27">
        <f>'Data Sheet'!C61</f>
        <v>5712.19</v>
      </c>
      <c r="D8" s="27">
        <f>'Data Sheet'!D61</f>
        <v>6784.5</v>
      </c>
      <c r="E8" s="27">
        <f>'Data Sheet'!E61</f>
        <v>8075.4</v>
      </c>
      <c r="F8" s="27">
        <f>'Data Sheet'!F61</f>
        <v>8914.5</v>
      </c>
      <c r="G8" s="27">
        <f>'Data Sheet'!G61</f>
        <v>10559.03</v>
      </c>
      <c r="H8" s="27">
        <f>'Data Sheet'!H61</f>
        <v>12405.19</v>
      </c>
      <c r="I8" s="27">
        <f>'Data Sheet'!I61</f>
        <v>13763.48</v>
      </c>
      <c r="J8" s="27">
        <f>'Data Sheet'!J61</f>
        <v>16248.84</v>
      </c>
      <c r="K8" s="27">
        <f>'Data Sheet'!K61</f>
        <v>16137.97</v>
      </c>
      <c r="L8" s="25"/>
      <c r="M8" s="2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2"/>
      <c r="B9" s="27"/>
      <c r="C9" s="27"/>
      <c r="D9" s="27"/>
      <c r="E9" s="27"/>
      <c r="F9" s="27"/>
      <c r="G9" s="27"/>
      <c r="H9" s="27"/>
      <c r="I9" s="27"/>
      <c r="J9" s="27"/>
      <c r="K9" s="27"/>
      <c r="L9" s="2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30" t="s">
        <v>42</v>
      </c>
      <c r="B10" s="23">
        <f>'Data Sheet'!B62</f>
        <v>1309.87</v>
      </c>
      <c r="C10" s="23">
        <f>'Data Sheet'!C62</f>
        <v>1300.55</v>
      </c>
      <c r="D10" s="23">
        <f>'Data Sheet'!D62</f>
        <v>2440.97</v>
      </c>
      <c r="E10" s="23">
        <f>'Data Sheet'!E62</f>
        <v>2561.58</v>
      </c>
      <c r="F10" s="23">
        <f>'Data Sheet'!F62</f>
        <v>2660.04</v>
      </c>
      <c r="G10" s="23">
        <f>'Data Sheet'!G62</f>
        <v>3416.35</v>
      </c>
      <c r="H10" s="23">
        <f>'Data Sheet'!H62</f>
        <v>3303.74</v>
      </c>
      <c r="I10" s="23">
        <f>'Data Sheet'!I62</f>
        <v>3732.24</v>
      </c>
      <c r="J10" s="23">
        <f>'Data Sheet'!J62</f>
        <v>6496.56</v>
      </c>
      <c r="K10" s="23">
        <f>'Data Sheet'!K62</f>
        <v>6272.31</v>
      </c>
      <c r="L10" s="2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6" t="s">
        <v>43</v>
      </c>
      <c r="B11" s="23">
        <f>'Data Sheet'!B63</f>
        <v>43.32</v>
      </c>
      <c r="C11" s="23">
        <f>'Data Sheet'!C63</f>
        <v>617.08</v>
      </c>
      <c r="D11" s="23">
        <f>'Data Sheet'!D63</f>
        <v>59.21</v>
      </c>
      <c r="E11" s="23">
        <f>'Data Sheet'!E63</f>
        <v>71.6</v>
      </c>
      <c r="F11" s="23">
        <f>'Data Sheet'!F63</f>
        <v>196</v>
      </c>
      <c r="G11" s="23">
        <f>'Data Sheet'!G63</f>
        <v>106.59</v>
      </c>
      <c r="H11" s="23">
        <f>'Data Sheet'!H63</f>
        <v>257.54</v>
      </c>
      <c r="I11" s="23">
        <f>'Data Sheet'!I63</f>
        <v>1405.11</v>
      </c>
      <c r="J11" s="23">
        <f>'Data Sheet'!J63</f>
        <v>209.67</v>
      </c>
      <c r="K11" s="23">
        <f>'Data Sheet'!K63</f>
        <v>140.24</v>
      </c>
      <c r="L11" s="2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6" t="s">
        <v>44</v>
      </c>
      <c r="B12" s="23">
        <f>'Data Sheet'!B64</f>
        <v>428.97</v>
      </c>
      <c r="C12" s="23">
        <f>'Data Sheet'!C64</f>
        <v>354.74</v>
      </c>
      <c r="D12" s="23">
        <f>'Data Sheet'!D64</f>
        <v>295.68</v>
      </c>
      <c r="E12" s="23">
        <f>'Data Sheet'!E64</f>
        <v>1423.55</v>
      </c>
      <c r="F12" s="23">
        <f>'Data Sheet'!F64</f>
        <v>1587.79</v>
      </c>
      <c r="G12" s="23">
        <f>'Data Sheet'!G64</f>
        <v>2712.13</v>
      </c>
      <c r="H12" s="23">
        <f>'Data Sheet'!H64</f>
        <v>2651.99</v>
      </c>
      <c r="I12" s="23">
        <f>'Data Sheet'!I64</f>
        <v>2140.7</v>
      </c>
      <c r="J12" s="23">
        <f>'Data Sheet'!J64</f>
        <v>2568.58</v>
      </c>
      <c r="K12" s="23">
        <f>'Data Sheet'!K64</f>
        <v>2018.85</v>
      </c>
      <c r="L12" s="2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6" t="s">
        <v>45</v>
      </c>
      <c r="B13" s="23">
        <f>'Data Sheet'!B65</f>
        <v>2828.42</v>
      </c>
      <c r="C13" s="23">
        <f>'Data Sheet'!C65</f>
        <v>3439.82</v>
      </c>
      <c r="D13" s="23">
        <f>'Data Sheet'!D65</f>
        <v>3988.64</v>
      </c>
      <c r="E13" s="23">
        <f>'Data Sheet'!E65</f>
        <v>4018.67</v>
      </c>
      <c r="F13" s="23">
        <f>'Data Sheet'!F65</f>
        <v>4470.67</v>
      </c>
      <c r="G13" s="23">
        <f>'Data Sheet'!G65</f>
        <v>4323.96</v>
      </c>
      <c r="H13" s="23">
        <f>'Data Sheet'!H65</f>
        <v>6191.92</v>
      </c>
      <c r="I13" s="23">
        <f>'Data Sheet'!I65</f>
        <v>6485.43</v>
      </c>
      <c r="J13" s="23">
        <f>'Data Sheet'!J65</f>
        <v>6974.03</v>
      </c>
      <c r="K13" s="23">
        <f>'Data Sheet'!K65</f>
        <v>7706.57</v>
      </c>
      <c r="L13" s="25"/>
      <c r="M13" s="18" t="s">
        <v>46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2" t="s">
        <v>41</v>
      </c>
      <c r="B14" s="27">
        <f>'Data Sheet'!B66</f>
        <v>4610.58</v>
      </c>
      <c r="C14" s="27">
        <f>'Data Sheet'!C66</f>
        <v>5712.19</v>
      </c>
      <c r="D14" s="27">
        <f>'Data Sheet'!D66</f>
        <v>6784.5</v>
      </c>
      <c r="E14" s="27">
        <f>'Data Sheet'!E66</f>
        <v>8075.4</v>
      </c>
      <c r="F14" s="27">
        <f>'Data Sheet'!F66</f>
        <v>8914.5</v>
      </c>
      <c r="G14" s="27">
        <f>'Data Sheet'!G66</f>
        <v>10559.03</v>
      </c>
      <c r="H14" s="27">
        <f>'Data Sheet'!H66</f>
        <v>12405.19</v>
      </c>
      <c r="I14" s="27">
        <f>'Data Sheet'!I66</f>
        <v>13763.48</v>
      </c>
      <c r="J14" s="27">
        <f>'Data Sheet'!J66</f>
        <v>16248.84</v>
      </c>
      <c r="K14" s="27">
        <f>'Data Sheet'!K66</f>
        <v>16137.97</v>
      </c>
      <c r="L14" s="31" t="str">
        <f>L8</f>
        <v/>
      </c>
      <c r="M14" s="28">
        <f>L10+L11+L12+L13</f>
        <v>0</v>
      </c>
      <c r="N14" s="2" t="s">
        <v>47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4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6" t="s">
        <v>48</v>
      </c>
      <c r="B16" s="10">
        <f t="shared" ref="B16:L16" si="1">B13-B7</f>
        <v>638.69</v>
      </c>
      <c r="C16" s="10">
        <f t="shared" si="1"/>
        <v>817.24</v>
      </c>
      <c r="D16" s="10">
        <f t="shared" si="1"/>
        <v>839.39</v>
      </c>
      <c r="E16" s="10">
        <f t="shared" si="1"/>
        <v>231.64</v>
      </c>
      <c r="F16" s="10">
        <f t="shared" si="1"/>
        <v>716.7</v>
      </c>
      <c r="G16" s="10">
        <f t="shared" si="1"/>
        <v>613.04</v>
      </c>
      <c r="H16" s="10">
        <f t="shared" si="1"/>
        <v>1950.96</v>
      </c>
      <c r="I16" s="10">
        <f t="shared" si="1"/>
        <v>1665.61</v>
      </c>
      <c r="J16" s="10">
        <f t="shared" si="1"/>
        <v>1515.34</v>
      </c>
      <c r="K16" s="10">
        <f t="shared" si="1"/>
        <v>2817.26</v>
      </c>
      <c r="L16" s="32">
        <f t="shared" si="1"/>
        <v>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30" t="s">
        <v>49</v>
      </c>
      <c r="B17" s="10">
        <f>'Data Sheet'!B67</f>
        <v>573.1</v>
      </c>
      <c r="C17" s="10">
        <f>'Data Sheet'!C67</f>
        <v>781.25</v>
      </c>
      <c r="D17" s="10">
        <f>'Data Sheet'!D67</f>
        <v>980.88</v>
      </c>
      <c r="E17" s="10">
        <f>'Data Sheet'!E67</f>
        <v>1110.3</v>
      </c>
      <c r="F17" s="10">
        <f>'Data Sheet'!F67</f>
        <v>1182.07</v>
      </c>
      <c r="G17" s="10">
        <f>'Data Sheet'!G67</f>
        <v>1186.84</v>
      </c>
      <c r="H17" s="10">
        <f>'Data Sheet'!H67</f>
        <v>1446.6</v>
      </c>
      <c r="I17" s="10">
        <f>'Data Sheet'!I67</f>
        <v>1730.63</v>
      </c>
      <c r="J17" s="10">
        <f>'Data Sheet'!J67</f>
        <v>1907.33</v>
      </c>
      <c r="K17" s="10">
        <f>'Data Sheet'!K67</f>
        <v>1795.22</v>
      </c>
      <c r="L17" s="2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5" customHeight="1">
      <c r="A18" s="6" t="s">
        <v>50</v>
      </c>
      <c r="B18" s="10">
        <f>'Data Sheet'!B68</f>
        <v>1305.43</v>
      </c>
      <c r="C18" s="10">
        <f>'Data Sheet'!C68</f>
        <v>1598.89</v>
      </c>
      <c r="D18" s="10">
        <f>'Data Sheet'!D68</f>
        <v>1830.29</v>
      </c>
      <c r="E18" s="10">
        <f>'Data Sheet'!E68</f>
        <v>2069.86</v>
      </c>
      <c r="F18" s="10">
        <f>'Data Sheet'!F68</f>
        <v>2258.52</v>
      </c>
      <c r="G18" s="10">
        <f>'Data Sheet'!G68</f>
        <v>1998.24</v>
      </c>
      <c r="H18" s="10">
        <f>'Data Sheet'!H68</f>
        <v>2626.94</v>
      </c>
      <c r="I18" s="10">
        <f>'Data Sheet'!I68</f>
        <v>2658.31</v>
      </c>
      <c r="J18" s="10">
        <f>'Data Sheet'!J68</f>
        <v>3149.86</v>
      </c>
      <c r="K18" s="10">
        <f>'Data Sheet'!K68</f>
        <v>3389.81</v>
      </c>
      <c r="L18" s="2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30" t="s">
        <v>51</v>
      </c>
      <c r="B19" s="24">
        <v>9.74</v>
      </c>
      <c r="C19" s="24">
        <v>7.17</v>
      </c>
      <c r="D19" s="24">
        <v>7.96</v>
      </c>
      <c r="E19" s="24">
        <v>19.21</v>
      </c>
      <c r="F19" s="24">
        <v>37.43</v>
      </c>
      <c r="G19" s="24">
        <v>37.86</v>
      </c>
      <c r="H19" s="24">
        <v>25.62</v>
      </c>
      <c r="I19" s="24">
        <v>18.77</v>
      </c>
      <c r="J19" s="24">
        <v>35.37</v>
      </c>
      <c r="K19" s="24">
        <v>44.57</v>
      </c>
      <c r="L19" s="24"/>
      <c r="M19" s="22" t="s">
        <v>52</v>
      </c>
      <c r="N19" s="22"/>
      <c r="O19" s="22"/>
      <c r="P19" s="22"/>
      <c r="Q19" s="22"/>
      <c r="R19" s="6"/>
      <c r="S19" s="6"/>
      <c r="T19" s="6"/>
      <c r="U19" s="6"/>
      <c r="V19" s="6"/>
      <c r="W19" s="6"/>
      <c r="X19" s="6"/>
      <c r="Y19" s="6"/>
      <c r="Z19" s="6"/>
    </row>
    <row r="20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1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5" customHeight="1">
      <c r="A21" s="6" t="s">
        <v>53</v>
      </c>
      <c r="B21" s="10">
        <f>IF('Balance Sheet'!B18&gt;0,'Profit &amp; Loss'!B4/'Balance Sheet'!B18,0)</f>
        <v>5.67085941</v>
      </c>
      <c r="C21" s="10">
        <f>IF('Balance Sheet'!C18&gt;0,'Profit &amp; Loss'!C4/'Balance Sheet'!C18,0)</f>
        <v>5.773536641</v>
      </c>
      <c r="D21" s="10">
        <f>IF('Balance Sheet'!D18&gt;0,'Profit &amp; Loss'!D4/'Balance Sheet'!D18,0)</f>
        <v>5.738932082</v>
      </c>
      <c r="E21" s="10">
        <f>IF('Balance Sheet'!E18&gt;0,'Profit &amp; Loss'!E4/'Balance Sheet'!E18,0)</f>
        <v>5.903959688</v>
      </c>
      <c r="F21" s="10">
        <f>IF('Balance Sheet'!F18&gt;0,'Profit &amp; Loss'!F4/'Balance Sheet'!F18,0)</f>
        <v>6.028399129</v>
      </c>
      <c r="G21" s="10">
        <f>IF('Balance Sheet'!G18&gt;0,'Profit &amp; Loss'!G4/'Balance Sheet'!G18,0)</f>
        <v>7.142029986</v>
      </c>
      <c r="H21" s="10">
        <f>IF('Balance Sheet'!H18&gt;0,'Profit &amp; Loss'!H4/'Balance Sheet'!H18,0)</f>
        <v>5.733663502</v>
      </c>
      <c r="I21" s="10">
        <f>IF('Balance Sheet'!I18&gt;0,'Profit &amp; Loss'!I4/'Balance Sheet'!I18,0)</f>
        <v>6.329039879</v>
      </c>
      <c r="J21" s="10">
        <f>IF('Balance Sheet'!J18&gt;0,'Profit &amp; Loss'!J4/'Balance Sheet'!J18,0)</f>
        <v>6.108249256</v>
      </c>
      <c r="K21" s="10">
        <f>IF('Balance Sheet'!K18&gt;0,'Profit &amp; Loss'!K4/'Balance Sheet'!K18,0)</f>
        <v>5.962354822</v>
      </c>
      <c r="L21" s="10">
        <f>IF('Balance Sheet'!L18&gt;0,'Profit &amp; Loss'!L4/'Balance Sheet'!L18,0)</f>
        <v>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5" customHeight="1">
      <c r="A22" s="6" t="s">
        <v>54</v>
      </c>
      <c r="B22" s="10">
        <f>IF('Profit &amp; Loss'!B4&gt;0,'Balance Sheet'!B18/('Profit &amp; Loss'!B4/365),0)</f>
        <v>64.36414194</v>
      </c>
      <c r="C22" s="10">
        <f>IF('Profit &amp; Loss'!C4&gt;0,'Balance Sheet'!C18/('Profit &amp; Loss'!C4/365),0)</f>
        <v>63.21948274</v>
      </c>
      <c r="D22" s="10">
        <f>IF('Profit &amp; Loss'!D4&gt;0,'Balance Sheet'!D18/('Profit &amp; Loss'!D4/365),0)</f>
        <v>63.60068298</v>
      </c>
      <c r="E22" s="10">
        <f>IF('Profit &amp; Loss'!E4&gt;0,'Balance Sheet'!E18/('Profit &amp; Loss'!E4/365),0)</f>
        <v>61.82291535</v>
      </c>
      <c r="F22" s="10">
        <f>IF('Profit &amp; Loss'!F4&gt;0,'Balance Sheet'!F18/('Profit &amp; Loss'!F4/365),0)</f>
        <v>60.54675416</v>
      </c>
      <c r="G22" s="10">
        <f>IF('Profit &amp; Loss'!G4&gt;0,'Balance Sheet'!G18/('Profit &amp; Loss'!G4/365),0)</f>
        <v>51.10591816</v>
      </c>
      <c r="H22" s="10">
        <f>IF('Profit &amp; Loss'!H4&gt;0,'Balance Sheet'!H18/('Profit &amp; Loss'!H4/365),0)</f>
        <v>63.65912472</v>
      </c>
      <c r="I22" s="10">
        <f>IF('Profit &amp; Loss'!I4&gt;0,'Balance Sheet'!I18/('Profit &amp; Loss'!I4/365),0)</f>
        <v>57.6706747</v>
      </c>
      <c r="J22" s="10">
        <f>IF('Profit &amp; Loss'!J4&gt;0,'Balance Sheet'!J18/('Profit &amp; Loss'!J4/365),0)</f>
        <v>59.75525633</v>
      </c>
      <c r="K22" s="10">
        <f>IF('Profit &amp; Loss'!K4&gt;0,'Balance Sheet'!K18/('Profit &amp; Loss'!K4/365),0)</f>
        <v>61.21742346</v>
      </c>
      <c r="L22" s="32">
        <f>IF('Profit &amp; Loss'!L4&gt;0,L18/('Profit &amp; Loss'!L4/365),0)</f>
        <v>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5" customHeight="1">
      <c r="A23" s="6" t="s">
        <v>55</v>
      </c>
      <c r="B23" s="33">
        <f>IF('Profit &amp; Loss'!B4&gt;0,'Balance Sheet'!B17/('Profit &amp; Loss'!B4/365),0)</f>
        <v>28.25665853</v>
      </c>
      <c r="C23" s="33">
        <f>IF('Profit &amp; Loss'!C4&gt;0,'Balance Sheet'!C17/('Profit &amp; Loss'!C4/365),0)</f>
        <v>30.89031821</v>
      </c>
      <c r="D23" s="33">
        <f>IF('Profit &amp; Loss'!D4&gt;0,'Balance Sheet'!D17/('Profit &amp; Loss'!D4/365),0)</f>
        <v>34.0845647</v>
      </c>
      <c r="E23" s="33">
        <f>IF('Profit &amp; Loss'!E4&gt;0,'Balance Sheet'!E17/('Profit &amp; Loss'!E4/365),0)</f>
        <v>33.1626211</v>
      </c>
      <c r="F23" s="33">
        <f>IF('Profit &amp; Loss'!F4&gt;0,'Balance Sheet'!F17/('Profit &amp; Loss'!F4/365),0)</f>
        <v>31.68911574</v>
      </c>
      <c r="G23" s="33">
        <f>IF('Profit &amp; Loss'!G4&gt;0,'Balance Sheet'!G17/('Profit &amp; Loss'!G4/365),0)</f>
        <v>30.35398546</v>
      </c>
      <c r="H23" s="33">
        <f>IF('Profit &amp; Loss'!H4&gt;0,'Balance Sheet'!H17/('Profit &amp; Loss'!H4/365),0)</f>
        <v>35.05572637</v>
      </c>
      <c r="I23" s="33">
        <f>IF('Profit &amp; Loss'!I4&gt;0,'Balance Sheet'!I17/('Profit &amp; Loss'!I4/365),0)</f>
        <v>37.54513196</v>
      </c>
      <c r="J23" s="33">
        <f>IF('Profit &amp; Loss'!J4&gt;0,'Balance Sheet'!J17/('Profit &amp; Loss'!J4/365),0)</f>
        <v>36.18351071</v>
      </c>
      <c r="K23" s="33">
        <f>IF('Profit &amp; Loss'!K4&gt;0,'Balance Sheet'!K17/('Profit &amp; Loss'!K4/365),0)</f>
        <v>32.42032531</v>
      </c>
      <c r="L23" s="32">
        <f>IF('Profit &amp; Loss'!L4&gt;0, L17/('Profit &amp; Loss'!L4/365),0)</f>
        <v>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6" t="s">
        <v>56</v>
      </c>
      <c r="B24" s="33">
        <f>IF('Profit &amp; Loss'!B4&gt;0,B19/('Profit &amp; Loss'!B4/365),0)</f>
        <v>0.4802300717</v>
      </c>
      <c r="C24" s="33">
        <f>IF('Profit &amp; Loss'!C4&gt;0,C19/('Profit &amp; Loss'!C4/365),0)</f>
        <v>0.2834989844</v>
      </c>
      <c r="D24" s="33">
        <f>IF('Profit &amp; Loss'!D4&gt;0,D19/('Profit &amp; Loss'!D4/365),0)</f>
        <v>0.2766017607</v>
      </c>
      <c r="E24" s="33">
        <f>IF('Profit &amp; Loss'!E4&gt;0,E19/('Profit &amp; Loss'!E4/365),0)</f>
        <v>0.5737674064</v>
      </c>
      <c r="F24" s="33">
        <f>IF('Profit &amp; Loss'!F4&gt;0,F19/('Profit &amp; Loss'!F4/365),0)</f>
        <v>1.00342924</v>
      </c>
      <c r="G24" s="33">
        <f>IF('Profit &amp; Loss'!G4&gt;0,G19/('Profit &amp; Loss'!G4/365),0)</f>
        <v>0.9682871235</v>
      </c>
      <c r="H24" s="33">
        <f>IF('Profit &amp; Loss'!H4&gt;0,H19/('Profit &amp; Loss'!H4/365),0)</f>
        <v>0.6208542165</v>
      </c>
      <c r="I24" s="33">
        <f>IF('Profit &amp; Loss'!I4&gt;0,I19/('Profit &amp; Loss'!I4/365),0)</f>
        <v>0.4072055419</v>
      </c>
      <c r="J24" s="33">
        <f>IF('Profit &amp; Loss'!J4&gt;0,J19/('Profit &amp; Loss'!J4/365),0)</f>
        <v>0.670995986</v>
      </c>
      <c r="K24" s="33">
        <f>IF('Profit &amp; Loss'!K4&gt;0,K19/('Profit &amp; Loss'!K4/365),0)</f>
        <v>0.804900736</v>
      </c>
      <c r="L24" s="10">
        <f>IF('Profit &amp; Loss'!L4&gt;0,L19/('Profit &amp; Loss'!L4/365),0)</f>
        <v>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6" t="s">
        <v>57</v>
      </c>
      <c r="B25" s="33">
        <f t="shared" ref="B25:L25" si="2">IF(B19&gt;0,B22+B23-B24,0)</f>
        <v>92.1405704</v>
      </c>
      <c r="C25" s="33">
        <f t="shared" si="2"/>
        <v>93.82630196</v>
      </c>
      <c r="D25" s="33">
        <f t="shared" si="2"/>
        <v>97.40864592</v>
      </c>
      <c r="E25" s="33">
        <f t="shared" si="2"/>
        <v>94.41176904</v>
      </c>
      <c r="F25" s="33">
        <f t="shared" si="2"/>
        <v>91.23244066</v>
      </c>
      <c r="G25" s="33">
        <f t="shared" si="2"/>
        <v>80.4916165</v>
      </c>
      <c r="H25" s="33">
        <f t="shared" si="2"/>
        <v>98.09399688</v>
      </c>
      <c r="I25" s="33">
        <f t="shared" si="2"/>
        <v>94.80860112</v>
      </c>
      <c r="J25" s="33">
        <f t="shared" si="2"/>
        <v>95.26777106</v>
      </c>
      <c r="K25" s="33">
        <f t="shared" si="2"/>
        <v>92.83284804</v>
      </c>
      <c r="L25" s="10">
        <f t="shared" si="2"/>
        <v>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6" t="s">
        <v>58</v>
      </c>
      <c r="B26" s="15">
        <f>B16/'Profit &amp; Loss'!B4</f>
        <v>0.08627553219</v>
      </c>
      <c r="C26" s="15">
        <f>C16/'Profit &amp; Loss'!C4</f>
        <v>0.08852972241</v>
      </c>
      <c r="D26" s="15">
        <f>D16/'Profit &amp; Loss'!D4</f>
        <v>0.079912147</v>
      </c>
      <c r="E26" s="15">
        <f>E16/'Profit &amp; Loss'!E4</f>
        <v>0.01895523622</v>
      </c>
      <c r="F26" s="15">
        <f>F16/'Profit &amp; Loss'!F4</f>
        <v>0.05263946484</v>
      </c>
      <c r="G26" s="15">
        <f>G16/'Profit &amp; Loss'!G4</f>
        <v>0.04295557086</v>
      </c>
      <c r="H26" s="15">
        <f>H16/'Profit &amp; Loss'!H4</f>
        <v>0.1295287011</v>
      </c>
      <c r="I26" s="15">
        <f>I16/'Profit &amp; Loss'!I4</f>
        <v>0.09899878451</v>
      </c>
      <c r="J26" s="15">
        <f>J16/'Profit &amp; Loss'!J4</f>
        <v>0.0787593431</v>
      </c>
      <c r="K26" s="15">
        <f>K16/'Profit &amp; Loss'!K4</f>
        <v>0.1393906859</v>
      </c>
      <c r="L26" s="1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5" customHeight="1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4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5" customHeight="1">
      <c r="A28" s="2" t="s">
        <v>59</v>
      </c>
      <c r="B28" s="19">
        <f>IF(SUM('Balance Sheet'!B4:B5)&gt;0,'Profit &amp; Loss'!B12/SUM('Balance Sheet'!B4:B5),"")</f>
        <v>0.385495241</v>
      </c>
      <c r="C28" s="19">
        <f>IF(SUM('Balance Sheet'!C4:C5)&gt;0,'Profit &amp; Loss'!C12/SUM('Balance Sheet'!C4:C5),"")</f>
        <v>0.3597344006</v>
      </c>
      <c r="D28" s="19">
        <f>IF(SUM('Balance Sheet'!D4:D5)&gt;0,'Profit &amp; Loss'!D12/SUM('Balance Sheet'!D4:D5),"")</f>
        <v>0.3291325507</v>
      </c>
      <c r="E28" s="19">
        <f>IF(SUM('Balance Sheet'!E4:E5)&gt;0,'Profit &amp; Loss'!E12/SUM('Balance Sheet'!E4:E5),"")</f>
        <v>0.3017439011</v>
      </c>
      <c r="F28" s="19">
        <f>IF(SUM('Balance Sheet'!F4:F5)&gt;0,'Profit &amp; Loss'!F12/SUM('Balance Sheet'!F4:F5),"")</f>
        <v>0.2941889692</v>
      </c>
      <c r="G28" s="19">
        <f>IF(SUM('Balance Sheet'!G4:G5)&gt;0,'Profit &amp; Loss'!G12/SUM('Balance Sheet'!G4:G5),"")</f>
        <v>0.2674648496</v>
      </c>
      <c r="H28" s="19">
        <f>IF(SUM('Balance Sheet'!H4:H5)&gt;0,'Profit &amp; Loss'!H12/SUM('Balance Sheet'!H4:H5),"")</f>
        <v>0.2550576087</v>
      </c>
      <c r="I28" s="19">
        <f>IF(SUM('Balance Sheet'!I4:I5)&gt;0,'Profit &amp; Loss'!I12/SUM('Balance Sheet'!I4:I5),"")</f>
        <v>0.2424345113</v>
      </c>
      <c r="J28" s="19">
        <f>IF(SUM('Balance Sheet'!J4:J5)&gt;0,'Profit &amp; Loss'!J12/SUM('Balance Sheet'!J4:J5),"")</f>
        <v>0.2276446458</v>
      </c>
      <c r="K28" s="19">
        <f>IF(SUM('Balance Sheet'!K4:K5)&gt;0,'Profit &amp; Loss'!K12/SUM('Balance Sheet'!K4:K5),"")</f>
        <v>0.2670411918</v>
      </c>
      <c r="L28" s="34" t="str">
        <f>IF(SUM('Balance Sheet'!L4:L5)&gt;0,'Profit &amp; Loss'!L12/SUM('Balance Sheet'!L4:L5),"")</f>
        <v/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2" t="s">
        <v>60</v>
      </c>
      <c r="B29" s="19">
        <f>IF(('Balance Sheet'!B10+'Balance Sheet'!B16)&gt;0,('Profit &amp; Loss'!B6-'Profit &amp; Loss'!B8-'Profit &amp; Loss'!B11)/('Balance Sheet'!B10+'Balance Sheet'!B16),"")</f>
        <v>0.4307539927</v>
      </c>
      <c r="C29" s="19">
        <f>IF(('Balance Sheet'!C10+'Balance Sheet'!C16)&gt;0,('Profit &amp; Loss'!C6-'Profit &amp; Loss'!C8-'Profit &amp; Loss'!C11)/('Balance Sheet'!C10+'Balance Sheet'!C16),"")</f>
        <v>0.4516736787</v>
      </c>
      <c r="D29" s="19">
        <f>IF(('Balance Sheet'!D10+'Balance Sheet'!D16)&gt;0,('Profit &amp; Loss'!D6-'Profit &amp; Loss'!D8-'Profit &amp; Loss'!D11)/('Balance Sheet'!D10+'Balance Sheet'!D16),"")</f>
        <v>0.331396554</v>
      </c>
      <c r="E29" s="19">
        <f>IF(('Balance Sheet'!E10+'Balance Sheet'!E16)&gt;0,('Profit &amp; Loss'!E6-'Profit &amp; Loss'!E8-'Profit &amp; Loss'!E11)/('Balance Sheet'!E10+'Balance Sheet'!E16),"")</f>
        <v>0.4212092137</v>
      </c>
      <c r="F29" s="19">
        <f>IF(('Balance Sheet'!F10+'Balance Sheet'!F16)&gt;0,('Profit &amp; Loss'!F6-'Profit &amp; Loss'!F8-'Profit &amp; Loss'!F11)/('Balance Sheet'!F10+'Balance Sheet'!F16),"")</f>
        <v>0.384945243</v>
      </c>
      <c r="G29" s="19">
        <f>IF(('Balance Sheet'!G10+'Balance Sheet'!G16)&gt;0,('Profit &amp; Loss'!G6-'Profit &amp; Loss'!G8-'Profit &amp; Loss'!G11)/('Balance Sheet'!G10+'Balance Sheet'!G16),"")</f>
        <v>0.3983158741</v>
      </c>
      <c r="H29" s="19">
        <f>IF(('Balance Sheet'!H10+'Balance Sheet'!H16)&gt;0,('Profit &amp; Loss'!H6-'Profit &amp; Loss'!H8-'Profit &amp; Loss'!H11)/('Balance Sheet'!H10+'Balance Sheet'!H16),"")</f>
        <v>0.3265038918</v>
      </c>
      <c r="I29" s="19">
        <f>IF(('Balance Sheet'!I10+'Balance Sheet'!I16)&gt;0,('Profit &amp; Loss'!I6-'Profit &amp; Loss'!I8-'Profit &amp; Loss'!I11)/('Balance Sheet'!I10+'Balance Sheet'!I16),"")</f>
        <v>0.3339440703</v>
      </c>
      <c r="J29" s="19">
        <f>IF(('Balance Sheet'!J10+'Balance Sheet'!J16)&gt;0,('Profit &amp; Loss'!J6-'Profit &amp; Loss'!J8-'Profit &amp; Loss'!J11)/('Balance Sheet'!J10+'Balance Sheet'!J16),"")</f>
        <v>0.2552128709</v>
      </c>
      <c r="K29" s="19">
        <f>IF(('Balance Sheet'!K10+'Balance Sheet'!K16)&gt;0,('Profit &amp; Loss'!K6-'Profit &amp; Loss'!K8-'Profit &amp; Loss'!K11)/('Balance Sheet'!K10+'Balance Sheet'!K16),"")</f>
        <v>0.2780208525</v>
      </c>
      <c r="L29" s="1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5" customHeight="1">
      <c r="A31" s="6" t="s">
        <v>61</v>
      </c>
      <c r="B31" s="20">
        <f t="shared" ref="B31:L31" si="3">B4+B5</f>
        <v>2187.42</v>
      </c>
      <c r="C31" s="20">
        <f t="shared" si="3"/>
        <v>2748.5</v>
      </c>
      <c r="D31" s="20">
        <f t="shared" si="3"/>
        <v>3384.29</v>
      </c>
      <c r="E31" s="20">
        <f t="shared" si="3"/>
        <v>4039.22</v>
      </c>
      <c r="F31" s="20">
        <f t="shared" si="3"/>
        <v>4742.36</v>
      </c>
      <c r="G31" s="20">
        <f t="shared" si="3"/>
        <v>6524.82</v>
      </c>
      <c r="H31" s="20">
        <f t="shared" si="3"/>
        <v>7603.89</v>
      </c>
      <c r="I31" s="20">
        <f t="shared" si="3"/>
        <v>8410.23</v>
      </c>
      <c r="J31" s="20">
        <f t="shared" si="3"/>
        <v>9470.55</v>
      </c>
      <c r="K31" s="20">
        <f t="shared" si="3"/>
        <v>10130.16</v>
      </c>
      <c r="L31" s="20">
        <f t="shared" si="3"/>
        <v>0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5" customHeight="1">
      <c r="A32" s="6" t="s">
        <v>62</v>
      </c>
      <c r="B32" s="10">
        <f>IF('Data Sheet'!B93&gt;0,B31/'Data Sheet'!B93,0)</f>
        <v>22.80462886</v>
      </c>
      <c r="C32" s="10">
        <f>IF('Data Sheet'!C93&gt;0,C31/'Data Sheet'!C93,0)</f>
        <v>28.65408674</v>
      </c>
      <c r="D32" s="10">
        <f>IF('Data Sheet'!D93&gt;0,D31/'Data Sheet'!D93,0)</f>
        <v>35.28242285</v>
      </c>
      <c r="E32" s="10">
        <f>IF('Data Sheet'!E93&gt;0,E31/'Data Sheet'!E93,0)</f>
        <v>42.11030025</v>
      </c>
      <c r="F32" s="10">
        <f>IF('Data Sheet'!F93&gt;0,F31/'Data Sheet'!F93,0)</f>
        <v>49.44078399</v>
      </c>
      <c r="G32" s="10">
        <f>IF('Data Sheet'!G93&gt;0,G31/'Data Sheet'!G93,0)</f>
        <v>68.0235613</v>
      </c>
      <c r="H32" s="10">
        <f>IF('Data Sheet'!H93&gt;0,H31/'Data Sheet'!H93,0)</f>
        <v>79.27324854</v>
      </c>
      <c r="I32" s="10">
        <f>IF('Data Sheet'!I93&gt;0,I31/'Data Sheet'!I93,0)</f>
        <v>87.67962886</v>
      </c>
      <c r="J32" s="10">
        <f>IF('Data Sheet'!J93&gt;0,J31/'Data Sheet'!J93,0)</f>
        <v>98.7338407</v>
      </c>
      <c r="K32" s="10">
        <f>IF('Data Sheet'!K93&gt;0,K31/'Data Sheet'!K93,0)</f>
        <v>105.6105088</v>
      </c>
      <c r="L32" s="10">
        <f>IF('Data Sheet'!K93&gt;0,L31/'Data Sheet'!K93,0)</f>
        <v>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5" customHeight="1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5" customHeight="1">
      <c r="A34" s="6" t="s">
        <v>63</v>
      </c>
      <c r="B34" s="10">
        <f>'Data Sheet'!B69</f>
        <v>626.23</v>
      </c>
      <c r="C34" s="10">
        <f>'Data Sheet'!C69</f>
        <v>624.31</v>
      </c>
      <c r="D34" s="10">
        <f>'Data Sheet'!D69</f>
        <v>736.69</v>
      </c>
      <c r="E34" s="10">
        <f>'Data Sheet'!E69</f>
        <v>229</v>
      </c>
      <c r="F34" s="10">
        <f>'Data Sheet'!F69</f>
        <v>204.39</v>
      </c>
      <c r="G34" s="10">
        <f>'Data Sheet'!G69</f>
        <v>424.2</v>
      </c>
      <c r="H34" s="10">
        <f>'Data Sheet'!H69</f>
        <v>801.21</v>
      </c>
      <c r="I34" s="10">
        <f>'Data Sheet'!I69</f>
        <v>404.65</v>
      </c>
      <c r="J34" s="10">
        <f>'Data Sheet'!J69</f>
        <v>444.88</v>
      </c>
      <c r="K34" s="10">
        <f>'Data Sheet'!K69</f>
        <v>782.83</v>
      </c>
      <c r="L34" s="1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5" customHeight="1">
      <c r="A35" s="6" t="s">
        <v>64</v>
      </c>
      <c r="B35" s="15">
        <f>B34/'Data Sheet'!B17</f>
        <v>0.08459241028</v>
      </c>
      <c r="C35" s="15">
        <f>C34/'Data Sheet'!C17</f>
        <v>0.06763006093</v>
      </c>
      <c r="D35" s="15">
        <f>D34/'Data Sheet'!D17</f>
        <v>0.0701348355</v>
      </c>
      <c r="E35" s="15">
        <f>E34/'Data Sheet'!E17</f>
        <v>0.01873920348</v>
      </c>
      <c r="F35" s="15">
        <f>F34/'Data Sheet'!F17</f>
        <v>0.01501183231</v>
      </c>
      <c r="G35" s="15">
        <f>G34/'Data Sheet'!G17</f>
        <v>0.02972359578</v>
      </c>
      <c r="H35" s="15">
        <f>H34/'Data Sheet'!H17</f>
        <v>0.05319416624</v>
      </c>
      <c r="I35" s="15">
        <f>I34/'Data Sheet'!I17</f>
        <v>0.02405116333</v>
      </c>
      <c r="J35" s="15">
        <f>J34/'Data Sheet'!J17</f>
        <v>0.02312250489</v>
      </c>
      <c r="K35" s="15">
        <f>K34/'Data Sheet'!K17</f>
        <v>0.03873238914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5" customHeight="1">
      <c r="A36" s="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5" customHeight="1">
      <c r="A37" s="7" t="s">
        <v>65</v>
      </c>
      <c r="B37" s="8">
        <f t="shared" ref="B37:K37" si="4">B3</f>
        <v>40633</v>
      </c>
      <c r="C37" s="8">
        <f t="shared" si="4"/>
        <v>40999</v>
      </c>
      <c r="D37" s="8">
        <f t="shared" si="4"/>
        <v>41364</v>
      </c>
      <c r="E37" s="8">
        <f t="shared" si="4"/>
        <v>41729</v>
      </c>
      <c r="F37" s="8">
        <f t="shared" si="4"/>
        <v>42094</v>
      </c>
      <c r="G37" s="8">
        <f t="shared" si="4"/>
        <v>42460</v>
      </c>
      <c r="H37" s="8">
        <f t="shared" si="4"/>
        <v>42825</v>
      </c>
      <c r="I37" s="8">
        <f t="shared" si="4"/>
        <v>43190</v>
      </c>
      <c r="J37" s="8">
        <f t="shared" si="4"/>
        <v>43555</v>
      </c>
      <c r="K37" s="8">
        <f t="shared" si="4"/>
        <v>43921</v>
      </c>
      <c r="L37" s="6" t="s">
        <v>66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5" customHeight="1">
      <c r="A38" s="30" t="s">
        <v>67</v>
      </c>
      <c r="B38" s="35">
        <f t="shared" ref="B38:K38" si="5">B10/B$8</f>
        <v>0.2841009157</v>
      </c>
      <c r="C38" s="35">
        <f t="shared" si="5"/>
        <v>0.2276797515</v>
      </c>
      <c r="D38" s="35">
        <f t="shared" si="5"/>
        <v>0.3597862775</v>
      </c>
      <c r="E38" s="35">
        <f t="shared" si="5"/>
        <v>0.3172078163</v>
      </c>
      <c r="F38" s="35">
        <f t="shared" si="5"/>
        <v>0.2983947501</v>
      </c>
      <c r="G38" s="35">
        <f t="shared" si="5"/>
        <v>0.3235477122</v>
      </c>
      <c r="H38" s="35">
        <f t="shared" si="5"/>
        <v>0.2663191777</v>
      </c>
      <c r="I38" s="35">
        <f t="shared" si="5"/>
        <v>0.2711697914</v>
      </c>
      <c r="J38" s="35">
        <f t="shared" si="5"/>
        <v>0.3998168485</v>
      </c>
      <c r="K38" s="35">
        <f t="shared" si="5"/>
        <v>0.3886678436</v>
      </c>
      <c r="L38" s="6" t="s">
        <v>68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5" customHeight="1">
      <c r="A39" s="30" t="s">
        <v>69</v>
      </c>
      <c r="B39" s="35">
        <f t="shared" ref="B39:K39" si="6">B16/B$8</f>
        <v>0.13852704</v>
      </c>
      <c r="C39" s="35">
        <f t="shared" si="6"/>
        <v>0.1430694707</v>
      </c>
      <c r="D39" s="35">
        <f t="shared" si="6"/>
        <v>0.1237217186</v>
      </c>
      <c r="E39" s="35">
        <f t="shared" si="6"/>
        <v>0.0286846472</v>
      </c>
      <c r="F39" s="35">
        <f t="shared" si="6"/>
        <v>0.08039710584</v>
      </c>
      <c r="G39" s="35">
        <f t="shared" si="6"/>
        <v>0.05805836332</v>
      </c>
      <c r="H39" s="35">
        <f t="shared" si="6"/>
        <v>0.1572696589</v>
      </c>
      <c r="I39" s="35">
        <f t="shared" si="6"/>
        <v>0.1210166324</v>
      </c>
      <c r="J39" s="35">
        <f t="shared" si="6"/>
        <v>0.09325834952</v>
      </c>
      <c r="K39" s="35">
        <f t="shared" si="6"/>
        <v>0.1745733819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5" customHeight="1">
      <c r="A40" s="30" t="s">
        <v>70</v>
      </c>
      <c r="B40" s="35">
        <f t="shared" ref="B40:K40" si="7">B17/B$8</f>
        <v>0.1243010641</v>
      </c>
      <c r="C40" s="35">
        <f t="shared" si="7"/>
        <v>0.13676891</v>
      </c>
      <c r="D40" s="35">
        <f t="shared" si="7"/>
        <v>0.1445766084</v>
      </c>
      <c r="E40" s="35">
        <f t="shared" si="7"/>
        <v>0.1374916413</v>
      </c>
      <c r="F40" s="35">
        <f t="shared" si="7"/>
        <v>0.1326008189</v>
      </c>
      <c r="G40" s="35">
        <f t="shared" si="7"/>
        <v>0.1124004762</v>
      </c>
      <c r="H40" s="35">
        <f t="shared" si="7"/>
        <v>0.1166124824</v>
      </c>
      <c r="I40" s="35">
        <f t="shared" si="7"/>
        <v>0.1257407284</v>
      </c>
      <c r="J40" s="35">
        <f t="shared" si="7"/>
        <v>0.1173825332</v>
      </c>
      <c r="K40" s="35">
        <f t="shared" si="7"/>
        <v>0.1112419964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5" customHeight="1">
      <c r="A41" s="30" t="s">
        <v>71</v>
      </c>
      <c r="B41" s="35">
        <f t="shared" ref="B41:K41" si="8">B18/B$8</f>
        <v>0.2831379132</v>
      </c>
      <c r="C41" s="35">
        <f t="shared" si="8"/>
        <v>0.2799084064</v>
      </c>
      <c r="D41" s="35">
        <f t="shared" si="8"/>
        <v>0.2697752229</v>
      </c>
      <c r="E41" s="35">
        <f t="shared" si="8"/>
        <v>0.256316715</v>
      </c>
      <c r="F41" s="35">
        <f t="shared" si="8"/>
        <v>0.2533535252</v>
      </c>
      <c r="G41" s="35">
        <f t="shared" si="8"/>
        <v>0.189244656</v>
      </c>
      <c r="H41" s="35">
        <f t="shared" si="8"/>
        <v>0.2117613676</v>
      </c>
      <c r="I41" s="35">
        <f t="shared" si="8"/>
        <v>0.1931422867</v>
      </c>
      <c r="J41" s="35">
        <f t="shared" si="8"/>
        <v>0.1938513765</v>
      </c>
      <c r="K41" s="35">
        <f t="shared" si="8"/>
        <v>0.2100518219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.5" customHeight="1">
      <c r="A42" s="30" t="s">
        <v>72</v>
      </c>
      <c r="B42" s="15">
        <f t="shared" ref="B42:K42" si="9">B34/B$8</f>
        <v>0.13582456</v>
      </c>
      <c r="C42" s="15">
        <f t="shared" si="9"/>
        <v>0.1092943337</v>
      </c>
      <c r="D42" s="15">
        <f t="shared" si="9"/>
        <v>0.108584273</v>
      </c>
      <c r="E42" s="15">
        <f t="shared" si="9"/>
        <v>0.02835772841</v>
      </c>
      <c r="F42" s="15">
        <f t="shared" si="9"/>
        <v>0.02292781424</v>
      </c>
      <c r="G42" s="15">
        <f t="shared" si="9"/>
        <v>0.04017414478</v>
      </c>
      <c r="H42" s="15">
        <f t="shared" si="9"/>
        <v>0.06458667703</v>
      </c>
      <c r="I42" s="15">
        <f t="shared" si="9"/>
        <v>0.02940026796</v>
      </c>
      <c r="J42" s="15">
        <f t="shared" si="9"/>
        <v>0.02737918522</v>
      </c>
      <c r="K42" s="15">
        <f t="shared" si="9"/>
        <v>0.04850857946</v>
      </c>
      <c r="L42" s="6" t="s">
        <v>73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5" customHeight="1">
      <c r="A44" s="30" t="s">
        <v>74</v>
      </c>
      <c r="B44" s="35">
        <f t="shared" ref="B44:K44" si="10">B6/B$8</f>
        <v>0.050629205</v>
      </c>
      <c r="C44" s="35">
        <f t="shared" si="10"/>
        <v>0.0597161509</v>
      </c>
      <c r="D44" s="35">
        <f t="shared" si="10"/>
        <v>0.03699019825</v>
      </c>
      <c r="E44" s="35">
        <f t="shared" si="10"/>
        <v>0.03085296084</v>
      </c>
      <c r="F44" s="35">
        <f t="shared" si="10"/>
        <v>0.04690896853</v>
      </c>
      <c r="G44" s="35">
        <f t="shared" si="10"/>
        <v>0.03061739573</v>
      </c>
      <c r="H44" s="35">
        <f t="shared" si="10"/>
        <v>0.04516980393</v>
      </c>
      <c r="I44" s="35">
        <f t="shared" si="10"/>
        <v>0.03875691322</v>
      </c>
      <c r="J44" s="35">
        <f t="shared" si="10"/>
        <v>0.08121195113</v>
      </c>
      <c r="K44" s="35">
        <f t="shared" si="10"/>
        <v>0.06930859334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3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J1"/>
  </hyperlinks>
  <printOptions gridLines="1"/>
  <pageMargins bottom="0.75" footer="0.0" header="0.0" left="0.7" right="0.7" top="0.75"/>
  <pageSetup paperSize="9"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23.5"/>
    <col customWidth="1" min="2" max="11" width="11.75"/>
    <col customWidth="1" min="12" max="26" width="7.75"/>
  </cols>
  <sheetData>
    <row r="1" ht="13.5" customHeight="1">
      <c r="A1" s="1" t="str">
        <f>'Balance Sheet'!A1</f>
        <v>ASIAN PAINTS LTD</v>
      </c>
      <c r="B1" s="2"/>
      <c r="C1" s="2"/>
      <c r="D1" s="2"/>
      <c r="E1" s="3" t="str">
        <f>UPDATE</f>
        <v/>
      </c>
      <c r="G1" s="2"/>
      <c r="H1" s="2"/>
      <c r="I1" s="2"/>
      <c r="J1" s="5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3.5" customHeight="1">
      <c r="A3" s="7" t="s">
        <v>1</v>
      </c>
      <c r="B3" s="8">
        <f>'Data Sheet'!B81</f>
        <v>40633</v>
      </c>
      <c r="C3" s="8">
        <f>'Data Sheet'!C81</f>
        <v>40999</v>
      </c>
      <c r="D3" s="8">
        <f>'Data Sheet'!D81</f>
        <v>41364</v>
      </c>
      <c r="E3" s="8">
        <f>'Data Sheet'!E81</f>
        <v>41729</v>
      </c>
      <c r="F3" s="8">
        <f>'Data Sheet'!F81</f>
        <v>42094</v>
      </c>
      <c r="G3" s="8">
        <f>'Data Sheet'!G81</f>
        <v>42460</v>
      </c>
      <c r="H3" s="8">
        <f>'Data Sheet'!H81</f>
        <v>42825</v>
      </c>
      <c r="I3" s="8">
        <f>'Data Sheet'!I81</f>
        <v>43190</v>
      </c>
      <c r="J3" s="8">
        <f>'Data Sheet'!J81</f>
        <v>43555</v>
      </c>
      <c r="K3" s="8">
        <f>'Data Sheet'!K81</f>
        <v>43921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2" t="s">
        <v>75</v>
      </c>
      <c r="B4" s="1">
        <f>'Data Sheet'!B82</f>
        <v>762.46</v>
      </c>
      <c r="C4" s="1">
        <f>'Data Sheet'!C82</f>
        <v>709.98</v>
      </c>
      <c r="D4" s="1">
        <f>'Data Sheet'!D82</f>
        <v>1186.79</v>
      </c>
      <c r="E4" s="1">
        <f>'Data Sheet'!E82</f>
        <v>1402.03</v>
      </c>
      <c r="F4" s="1">
        <f>'Data Sheet'!F82</f>
        <v>1187.69</v>
      </c>
      <c r="G4" s="1">
        <f>'Data Sheet'!G82</f>
        <v>2242.95</v>
      </c>
      <c r="H4" s="1">
        <f>'Data Sheet'!H82</f>
        <v>1527.33</v>
      </c>
      <c r="I4" s="1">
        <f>'Data Sheet'!I82</f>
        <v>2113.44</v>
      </c>
      <c r="J4" s="1">
        <f>'Data Sheet'!J82</f>
        <v>2469.54</v>
      </c>
      <c r="K4" s="1">
        <f>'Data Sheet'!K82</f>
        <v>2631.89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6" t="s">
        <v>76</v>
      </c>
      <c r="B5" s="10">
        <f>'Data Sheet'!B83</f>
        <v>-439.21</v>
      </c>
      <c r="C5" s="10">
        <f>'Data Sheet'!C83</f>
        <v>-385.61</v>
      </c>
      <c r="D5" s="10">
        <f>'Data Sheet'!D83</f>
        <v>-463.2</v>
      </c>
      <c r="E5" s="10">
        <f>'Data Sheet'!E83</f>
        <v>-585.99</v>
      </c>
      <c r="F5" s="10">
        <f>'Data Sheet'!F83</f>
        <v>-464.99</v>
      </c>
      <c r="G5" s="10">
        <f>'Data Sheet'!G83</f>
        <v>-866.21</v>
      </c>
      <c r="H5" s="10">
        <f>'Data Sheet'!H83</f>
        <v>-681.11</v>
      </c>
      <c r="I5" s="10">
        <f>'Data Sheet'!I83</f>
        <v>-1556.14</v>
      </c>
      <c r="J5" s="10">
        <f>'Data Sheet'!J83</f>
        <v>-917.79</v>
      </c>
      <c r="K5" s="10">
        <f>'Data Sheet'!K83</f>
        <v>-517.91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6" t="s">
        <v>77</v>
      </c>
      <c r="B6" s="10">
        <f>'Data Sheet'!B84</f>
        <v>-334.49</v>
      </c>
      <c r="C6" s="10">
        <f>'Data Sheet'!C84</f>
        <v>-326.58</v>
      </c>
      <c r="D6" s="10">
        <f>'Data Sheet'!D84</f>
        <v>-601</v>
      </c>
      <c r="E6" s="10">
        <f>'Data Sheet'!E84</f>
        <v>-625.91</v>
      </c>
      <c r="F6" s="10">
        <f>'Data Sheet'!F84</f>
        <v>-576.09</v>
      </c>
      <c r="G6" s="10">
        <f>'Data Sheet'!G84</f>
        <v>-848.98</v>
      </c>
      <c r="H6" s="10">
        <f>'Data Sheet'!H84</f>
        <v>-756.43</v>
      </c>
      <c r="I6" s="10">
        <f>'Data Sheet'!I84</f>
        <v>-1379.14</v>
      </c>
      <c r="J6" s="10">
        <f>'Data Sheet'!J84</f>
        <v>-1117.46</v>
      </c>
      <c r="K6" s="10">
        <f>'Data Sheet'!K84</f>
        <v>-2465.2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2" t="s">
        <v>78</v>
      </c>
      <c r="B7" s="1">
        <f>'Data Sheet'!B85</f>
        <v>-11.24</v>
      </c>
      <c r="C7" s="1">
        <f>'Data Sheet'!C85</f>
        <v>-2.21</v>
      </c>
      <c r="D7" s="1">
        <f>'Data Sheet'!D85</f>
        <v>122.59</v>
      </c>
      <c r="E7" s="1">
        <f>'Data Sheet'!E85</f>
        <v>190.13</v>
      </c>
      <c r="F7" s="1">
        <f>'Data Sheet'!F85</f>
        <v>146.61</v>
      </c>
      <c r="G7" s="1">
        <f>'Data Sheet'!G85</f>
        <v>527.76</v>
      </c>
      <c r="H7" s="1">
        <f>'Data Sheet'!H85</f>
        <v>89.79</v>
      </c>
      <c r="I7" s="1">
        <f>'Data Sheet'!I85</f>
        <v>-821.84</v>
      </c>
      <c r="J7" s="1">
        <f>'Data Sheet'!J85</f>
        <v>434.29</v>
      </c>
      <c r="K7" s="1">
        <f>'Data Sheet'!K85</f>
        <v>-351.22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3.5" customHeight="1">
      <c r="A9" s="30" t="s">
        <v>79</v>
      </c>
      <c r="B9" s="10">
        <f>B4-'Profit &amp; Loss'!B8</f>
        <v>649.33</v>
      </c>
      <c r="C9" s="10">
        <f>C4-'Profit &amp; Loss'!C8</f>
        <v>588.85</v>
      </c>
      <c r="D9" s="10">
        <f>D4-'Profit &amp; Loss'!D8</f>
        <v>1032.19</v>
      </c>
      <c r="E9" s="10">
        <f>E4-'Profit &amp; Loss'!E8</f>
        <v>1156.37</v>
      </c>
      <c r="F9" s="10">
        <f>F4-'Profit &amp; Loss'!F8</f>
        <v>921.77</v>
      </c>
      <c r="G9" s="10">
        <f>G4-'Profit &amp; Loss'!G8</f>
        <v>1967.37</v>
      </c>
      <c r="H9" s="10">
        <f>H4-'Profit &amp; Loss'!H8</f>
        <v>1192.54</v>
      </c>
      <c r="I9" s="10">
        <f>I4-'Profit &amp; Loss'!I8</f>
        <v>1752.97</v>
      </c>
      <c r="J9" s="10">
        <f>J4-'Profit &amp; Loss'!J8</f>
        <v>1847.4</v>
      </c>
      <c r="K9" s="10">
        <f>K4-'Profit &amp; Loss'!K8</f>
        <v>1851.39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6"/>
      <c r="B11" s="6"/>
      <c r="C11" s="6"/>
      <c r="D11" s="6"/>
      <c r="E11" s="6"/>
      <c r="F11" s="6"/>
      <c r="G11" s="6"/>
      <c r="H11" s="30" t="s">
        <v>80</v>
      </c>
      <c r="I11" s="10">
        <f>average(I9:K9)</f>
        <v>1817.253333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6"/>
      <c r="B12" s="6"/>
      <c r="C12" s="6"/>
      <c r="D12" s="6"/>
      <c r="E12" s="6"/>
      <c r="F12" s="6"/>
      <c r="G12" s="6"/>
      <c r="H12" s="30" t="s">
        <v>81</v>
      </c>
      <c r="I12" s="10">
        <f>average(G9:K9)</f>
        <v>1722.334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J1"/>
  </hyperlinks>
  <printOptions gridLines="1"/>
  <pageMargins bottom="0.75" footer="0.0" header="0.0" left="0.7" right="0.7" top="0.75"/>
  <pageSetup paperSize="9"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3.5"/>
    <col customWidth="1" min="2" max="11" width="7.5"/>
    <col customWidth="1" min="12" max="32" width="7.63"/>
  </cols>
  <sheetData>
    <row r="1" ht="12.75" customHeight="1">
      <c r="A1" s="36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ht="12.75" customHeight="1">
      <c r="A2" s="40" t="s">
        <v>83</v>
      </c>
      <c r="B2" s="41">
        <f>'Data Sheet'!B16</f>
        <v>40633</v>
      </c>
      <c r="C2" s="41">
        <f>'Data Sheet'!C16</f>
        <v>40999</v>
      </c>
      <c r="D2" s="41">
        <f>'Data Sheet'!D16</f>
        <v>41364</v>
      </c>
      <c r="E2" s="41">
        <f>'Data Sheet'!E16</f>
        <v>41729</v>
      </c>
      <c r="F2" s="41">
        <f>'Data Sheet'!F16</f>
        <v>42094</v>
      </c>
      <c r="G2" s="41">
        <f>'Data Sheet'!G16</f>
        <v>42460</v>
      </c>
      <c r="H2" s="41">
        <f>'Data Sheet'!H16</f>
        <v>42825</v>
      </c>
      <c r="I2" s="41">
        <f>'Data Sheet'!I16</f>
        <v>43190</v>
      </c>
      <c r="J2" s="41">
        <f>'Data Sheet'!J16</f>
        <v>43555</v>
      </c>
      <c r="K2" s="42">
        <f>'Data Sheet'!K16</f>
        <v>43921</v>
      </c>
      <c r="L2" s="43"/>
      <c r="M2" s="44" t="s">
        <v>84</v>
      </c>
      <c r="N2" s="45"/>
      <c r="O2" s="45"/>
      <c r="P2" s="45"/>
      <c r="Q2" s="46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ht="12.75" customHeight="1">
      <c r="A3" s="47" t="s">
        <v>5</v>
      </c>
      <c r="B3" s="48">
        <v>1.0</v>
      </c>
      <c r="C3" s="48">
        <v>1.0</v>
      </c>
      <c r="D3" s="48">
        <v>1.0</v>
      </c>
      <c r="E3" s="48">
        <v>1.0</v>
      </c>
      <c r="F3" s="48">
        <v>1.0</v>
      </c>
      <c r="G3" s="48">
        <v>1.0</v>
      </c>
      <c r="H3" s="48">
        <v>1.0</v>
      </c>
      <c r="I3" s="48">
        <v>1.0</v>
      </c>
      <c r="J3" s="48">
        <v>1.0</v>
      </c>
      <c r="K3" s="49">
        <v>1.0</v>
      </c>
      <c r="L3" s="43"/>
      <c r="M3" s="50"/>
      <c r="Q3" s="51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ht="12.75" customHeight="1">
      <c r="A4" s="47" t="s">
        <v>85</v>
      </c>
      <c r="B4" s="48">
        <f>'Data Sheet'!B18/'Data Sheet'!B$17</f>
        <v>0.5276533147</v>
      </c>
      <c r="C4" s="48">
        <f>'Data Sheet'!C18/'Data Sheet'!C$17</f>
        <v>0.5543788761</v>
      </c>
      <c r="D4" s="48">
        <f>'Data Sheet'!D18/'Data Sheet'!D$17</f>
        <v>0.5365839959</v>
      </c>
      <c r="E4" s="48">
        <f>'Data Sheet'!E18/'Data Sheet'!E$17</f>
        <v>0.5187854378</v>
      </c>
      <c r="F4" s="48">
        <f>'Data Sheet'!F18/'Data Sheet'!F$17</f>
        <v>0.5963558537</v>
      </c>
      <c r="G4" s="48">
        <f>'Data Sheet'!G18/'Data Sheet'!G$17</f>
        <v>0.5500701048</v>
      </c>
      <c r="H4" s="48">
        <f>'Data Sheet'!H18/'Data Sheet'!H$17</f>
        <v>0.4947951765</v>
      </c>
      <c r="I4" s="48">
        <f>'Data Sheet'!I18/'Data Sheet'!I$17</f>
        <v>0.4831136643</v>
      </c>
      <c r="J4" s="48">
        <f>'Data Sheet'!J18/'Data Sheet'!J$17</f>
        <v>0.5184164556</v>
      </c>
      <c r="K4" s="49">
        <f>'Data Sheet'!K18/'Data Sheet'!K$17</f>
        <v>0.4940906673</v>
      </c>
      <c r="L4" s="43"/>
      <c r="M4" s="50"/>
      <c r="Q4" s="51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ht="12.75" customHeight="1">
      <c r="A5" s="47" t="s">
        <v>86</v>
      </c>
      <c r="B5" s="48">
        <f>'Data Sheet'!B19/'Data Sheet'!B$17</f>
        <v>0.02045546954</v>
      </c>
      <c r="C5" s="48">
        <f>'Data Sheet'!C19/'Data Sheet'!C$17</f>
        <v>0.0187352742</v>
      </c>
      <c r="D5" s="48">
        <f>'Data Sheet'!D19/'Data Sheet'!D$17</f>
        <v>0.01423850737</v>
      </c>
      <c r="E5" s="48">
        <f>'Data Sheet'!E19/'Data Sheet'!E$17</f>
        <v>0.007387665022</v>
      </c>
      <c r="F5" s="48">
        <f>'Data Sheet'!F19/'Data Sheet'!F$17</f>
        <v>0.01087529728</v>
      </c>
      <c r="G5" s="48">
        <f>'Data Sheet'!G19/'Data Sheet'!G$17</f>
        <v>-0.01396700695</v>
      </c>
      <c r="H5" s="48">
        <f>'Data Sheet'!H19/'Data Sheet'!H$17</f>
        <v>0.03509496421</v>
      </c>
      <c r="I5" s="48">
        <f>'Data Sheet'!I19/'Data Sheet'!I$17</f>
        <v>-0.008447774235</v>
      </c>
      <c r="J5" s="48">
        <f>'Data Sheet'!J19/'Data Sheet'!J$17</f>
        <v>0.01524210076</v>
      </c>
      <c r="K5" s="49">
        <f>'Data Sheet'!K19/'Data Sheet'!K$17</f>
        <v>0.01183251902</v>
      </c>
      <c r="L5" s="43"/>
      <c r="M5" s="50"/>
      <c r="Q5" s="51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ht="12.75" customHeight="1">
      <c r="A6" s="47" t="s">
        <v>87</v>
      </c>
      <c r="B6" s="48">
        <f>'Data Sheet'!B20/'Data Sheet'!B$17</f>
        <v>0.01042698074</v>
      </c>
      <c r="C6" s="48">
        <f>'Data Sheet'!C20/'Data Sheet'!C$17</f>
        <v>0.009468923494</v>
      </c>
      <c r="D6" s="48">
        <f>'Data Sheet'!D20/'Data Sheet'!D$17</f>
        <v>0.01092069525</v>
      </c>
      <c r="E6" s="48">
        <f>'Data Sheet'!E20/'Data Sheet'!E$17</f>
        <v>0.01094402215</v>
      </c>
      <c r="F6" s="48">
        <f>'Data Sheet'!F20/'Data Sheet'!F$17</f>
        <v>0.009598053948</v>
      </c>
      <c r="G6" s="48">
        <f>'Data Sheet'!G20/'Data Sheet'!G$17</f>
        <v>0.008021587094</v>
      </c>
      <c r="H6" s="48">
        <f>'Data Sheet'!H20/'Data Sheet'!H$17</f>
        <v>0.007038910529</v>
      </c>
      <c r="I6" s="48">
        <f>'Data Sheet'!I20/'Data Sheet'!I$17</f>
        <v>0.006555895997</v>
      </c>
      <c r="J6" s="48">
        <f>'Data Sheet'!J20/'Data Sheet'!J$17</f>
        <v>0.006217733456</v>
      </c>
      <c r="K6" s="49">
        <f>'Data Sheet'!K20/'Data Sheet'!K$17</f>
        <v>0.005686437009</v>
      </c>
      <c r="L6" s="43"/>
      <c r="M6" s="50"/>
      <c r="Q6" s="51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ht="12.75" customHeight="1">
      <c r="A7" s="47" t="s">
        <v>88</v>
      </c>
      <c r="B7" s="48">
        <f>'Data Sheet'!B21/'Data Sheet'!B$17</f>
        <v>0.1141618634</v>
      </c>
      <c r="C7" s="48">
        <f>'Data Sheet'!C21/'Data Sheet'!C$17</f>
        <v>0.1067851049</v>
      </c>
      <c r="D7" s="48">
        <f>'Data Sheet'!D21/'Data Sheet'!D$17</f>
        <v>0.1054188393</v>
      </c>
      <c r="E7" s="48">
        <f>'Data Sheet'!E21/'Data Sheet'!E$17</f>
        <v>0.1057398426</v>
      </c>
      <c r="F7" s="48">
        <f>'Data Sheet'!F21/'Data Sheet'!F$17</f>
        <v>0.0190785927</v>
      </c>
      <c r="G7" s="48">
        <f>'Data Sheet'!G21/'Data Sheet'!G$17</f>
        <v>0.01784887212</v>
      </c>
      <c r="H7" s="48">
        <f>'Data Sheet'!H21/'Data Sheet'!H$17</f>
        <v>0.1103937793</v>
      </c>
      <c r="I7" s="48">
        <f>'Data Sheet'!I21/'Data Sheet'!I$17</f>
        <v>0.1005483059</v>
      </c>
      <c r="J7" s="48">
        <f>'Data Sheet'!J21/'Data Sheet'!J$17</f>
        <v>0.09679508402</v>
      </c>
      <c r="K7" s="49">
        <f>'Data Sheet'!K21/'Data Sheet'!K$17</f>
        <v>0.09608114293</v>
      </c>
      <c r="L7" s="43"/>
      <c r="M7" s="50"/>
      <c r="Q7" s="51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ht="12.75" customHeight="1">
      <c r="A8" s="47" t="s">
        <v>89</v>
      </c>
      <c r="B8" s="48">
        <f>'Data Sheet'!B22/'Data Sheet'!B$17</f>
        <v>0.06160415296</v>
      </c>
      <c r="C8" s="48">
        <f>'Data Sheet'!C22/'Data Sheet'!C$17</f>
        <v>0.05737792823</v>
      </c>
      <c r="D8" s="48">
        <f>'Data Sheet'!D22/'Data Sheet'!D$17</f>
        <v>0.05974822709</v>
      </c>
      <c r="E8" s="48">
        <f>'Data Sheet'!E22/'Data Sheet'!E$17</f>
        <v>0.06248501477</v>
      </c>
      <c r="F8" s="48">
        <f>'Data Sheet'!F22/'Data Sheet'!F$17</f>
        <v>0.06880955634</v>
      </c>
      <c r="G8" s="48">
        <f>'Data Sheet'!G22/'Data Sheet'!G$17</f>
        <v>0.06971801823</v>
      </c>
      <c r="H8" s="48">
        <f>'Data Sheet'!H22/'Data Sheet'!H$17</f>
        <v>0.06904067789</v>
      </c>
      <c r="I8" s="48">
        <f>'Data Sheet'!I22/'Data Sheet'!I$17</f>
        <v>0.06668172403</v>
      </c>
      <c r="J8" s="48">
        <f>'Data Sheet'!J22/'Data Sheet'!J$17</f>
        <v>0.06458844093</v>
      </c>
      <c r="K8" s="49">
        <f>'Data Sheet'!K22/'Data Sheet'!K$17</f>
        <v>0.06784686746</v>
      </c>
      <c r="L8" s="43"/>
      <c r="M8" s="50"/>
      <c r="Q8" s="51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ht="12.75" customHeight="1">
      <c r="A9" s="47" t="s">
        <v>90</v>
      </c>
      <c r="B9" s="48">
        <f>'Data Sheet'!B23/'Data Sheet'!B$17</f>
        <v>0.1999700118</v>
      </c>
      <c r="C9" s="48">
        <f>'Data Sheet'!C23/'Data Sheet'!C$17</f>
        <v>0.2010421124</v>
      </c>
      <c r="D9" s="48">
        <f>'Data Sheet'!D23/'Data Sheet'!D$17</f>
        <v>0.2164822433</v>
      </c>
      <c r="E9" s="48">
        <f>'Data Sheet'!E23/'Data Sheet'!E$17</f>
        <v>0.2312884143</v>
      </c>
      <c r="F9" s="48">
        <f>'Data Sheet'!F23/'Data Sheet'!F$17</f>
        <v>0.2475744128</v>
      </c>
      <c r="G9" s="48">
        <f>'Data Sheet'!G23/'Data Sheet'!G$17</f>
        <v>0.276547158</v>
      </c>
      <c r="H9" s="48">
        <f>'Data Sheet'!H23/'Data Sheet'!H$17</f>
        <v>0.2897386069</v>
      </c>
      <c r="I9" s="48">
        <f>'Data Sheet'!I23/'Data Sheet'!I$17</f>
        <v>0.1340255757</v>
      </c>
      <c r="J9" s="48">
        <f>'Data Sheet'!J23/'Data Sheet'!J$17</f>
        <v>0.1230173601</v>
      </c>
      <c r="K9" s="49">
        <f>'Data Sheet'!K23/'Data Sheet'!K$17</f>
        <v>0.1297866287</v>
      </c>
      <c r="L9" s="43"/>
      <c r="M9" s="50"/>
      <c r="Q9" s="51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ht="12.75" customHeight="1">
      <c r="A10" s="47" t="s">
        <v>91</v>
      </c>
      <c r="B10" s="48">
        <f>'Data Sheet'!B24/'Data Sheet'!B$17</f>
        <v>-0.07313745541</v>
      </c>
      <c r="C10" s="48">
        <f>'Data Sheet'!C24/'Data Sheet'!C$17</f>
        <v>-0.07402031144</v>
      </c>
      <c r="D10" s="48">
        <f>'Data Sheet'!D24/'Data Sheet'!D$17</f>
        <v>-0.08031961432</v>
      </c>
      <c r="E10" s="48">
        <f>'Data Sheet'!E24/'Data Sheet'!E$17</f>
        <v>-0.08500069965</v>
      </c>
      <c r="F10" s="48">
        <f>'Data Sheet'!F24/'Data Sheet'!F$17</f>
        <v>-0.09324978003</v>
      </c>
      <c r="G10" s="48">
        <f>'Data Sheet'!G24/'Data Sheet'!G$17</f>
        <v>-0.1271156691</v>
      </c>
      <c r="H10" s="48">
        <f>'Data Sheet'!H24/'Data Sheet'!H$17</f>
        <v>-0.1346747674</v>
      </c>
      <c r="I10" s="48">
        <f>'Data Sheet'!I24/'Data Sheet'!I$17</f>
        <v>0.01019046572</v>
      </c>
      <c r="J10" s="48">
        <f>'Data Sheet'!J24/'Data Sheet'!J$17</f>
        <v>0.01052539666</v>
      </c>
      <c r="K10" s="49">
        <f>'Data Sheet'!K24/'Data Sheet'!K$17</f>
        <v>0.01239408745</v>
      </c>
      <c r="L10" s="43"/>
      <c r="M10" s="52"/>
      <c r="N10" s="53"/>
      <c r="O10" s="53"/>
      <c r="P10" s="53"/>
      <c r="Q10" s="54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ht="12.75" customHeight="1">
      <c r="A11" s="55" t="s">
        <v>7</v>
      </c>
      <c r="B11" s="56">
        <f>('Data Sheet'!B17-'Data Sheet'!B18-'Data Sheet'!B19-'Data Sheet'!B20-'Data Sheet'!B21-'Data Sheet'!B22-'Data Sheet'!B23-'Data Sheet'!B24)/'Data Sheet'!B$17</f>
        <v>0.1388656623</v>
      </c>
      <c r="C11" s="56">
        <f>('Data Sheet'!C17-'Data Sheet'!C18-'Data Sheet'!C19-'Data Sheet'!C20-'Data Sheet'!C21-'Data Sheet'!C22-'Data Sheet'!C23-'Data Sheet'!C24)/'Data Sheet'!C$17</f>
        <v>0.1262320921</v>
      </c>
      <c r="D11" s="56">
        <f>('Data Sheet'!D17-'Data Sheet'!D18-'Data Sheet'!D19-'Data Sheet'!D20-'Data Sheet'!D21-'Data Sheet'!D22-'Data Sheet'!D23-'Data Sheet'!D24)/'Data Sheet'!D$17</f>
        <v>0.1369271062</v>
      </c>
      <c r="E11" s="56">
        <f>('Data Sheet'!E17-'Data Sheet'!E18-'Data Sheet'!E19-'Data Sheet'!E20-'Data Sheet'!E21-'Data Sheet'!E22-'Data Sheet'!E23-'Data Sheet'!E24)/'Data Sheet'!E$17</f>
        <v>0.148370303</v>
      </c>
      <c r="F11" s="56">
        <f>('Data Sheet'!F17-'Data Sheet'!F18-'Data Sheet'!F19-'Data Sheet'!F20-'Data Sheet'!F21-'Data Sheet'!F22-'Data Sheet'!F23-'Data Sheet'!F24)/'Data Sheet'!F$17</f>
        <v>0.1409580133</v>
      </c>
      <c r="G11" s="56">
        <f>('Data Sheet'!G17-'Data Sheet'!G18-'Data Sheet'!G19-'Data Sheet'!G20-'Data Sheet'!G21-'Data Sheet'!G22-'Data Sheet'!G23-'Data Sheet'!G24)/'Data Sheet'!G$17</f>
        <v>0.2188769358</v>
      </c>
      <c r="H11" s="56">
        <f>('Data Sheet'!H17-'Data Sheet'!H18-'Data Sheet'!H19-'Data Sheet'!H20-'Data Sheet'!H21-'Data Sheet'!H22-'Data Sheet'!H23-'Data Sheet'!H24)/'Data Sheet'!H$17</f>
        <v>0.1285726521</v>
      </c>
      <c r="I11" s="56">
        <f>('Data Sheet'!I17-'Data Sheet'!I18-'Data Sheet'!I19-'Data Sheet'!I20-'Data Sheet'!I21-'Data Sheet'!I22-'Data Sheet'!I23-'Data Sheet'!I24)/'Data Sheet'!I$17</f>
        <v>0.2073321426</v>
      </c>
      <c r="J11" s="56">
        <f>('Data Sheet'!J17-'Data Sheet'!J18-'Data Sheet'!J19-'Data Sheet'!J20-'Data Sheet'!J21-'Data Sheet'!J22-'Data Sheet'!J23-'Data Sheet'!J24)/'Data Sheet'!J$17</f>
        <v>0.1651974285</v>
      </c>
      <c r="K11" s="57">
        <f>('Data Sheet'!K17-'Data Sheet'!K18-'Data Sheet'!K19-'Data Sheet'!K20-'Data Sheet'!K21-'Data Sheet'!K22-'Data Sheet'!K23-'Data Sheet'!K24)/'Data Sheet'!K$17</f>
        <v>0.1822816501</v>
      </c>
      <c r="L11" s="43"/>
      <c r="M11" s="43"/>
      <c r="N11" s="43"/>
      <c r="O11" s="43"/>
      <c r="P11" s="43"/>
      <c r="Q11" s="43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ht="12.75" customHeight="1">
      <c r="A12" s="47" t="s">
        <v>8</v>
      </c>
      <c r="B12" s="48">
        <f>'Data Sheet'!B25/'Data Sheet'!B$17</f>
        <v>0.009182875383</v>
      </c>
      <c r="C12" s="48">
        <f>'Data Sheet'!C25/'Data Sheet'!C$17</f>
        <v>0.01163547732</v>
      </c>
      <c r="D12" s="48">
        <f>'Data Sheet'!D25/'Data Sheet'!D$17</f>
        <v>0.01089879864</v>
      </c>
      <c r="E12" s="48">
        <f>'Data Sheet'!E25/'Data Sheet'!E$17</f>
        <v>0.01098330083</v>
      </c>
      <c r="F12" s="48">
        <f>'Data Sheet'!F25/'Data Sheet'!F$17</f>
        <v>0.01246469035</v>
      </c>
      <c r="G12" s="48">
        <f>'Data Sheet'!G25/'Data Sheet'!G$17</f>
        <v>0.01495218789</v>
      </c>
      <c r="H12" s="48">
        <f>'Data Sheet'!H25/'Data Sheet'!H$17</f>
        <v>0.02243395461</v>
      </c>
      <c r="I12" s="48">
        <f>'Data Sheet'!I25/'Data Sheet'!I$17</f>
        <v>0.01999518561</v>
      </c>
      <c r="J12" s="48">
        <f>'Data Sheet'!J25/'Data Sheet'!J$17</f>
        <v>0.01422911384</v>
      </c>
      <c r="K12" s="49">
        <f>'Data Sheet'!K25/'Data Sheet'!K$17</f>
        <v>0.0175669491</v>
      </c>
      <c r="L12" s="43"/>
      <c r="M12" s="43"/>
      <c r="N12" s="43"/>
      <c r="O12" s="43"/>
      <c r="P12" s="43"/>
      <c r="Q12" s="43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ht="12.75" customHeight="1">
      <c r="A13" s="47" t="s">
        <v>9</v>
      </c>
      <c r="B13" s="48">
        <f>'Data Sheet'!B26/'Data Sheet'!B$17</f>
        <v>0.01528182836</v>
      </c>
      <c r="C13" s="48">
        <f>'Data Sheet'!C26/'Data Sheet'!C$17</f>
        <v>0.01312173324</v>
      </c>
      <c r="D13" s="48">
        <f>'Data Sheet'!D26/'Data Sheet'!D$17</f>
        <v>0.0147183287</v>
      </c>
      <c r="E13" s="48">
        <f>'Data Sheet'!E26/'Data Sheet'!E$17</f>
        <v>0.02010250099</v>
      </c>
      <c r="F13" s="48">
        <f>'Data Sheet'!F26/'Data Sheet'!F$17</f>
        <v>0.01953102622</v>
      </c>
      <c r="G13" s="48">
        <f>'Data Sheet'!G26/'Data Sheet'!G$17</f>
        <v>0.01930982679</v>
      </c>
      <c r="H13" s="48">
        <f>'Data Sheet'!H26/'Data Sheet'!H$17</f>
        <v>0.02222747459</v>
      </c>
      <c r="I13" s="48">
        <f>'Data Sheet'!I26/'Data Sheet'!I$17</f>
        <v>0.02142523871</v>
      </c>
      <c r="J13" s="48">
        <f>'Data Sheet'!J26/'Data Sheet'!J$17</f>
        <v>0.03233554035</v>
      </c>
      <c r="K13" s="49">
        <f>'Data Sheet'!K26/'Data Sheet'!K$17</f>
        <v>0.03861710681</v>
      </c>
      <c r="L13" s="43"/>
      <c r="M13" s="43"/>
      <c r="N13" s="43"/>
      <c r="O13" s="43"/>
      <c r="P13" s="43"/>
      <c r="Q13" s="43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ht="12.75" customHeight="1">
      <c r="A14" s="47" t="s">
        <v>10</v>
      </c>
      <c r="B14" s="48">
        <f>'Data Sheet'!B27/'Data Sheet'!B$17</f>
        <v>0.003509430751</v>
      </c>
      <c r="C14" s="48">
        <f>'Data Sheet'!C27/'Data Sheet'!C$17</f>
        <v>0.004699255247</v>
      </c>
      <c r="D14" s="48">
        <f>'Data Sheet'!D27/'Data Sheet'!D$17</f>
        <v>0.004004223189</v>
      </c>
      <c r="E14" s="48">
        <f>'Data Sheet'!E27/'Data Sheet'!E$17</f>
        <v>0.003927049672</v>
      </c>
      <c r="F14" s="48">
        <f>'Data Sheet'!F27/'Data Sheet'!F$17</f>
        <v>0.003102401276</v>
      </c>
      <c r="G14" s="48">
        <f>'Data Sheet'!G27/'Data Sheet'!G$17</f>
        <v>0.003433418655</v>
      </c>
      <c r="H14" s="48">
        <f>'Data Sheet'!H27/'Data Sheet'!H$17</f>
        <v>0.002478424166</v>
      </c>
      <c r="I14" s="48">
        <f>'Data Sheet'!I27/'Data Sheet'!I$17</f>
        <v>0.002464850471</v>
      </c>
      <c r="J14" s="48">
        <f>'Data Sheet'!J27/'Data Sheet'!J$17</f>
        <v>0.005741645197</v>
      </c>
      <c r="K14" s="49">
        <f>'Data Sheet'!K27/'Data Sheet'!K$17</f>
        <v>0.005341084792</v>
      </c>
      <c r="L14" s="43"/>
      <c r="M14" s="43"/>
      <c r="N14" s="43"/>
      <c r="O14" s="43"/>
      <c r="P14" s="43"/>
      <c r="Q14" s="43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ht="12.75" customHeight="1">
      <c r="A15" s="55" t="s">
        <v>92</v>
      </c>
      <c r="B15" s="56">
        <f>'Data Sheet'!B28/'Data Sheet'!B$17</f>
        <v>0.1701682176</v>
      </c>
      <c r="C15" s="56">
        <f>'Data Sheet'!C28/'Data Sheet'!C$17</f>
        <v>0.1575171293</v>
      </c>
      <c r="D15" s="56">
        <f>'Data Sheet'!D28/'Data Sheet'!D$17</f>
        <v>0.1575803677</v>
      </c>
      <c r="E15" s="56">
        <f>'Data Sheet'!E28/'Data Sheet'!E$17</f>
        <v>0.1500993832</v>
      </c>
      <c r="F15" s="56">
        <f>'Data Sheet'!F28/'Data Sheet'!F$17</f>
        <v>0.1525398707</v>
      </c>
      <c r="G15" s="56">
        <f>'Data Sheet'!G28/'Data Sheet'!G$17</f>
        <v>0.1831518643</v>
      </c>
      <c r="H15" s="56">
        <f>'Data Sheet'!H28/'Data Sheet'!H$17</f>
        <v>0.1964906364</v>
      </c>
      <c r="I15" s="56">
        <f>'Data Sheet'!I28/'Data Sheet'!I$17</f>
        <v>0.1865416906</v>
      </c>
      <c r="J15" s="56">
        <f>'Data Sheet'!J28/'Data Sheet'!J$17</f>
        <v>0.1718335583</v>
      </c>
      <c r="K15" s="57">
        <f>'Data Sheet'!K28/'Data Sheet'!K$17</f>
        <v>0.1795554456</v>
      </c>
      <c r="L15" s="43"/>
      <c r="M15" s="43"/>
      <c r="N15" s="43"/>
      <c r="O15" s="43"/>
      <c r="P15" s="43"/>
      <c r="Q15" s="43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ht="12.75" customHeight="1">
      <c r="A16" s="47" t="s">
        <v>12</v>
      </c>
      <c r="B16" s="48">
        <f>'Data Sheet'!B29/'Data Sheet'!B$17</f>
        <v>0.05111368367</v>
      </c>
      <c r="C16" s="48">
        <f>'Data Sheet'!C29/'Data Sheet'!C$17</f>
        <v>0.04696005416</v>
      </c>
      <c r="D16" s="48">
        <f>'Data Sheet'!D29/'Data Sheet'!D$17</f>
        <v>0.0471909984</v>
      </c>
      <c r="E16" s="48">
        <f>'Data Sheet'!E29/'Data Sheet'!E$17</f>
        <v>0.04676699642</v>
      </c>
      <c r="F16" s="48">
        <f>'Data Sheet'!F29/'Data Sheet'!F$17</f>
        <v>0.04770676432</v>
      </c>
      <c r="G16" s="48">
        <f>'Data Sheet'!G29/'Data Sheet'!G$17</f>
        <v>0.05917321877</v>
      </c>
      <c r="H16" s="48">
        <f>'Data Sheet'!H29/'Data Sheet'!H$17</f>
        <v>0.06262718273</v>
      </c>
      <c r="I16" s="48">
        <f>'Data Sheet'!I29/'Data Sheet'!I$17</f>
        <v>0.06187149136</v>
      </c>
      <c r="J16" s="48">
        <f>'Data Sheet'!J29/'Data Sheet'!J$17</f>
        <v>0.05707133995</v>
      </c>
      <c r="K16" s="49">
        <f>'Data Sheet'!K29/'Data Sheet'!K$17</f>
        <v>0.04229575113</v>
      </c>
      <c r="L16" s="43"/>
      <c r="M16" s="43"/>
      <c r="N16" s="43"/>
      <c r="O16" s="43"/>
      <c r="P16" s="43"/>
      <c r="Q16" s="43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ht="12.75" customHeight="1">
      <c r="A17" s="55" t="s">
        <v>93</v>
      </c>
      <c r="B17" s="56">
        <f>'Data Sheet'!B30/'Data Sheet'!B$17</f>
        <v>0.1139065584</v>
      </c>
      <c r="C17" s="56">
        <f>'Data Sheet'!C30/'Data Sheet'!C$17</f>
        <v>0.1071068382</v>
      </c>
      <c r="D17" s="56">
        <f>'Data Sheet'!D30/'Data Sheet'!D$17</f>
        <v>0.1060443206</v>
      </c>
      <c r="E17" s="56">
        <f>'Data Sheet'!E30/'Data Sheet'!E$17</f>
        <v>0.09973593271</v>
      </c>
      <c r="F17" s="56">
        <f>'Data Sheet'!F30/'Data Sheet'!F$17</f>
        <v>0.1024695819</v>
      </c>
      <c r="G17" s="56">
        <f>'Data Sheet'!G30/'Data Sheet'!G$17</f>
        <v>0.1222829571</v>
      </c>
      <c r="H17" s="56">
        <f>'Data Sheet'!H30/'Data Sheet'!H$17</f>
        <v>0.128763198</v>
      </c>
      <c r="I17" s="56">
        <f>'Data Sheet'!I30/'Data Sheet'!I$17</f>
        <v>0.1211877881</v>
      </c>
      <c r="J17" s="56">
        <f>'Data Sheet'!J30/'Data Sheet'!J$17</f>
        <v>0.1120532969</v>
      </c>
      <c r="K17" s="57">
        <f>'Data Sheet'!K30/'Data Sheet'!K$17</f>
        <v>0.1338447647</v>
      </c>
      <c r="L17" s="43"/>
      <c r="M17" s="43"/>
      <c r="N17" s="43"/>
      <c r="O17" s="43"/>
      <c r="P17" s="43"/>
      <c r="Q17" s="43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ht="12.75" customHeight="1">
      <c r="A18" s="58" t="s">
        <v>94</v>
      </c>
      <c r="B18" s="59">
        <f>'Data Sheet'!B31/'Data Sheet'!B$17</f>
        <v>0.0414620737</v>
      </c>
      <c r="C18" s="59">
        <f>'Data Sheet'!C31/'Data Sheet'!C$17</f>
        <v>0.04156316858</v>
      </c>
      <c r="D18" s="59">
        <f>'Data Sheet'!D31/'Data Sheet'!D$17</f>
        <v>0.04200626243</v>
      </c>
      <c r="E18" s="59">
        <f>'Data Sheet'!E31/'Data Sheet'!E$17</f>
        <v>0.04160103172</v>
      </c>
      <c r="F18" s="59">
        <f>'Data Sheet'!F31/'Data Sheet'!F$17</f>
        <v>0.04297457412</v>
      </c>
      <c r="G18" s="59">
        <f>'Data Sheet'!G31/'Data Sheet'!G$17</f>
        <v>0.05040819144</v>
      </c>
      <c r="H18" s="59">
        <f>'Data Sheet'!H31/'Data Sheet'!H$17</f>
        <v>0.06559425415</v>
      </c>
      <c r="I18" s="59">
        <f>'Data Sheet'!I31/'Data Sheet'!I$17</f>
        <v>0.04960013789</v>
      </c>
      <c r="J18" s="59">
        <f>'Data Sheet'!J31/'Data Sheet'!J$17</f>
        <v>0.05234683965</v>
      </c>
      <c r="K18" s="60">
        <f>'Data Sheet'!K31/'Data Sheet'!K$17</f>
        <v>0.05695046076</v>
      </c>
      <c r="L18" s="43"/>
      <c r="M18" s="43"/>
      <c r="N18" s="43"/>
      <c r="O18" s="43"/>
      <c r="P18" s="43"/>
      <c r="Q18" s="43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ht="12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ht="12.75" customHeight="1">
      <c r="A20" s="36" t="s">
        <v>65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ht="12.75" customHeight="1">
      <c r="A21" s="40" t="s">
        <v>83</v>
      </c>
      <c r="B21" s="41">
        <f>'Data Sheet'!B56</f>
        <v>40633</v>
      </c>
      <c r="C21" s="41">
        <f>'Data Sheet'!C56</f>
        <v>40999</v>
      </c>
      <c r="D21" s="41">
        <f>'Data Sheet'!D56</f>
        <v>41364</v>
      </c>
      <c r="E21" s="41">
        <f>'Data Sheet'!E56</f>
        <v>41729</v>
      </c>
      <c r="F21" s="41">
        <f>'Data Sheet'!F56</f>
        <v>42094</v>
      </c>
      <c r="G21" s="41">
        <f>'Data Sheet'!G56</f>
        <v>42460</v>
      </c>
      <c r="H21" s="41">
        <f>'Data Sheet'!H56</f>
        <v>42825</v>
      </c>
      <c r="I21" s="41">
        <f>'Data Sheet'!I56</f>
        <v>43190</v>
      </c>
      <c r="J21" s="41">
        <f>'Data Sheet'!J56</f>
        <v>43555</v>
      </c>
      <c r="K21" s="42">
        <f>'Data Sheet'!K56</f>
        <v>43921</v>
      </c>
      <c r="L21" s="43"/>
      <c r="M21" s="43"/>
      <c r="N21" s="43"/>
      <c r="O21" s="43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2" ht="12.75" customHeight="1">
      <c r="A22" s="47" t="s">
        <v>36</v>
      </c>
      <c r="B22" s="48">
        <f>'Data Sheet'!B57/'Data Sheet'!B$61</f>
        <v>0.02080432397</v>
      </c>
      <c r="C22" s="48">
        <f>'Data Sheet'!C57/'Data Sheet'!C$61</f>
        <v>0.01679215852</v>
      </c>
      <c r="D22" s="48">
        <f>'Data Sheet'!D57/'Data Sheet'!D$61</f>
        <v>0.01413810892</v>
      </c>
      <c r="E22" s="48">
        <f>'Data Sheet'!E57/'Data Sheet'!E$61</f>
        <v>0.01187804938</v>
      </c>
      <c r="F22" s="48">
        <f>'Data Sheet'!F57/'Data Sheet'!F$61</f>
        <v>0.01075999776</v>
      </c>
      <c r="G22" s="48">
        <f>'Data Sheet'!G57/'Data Sheet'!G$61</f>
        <v>0.009084167769</v>
      </c>
      <c r="H22" s="48">
        <f>'Data Sheet'!H57/'Data Sheet'!H$61</f>
        <v>0.007732247551</v>
      </c>
      <c r="I22" s="48">
        <f>'Data Sheet'!I57/'Data Sheet'!I$61</f>
        <v>0.006969167681</v>
      </c>
      <c r="J22" s="48">
        <f>'Data Sheet'!J57/'Data Sheet'!J$61</f>
        <v>0.005903190628</v>
      </c>
      <c r="K22" s="49">
        <f>'Data Sheet'!K57/'Data Sheet'!K$61</f>
        <v>0.005943746332</v>
      </c>
      <c r="L22" s="43"/>
      <c r="M22" s="43"/>
      <c r="N22" s="43"/>
      <c r="O22" s="43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ht="12.75" customHeight="1">
      <c r="A23" s="47" t="s">
        <v>37</v>
      </c>
      <c r="B23" s="48">
        <f>'Data Sheet'!B58/'Data Sheet'!B$61</f>
        <v>0.4536305627</v>
      </c>
      <c r="C23" s="48">
        <f>'Data Sheet'!C58/'Data Sheet'!C$61</f>
        <v>0.4643718084</v>
      </c>
      <c r="D23" s="48">
        <f>'Data Sheet'!D58/'Data Sheet'!D$61</f>
        <v>0.4846886285</v>
      </c>
      <c r="E23" s="48">
        <f>'Data Sheet'!E58/'Data Sheet'!E$61</f>
        <v>0.4883101766</v>
      </c>
      <c r="F23" s="48">
        <f>'Data Sheet'!F58/'Data Sheet'!F$61</f>
        <v>0.521222727</v>
      </c>
      <c r="G23" s="48">
        <f>'Data Sheet'!G58/'Data Sheet'!G$61</f>
        <v>0.6088532753</v>
      </c>
      <c r="H23" s="48">
        <f>'Data Sheet'!H58/'Data Sheet'!H$61</f>
        <v>0.6052281344</v>
      </c>
      <c r="I23" s="48">
        <f>'Data Sheet'!I58/'Data Sheet'!I$61</f>
        <v>0.6040848681</v>
      </c>
      <c r="J23" s="48">
        <f>'Data Sheet'!J58/'Data Sheet'!J$61</f>
        <v>0.5769414924</v>
      </c>
      <c r="K23" s="49">
        <f>'Data Sheet'!K58/'Data Sheet'!K$61</f>
        <v>0.6217783278</v>
      </c>
      <c r="L23" s="43"/>
      <c r="M23" s="43"/>
      <c r="N23" s="43"/>
      <c r="O23" s="43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</row>
    <row r="24" ht="12.75" customHeight="1">
      <c r="A24" s="47" t="s">
        <v>38</v>
      </c>
      <c r="B24" s="48">
        <f>'Data Sheet'!B59/'Data Sheet'!B$61</f>
        <v>0.050629205</v>
      </c>
      <c r="C24" s="48">
        <f>'Data Sheet'!C59/'Data Sheet'!C$61</f>
        <v>0.0597161509</v>
      </c>
      <c r="D24" s="48">
        <f>'Data Sheet'!D59/'Data Sheet'!D$61</f>
        <v>0.03699019825</v>
      </c>
      <c r="E24" s="48">
        <f>'Data Sheet'!E59/'Data Sheet'!E$61</f>
        <v>0.03085296084</v>
      </c>
      <c r="F24" s="48">
        <f>'Data Sheet'!F59/'Data Sheet'!F$61</f>
        <v>0.04690896853</v>
      </c>
      <c r="G24" s="48">
        <f>'Data Sheet'!G59/'Data Sheet'!G$61</f>
        <v>0.03061739573</v>
      </c>
      <c r="H24" s="48">
        <f>'Data Sheet'!H59/'Data Sheet'!H$61</f>
        <v>0.04516980393</v>
      </c>
      <c r="I24" s="48">
        <f>'Data Sheet'!I59/'Data Sheet'!I$61</f>
        <v>0.03875691322</v>
      </c>
      <c r="J24" s="48">
        <f>'Data Sheet'!J59/'Data Sheet'!J$61</f>
        <v>0.08121195113</v>
      </c>
      <c r="K24" s="49">
        <f>'Data Sheet'!K59/'Data Sheet'!K$61</f>
        <v>0.06930859334</v>
      </c>
      <c r="L24" s="43"/>
      <c r="M24" s="43"/>
      <c r="N24" s="43"/>
      <c r="O24" s="43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ht="12.75" customHeight="1">
      <c r="A25" s="47" t="s">
        <v>39</v>
      </c>
      <c r="B25" s="48">
        <f>'Data Sheet'!B60/'Data Sheet'!B$61</f>
        <v>0.4749359083</v>
      </c>
      <c r="C25" s="48">
        <f>'Data Sheet'!C60/'Data Sheet'!C$61</f>
        <v>0.4591198822</v>
      </c>
      <c r="D25" s="48">
        <f>'Data Sheet'!D60/'Data Sheet'!D$61</f>
        <v>0.4641830643</v>
      </c>
      <c r="E25" s="48">
        <f>'Data Sheet'!E60/'Data Sheet'!E$61</f>
        <v>0.4689588132</v>
      </c>
      <c r="F25" s="48">
        <f>'Data Sheet'!F60/'Data Sheet'!F$61</f>
        <v>0.4211083067</v>
      </c>
      <c r="G25" s="48">
        <f>'Data Sheet'!G60/'Data Sheet'!G$61</f>
        <v>0.3514451612</v>
      </c>
      <c r="H25" s="48">
        <f>'Data Sheet'!H60/'Data Sheet'!H$61</f>
        <v>0.3418698142</v>
      </c>
      <c r="I25" s="48">
        <f>'Data Sheet'!I60/'Data Sheet'!I$61</f>
        <v>0.350189051</v>
      </c>
      <c r="J25" s="48">
        <f>'Data Sheet'!J60/'Data Sheet'!J$61</f>
        <v>0.3359433658</v>
      </c>
      <c r="K25" s="49">
        <f>'Data Sheet'!K60/'Data Sheet'!K$61</f>
        <v>0.3029693326</v>
      </c>
      <c r="L25" s="43"/>
      <c r="M25" s="43"/>
      <c r="N25" s="43"/>
      <c r="O25" s="43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ht="12.75" customHeight="1">
      <c r="A26" s="61" t="s">
        <v>95</v>
      </c>
      <c r="B26" s="62">
        <v>1.0</v>
      </c>
      <c r="C26" s="62">
        <v>1.0</v>
      </c>
      <c r="D26" s="62">
        <v>1.0</v>
      </c>
      <c r="E26" s="62">
        <v>1.0</v>
      </c>
      <c r="F26" s="62">
        <v>1.0</v>
      </c>
      <c r="G26" s="62">
        <v>1.0</v>
      </c>
      <c r="H26" s="62">
        <v>1.0</v>
      </c>
      <c r="I26" s="62">
        <v>1.0</v>
      </c>
      <c r="J26" s="62">
        <v>1.0</v>
      </c>
      <c r="K26" s="63">
        <v>1.0</v>
      </c>
      <c r="L26" s="43"/>
      <c r="M26" s="43"/>
      <c r="N26" s="43"/>
      <c r="O26" s="43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ht="12.75" customHeight="1">
      <c r="A27" s="47" t="s">
        <v>96</v>
      </c>
      <c r="B27" s="48">
        <f>'Data Sheet'!B62/'Data Sheet'!B$66</f>
        <v>0.2841009157</v>
      </c>
      <c r="C27" s="48">
        <f>'Data Sheet'!C62/'Data Sheet'!C$66</f>
        <v>0.2276797515</v>
      </c>
      <c r="D27" s="48">
        <f>'Data Sheet'!D62/'Data Sheet'!D$66</f>
        <v>0.3597862775</v>
      </c>
      <c r="E27" s="48">
        <f>'Data Sheet'!E62/'Data Sheet'!E$66</f>
        <v>0.3172078163</v>
      </c>
      <c r="F27" s="48">
        <f>'Data Sheet'!F62/'Data Sheet'!F$66</f>
        <v>0.2983947501</v>
      </c>
      <c r="G27" s="48">
        <f>'Data Sheet'!G62/'Data Sheet'!G$66</f>
        <v>0.3235477122</v>
      </c>
      <c r="H27" s="48">
        <f>'Data Sheet'!H62/'Data Sheet'!H$66</f>
        <v>0.2663191777</v>
      </c>
      <c r="I27" s="48">
        <f>'Data Sheet'!I62/'Data Sheet'!I$66</f>
        <v>0.2711697914</v>
      </c>
      <c r="J27" s="48">
        <f>'Data Sheet'!J62/'Data Sheet'!J$66</f>
        <v>0.3998168485</v>
      </c>
      <c r="K27" s="49">
        <f>'Data Sheet'!K62/'Data Sheet'!K$66</f>
        <v>0.3886678436</v>
      </c>
      <c r="L27" s="43"/>
      <c r="M27" s="43"/>
      <c r="N27" s="43"/>
      <c r="O27" s="43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ht="12.75" customHeight="1">
      <c r="A28" s="47" t="s">
        <v>43</v>
      </c>
      <c r="B28" s="48">
        <f>'Data Sheet'!B63/'Data Sheet'!B$66</f>
        <v>0.009395781008</v>
      </c>
      <c r="C28" s="48">
        <f>'Data Sheet'!C63/'Data Sheet'!C$66</f>
        <v>0.1080286195</v>
      </c>
      <c r="D28" s="48">
        <f>'Data Sheet'!D63/'Data Sheet'!D$66</f>
        <v>0.008727245928</v>
      </c>
      <c r="E28" s="48">
        <f>'Data Sheet'!E63/'Data Sheet'!E$66</f>
        <v>0.008866433861</v>
      </c>
      <c r="F28" s="48">
        <f>'Data Sheet'!F63/'Data Sheet'!F$66</f>
        <v>0.02198665096</v>
      </c>
      <c r="G28" s="48">
        <f>'Data Sheet'!G63/'Data Sheet'!G$66</f>
        <v>0.01009467726</v>
      </c>
      <c r="H28" s="48">
        <f>'Data Sheet'!H63/'Data Sheet'!H$66</f>
        <v>0.0207606655</v>
      </c>
      <c r="I28" s="48">
        <f>'Data Sheet'!I63/'Data Sheet'!I$66</f>
        <v>0.1020897331</v>
      </c>
      <c r="J28" s="48">
        <f>'Data Sheet'!J63/'Data Sheet'!J$66</f>
        <v>0.01290369036</v>
      </c>
      <c r="K28" s="49">
        <f>'Data Sheet'!K63/'Data Sheet'!K$66</f>
        <v>0.008690064488</v>
      </c>
      <c r="L28" s="43"/>
      <c r="M28" s="43"/>
      <c r="N28" s="43"/>
      <c r="O28" s="43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ht="12.75" customHeight="1">
      <c r="A29" s="47" t="s">
        <v>44</v>
      </c>
      <c r="B29" s="48">
        <f>'Data Sheet'!B64/'Data Sheet'!B$66</f>
        <v>0.09304035501</v>
      </c>
      <c r="C29" s="48">
        <f>'Data Sheet'!C64/'Data Sheet'!C$66</f>
        <v>0.06210227601</v>
      </c>
      <c r="D29" s="48">
        <f>'Data Sheet'!D64/'Data Sheet'!D$66</f>
        <v>0.04358169357</v>
      </c>
      <c r="E29" s="48">
        <f>'Data Sheet'!E64/'Data Sheet'!E$66</f>
        <v>0.1762822894</v>
      </c>
      <c r="F29" s="48">
        <f>'Data Sheet'!F64/'Data Sheet'!F$66</f>
        <v>0.1781131864</v>
      </c>
      <c r="G29" s="48">
        <f>'Data Sheet'!G64/'Data Sheet'!G$66</f>
        <v>0.256854086</v>
      </c>
      <c r="H29" s="48">
        <f>'Data Sheet'!H64/'Data Sheet'!H$66</f>
        <v>0.2137806837</v>
      </c>
      <c r="I29" s="48">
        <f>'Data Sheet'!I64/'Data Sheet'!I$66</f>
        <v>0.1555347921</v>
      </c>
      <c r="J29" s="48">
        <f>'Data Sheet'!J64/'Data Sheet'!J$66</f>
        <v>0.1580777459</v>
      </c>
      <c r="K29" s="49">
        <f>'Data Sheet'!K64/'Data Sheet'!K$66</f>
        <v>0.1250993774</v>
      </c>
      <c r="L29" s="43"/>
      <c r="M29" s="43"/>
      <c r="N29" s="43"/>
      <c r="O29" s="43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ht="12.75" customHeight="1">
      <c r="A30" s="47" t="s">
        <v>45</v>
      </c>
      <c r="B30" s="48">
        <f>'Data Sheet'!B65/'Data Sheet'!B$66</f>
        <v>0.6134629483</v>
      </c>
      <c r="C30" s="48">
        <f>'Data Sheet'!C65/'Data Sheet'!C$66</f>
        <v>0.6021893529</v>
      </c>
      <c r="D30" s="48">
        <f>'Data Sheet'!D65/'Data Sheet'!D$66</f>
        <v>0.587904783</v>
      </c>
      <c r="E30" s="48">
        <f>'Data Sheet'!E65/'Data Sheet'!E$66</f>
        <v>0.4976434604</v>
      </c>
      <c r="F30" s="48">
        <f>'Data Sheet'!F65/'Data Sheet'!F$66</f>
        <v>0.5015054125</v>
      </c>
      <c r="G30" s="48">
        <f>'Data Sheet'!G65/'Data Sheet'!G$66</f>
        <v>0.4095035245</v>
      </c>
      <c r="H30" s="48">
        <f>'Data Sheet'!H65/'Data Sheet'!H$66</f>
        <v>0.4991394731</v>
      </c>
      <c r="I30" s="48">
        <f>'Data Sheet'!I65/'Data Sheet'!I$66</f>
        <v>0.4712056834</v>
      </c>
      <c r="J30" s="48">
        <f>'Data Sheet'!J65/'Data Sheet'!J$66</f>
        <v>0.4292017153</v>
      </c>
      <c r="K30" s="49">
        <f>'Data Sheet'!K65/'Data Sheet'!K$66</f>
        <v>0.4775427145</v>
      </c>
      <c r="L30" s="43"/>
      <c r="M30" s="43"/>
      <c r="N30" s="43"/>
      <c r="O30" s="43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ht="12.75" customHeight="1">
      <c r="A31" s="61" t="s">
        <v>97</v>
      </c>
      <c r="B31" s="62">
        <v>1.0</v>
      </c>
      <c r="C31" s="62">
        <v>1.0</v>
      </c>
      <c r="D31" s="62">
        <v>1.0</v>
      </c>
      <c r="E31" s="62">
        <v>1.0</v>
      </c>
      <c r="F31" s="62">
        <v>1.0</v>
      </c>
      <c r="G31" s="62">
        <v>1.0</v>
      </c>
      <c r="H31" s="62">
        <v>1.0</v>
      </c>
      <c r="I31" s="62">
        <v>1.0</v>
      </c>
      <c r="J31" s="62">
        <v>1.0</v>
      </c>
      <c r="K31" s="63">
        <v>1.0</v>
      </c>
      <c r="L31" s="43"/>
      <c r="M31" s="43"/>
      <c r="N31" s="43"/>
      <c r="O31" s="43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ht="12.75" customHeight="1">
      <c r="A32" s="47" t="s">
        <v>98</v>
      </c>
      <c r="B32" s="48">
        <f>'Data Sheet'!B67/'Data Sheet'!B$66</f>
        <v>0.1243010641</v>
      </c>
      <c r="C32" s="48">
        <f>'Data Sheet'!C67/'Data Sheet'!C$66</f>
        <v>0.13676891</v>
      </c>
      <c r="D32" s="48">
        <f>'Data Sheet'!D67/'Data Sheet'!D$66</f>
        <v>0.1445766084</v>
      </c>
      <c r="E32" s="48">
        <f>'Data Sheet'!E67/'Data Sheet'!E$66</f>
        <v>0.1374916413</v>
      </c>
      <c r="F32" s="48">
        <f>'Data Sheet'!F67/'Data Sheet'!F$66</f>
        <v>0.1326008189</v>
      </c>
      <c r="G32" s="48">
        <f>'Data Sheet'!G67/'Data Sheet'!G$66</f>
        <v>0.1124004762</v>
      </c>
      <c r="H32" s="48">
        <f>'Data Sheet'!H67/'Data Sheet'!H$66</f>
        <v>0.1166124824</v>
      </c>
      <c r="I32" s="48">
        <f>'Data Sheet'!I67/'Data Sheet'!I$66</f>
        <v>0.1257407284</v>
      </c>
      <c r="J32" s="48">
        <f>'Data Sheet'!J67/'Data Sheet'!J$66</f>
        <v>0.1173825332</v>
      </c>
      <c r="K32" s="49">
        <f>'Data Sheet'!K67/'Data Sheet'!K$66</f>
        <v>0.1112419964</v>
      </c>
      <c r="L32" s="43"/>
      <c r="M32" s="43"/>
      <c r="N32" s="43"/>
      <c r="O32" s="43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ht="12.75" customHeight="1">
      <c r="A33" s="47" t="s">
        <v>50</v>
      </c>
      <c r="B33" s="48">
        <f>'Data Sheet'!B68/'Data Sheet'!B$66</f>
        <v>0.2831379132</v>
      </c>
      <c r="C33" s="48">
        <f>'Data Sheet'!C68/'Data Sheet'!C$66</f>
        <v>0.2799084064</v>
      </c>
      <c r="D33" s="48">
        <f>'Data Sheet'!D68/'Data Sheet'!D$66</f>
        <v>0.2697752229</v>
      </c>
      <c r="E33" s="48">
        <f>'Data Sheet'!E68/'Data Sheet'!E$66</f>
        <v>0.256316715</v>
      </c>
      <c r="F33" s="48">
        <f>'Data Sheet'!F68/'Data Sheet'!F$66</f>
        <v>0.2533535252</v>
      </c>
      <c r="G33" s="48">
        <f>'Data Sheet'!G68/'Data Sheet'!G$66</f>
        <v>0.189244656</v>
      </c>
      <c r="H33" s="48">
        <f>'Data Sheet'!H68/'Data Sheet'!H$66</f>
        <v>0.2117613676</v>
      </c>
      <c r="I33" s="48">
        <f>'Data Sheet'!I68/'Data Sheet'!I$66</f>
        <v>0.1931422867</v>
      </c>
      <c r="J33" s="48">
        <f>'Data Sheet'!J68/'Data Sheet'!J$66</f>
        <v>0.1938513765</v>
      </c>
      <c r="K33" s="49">
        <f>'Data Sheet'!K68/'Data Sheet'!K$66</f>
        <v>0.2100518219</v>
      </c>
      <c r="L33" s="43"/>
      <c r="M33" s="43"/>
      <c r="N33" s="43"/>
      <c r="O33" s="43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ht="12.75" customHeight="1">
      <c r="A34" s="58" t="s">
        <v>99</v>
      </c>
      <c r="B34" s="48">
        <f>'Data Sheet'!B69/'Data Sheet'!B$66</f>
        <v>0.13582456</v>
      </c>
      <c r="C34" s="48">
        <f>'Data Sheet'!C69/'Data Sheet'!C$66</f>
        <v>0.1092943337</v>
      </c>
      <c r="D34" s="48">
        <f>'Data Sheet'!D69/'Data Sheet'!D$66</f>
        <v>0.108584273</v>
      </c>
      <c r="E34" s="48">
        <f>'Data Sheet'!E69/'Data Sheet'!E$66</f>
        <v>0.02835772841</v>
      </c>
      <c r="F34" s="48">
        <f>'Data Sheet'!F69/'Data Sheet'!F$66</f>
        <v>0.02292781424</v>
      </c>
      <c r="G34" s="48">
        <f>'Data Sheet'!G69/'Data Sheet'!G$66</f>
        <v>0.04017414478</v>
      </c>
      <c r="H34" s="48">
        <f>'Data Sheet'!H69/'Data Sheet'!H$66</f>
        <v>0.06458667703</v>
      </c>
      <c r="I34" s="48">
        <f>'Data Sheet'!I69/'Data Sheet'!I$66</f>
        <v>0.02940026796</v>
      </c>
      <c r="J34" s="48">
        <f>'Data Sheet'!J69/'Data Sheet'!J$66</f>
        <v>0.02737918522</v>
      </c>
      <c r="K34" s="49">
        <f>'Data Sheet'!K69/'Data Sheet'!K$66</f>
        <v>0.04850857946</v>
      </c>
      <c r="L34" s="43"/>
      <c r="M34" s="43"/>
      <c r="N34" s="43"/>
      <c r="O34" s="43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ht="12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ht="12.75" customHeight="1">
      <c r="A36" s="64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ht="12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ht="12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ht="12.7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ht="12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ht="12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ht="12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ht="12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ht="12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ht="12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ht="12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  <row r="48" ht="12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</row>
    <row r="49" ht="12.7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</row>
    <row r="50" ht="12.7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ht="12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ht="12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ht="12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</row>
    <row r="54" ht="12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ht="12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</row>
    <row r="56" ht="12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ht="12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</row>
    <row r="58" ht="12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ht="12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</row>
    <row r="60" ht="12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ht="12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ht="12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ht="12.7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</row>
    <row r="64" ht="12.7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</row>
    <row r="65" ht="12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ht="12.7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</row>
    <row r="67" ht="12.7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ht="12.7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ht="12.7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</row>
    <row r="70" ht="12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</row>
    <row r="71" ht="12.7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</row>
    <row r="72" ht="12.7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</row>
    <row r="73" ht="12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</row>
    <row r="74" ht="12.7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ht="12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</row>
    <row r="76" ht="12.7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</row>
    <row r="77" ht="12.7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</row>
    <row r="78" ht="12.7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</row>
    <row r="79" ht="12.7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</row>
    <row r="80" ht="12.7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</row>
    <row r="81" ht="12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</row>
    <row r="82" ht="12.7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ht="12.7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ht="12.7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ht="12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ht="12.7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ht="12.7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ht="12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ht="12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ht="12.7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ht="12.7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ht="12.7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</row>
    <row r="93" ht="12.7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</row>
    <row r="94" ht="12.7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</row>
    <row r="95" ht="12.7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</row>
    <row r="96" ht="12.7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</row>
    <row r="97" ht="12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</row>
    <row r="98" ht="12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ht="12.7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ht="12.7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</row>
    <row r="101" ht="12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ht="12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ht="12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ht="12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</row>
    <row r="105" ht="12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</row>
    <row r="106" ht="12.7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</row>
    <row r="107" ht="12.7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ht="12.7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</row>
    <row r="109" ht="12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ht="12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</row>
    <row r="111" ht="12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</row>
    <row r="112" ht="12.7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</row>
    <row r="113" ht="12.7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</row>
    <row r="114" ht="12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ht="12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</row>
    <row r="116" ht="12.7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</row>
    <row r="117" ht="12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</row>
    <row r="118" ht="12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ht="12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ht="12.7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</row>
    <row r="121" ht="12.7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</row>
    <row r="122" ht="12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</row>
    <row r="123" ht="12.7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</row>
    <row r="124" ht="12.7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</row>
    <row r="125" ht="12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ht="12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</row>
    <row r="127" ht="12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</row>
    <row r="128" ht="12.7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</row>
    <row r="129" ht="12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</row>
    <row r="130" ht="12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</row>
    <row r="131" ht="12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</row>
    <row r="132" ht="12.7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</row>
    <row r="133" ht="12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</row>
    <row r="134" ht="12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</row>
    <row r="135" ht="12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</row>
    <row r="136" ht="12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</row>
    <row r="137" ht="12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</row>
    <row r="138" ht="12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</row>
    <row r="139" ht="12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</row>
    <row r="140" ht="12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</row>
    <row r="141" ht="12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</row>
    <row r="142" ht="12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</row>
    <row r="143" ht="12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</row>
    <row r="144" ht="12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</row>
    <row r="145" ht="12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</row>
    <row r="146" ht="12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ht="12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ht="12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</row>
    <row r="149" ht="12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</row>
    <row r="150" ht="12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</row>
    <row r="151" ht="12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</row>
    <row r="152" ht="12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</row>
    <row r="153" ht="12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</row>
    <row r="154" ht="12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ht="12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</row>
    <row r="157" ht="12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</row>
    <row r="158" ht="12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</row>
    <row r="159" ht="12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</row>
    <row r="160" ht="12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</row>
    <row r="161" ht="12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</row>
    <row r="162" ht="12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</row>
    <row r="163" ht="12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</row>
    <row r="164" ht="12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</row>
    <row r="165" ht="12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</row>
    <row r="166" ht="12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</row>
    <row r="167" ht="12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</row>
    <row r="168" ht="12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</row>
    <row r="169" ht="12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</row>
    <row r="170" ht="12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</row>
    <row r="171" ht="12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</row>
    <row r="172" ht="12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</row>
    <row r="173" ht="12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</row>
    <row r="174" ht="12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</row>
    <row r="175" ht="12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</row>
    <row r="176" ht="12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</row>
    <row r="177" ht="12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</row>
    <row r="178" ht="12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</row>
    <row r="179" ht="12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</row>
    <row r="180" ht="12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</row>
    <row r="181" ht="12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</row>
    <row r="182" ht="12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</row>
    <row r="183" ht="12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</row>
    <row r="184" ht="12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</row>
    <row r="185" ht="12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</row>
    <row r="186" ht="12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</row>
    <row r="187" ht="12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</row>
    <row r="188" ht="12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</row>
    <row r="189" ht="12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</row>
    <row r="190" ht="12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</row>
    <row r="191" ht="12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</row>
    <row r="192" ht="12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</row>
    <row r="193" ht="12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</row>
    <row r="194" ht="12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</row>
    <row r="195" ht="12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</row>
    <row r="196" ht="12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</row>
    <row r="197" ht="12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</row>
    <row r="198" ht="12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</row>
    <row r="199" ht="12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</row>
    <row r="200" ht="12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</row>
    <row r="201" ht="12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</row>
    <row r="202" ht="12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</row>
    <row r="203" ht="12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</row>
    <row r="204" ht="12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</row>
    <row r="205" ht="12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</row>
    <row r="206" ht="12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</row>
    <row r="207" ht="12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</row>
    <row r="208" ht="12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</row>
    <row r="209" ht="12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</row>
    <row r="210" ht="12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</row>
    <row r="211" ht="12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</row>
    <row r="212" ht="12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</row>
    <row r="213" ht="12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</row>
    <row r="214" ht="12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</row>
    <row r="215" ht="12.7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</row>
    <row r="216" ht="12.7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</row>
    <row r="217" ht="12.7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</row>
    <row r="218" ht="12.7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</row>
    <row r="219" ht="12.7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</row>
    <row r="220" ht="12.7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</row>
    <row r="221" ht="12.7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</row>
    <row r="222" ht="12.7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</row>
    <row r="223" ht="12.7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</row>
    <row r="224" ht="12.7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</row>
    <row r="225" ht="12.7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</row>
    <row r="226" ht="12.7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</row>
    <row r="227" ht="12.7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</row>
    <row r="228" ht="12.7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</row>
    <row r="229" ht="12.7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</row>
    <row r="230" ht="12.7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</row>
    <row r="231" ht="12.7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</row>
    <row r="232" ht="12.7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</row>
    <row r="233" ht="12.7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</row>
    <row r="234" ht="12.7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K1"/>
    <mergeCell ref="M2:Q10"/>
    <mergeCell ref="A20:K20"/>
  </mergeCells>
  <printOptions/>
  <pageMargins bottom="0.75" footer="0.0" header="0.0" left="0.7" right="0.7" top="0.75"/>
  <pageSetup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9.5"/>
    <col customWidth="1" min="2" max="2" width="9.88"/>
    <col customWidth="1" min="3" max="3" width="9.13"/>
    <col customWidth="1" min="4" max="4" width="9.5"/>
    <col customWidth="1" min="5" max="8" width="9.13"/>
    <col customWidth="1" min="9" max="9" width="8.88"/>
    <col customWidth="1" min="10" max="10" width="15.13"/>
    <col customWidth="1" min="11" max="11" width="9.75"/>
    <col customWidth="1" min="12" max="12" width="8.88"/>
    <col customWidth="1" min="13" max="13" width="12.63"/>
    <col customWidth="1" min="14" max="15" width="9.75"/>
    <col customWidth="1" min="16" max="26" width="7.63"/>
  </cols>
  <sheetData>
    <row r="1" ht="13.5" customHeight="1">
      <c r="A1" s="1" t="str">
        <f>'Data Sheet'!B1</f>
        <v>ASIAN PAINTS LTD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3.5" customHeight="1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100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 t="s">
        <v>100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30.0" customHeight="1">
      <c r="A4" s="8"/>
      <c r="B4" s="66" t="s">
        <v>101</v>
      </c>
      <c r="C4" s="66" t="s">
        <v>102</v>
      </c>
      <c r="D4" s="66" t="s">
        <v>103</v>
      </c>
      <c r="E4" s="6"/>
      <c r="F4" s="67" t="s">
        <v>104</v>
      </c>
      <c r="G4" s="67"/>
      <c r="H4" s="67"/>
      <c r="I4" s="67"/>
      <c r="J4" s="67"/>
      <c r="K4" s="67"/>
      <c r="L4" s="67"/>
      <c r="M4" s="6"/>
      <c r="N4" s="67" t="s">
        <v>105</v>
      </c>
      <c r="O4" s="68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69" t="s">
        <v>106</v>
      </c>
      <c r="B5" s="70">
        <f>'Calculated Data'!K10-'Calculated Data'!B10</f>
        <v>7942.74</v>
      </c>
      <c r="C5" s="70">
        <f>'Calculated Data'!K33-'Calculated Data'!B33</f>
        <v>135623.2064</v>
      </c>
      <c r="D5" s="71">
        <f t="shared" ref="D5:D9" si="1">C5/B5</f>
        <v>17.07511594</v>
      </c>
      <c r="E5" s="6"/>
      <c r="F5" s="14"/>
      <c r="G5" s="72" t="s">
        <v>107</v>
      </c>
      <c r="H5" s="72" t="s">
        <v>108</v>
      </c>
      <c r="I5" s="73" t="s">
        <v>109</v>
      </c>
      <c r="J5" s="73" t="s">
        <v>110</v>
      </c>
      <c r="K5" s="73" t="s">
        <v>111</v>
      </c>
      <c r="L5" s="73" t="s">
        <v>112</v>
      </c>
      <c r="M5" s="6"/>
      <c r="N5" s="74" t="s">
        <v>113</v>
      </c>
      <c r="O5" s="75">
        <v>0.09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69" t="s">
        <v>114</v>
      </c>
      <c r="B6" s="70">
        <f>'Calculated Data'!K10-'Calculated Data'!E10</f>
        <v>6090.94</v>
      </c>
      <c r="C6" s="70">
        <f>'Calculated Data'!K33-'Calculated Data'!E33</f>
        <v>107291.316</v>
      </c>
      <c r="D6" s="71">
        <f t="shared" si="1"/>
        <v>17.61490279</v>
      </c>
      <c r="E6" s="6"/>
      <c r="F6" s="29" t="s">
        <v>115</v>
      </c>
      <c r="G6" s="76">
        <f>MIN('Calculated Data'!B38:K38)</f>
        <v>28.73140933</v>
      </c>
      <c r="H6" s="76">
        <f>MIN('Calculated Data'!B39:K39)</f>
        <v>11.07582156</v>
      </c>
      <c r="I6" s="76">
        <f>MIN('Calculated Data'!B42:K42)</f>
        <v>17.03876298</v>
      </c>
      <c r="J6" s="76">
        <f>MIN('Calculated Data'!B41:K41)</f>
        <v>3.272695953</v>
      </c>
      <c r="K6" s="77">
        <f>MAX('Calculated Data'!B43:K43)</f>
        <v>0.0126690882</v>
      </c>
      <c r="L6" s="76">
        <f>MIN('Calculated Data'!B40:K40)</f>
        <v>31.77540278</v>
      </c>
      <c r="M6" s="6"/>
      <c r="N6" s="78" t="s">
        <v>116</v>
      </c>
      <c r="O6" s="76">
        <f>('Profit &amp; Loss'!$L$10/'Data Sheet'!$B$61)/O5</f>
        <v>7.730480764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69" t="s">
        <v>117</v>
      </c>
      <c r="B7" s="70">
        <f>'Calculated Data'!K10-'Calculated Data'!G10</f>
        <v>3605.34</v>
      </c>
      <c r="C7" s="70">
        <f>'Calculated Data'!K33-'Calculated Data'!G33</f>
        <v>76553.752</v>
      </c>
      <c r="D7" s="71">
        <f t="shared" si="1"/>
        <v>21.23343485</v>
      </c>
      <c r="E7" s="6"/>
      <c r="F7" s="29" t="s">
        <v>118</v>
      </c>
      <c r="G7" s="76">
        <f>MAX('Calculated Data'!B38:K38)</f>
        <v>66.41238265</v>
      </c>
      <c r="H7" s="76">
        <f>MAX('Calculated Data'!B39:K39)</f>
        <v>16.40952943</v>
      </c>
      <c r="I7" s="76">
        <f>MAX('Calculated Data'!B42:K42)</f>
        <v>35.66844463</v>
      </c>
      <c r="J7" s="76">
        <f>MAX('Calculated Data'!B41:K41)</f>
        <v>7.908995238</v>
      </c>
      <c r="K7" s="77">
        <f>MIN('Calculated Data'!B43:K43)</f>
        <v>0.007034233269</v>
      </c>
      <c r="L7" s="76">
        <f>MAX('Calculated Data'!B40:K40)</f>
        <v>67.41838372</v>
      </c>
      <c r="M7" s="6"/>
      <c r="N7" s="79" t="s">
        <v>119</v>
      </c>
      <c r="O7" s="77">
        <f>('Profit &amp; Loss'!$L$6/'Data Sheet'!$B$6)/'Data Sheet'!$B$8</f>
        <v>0.01431816863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0" customHeight="1">
      <c r="A8" s="69" t="s">
        <v>120</v>
      </c>
      <c r="B8" s="70">
        <f>'Calculated Data'!K10-'Calculated Data'!I10</f>
        <v>1719.93</v>
      </c>
      <c r="C8" s="70">
        <f>'Calculated Data'!K33-'Calculated Data'!I33</f>
        <v>52381.912</v>
      </c>
      <c r="D8" s="71">
        <f t="shared" si="1"/>
        <v>30.45583948</v>
      </c>
      <c r="E8" s="6"/>
      <c r="F8" s="29" t="s">
        <v>121</v>
      </c>
      <c r="G8" s="76">
        <f>'Data Sheet'!B8/'Profit &amp; Loss'!L13</f>
        <v>116.1652382</v>
      </c>
      <c r="H8" s="76">
        <f>'Calculated Data'!L33/'Calculated Data'!K10</f>
        <v>26.08963531</v>
      </c>
      <c r="I8" s="76">
        <f>'Calculated Data'!K42</f>
        <v>35.45914878</v>
      </c>
      <c r="J8" s="76">
        <f>'Calculated Data'!L33/'Profit &amp; Loss'!L4</f>
        <v>14.41953411</v>
      </c>
      <c r="K8" s="77">
        <f>'Data Sheet'!K31/'Calculated Data'!L33</f>
        <v>0.004355179938</v>
      </c>
      <c r="L8" s="76">
        <f>'Calculated Data'!L33/'Data Sheet'!K82</f>
        <v>100.4191589</v>
      </c>
      <c r="M8" s="6"/>
      <c r="N8" s="73"/>
      <c r="O8" s="80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0" customHeight="1">
      <c r="A9" s="69" t="s">
        <v>122</v>
      </c>
      <c r="B9" s="70">
        <f>'Calculated Data'!K10-'Calculated Data'!J10</f>
        <v>659.61</v>
      </c>
      <c r="C9" s="70">
        <f>'Calculated Data'!K33-'Calculated Data'!J33</f>
        <v>16670.896</v>
      </c>
      <c r="D9" s="71">
        <f t="shared" si="1"/>
        <v>25.27386789</v>
      </c>
      <c r="E9" s="6"/>
      <c r="F9" s="14"/>
      <c r="G9" s="26"/>
      <c r="H9" s="14"/>
      <c r="I9" s="14"/>
      <c r="J9" s="14"/>
      <c r="K9" s="14"/>
      <c r="L9" s="14"/>
      <c r="M9" s="6"/>
      <c r="N9" s="81" t="s">
        <v>100</v>
      </c>
      <c r="O9" s="14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0" customHeight="1">
      <c r="A10" s="82" t="s">
        <v>123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0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8" t="str">
        <f>A1</f>
        <v>ASIAN PAINTS LTD</v>
      </c>
      <c r="B12" s="8" t="s">
        <v>124</v>
      </c>
      <c r="C12" s="8" t="s">
        <v>125</v>
      </c>
      <c r="D12" s="8" t="s">
        <v>17</v>
      </c>
      <c r="E12" s="8" t="s">
        <v>126</v>
      </c>
      <c r="F12" s="8" t="s">
        <v>127</v>
      </c>
      <c r="G12" s="8" t="s">
        <v>128</v>
      </c>
      <c r="H12" s="8" t="s">
        <v>129</v>
      </c>
      <c r="I12" s="8" t="s">
        <v>130</v>
      </c>
      <c r="J12" s="8" t="s">
        <v>131</v>
      </c>
      <c r="K12" s="8" t="s">
        <v>132</v>
      </c>
      <c r="L12" s="8" t="s">
        <v>133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84" t="s">
        <v>134</v>
      </c>
      <c r="B13" s="85">
        <f>POWER('Data Sheet'!$K17/'Data Sheet'!$B17, 1/9)-1</f>
        <v>0.1180613477</v>
      </c>
      <c r="C13" s="85">
        <f>POWER('Calculated Data'!$K3/'Calculated Data'!$B3, 1/9)-1</f>
        <v>0.1266215604</v>
      </c>
      <c r="D13" s="85">
        <f>POWER('Calculated Data'!$K4/'Calculated Data'!$B4, 1/9)-1</f>
        <v>0.1258646172</v>
      </c>
      <c r="E13" s="85">
        <f>POWER('Calculated Data'!$K7/'Calculated Data'!$B7, 1/9)-1</f>
        <v>0.1382804124</v>
      </c>
      <c r="F13" s="85">
        <f>POWER('Calculated Data'!$K8/'Calculated Data'!$B8, 1/9)-1</f>
        <v>0.1581955203</v>
      </c>
      <c r="G13" s="85">
        <f>POWER('Calculated Data'!$K26/'Calculated Data'!$B26, 1/9)-1</f>
        <v>0.1142802342</v>
      </c>
      <c r="H13" s="85">
        <f>POWER('Calculated Data'!$K33/'Calculated Data'!$B33, 1/9)-1</f>
        <v>0.2332330385</v>
      </c>
      <c r="I13" s="85">
        <f>POWER('Calculated Data'!$K17/'Calculated Data'!$B17, 1/9)-1</f>
        <v>0.1475811545</v>
      </c>
      <c r="J13" s="85">
        <f>POWER('Calculated Data'!$K19/'Calculated Data'!$C19, 1/8)-1</f>
        <v>0.749783074</v>
      </c>
      <c r="K13" s="85">
        <f>POWER('Calculated Data'!$K10/'Calculated Data'!$B10, 1/9)-1</f>
        <v>0.1856729253</v>
      </c>
      <c r="L13" s="85">
        <f>POWER('Calculated Data'!$K34/'Calculated Data'!$B34, 1/9)-1</f>
        <v>0.2324913228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84" t="s">
        <v>135</v>
      </c>
      <c r="B14" s="85">
        <f>POWER('Data Sheet'!$K17/'Data Sheet'!$G17, 1/4)-1</f>
        <v>0.09089000868</v>
      </c>
      <c r="C14" s="85">
        <f>POWER('Calculated Data'!$K3/'Calculated Data'!$G3, 1/4)-1</f>
        <v>0.1233443991</v>
      </c>
      <c r="D14" s="85">
        <f>POWER('Calculated Data'!$K4/'Calculated Data'!$G4, 1/4)-1</f>
        <v>0.08841322007</v>
      </c>
      <c r="E14" s="85">
        <f>POWER('Calculated Data'!$K7/'Calculated Data'!$G7, 1/4)-1</f>
        <v>0.1158089178</v>
      </c>
      <c r="F14" s="85">
        <f>POWER('Calculated Data'!$K8/'Calculated Data'!$G8, 1/4)-1</f>
        <v>0.1246826504</v>
      </c>
      <c r="G14" s="85">
        <f>POWER('Calculated Data'!$K26/'Calculated Data'!$G26, 1/4)-1</f>
        <v>0.07572788409</v>
      </c>
      <c r="H14" s="85">
        <f>POWER('Calculated Data'!$K33/'Calculated Data'!$G33, 1/4)-1</f>
        <v>0.1769862135</v>
      </c>
      <c r="I14" s="85">
        <f>POWER('Calculated Data'!$K17/'Calculated Data'!$G17, 1/4)-1</f>
        <v>0.04078742271</v>
      </c>
      <c r="J14" s="85">
        <f>POWER('Calculated Data'!$K19/'Calculated Data'!$G19, 1/4)-1</f>
        <v>0.1332749332</v>
      </c>
      <c r="K14" s="85">
        <f>POWER('Calculated Data'!$K10/'Calculated Data'!$G10, 1/4)-1</f>
        <v>0.1162512093</v>
      </c>
      <c r="L14" s="85">
        <f>POWER('Calculated Data'!$K34/'Calculated Data'!$G34, 1/4)-1</f>
        <v>0.1765671126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84" t="s">
        <v>136</v>
      </c>
      <c r="B15" s="85">
        <f>POWER('Data Sheet'!$K17/'Data Sheet'!$I17, 1/2)-1</f>
        <v>0.09603609942</v>
      </c>
      <c r="C15" s="85">
        <f>POWER('Calculated Data'!$K3/'Calculated Data'!$I3, 1/2)-1</f>
        <v>0.08433550478</v>
      </c>
      <c r="D15" s="85">
        <f>POWER('Calculated Data'!$K4/'Calculated Data'!$I4, 1/2)-1</f>
        <v>0.08405376509</v>
      </c>
      <c r="E15" s="85">
        <f>POWER('Calculated Data'!$K7/'Calculated Data'!$I7, 1/2)-1</f>
        <v>0.1518505215</v>
      </c>
      <c r="F15" s="85">
        <f>POWER('Calculated Data'!$K8/'Calculated Data'!$I8, 1/2)-1</f>
        <v>0.1744432537</v>
      </c>
      <c r="G15" s="85">
        <f>POWER('Calculated Data'!$K26/'Calculated Data'!$I26, 1/2)-1</f>
        <v>0.1560101108</v>
      </c>
      <c r="H15" s="85">
        <f>POWER('Calculated Data'!$K33/'Calculated Data'!$I33, 1/2)-1</f>
        <v>0.2195963303</v>
      </c>
      <c r="I15" s="85">
        <f>POWER('Calculated Data'!$K17/'Calculated Data'!$I17, 1/2)-1</f>
        <v>0.115935017</v>
      </c>
      <c r="J15" s="85">
        <f>POWER('Calculated Data'!$K19/'Calculated Data'!$I19, 1/2)-1</f>
        <v>2.482224911</v>
      </c>
      <c r="K15" s="85">
        <f>POWER('Calculated Data'!$K10/'Calculated Data'!$I10, 1/2)-1</f>
        <v>0.09749920918</v>
      </c>
      <c r="L15" s="85">
        <f>POWER('Calculated Data'!$K34/'Calculated Data'!$I34, 1/2)-1</f>
        <v>0.2192548087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84" t="s">
        <v>137</v>
      </c>
      <c r="B16" s="85">
        <f>('Data Sheet'!$K17-'Data Sheet'!$J17)/'Data Sheet'!$J17</f>
        <v>0.05047367144</v>
      </c>
      <c r="C16" s="85">
        <f>('Calculated Data'!$K3-'Calculated Data'!$J3)/'Calculated Data'!$J3</f>
        <v>0.1035352854</v>
      </c>
      <c r="D16" s="85">
        <f>('Calculated Data'!$K4-'Calculated Data'!$J4)/'Calculated Data'!$J4</f>
        <v>0.09378411682</v>
      </c>
      <c r="E16" s="85">
        <f>('Calculated Data'!$K7-'Calculated Data'!$J7)/'Calculated Data'!$J7</f>
        <v>0.2547636276</v>
      </c>
      <c r="F16" s="85">
        <f>('Calculated Data'!$K8-'Calculated Data'!$J8)/'Calculated Data'!$J8</f>
        <v>0.1428571429</v>
      </c>
      <c r="G16" s="85">
        <f>('Calculated Data'!$K26-'Calculated Data'!$J26)/'Calculated Data'!$J26</f>
        <v>0.3504419316</v>
      </c>
      <c r="H16" s="85">
        <f>('Calculated Data'!$K33-'Calculated Data'!$J33)/'Calculated Data'!$J33</f>
        <v>0.1164333088</v>
      </c>
      <c r="I16" s="85">
        <f>('Calculated Data'!$K17-'Calculated Data'!$J17)/'Calculated Data'!$J17</f>
        <v>0.0657409882</v>
      </c>
      <c r="J16" s="85">
        <f>('Calculated Data'!$K19-'Calculated Data'!$J19)/'Calculated Data'!$J19</f>
        <v>6.701673129</v>
      </c>
      <c r="K16" s="85">
        <f>('Calculated Data'!$K10-'Calculated Data'!$J10)/'Calculated Data'!$J10</f>
        <v>0.06964854206</v>
      </c>
      <c r="L16" s="85">
        <f>('Calculated Data'!$K34-'Calculated Data'!$J34)/'Calculated Data'!$J34</f>
        <v>0.1166178819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22" t="s">
        <v>138</v>
      </c>
      <c r="B17" s="1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5" customHeight="1">
      <c r="A18" s="8" t="str">
        <f>A1</f>
        <v>ASIAN PAINTS LTD</v>
      </c>
      <c r="B18" s="8">
        <f>'Data Sheet'!B16</f>
        <v>40633</v>
      </c>
      <c r="C18" s="8">
        <f>'Data Sheet'!C16</f>
        <v>40999</v>
      </c>
      <c r="D18" s="8">
        <f>'Data Sheet'!D16</f>
        <v>41364</v>
      </c>
      <c r="E18" s="8">
        <f>'Data Sheet'!E16</f>
        <v>41729</v>
      </c>
      <c r="F18" s="8">
        <f>'Data Sheet'!F16</f>
        <v>42094</v>
      </c>
      <c r="G18" s="8">
        <f>'Data Sheet'!G16</f>
        <v>42460</v>
      </c>
      <c r="H18" s="8">
        <f>'Data Sheet'!H16</f>
        <v>42825</v>
      </c>
      <c r="I18" s="8">
        <f>'Data Sheet'!I16</f>
        <v>43190</v>
      </c>
      <c r="J18" s="8">
        <f>'Data Sheet'!J16</f>
        <v>43555</v>
      </c>
      <c r="K18" s="8">
        <f>'Data Sheet'!K16</f>
        <v>43921</v>
      </c>
      <c r="L18" s="86" t="s">
        <v>139</v>
      </c>
      <c r="M18" s="6" t="s">
        <v>140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84" t="s">
        <v>141</v>
      </c>
      <c r="B19" s="87">
        <f>'Calculated Data'!B15/'Calculated Data'!B10</f>
        <v>2.107770798</v>
      </c>
      <c r="C19" s="87">
        <f>'Calculated Data'!C15/'Calculated Data'!C10</f>
        <v>2.078293615</v>
      </c>
      <c r="D19" s="87">
        <f>'Calculated Data'!D15/'Calculated Data'!D10</f>
        <v>2.004704089</v>
      </c>
      <c r="E19" s="87">
        <f>'Calculated Data'!E15/'Calculated Data'!E10</f>
        <v>1.999247379</v>
      </c>
      <c r="F19" s="87">
        <f>'Calculated Data'!F15/'Calculated Data'!F10</f>
        <v>1.879760288</v>
      </c>
      <c r="G19" s="87">
        <f>'Calculated Data'!G15/'Calculated Data'!G10</f>
        <v>1.618286788</v>
      </c>
      <c r="H19" s="87">
        <f>'Calculated Data'!H15/'Calculated Data'!H10</f>
        <v>1.631426809</v>
      </c>
      <c r="I19" s="87">
        <f>'Calculated Data'!I15/'Calculated Data'!I10</f>
        <v>1.636516481</v>
      </c>
      <c r="J19" s="87">
        <f>'Calculated Data'!J15/'Calculated Data'!J10</f>
        <v>1.715722952</v>
      </c>
      <c r="K19" s="88">
        <f>'Calculated Data'!K15/'Calculated Data'!K10</f>
        <v>1.593061709</v>
      </c>
      <c r="L19" s="89" t="str">
        <f>'Balance Sheet'!L8/'Calculated Data'!L10</f>
        <v>#DIV/0!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5" customHeight="1">
      <c r="A20" s="84" t="s">
        <v>142</v>
      </c>
      <c r="B20" s="87">
        <f>'Data Sheet'!B59/'Data Sheet'!B30</f>
        <v>0.2768251032</v>
      </c>
      <c r="C20" s="87">
        <f>'Data Sheet'!C59/'Data Sheet'!C30</f>
        <v>0.3449981289</v>
      </c>
      <c r="D20" s="87">
        <f>'Data Sheet'!D59/'Data Sheet'!D30</f>
        <v>0.2253025461</v>
      </c>
      <c r="E20" s="87">
        <f>'Data Sheet'!E59/'Data Sheet'!E30</f>
        <v>0.2044207054</v>
      </c>
      <c r="F20" s="87">
        <f>'Data Sheet'!F59/'Data Sheet'!F30</f>
        <v>0.2997312117</v>
      </c>
      <c r="G20" s="87">
        <f>'Data Sheet'!G59/'Data Sheet'!G30</f>
        <v>0.18524949</v>
      </c>
      <c r="H20" s="87">
        <f>'Data Sheet'!H59/'Data Sheet'!H30</f>
        <v>0.2889199404</v>
      </c>
      <c r="I20" s="87">
        <f>'Data Sheet'!I59/'Data Sheet'!I30</f>
        <v>0.2616225177</v>
      </c>
      <c r="J20" s="87">
        <f>'Data Sheet'!J59/'Data Sheet'!J30</f>
        <v>0.612082081</v>
      </c>
      <c r="K20" s="88">
        <f>'Data Sheet'!K59/'Data Sheet'!K30</f>
        <v>0.4134675455</v>
      </c>
      <c r="L20" s="1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5" customHeight="1">
      <c r="A21" s="84" t="s">
        <v>143</v>
      </c>
      <c r="B21" s="87">
        <f>'Data Sheet'!B60/'Data Sheet'!B30</f>
        <v>2.59680518</v>
      </c>
      <c r="C21" s="87">
        <f>'Data Sheet'!C60/'Data Sheet'!C30</f>
        <v>2.652473375</v>
      </c>
      <c r="D21" s="87">
        <f>'Data Sheet'!D60/'Data Sheet'!D30</f>
        <v>2.82727942</v>
      </c>
      <c r="E21" s="87">
        <f>'Data Sheet'!E60/'Data Sheet'!E30</f>
        <v>3.107153699</v>
      </c>
      <c r="F21" s="87">
        <f>'Data Sheet'!F60/'Data Sheet'!F30</f>
        <v>2.690728595</v>
      </c>
      <c r="G21" s="87">
        <f>'Data Sheet'!G60/'Data Sheet'!G30</f>
        <v>2.126406748</v>
      </c>
      <c r="H21" s="87">
        <f>'Data Sheet'!H60/'Data Sheet'!H30</f>
        <v>2.186704341</v>
      </c>
      <c r="I21" s="87">
        <f>'Data Sheet'!I60/'Data Sheet'!I30</f>
        <v>2.36389675</v>
      </c>
      <c r="J21" s="87">
        <f>'Data Sheet'!J60/'Data Sheet'!J30</f>
        <v>2.531953876</v>
      </c>
      <c r="K21" s="88">
        <f>'Data Sheet'!K60/'Data Sheet'!K30</f>
        <v>1.807394729</v>
      </c>
      <c r="L21" s="1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5" customHeight="1">
      <c r="A22" s="84" t="s">
        <v>144</v>
      </c>
      <c r="B22" s="87">
        <f>('Data Sheet'!B59+'Data Sheet'!B60)/'Data Sheet'!B30</f>
        <v>2.873630283</v>
      </c>
      <c r="C22" s="87">
        <f>('Data Sheet'!C59+'Data Sheet'!C60)/'Data Sheet'!C30</f>
        <v>2.997471504</v>
      </c>
      <c r="D22" s="87">
        <f>('Data Sheet'!D59+'Data Sheet'!D60)/'Data Sheet'!D30</f>
        <v>3.052581966</v>
      </c>
      <c r="E22" s="87">
        <f>('Data Sheet'!E59+'Data Sheet'!E60)/'Data Sheet'!E30</f>
        <v>3.311574405</v>
      </c>
      <c r="F22" s="87">
        <f>('Data Sheet'!F59+'Data Sheet'!F60)/'Data Sheet'!F30</f>
        <v>2.990459807</v>
      </c>
      <c r="G22" s="87">
        <f>('Data Sheet'!G59+'Data Sheet'!G60)/'Data Sheet'!G30</f>
        <v>2.311656238</v>
      </c>
      <c r="H22" s="87">
        <f>('Data Sheet'!H59+'Data Sheet'!H60)/'Data Sheet'!H30</f>
        <v>2.475624281</v>
      </c>
      <c r="I22" s="87">
        <f>('Data Sheet'!I59+'Data Sheet'!I60)/'Data Sheet'!I30</f>
        <v>2.625519267</v>
      </c>
      <c r="J22" s="87">
        <f>('Data Sheet'!J59+'Data Sheet'!J60)/'Data Sheet'!J30</f>
        <v>3.144035957</v>
      </c>
      <c r="K22" s="88">
        <f>('Data Sheet'!K59+'Data Sheet'!K60)/'Data Sheet'!K30</f>
        <v>2.220862275</v>
      </c>
      <c r="L22" s="2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5" customHeight="1">
      <c r="A23" s="90" t="s">
        <v>145</v>
      </c>
      <c r="B23" s="87">
        <f>'Data Sheet'!B59/'Calculated Data'!B10</f>
        <v>0.1067147599</v>
      </c>
      <c r="C23" s="87">
        <f>'Data Sheet'!C59/'Calculated Data'!C10</f>
        <v>0.1241076951</v>
      </c>
      <c r="D23" s="87">
        <f>'Data Sheet'!D59/'Calculated Data'!D10</f>
        <v>0.07415440166</v>
      </c>
      <c r="E23" s="87">
        <f>'Data Sheet'!E59/'Calculated Data'!E10</f>
        <v>0.06168270112</v>
      </c>
      <c r="F23" s="87">
        <f>'Data Sheet'!F59/'Calculated Data'!F10</f>
        <v>0.08817761621</v>
      </c>
      <c r="G23" s="87">
        <f>'Data Sheet'!G59/'Calculated Data'!G10</f>
        <v>0.04954772699</v>
      </c>
      <c r="H23" s="87">
        <f>'Data Sheet'!H59/'Calculated Data'!H10</f>
        <v>0.07369122909</v>
      </c>
      <c r="I23" s="87">
        <f>'Data Sheet'!I59/'Calculated Data'!I10</f>
        <v>0.06342632722</v>
      </c>
      <c r="J23" s="87">
        <f>'Data Sheet'!J59/'Calculated Data'!J10</f>
        <v>0.1393372085</v>
      </c>
      <c r="K23" s="88">
        <f>'Data Sheet'!K59/'Calculated Data'!K10</f>
        <v>0.1104128661</v>
      </c>
      <c r="L23" s="14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90" t="s">
        <v>146</v>
      </c>
      <c r="B24" s="87">
        <f>'Calculated Data'!B4/'Data Sheet'!B27</f>
        <v>49.48883757</v>
      </c>
      <c r="C24" s="87">
        <f>'Calculated Data'!C4/'Data Sheet'!C27</f>
        <v>34.51959428</v>
      </c>
      <c r="D24" s="87">
        <f>'Calculated Data'!D4/'Data Sheet'!D27</f>
        <v>40.35354256</v>
      </c>
      <c r="E24" s="87">
        <f>'Calculated Data'!E4/'Data Sheet'!E27</f>
        <v>39.22192123</v>
      </c>
      <c r="F24" s="87">
        <f>'Calculated Data'!F4/'Data Sheet'!F27</f>
        <v>50.16832386</v>
      </c>
      <c r="G24" s="87">
        <f>'Calculated Data'!G4/'Data Sheet'!G27</f>
        <v>54.34387755</v>
      </c>
      <c r="H24" s="87">
        <f>'Calculated Data'!H4/'Data Sheet'!H27</f>
        <v>80.28047147</v>
      </c>
      <c r="I24" s="87">
        <f>'Calculated Data'!I4/'Data Sheet'!I27</f>
        <v>76.68073306</v>
      </c>
      <c r="J24" s="87">
        <f>'Calculated Data'!J4/'Data Sheet'!J27</f>
        <v>30.92758215</v>
      </c>
      <c r="K24" s="88">
        <f>'Calculated Data'!K4/'Data Sheet'!K27</f>
        <v>34.61778601</v>
      </c>
      <c r="L24" s="1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84" t="s">
        <v>58</v>
      </c>
      <c r="B25" s="91">
        <f>'Calculated Data'!B11/'Data Sheet'!B17</f>
        <v>0.08627553219</v>
      </c>
      <c r="C25" s="91">
        <f>'Calculated Data'!C11/'Data Sheet'!C17</f>
        <v>0.08852972241</v>
      </c>
      <c r="D25" s="91">
        <f>'Calculated Data'!D11/'Data Sheet'!D17</f>
        <v>0.079912147</v>
      </c>
      <c r="E25" s="91">
        <f>'Calculated Data'!E11/'Data Sheet'!E17</f>
        <v>0.01895523622</v>
      </c>
      <c r="F25" s="91">
        <f>'Calculated Data'!F11/'Data Sheet'!F17</f>
        <v>0.05263946484</v>
      </c>
      <c r="G25" s="91">
        <f>'Calculated Data'!G11/'Data Sheet'!G17</f>
        <v>0.04295557086</v>
      </c>
      <c r="H25" s="91">
        <f>'Calculated Data'!H11/'Data Sheet'!H17</f>
        <v>0.1295287011</v>
      </c>
      <c r="I25" s="91">
        <f>'Calculated Data'!I11/'Data Sheet'!I17</f>
        <v>0.09899878451</v>
      </c>
      <c r="J25" s="91">
        <f>'Calculated Data'!J11/'Data Sheet'!J17</f>
        <v>0.0787593431</v>
      </c>
      <c r="K25" s="92">
        <f>'Calculated Data'!K11/'Data Sheet'!K17</f>
        <v>0.1393906859</v>
      </c>
      <c r="L25" s="29"/>
      <c r="M25" s="6" t="s">
        <v>147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84" t="s">
        <v>148</v>
      </c>
      <c r="B26" s="87">
        <f t="shared" ref="B26:K26" si="2">365/B27</f>
        <v>5.67085941</v>
      </c>
      <c r="C26" s="87">
        <f t="shared" si="2"/>
        <v>5.773536641</v>
      </c>
      <c r="D26" s="87">
        <f t="shared" si="2"/>
        <v>5.738932082</v>
      </c>
      <c r="E26" s="87">
        <f t="shared" si="2"/>
        <v>5.903959688</v>
      </c>
      <c r="F26" s="87">
        <f t="shared" si="2"/>
        <v>6.028399129</v>
      </c>
      <c r="G26" s="87">
        <f t="shared" si="2"/>
        <v>7.142029986</v>
      </c>
      <c r="H26" s="87">
        <f t="shared" si="2"/>
        <v>5.733663502</v>
      </c>
      <c r="I26" s="87">
        <f t="shared" si="2"/>
        <v>6.329039879</v>
      </c>
      <c r="J26" s="87">
        <f t="shared" si="2"/>
        <v>6.108249256</v>
      </c>
      <c r="K26" s="88">
        <f t="shared" si="2"/>
        <v>5.962354822</v>
      </c>
      <c r="L26" s="2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84" t="s">
        <v>54</v>
      </c>
      <c r="B27" s="93">
        <f>'Balance Sheet'!B22</f>
        <v>64.36414194</v>
      </c>
      <c r="C27" s="93">
        <f>'Balance Sheet'!C22</f>
        <v>63.21948274</v>
      </c>
      <c r="D27" s="93">
        <f>'Balance Sheet'!D22</f>
        <v>63.60068298</v>
      </c>
      <c r="E27" s="93">
        <f>'Balance Sheet'!E22</f>
        <v>61.82291535</v>
      </c>
      <c r="F27" s="93">
        <f>'Balance Sheet'!F22</f>
        <v>60.54675416</v>
      </c>
      <c r="G27" s="93">
        <f>'Balance Sheet'!G22</f>
        <v>51.10591816</v>
      </c>
      <c r="H27" s="93">
        <f>'Balance Sheet'!H22</f>
        <v>63.65912472</v>
      </c>
      <c r="I27" s="93">
        <f>'Balance Sheet'!I22</f>
        <v>57.6706747</v>
      </c>
      <c r="J27" s="93">
        <f>'Balance Sheet'!J22</f>
        <v>59.75525633</v>
      </c>
      <c r="K27" s="94">
        <f>'Balance Sheet'!K22</f>
        <v>61.21742346</v>
      </c>
      <c r="L27" s="2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84" t="s">
        <v>55</v>
      </c>
      <c r="B28" s="93">
        <f>'Balance Sheet'!B23</f>
        <v>28.25665853</v>
      </c>
      <c r="C28" s="93">
        <f>'Balance Sheet'!C23</f>
        <v>30.89031821</v>
      </c>
      <c r="D28" s="93">
        <f>'Balance Sheet'!D23</f>
        <v>34.0845647</v>
      </c>
      <c r="E28" s="93">
        <f>'Balance Sheet'!E23</f>
        <v>33.1626211</v>
      </c>
      <c r="F28" s="93">
        <f>'Balance Sheet'!F23</f>
        <v>31.68911574</v>
      </c>
      <c r="G28" s="93">
        <f>'Balance Sheet'!G23</f>
        <v>30.35398546</v>
      </c>
      <c r="H28" s="93">
        <f>'Balance Sheet'!H23</f>
        <v>35.05572637</v>
      </c>
      <c r="I28" s="93">
        <f>'Balance Sheet'!I23</f>
        <v>37.54513196</v>
      </c>
      <c r="J28" s="93">
        <f>'Balance Sheet'!J23</f>
        <v>36.18351071</v>
      </c>
      <c r="K28" s="94">
        <f>'Balance Sheet'!K23</f>
        <v>32.42032531</v>
      </c>
      <c r="L28" s="2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84" t="s">
        <v>56</v>
      </c>
      <c r="B29" s="93">
        <f>'Balance Sheet'!B24</f>
        <v>0.4802300717</v>
      </c>
      <c r="C29" s="93">
        <f>'Balance Sheet'!C24</f>
        <v>0.2834989844</v>
      </c>
      <c r="D29" s="93">
        <f>'Balance Sheet'!D24</f>
        <v>0.2766017607</v>
      </c>
      <c r="E29" s="93">
        <f>'Balance Sheet'!E24</f>
        <v>0.5737674064</v>
      </c>
      <c r="F29" s="93">
        <f>'Balance Sheet'!F24</f>
        <v>1.00342924</v>
      </c>
      <c r="G29" s="93">
        <f>'Balance Sheet'!G24</f>
        <v>0.9682871235</v>
      </c>
      <c r="H29" s="93">
        <f>'Balance Sheet'!H24</f>
        <v>0.6208542165</v>
      </c>
      <c r="I29" s="93">
        <f>'Balance Sheet'!I24</f>
        <v>0.4072055419</v>
      </c>
      <c r="J29" s="93">
        <f>'Balance Sheet'!J24</f>
        <v>0.670995986</v>
      </c>
      <c r="K29" s="93">
        <f>'Balance Sheet'!K24</f>
        <v>0.804900736</v>
      </c>
      <c r="L29" s="29"/>
      <c r="M29" s="6" t="s">
        <v>149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84" t="s">
        <v>57</v>
      </c>
      <c r="B30" s="95">
        <f>'Balance Sheet'!B25</f>
        <v>92.1405704</v>
      </c>
      <c r="C30" s="95">
        <f>'Balance Sheet'!C25</f>
        <v>93.82630196</v>
      </c>
      <c r="D30" s="95">
        <f>'Balance Sheet'!D25</f>
        <v>97.40864592</v>
      </c>
      <c r="E30" s="95">
        <f>'Balance Sheet'!E25</f>
        <v>94.41176904</v>
      </c>
      <c r="F30" s="95">
        <f>'Balance Sheet'!F25</f>
        <v>91.23244066</v>
      </c>
      <c r="G30" s="95">
        <f>'Balance Sheet'!G25</f>
        <v>80.4916165</v>
      </c>
      <c r="H30" s="95">
        <f>'Balance Sheet'!H25</f>
        <v>98.09399688</v>
      </c>
      <c r="I30" s="95">
        <f>'Balance Sheet'!I25</f>
        <v>94.80860112</v>
      </c>
      <c r="J30" s="95">
        <f>'Balance Sheet'!J25</f>
        <v>95.26777106</v>
      </c>
      <c r="K30" s="96">
        <f>'Balance Sheet'!K25</f>
        <v>92.83284804</v>
      </c>
      <c r="L30" s="2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84" t="s">
        <v>150</v>
      </c>
      <c r="B31" s="87">
        <f>('Data Sheet'!B67+'Data Sheet'!B69)/'Data Sheet'!B60</f>
        <v>0.5477067949</v>
      </c>
      <c r="C31" s="87">
        <f>('Data Sheet'!C67+'Data Sheet'!C69)/'Data Sheet'!C60</f>
        <v>0.5359455193</v>
      </c>
      <c r="D31" s="87">
        <f>('Data Sheet'!D67+'Data Sheet'!D69)/'Data Sheet'!D60</f>
        <v>0.5453901723</v>
      </c>
      <c r="E31" s="87">
        <f>('Data Sheet'!E67+'Data Sheet'!E69)/'Data Sheet'!E60</f>
        <v>0.3536544469</v>
      </c>
      <c r="F31" s="87">
        <f>('Data Sheet'!F67+'Data Sheet'!F69)/'Data Sheet'!F60</f>
        <v>0.3693316675</v>
      </c>
      <c r="G31" s="87">
        <f>('Data Sheet'!G67+'Data Sheet'!G69)/'Data Sheet'!G60</f>
        <v>0.4341349315</v>
      </c>
      <c r="H31" s="87">
        <f>('Data Sheet'!H67+'Data Sheet'!H69)/'Data Sheet'!H60</f>
        <v>0.5300238625</v>
      </c>
      <c r="I31" s="87">
        <f>('Data Sheet'!I67+'Data Sheet'!I69)/'Data Sheet'!I60</f>
        <v>0.4430206937</v>
      </c>
      <c r="J31" s="87">
        <f>('Data Sheet'!J67+'Data Sheet'!J69)/'Data Sheet'!J60</f>
        <v>0.4309110794</v>
      </c>
      <c r="K31" s="88">
        <f>('Data Sheet'!K67+'Data Sheet'!K69)/'Data Sheet'!K60</f>
        <v>0.5272829909</v>
      </c>
      <c r="L31" s="29"/>
      <c r="M31" s="2" t="s">
        <v>151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84" t="s">
        <v>152</v>
      </c>
      <c r="B32" s="87">
        <f>'Data Sheet'!B65/'Data Sheet'!B60</f>
        <v>1.291675229</v>
      </c>
      <c r="C32" s="87">
        <f>'Data Sheet'!C65/'Data Sheet'!C60</f>
        <v>1.311616805</v>
      </c>
      <c r="D32" s="87">
        <f>'Data Sheet'!D65/'Data Sheet'!D60</f>
        <v>1.266536477</v>
      </c>
      <c r="E32" s="87">
        <f>'Data Sheet'!E65/'Data Sheet'!E60</f>
        <v>1.061166666</v>
      </c>
      <c r="F32" s="87">
        <f>'Data Sheet'!F65/'Data Sheet'!F60</f>
        <v>1.190917882</v>
      </c>
      <c r="G32" s="87">
        <f>'Data Sheet'!G65/'Data Sheet'!G60</f>
        <v>1.165198926</v>
      </c>
      <c r="H32" s="87">
        <f>'Data Sheet'!H65/'Data Sheet'!H60</f>
        <v>1.460027918</v>
      </c>
      <c r="I32" s="87">
        <f>'Data Sheet'!I65/'Data Sheet'!I60</f>
        <v>1.345575146</v>
      </c>
      <c r="J32" s="87">
        <f>'Data Sheet'!J65/'Data Sheet'!J60</f>
        <v>1.277601403</v>
      </c>
      <c r="K32" s="88">
        <f>'Data Sheet'!K65/'Data Sheet'!K60</f>
        <v>1.576208095</v>
      </c>
      <c r="L32" s="29" t="s">
        <v>100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7" t="s">
        <v>153</v>
      </c>
      <c r="B33" s="87">
        <f>'Calculated Data'!B17/'Calculated Data'!B7</f>
        <v>0.9042028367</v>
      </c>
      <c r="C33" s="87">
        <f>'Calculated Data'!C17/'Calculated Data'!C7</f>
        <v>0.7180726791</v>
      </c>
      <c r="D33" s="87">
        <f>'Calculated Data'!D17/'Calculated Data'!D7</f>
        <v>1.065455884</v>
      </c>
      <c r="E33" s="87">
        <f>'Calculated Data'!E17/'Calculated Data'!E7</f>
        <v>1.150326958</v>
      </c>
      <c r="F33" s="87">
        <f>'Calculated Data'!F17/'Calculated Data'!F7</f>
        <v>0.8512991435</v>
      </c>
      <c r="G33" s="87">
        <f>'Calculated Data'!G17/'Calculated Data'!G7</f>
        <v>1.285240322</v>
      </c>
      <c r="H33" s="87">
        <f>'Calculated Data'!H17/'Calculated Data'!H7</f>
        <v>0.7875148884</v>
      </c>
      <c r="I33" s="87">
        <f>'Calculated Data'!I17/'Calculated Data'!I7</f>
        <v>1.036543677</v>
      </c>
      <c r="J33" s="87">
        <f>'Calculated Data'!J17/'Calculated Data'!J7</f>
        <v>1.14546922</v>
      </c>
      <c r="K33" s="88">
        <f>'Calculated Data'!K17/'Calculated Data'!K7</f>
        <v>0.9729111294</v>
      </c>
      <c r="L33" s="2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14" t="s">
        <v>100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5" customHeight="1">
      <c r="A35" s="84" t="s">
        <v>154</v>
      </c>
      <c r="B35" s="99">
        <f>'Calculated Data'!B3/'Data Sheet'!B17</f>
        <v>0.4723466853</v>
      </c>
      <c r="C35" s="99">
        <f>'Calculated Data'!C3/'Data Sheet'!C17</f>
        <v>0.4456211239</v>
      </c>
      <c r="D35" s="99">
        <f>'Calculated Data'!D3/'Data Sheet'!D17</f>
        <v>0.4634160041</v>
      </c>
      <c r="E35" s="99">
        <f>'Calculated Data'!E3/'Data Sheet'!E17</f>
        <v>0.4812145622</v>
      </c>
      <c r="F35" s="99">
        <f>'Calculated Data'!F3/'Data Sheet'!F17</f>
        <v>0.4036441463</v>
      </c>
      <c r="G35" s="99">
        <f>'Calculated Data'!G3/'Data Sheet'!G17</f>
        <v>0.4499298952</v>
      </c>
      <c r="H35" s="99">
        <f>'Calculated Data'!H3/'Data Sheet'!H17</f>
        <v>0.5052048235</v>
      </c>
      <c r="I35" s="99">
        <f>'Calculated Data'!I3/'Data Sheet'!I17</f>
        <v>0.5168863357</v>
      </c>
      <c r="J35" s="99">
        <f>'Calculated Data'!J3/'Data Sheet'!J17</f>
        <v>0.4815835444</v>
      </c>
      <c r="K35" s="100">
        <f>'Calculated Data'!K3/'Data Sheet'!K17</f>
        <v>0.5059093327</v>
      </c>
      <c r="L35" s="101"/>
      <c r="M35" s="15"/>
      <c r="N35" s="1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5" customHeight="1">
      <c r="A36" s="84" t="s">
        <v>155</v>
      </c>
      <c r="B36" s="99">
        <f>'Calculated Data'!B4/'Data Sheet'!B17</f>
        <v>0.1736776484</v>
      </c>
      <c r="C36" s="99">
        <f>'Calculated Data'!C4/'Data Sheet'!C17</f>
        <v>0.1622163846</v>
      </c>
      <c r="D36" s="99">
        <f>'Calculated Data'!D4/'Data Sheet'!D17</f>
        <v>0.1615845909</v>
      </c>
      <c r="E36" s="99">
        <f>'Calculated Data'!E4/'Data Sheet'!E17</f>
        <v>0.1540264329</v>
      </c>
      <c r="F36" s="99">
        <f>'Calculated Data'!F4/'Data Sheet'!F17</f>
        <v>0.155642272</v>
      </c>
      <c r="G36" s="99">
        <f>'Calculated Data'!G4/'Data Sheet'!G17</f>
        <v>0.186585283</v>
      </c>
      <c r="H36" s="99">
        <f>'Calculated Data'!H4/'Data Sheet'!H17</f>
        <v>0.1989690605</v>
      </c>
      <c r="I36" s="99">
        <f>'Calculated Data'!I4/'Data Sheet'!I17</f>
        <v>0.189006541</v>
      </c>
      <c r="J36" s="99">
        <f>'Calculated Data'!J4/'Data Sheet'!J17</f>
        <v>0.1775752035</v>
      </c>
      <c r="K36" s="100">
        <f>'Calculated Data'!K4/'Data Sheet'!K17</f>
        <v>0.1848965304</v>
      </c>
      <c r="L36" s="100">
        <f>'Calculated Data'!L4/'Profit &amp; Loss'!L4</f>
        <v>0.1799439788</v>
      </c>
      <c r="M36" s="15"/>
      <c r="N36" s="15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5" customHeight="1">
      <c r="A37" s="84" t="s">
        <v>156</v>
      </c>
      <c r="B37" s="85">
        <f>'Calculated Data'!B5/'Data Sheet'!B17</f>
        <v>0.1889594767</v>
      </c>
      <c r="C37" s="85">
        <f>'Calculated Data'!C5/'Data Sheet'!C17</f>
        <v>0.1753381178</v>
      </c>
      <c r="D37" s="85">
        <f>'Calculated Data'!D5/'Data Sheet'!D17</f>
        <v>0.1763029196</v>
      </c>
      <c r="E37" s="85">
        <f>'Calculated Data'!E5/'Data Sheet'!E17</f>
        <v>0.1741289339</v>
      </c>
      <c r="F37" s="85">
        <f>'Calculated Data'!F5/'Data Sheet'!F17</f>
        <v>0.1751732982</v>
      </c>
      <c r="G37" s="85">
        <f>'Calculated Data'!G5/'Data Sheet'!G17</f>
        <v>0.2058951098</v>
      </c>
      <c r="H37" s="85">
        <f>'Calculated Data'!H5/'Data Sheet'!H17</f>
        <v>0.2211965351</v>
      </c>
      <c r="I37" s="85">
        <f>'Calculated Data'!I5/'Data Sheet'!I17</f>
        <v>0.2104317798</v>
      </c>
      <c r="J37" s="85">
        <f>'Calculated Data'!J5/'Data Sheet'!J17</f>
        <v>0.2099107438</v>
      </c>
      <c r="K37" s="102">
        <f>'Calculated Data'!K5/'Data Sheet'!K17</f>
        <v>0.2235136372</v>
      </c>
      <c r="L37" s="101"/>
      <c r="M37" s="15"/>
      <c r="N37" s="15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5" customHeight="1">
      <c r="A38" s="84" t="s">
        <v>157</v>
      </c>
      <c r="B38" s="85">
        <f>'Calculated Data'!B6/'Data Sheet'!B17</f>
        <v>0.1797766014</v>
      </c>
      <c r="C38" s="85">
        <f>'Calculated Data'!C6/'Data Sheet'!C17</f>
        <v>0.1637026405</v>
      </c>
      <c r="D38" s="85">
        <f>'Calculated Data'!D6/'Data Sheet'!D17</f>
        <v>0.1654041209</v>
      </c>
      <c r="E38" s="85">
        <f>'Calculated Data'!E6/'Data Sheet'!E17</f>
        <v>0.1631456331</v>
      </c>
      <c r="F38" s="85">
        <f>'Calculated Data'!F6/'Data Sheet'!F17</f>
        <v>0.1627086078</v>
      </c>
      <c r="G38" s="85">
        <f>'Calculated Data'!G6/'Data Sheet'!G17</f>
        <v>0.1909429219</v>
      </c>
      <c r="H38" s="85">
        <f>'Calculated Data'!H6/'Data Sheet'!H17</f>
        <v>0.1987625805</v>
      </c>
      <c r="I38" s="85">
        <f>'Calculated Data'!I6/'Data Sheet'!I17</f>
        <v>0.1904365941</v>
      </c>
      <c r="J38" s="85">
        <f>'Calculated Data'!J6/'Data Sheet'!J17</f>
        <v>0.19568163</v>
      </c>
      <c r="K38" s="102">
        <f>'Calculated Data'!K6/'Data Sheet'!K17</f>
        <v>0.2059466881</v>
      </c>
      <c r="L38" s="101"/>
      <c r="M38" s="15"/>
      <c r="N38" s="1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5" customHeight="1">
      <c r="A39" s="84" t="s">
        <v>158</v>
      </c>
      <c r="B39" s="85">
        <f>'Calculated Data'!B7/'Data Sheet'!B17</f>
        <v>0.1139065584</v>
      </c>
      <c r="C39" s="85">
        <f>'Calculated Data'!C7/'Data Sheet'!C17</f>
        <v>0.1071068382</v>
      </c>
      <c r="D39" s="85">
        <f>'Calculated Data'!D7/'Data Sheet'!D17</f>
        <v>0.1060443206</v>
      </c>
      <c r="E39" s="85">
        <f>'Calculated Data'!E7/'Data Sheet'!E17</f>
        <v>0.09973593271</v>
      </c>
      <c r="F39" s="85">
        <f>'Calculated Data'!F7/'Data Sheet'!F17</f>
        <v>0.1024695819</v>
      </c>
      <c r="G39" s="85">
        <f>'Calculated Data'!G7/'Data Sheet'!G17</f>
        <v>0.1222829571</v>
      </c>
      <c r="H39" s="85">
        <f>'Calculated Data'!H7/'Data Sheet'!H17</f>
        <v>0.128763198</v>
      </c>
      <c r="I39" s="85">
        <f>'Calculated Data'!I7/'Data Sheet'!I17</f>
        <v>0.1211877881</v>
      </c>
      <c r="J39" s="85">
        <f>'Calculated Data'!J7/'Data Sheet'!J17</f>
        <v>0.1120532969</v>
      </c>
      <c r="K39" s="102">
        <f>'Calculated Data'!K7/'Data Sheet'!K17</f>
        <v>0.1338447647</v>
      </c>
      <c r="L39" s="103">
        <f>'Calculated Data'!L7/'Profit &amp; Loss'!L4</f>
        <v>0.1241295101</v>
      </c>
      <c r="M39" s="15"/>
      <c r="N39" s="1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5" customHeight="1">
      <c r="A40" s="84" t="s">
        <v>159</v>
      </c>
      <c r="B40" s="85">
        <f>'Calculated Data'!B17/'Data Sheet'!B17</f>
        <v>0.1029946332</v>
      </c>
      <c r="C40" s="85">
        <f>'Calculated Data'!C17/'Data Sheet'!C17</f>
        <v>0.07691049425</v>
      </c>
      <c r="D40" s="85">
        <f>'Calculated Data'!D17/'Data Sheet'!D17</f>
        <v>0.1129855454</v>
      </c>
      <c r="E40" s="85">
        <f>'Calculated Data'!E17/'Data Sheet'!E17</f>
        <v>0.1147289321</v>
      </c>
      <c r="F40" s="85">
        <f>'Calculated Data'!F17/'Data Sheet'!F17</f>
        <v>0.08723226732</v>
      </c>
      <c r="G40" s="85">
        <f>'Calculated Data'!G17/'Data Sheet'!G17</f>
        <v>0.1571629872</v>
      </c>
      <c r="H40" s="85">
        <f>'Calculated Data'!H17/'Data Sheet'!H17</f>
        <v>0.1014029355</v>
      </c>
      <c r="I40" s="85">
        <f>'Calculated Data'!I17/'Data Sheet'!I17</f>
        <v>0.1256164355</v>
      </c>
      <c r="J40" s="85">
        <f>'Calculated Data'!J17/'Data Sheet'!J17</f>
        <v>0.1283536026</v>
      </c>
      <c r="K40" s="102">
        <f>'Calculated Data'!K17/'Data Sheet'!K17</f>
        <v>0.1302190612</v>
      </c>
      <c r="L40" s="101"/>
      <c r="M40" s="15"/>
      <c r="N40" s="15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5" customHeight="1">
      <c r="A41" s="84" t="s">
        <v>160</v>
      </c>
      <c r="B41" s="85">
        <f>'Calculated Data'!B19/'Data Sheet'!B17</f>
        <v>0</v>
      </c>
      <c r="C41" s="85">
        <f>'Calculated Data'!C19/'Data Sheet'!C17</f>
        <v>0.002644278944</v>
      </c>
      <c r="D41" s="85">
        <f>'Calculated Data'!D19/'Data Sheet'!D17</f>
        <v>0.04280691666</v>
      </c>
      <c r="E41" s="85">
        <f>'Calculated Data'!E19/'Data Sheet'!E17</f>
        <v>0.08374296359</v>
      </c>
      <c r="F41" s="85">
        <f>'Calculated Data'!F19/'Data Sheet'!F17</f>
        <v>0.05133284271</v>
      </c>
      <c r="G41" s="85">
        <f>'Calculated Data'!G19/'Data Sheet'!G17</f>
        <v>0.0911236318</v>
      </c>
      <c r="H41" s="85">
        <f>'Calculated Data'!H19/'Data Sheet'!H17</f>
        <v>0.0766299805</v>
      </c>
      <c r="I41" s="85">
        <f>'Calculated Data'!I19/'Data Sheet'!I17</f>
        <v>0.01051439712</v>
      </c>
      <c r="J41" s="85">
        <f>'Calculated Data'!J19/'Data Sheet'!J17</f>
        <v>0.01447599367</v>
      </c>
      <c r="K41" s="102">
        <f>'Calculated Data'!K19/'Data Sheet'!K17</f>
        <v>0.1061324757</v>
      </c>
      <c r="L41" s="101"/>
      <c r="M41" s="15"/>
      <c r="N41" s="15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.5" customHeight="1">
      <c r="A42" s="84" t="s">
        <v>161</v>
      </c>
      <c r="B42" s="85">
        <f>'Calculated Data'!B26/'Data Sheet'!B17</f>
        <v>0.08922177202</v>
      </c>
      <c r="C42" s="85">
        <f>'Calculated Data'!C26/'Data Sheet'!C17</f>
        <v>0.07830389881</v>
      </c>
      <c r="D42" s="85">
        <f>'Calculated Data'!D26/'Data Sheet'!D17</f>
        <v>0.07504213036</v>
      </c>
      <c r="E42" s="85">
        <f>'Calculated Data'!E26/'Data Sheet'!E17</f>
        <v>0.07790428487</v>
      </c>
      <c r="F42" s="85">
        <f>'Calculated Data'!F26/'Data Sheet'!F17</f>
        <v>0.07547638916</v>
      </c>
      <c r="G42" s="85">
        <f>'Calculated Data'!G26/'Data Sheet'!G17</f>
        <v>0.09152592633</v>
      </c>
      <c r="H42" s="85">
        <f>'Calculated Data'!H26/'Data Sheet'!H17</f>
        <v>0.09163550513</v>
      </c>
      <c r="I42" s="85">
        <f>'Calculated Data'!I26/'Data Sheet'!I17</f>
        <v>0.07779585049</v>
      </c>
      <c r="J42" s="85">
        <f>'Calculated Data'!J26/'Data Sheet'!J17</f>
        <v>0.06731924533</v>
      </c>
      <c r="K42" s="102">
        <f>'Calculated Data'!K26/'Data Sheet'!K17</f>
        <v>0.08654260851</v>
      </c>
      <c r="L42" s="101"/>
      <c r="M42" s="15"/>
      <c r="N42" s="15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.5" customHeight="1">
      <c r="A43" s="84" t="s">
        <v>162</v>
      </c>
      <c r="B43" s="85"/>
      <c r="C43" s="85"/>
      <c r="D43" s="85"/>
      <c r="E43" s="85"/>
      <c r="F43" s="85">
        <f t="shared" ref="F43:K43" si="3">(F42-B42)</f>
        <v>-0.01374538286</v>
      </c>
      <c r="G43" s="85">
        <f t="shared" si="3"/>
        <v>0.01322202752</v>
      </c>
      <c r="H43" s="85">
        <f t="shared" si="3"/>
        <v>0.01659337477</v>
      </c>
      <c r="I43" s="85">
        <f t="shared" si="3"/>
        <v>-0.0001084343838</v>
      </c>
      <c r="J43" s="85">
        <f t="shared" si="3"/>
        <v>-0.008157143829</v>
      </c>
      <c r="K43" s="102">
        <f t="shared" si="3"/>
        <v>-0.004983317824</v>
      </c>
      <c r="L43" s="15"/>
      <c r="M43" s="15"/>
      <c r="N43" s="15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5" customHeight="1">
      <c r="A44" s="84" t="s">
        <v>163</v>
      </c>
      <c r="B44" s="85"/>
      <c r="C44" s="85"/>
      <c r="D44" s="85">
        <f t="shared" ref="D44:K44" si="4">(D42-B42)</f>
        <v>-0.01417964166</v>
      </c>
      <c r="E44" s="85">
        <f t="shared" si="4"/>
        <v>-0.0003996139374</v>
      </c>
      <c r="F44" s="85">
        <f t="shared" si="4"/>
        <v>0.0004342587952</v>
      </c>
      <c r="G44" s="85">
        <f t="shared" si="4"/>
        <v>0.01362164146</v>
      </c>
      <c r="H44" s="85">
        <f t="shared" si="4"/>
        <v>0.01615911597</v>
      </c>
      <c r="I44" s="85">
        <f t="shared" si="4"/>
        <v>-0.01373007584</v>
      </c>
      <c r="J44" s="85">
        <f t="shared" si="4"/>
        <v>-0.0243162598</v>
      </c>
      <c r="K44" s="102">
        <f t="shared" si="4"/>
        <v>0.008746758017</v>
      </c>
      <c r="L44" s="15"/>
      <c r="M44" s="15"/>
      <c r="N44" s="15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5" customHeight="1">
      <c r="A45" s="17" t="s">
        <v>164</v>
      </c>
      <c r="B45" s="85"/>
      <c r="C45" s="85"/>
      <c r="D45" s="85"/>
      <c r="E45" s="85"/>
      <c r="F45" s="85">
        <f>POWER('Calculated Data'!F33/'Calculated Data'!B33, 1/4)-1</f>
        <v>0.338738118</v>
      </c>
      <c r="G45" s="85">
        <f>POWER('Calculated Data'!G33/'Calculated Data'!C33, 1/4)-1</f>
        <v>0.27931267</v>
      </c>
      <c r="H45" s="85">
        <f>POWER('Calculated Data'!H33/'Calculated Data'!D33, 1/4)-1</f>
        <v>0.2155388276</v>
      </c>
      <c r="I45" s="85">
        <f>POWER('Calculated Data'!I33/'Calculated Data'!E33, 1/4)-1</f>
        <v>0.1957986044</v>
      </c>
      <c r="J45" s="85">
        <f>POWER('Calculated Data'!J33/'Calculated Data'!F33, 1/4)-1</f>
        <v>0.1646562569</v>
      </c>
      <c r="K45" s="102">
        <f>POWER('Calculated Data'!K33/'Calculated Data'!G33, 1/4)-1</f>
        <v>0.1769862135</v>
      </c>
      <c r="L45" s="15"/>
      <c r="M45" s="15"/>
      <c r="N45" s="15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.5" customHeight="1">
      <c r="A46" s="17" t="s">
        <v>165</v>
      </c>
      <c r="B46" s="85"/>
      <c r="C46" s="85"/>
      <c r="D46" s="85">
        <f>POWER('Calculated Data'!D33/'Calculated Data'!B33, 1/2)-1</f>
        <v>0.3952880446</v>
      </c>
      <c r="E46" s="85">
        <f>POWER('Calculated Data'!E33/'Calculated Data'!C33, 1/2)-1</f>
        <v>0.3000616889</v>
      </c>
      <c r="F46" s="85">
        <f>POWER('Calculated Data'!F33/'Calculated Data'!D33, 1/2)-1</f>
        <v>0.2844801154</v>
      </c>
      <c r="G46" s="85">
        <f>POWER('Calculated Data'!G33/'Calculated Data'!E33, 1/2)-1</f>
        <v>0.2588948061</v>
      </c>
      <c r="H46" s="85">
        <f>POWER('Calculated Data'!H33/'Calculated Data'!F33, 1/2)-1</f>
        <v>0.1502977926</v>
      </c>
      <c r="I46" s="85">
        <f>POWER('Calculated Data'!I33/'Calculated Data'!G33, 1/2)-1</f>
        <v>0.135864804</v>
      </c>
      <c r="J46" s="85">
        <f>POWER('Calculated Data'!J33/'Calculated Data'!H33, 1/2)-1</f>
        <v>0.1791939492</v>
      </c>
      <c r="K46" s="102">
        <f>POWER('Calculated Data'!K33/'Calculated Data'!I33, 1/2)-1</f>
        <v>0.2195963303</v>
      </c>
      <c r="L46" s="15"/>
      <c r="M46" s="15"/>
      <c r="N46" s="15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5"/>
      <c r="N47" s="15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14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5" customHeight="1">
      <c r="A49" s="84" t="s">
        <v>166</v>
      </c>
      <c r="B49" s="87">
        <f>'Data Sheet'!B17/'Calculated Data'!B13</f>
        <v>3.716544169</v>
      </c>
      <c r="C49" s="87">
        <f>'Data Sheet'!C17/'Calculated Data'!C13</f>
        <v>3.375388958</v>
      </c>
      <c r="D49" s="87">
        <f>'Data Sheet'!D17/'Calculated Data'!D13</f>
        <v>3.145288166</v>
      </c>
      <c r="E49" s="87">
        <f>'Data Sheet'!E17/'Calculated Data'!E13</f>
        <v>4.265667651</v>
      </c>
      <c r="F49" s="87">
        <f>'Data Sheet'!F17/'Calculated Data'!F13</f>
        <v>3.810873447</v>
      </c>
      <c r="G49" s="87">
        <f>'Data Sheet'!G17/'Calculated Data'!G13</f>
        <v>3.450570361</v>
      </c>
      <c r="H49" s="87">
        <f>'Data Sheet'!H17/'Calculated Data'!H13</f>
        <v>2.732462665</v>
      </c>
      <c r="I49" s="87">
        <f>'Data Sheet'!I17/'Calculated Data'!I13</f>
        <v>2.473121994</v>
      </c>
      <c r="J49" s="87">
        <f>'Data Sheet'!J17/'Calculated Data'!J13</f>
        <v>2.340201446</v>
      </c>
      <c r="K49" s="88">
        <f>'Data Sheet'!K17/'Calculated Data'!K13</f>
        <v>2.189779638</v>
      </c>
      <c r="L49" s="14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5" customHeight="1">
      <c r="A50" s="84" t="s">
        <v>167</v>
      </c>
      <c r="B50" s="87">
        <f>'Data Sheet'!B17/'Data Sheet'!B62</f>
        <v>5.651637185</v>
      </c>
      <c r="C50" s="87">
        <f>'Data Sheet'!C17/'Data Sheet'!C62</f>
        <v>7.097958556</v>
      </c>
      <c r="D50" s="87">
        <f>'Data Sheet'!D17/'Data Sheet'!D62</f>
        <v>4.303170461</v>
      </c>
      <c r="E50" s="87">
        <f>'Data Sheet'!E17/'Data Sheet'!E62</f>
        <v>4.770637653</v>
      </c>
      <c r="F50" s="87">
        <f>'Data Sheet'!F17/'Data Sheet'!F62</f>
        <v>5.118441828</v>
      </c>
      <c r="G50" s="87">
        <f>'Data Sheet'!G17/'Data Sheet'!G62</f>
        <v>4.177408638</v>
      </c>
      <c r="H50" s="87">
        <f>'Data Sheet'!H17/'Data Sheet'!H62</f>
        <v>4.559072445</v>
      </c>
      <c r="I50" s="87">
        <f>'Data Sheet'!I17/'Data Sheet'!I62</f>
        <v>4.507896062</v>
      </c>
      <c r="J50" s="87">
        <f>'Data Sheet'!J17/'Data Sheet'!J62</f>
        <v>2.961587363</v>
      </c>
      <c r="K50" s="88">
        <f>'Data Sheet'!K17/'Data Sheet'!K62</f>
        <v>3.222297686</v>
      </c>
      <c r="L50" s="29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84" t="s">
        <v>168</v>
      </c>
      <c r="B51" s="87">
        <f>'Data Sheet'!B17/'Calculated Data'!B15</f>
        <v>1.6056353</v>
      </c>
      <c r="C51" s="87">
        <f>'Data Sheet'!C17/'Calculated Data'!C15</f>
        <v>1.616061441</v>
      </c>
      <c r="D51" s="87">
        <f>'Data Sheet'!D17/'Calculated Data'!D15</f>
        <v>1.548221682</v>
      </c>
      <c r="E51" s="87">
        <f>'Data Sheet'!E17/'Calculated Data'!E15</f>
        <v>1.513283553</v>
      </c>
      <c r="F51" s="87">
        <f>'Data Sheet'!F17/'Calculated Data'!F15</f>
        <v>1.52731617</v>
      </c>
      <c r="G51" s="87">
        <f>'Data Sheet'!G17/'Calculated Data'!G15</f>
        <v>1.351591008</v>
      </c>
      <c r="H51" s="87">
        <f>'Data Sheet'!H17/'Calculated Data'!H15</f>
        <v>1.214168425</v>
      </c>
      <c r="I51" s="87">
        <f>'Data Sheet'!I17/'Calculated Data'!I15</f>
        <v>1.222405235</v>
      </c>
      <c r="J51" s="87">
        <f>'Data Sheet'!J17/'Calculated Data'!J15</f>
        <v>1.184092526</v>
      </c>
      <c r="K51" s="88">
        <f>'Data Sheet'!K17/'Calculated Data'!K15</f>
        <v>1.252403493</v>
      </c>
      <c r="L51" s="89" t="str">
        <f>'Profit &amp; Loss'!L4/'Balance Sheet'!L8</f>
        <v>#DIV/0!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5" customHeight="1">
      <c r="A52" s="84" t="s">
        <v>169</v>
      </c>
      <c r="B52" s="85">
        <f t="shared" ref="B52:L52" si="5">B39*B51</f>
        <v>0.182892391</v>
      </c>
      <c r="C52" s="85">
        <f t="shared" si="5"/>
        <v>0.1730912312</v>
      </c>
      <c r="D52" s="85">
        <f t="shared" si="5"/>
        <v>0.1641801164</v>
      </c>
      <c r="E52" s="85">
        <f t="shared" si="5"/>
        <v>0.1509287466</v>
      </c>
      <c r="F52" s="85">
        <f t="shared" si="5"/>
        <v>0.1565034494</v>
      </c>
      <c r="G52" s="85">
        <f t="shared" si="5"/>
        <v>0.1652765453</v>
      </c>
      <c r="H52" s="85">
        <f t="shared" si="5"/>
        <v>0.1563402092</v>
      </c>
      <c r="I52" s="85">
        <f t="shared" si="5"/>
        <v>0.1481405865</v>
      </c>
      <c r="J52" s="85">
        <f t="shared" si="5"/>
        <v>0.1326814714</v>
      </c>
      <c r="K52" s="102">
        <f t="shared" si="5"/>
        <v>0.1676276508</v>
      </c>
      <c r="L52" s="103" t="str">
        <f t="shared" si="5"/>
        <v>#DIV/0!</v>
      </c>
      <c r="M52" s="6" t="s">
        <v>170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5" customHeight="1">
      <c r="A53" s="84" t="s">
        <v>171</v>
      </c>
      <c r="B53" s="85">
        <f t="shared" ref="B53:L53" si="6">B39*B51*B19</f>
        <v>0.385495241</v>
      </c>
      <c r="C53" s="85">
        <f t="shared" si="6"/>
        <v>0.3597344006</v>
      </c>
      <c r="D53" s="85">
        <f t="shared" si="6"/>
        <v>0.3291325507</v>
      </c>
      <c r="E53" s="85">
        <f t="shared" si="6"/>
        <v>0.3017439011</v>
      </c>
      <c r="F53" s="85">
        <f t="shared" si="6"/>
        <v>0.2941889692</v>
      </c>
      <c r="G53" s="85">
        <f t="shared" si="6"/>
        <v>0.2674648496</v>
      </c>
      <c r="H53" s="85">
        <f t="shared" si="6"/>
        <v>0.2550576087</v>
      </c>
      <c r="I53" s="85">
        <f t="shared" si="6"/>
        <v>0.2424345113</v>
      </c>
      <c r="J53" s="85">
        <f t="shared" si="6"/>
        <v>0.2276446458</v>
      </c>
      <c r="K53" s="102">
        <f t="shared" si="6"/>
        <v>0.2670411918</v>
      </c>
      <c r="L53" s="103" t="str">
        <f t="shared" si="6"/>
        <v>#DIV/0!</v>
      </c>
      <c r="M53" s="6" t="s">
        <v>172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5" customHeight="1">
      <c r="A54" s="84" t="s">
        <v>173</v>
      </c>
      <c r="B54" s="85">
        <f>'Calculated Data'!B4/'Calculated Data'!B14</f>
        <v>0.5311027119</v>
      </c>
      <c r="C54" s="85">
        <f>'Calculated Data'!C4/'Calculated Data'!C14</f>
        <v>0.4846760594</v>
      </c>
      <c r="D54" s="85">
        <f>'Calculated Data'!D4/'Calculated Data'!D14</f>
        <v>0.4668922357</v>
      </c>
      <c r="E54" s="85">
        <f>'Calculated Data'!E4/'Calculated Data'!E14</f>
        <v>0.4389220147</v>
      </c>
      <c r="F54" s="85">
        <f>'Calculated Data'!F4/'Calculated Data'!F14</f>
        <v>0.4106380546</v>
      </c>
      <c r="G54" s="85">
        <f>'Calculated Data'!G4/'Calculated Data'!G14</f>
        <v>0.3888445133</v>
      </c>
      <c r="H54" s="85">
        <f>'Calculated Data'!H4/'Calculated Data'!H14</f>
        <v>0.3670731961</v>
      </c>
      <c r="I54" s="85">
        <f>'Calculated Data'!I4/'Calculated Data'!I14</f>
        <v>0.355553543</v>
      </c>
      <c r="J54" s="85">
        <f>'Calculated Data'!J4/'Calculated Data'!J14</f>
        <v>0.3166378595</v>
      </c>
      <c r="K54" s="102">
        <f>'Calculated Data'!K4/'Calculated Data'!K14</f>
        <v>0.3322164596</v>
      </c>
      <c r="L54" s="14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5" customHeight="1">
      <c r="A55" s="84" t="s">
        <v>174</v>
      </c>
      <c r="B55" s="85">
        <f>B36*B49*(1-'Calculated Data'!B22)</f>
        <v>0.4515966566</v>
      </c>
      <c r="C55" s="85">
        <f>C36*C49*(1-'Calculated Data'!C22)</f>
        <v>0.3843061154</v>
      </c>
      <c r="D55" s="85">
        <f>D36*D49*(1-'Calculated Data'!D22)</f>
        <v>0.3560291246</v>
      </c>
      <c r="E55" s="85">
        <f>E36*E49*(1-'Calculated Data'!E22)</f>
        <v>0.4523137879</v>
      </c>
      <c r="F55" s="85">
        <f>F36*F49*(1-'Calculated Data'!F22)</f>
        <v>0.4076309673</v>
      </c>
      <c r="G55" s="85">
        <f>G36*G49*(1-'Calculated Data'!G22)</f>
        <v>0.4358166486</v>
      </c>
      <c r="H55" s="85">
        <f>H36*H49*(1-'Calculated Data'!H22)</f>
        <v>0.3703905965</v>
      </c>
      <c r="I55" s="85">
        <f>I36*I49*(1-'Calculated Data'!I22)</f>
        <v>0.3123986289</v>
      </c>
      <c r="J55" s="85">
        <f>J36*J49*(1-'Calculated Data'!J22)</f>
        <v>0.2775405952</v>
      </c>
      <c r="K55" s="102">
        <f>K36*K49*(1-'Calculated Data'!K22)</f>
        <v>0.3095092419</v>
      </c>
      <c r="L55" s="103" t="str">
        <f>'Business Robustness'!L14*'Business Robustness'!L16*(1-'Calculated Data'!K22)</f>
        <v>#DIV/0!</v>
      </c>
      <c r="M55" s="6" t="s">
        <v>175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5" customHeight="1">
      <c r="A56" s="84" t="s">
        <v>176</v>
      </c>
      <c r="B56" s="85"/>
      <c r="C56" s="85"/>
      <c r="D56" s="85">
        <f>'Calculated Data'!D27</f>
        <v>0.1856780275</v>
      </c>
      <c r="E56" s="85">
        <f>'Calculated Data'!E27</f>
        <v>0.1766386675</v>
      </c>
      <c r="F56" s="85">
        <f>'Calculated Data'!F27</f>
        <v>-0.3382030047</v>
      </c>
      <c r="G56" s="85">
        <f>'Calculated Data'!G27</f>
        <v>0.4889951974</v>
      </c>
      <c r="H56" s="85">
        <f>'Calculated Data'!H27</f>
        <v>0.4246021581</v>
      </c>
      <c r="I56" s="85">
        <f>'Calculated Data'!I27</f>
        <v>0.0607105594</v>
      </c>
      <c r="J56" s="85">
        <f>'Calculated Data'!J27</f>
        <v>0.1213152777</v>
      </c>
      <c r="K56" s="102">
        <f>'Calculated Data'!K27</f>
        <v>0.4052502552</v>
      </c>
      <c r="L56" s="14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5" customHeight="1">
      <c r="A57" s="84" t="str">
        <f>'Calculated Data'!A28</f>
        <v>3Yr Rolling RoIIC </v>
      </c>
      <c r="B57" s="85"/>
      <c r="C57" s="85"/>
      <c r="D57" s="85"/>
      <c r="E57" s="85"/>
      <c r="F57" s="85"/>
      <c r="G57" s="85">
        <f>'Calculated Data'!G28</f>
        <v>0.7322672477</v>
      </c>
      <c r="H57" s="85">
        <f>'Calculated Data'!H28</f>
        <v>0.9365581499</v>
      </c>
      <c r="I57" s="85">
        <f>'Calculated Data'!I28</f>
        <v>0.2526519835</v>
      </c>
      <c r="J57" s="85">
        <f>'Calculated Data'!J28</f>
        <v>0.1483770422</v>
      </c>
      <c r="K57" s="102">
        <f>'Calculated Data'!K28</f>
        <v>0.199488846</v>
      </c>
      <c r="L57" s="14"/>
      <c r="M57" s="22" t="s">
        <v>177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5" customHeight="1">
      <c r="A58" s="84" t="str">
        <f>'Calculated Data'!A29</f>
        <v>5Yr Rolling RoIIC</v>
      </c>
      <c r="B58" s="85"/>
      <c r="C58" s="85"/>
      <c r="D58" s="85"/>
      <c r="E58" s="85"/>
      <c r="F58" s="85"/>
      <c r="G58" s="85" t="str">
        <f>'Calculated Data'!G29</f>
        <v/>
      </c>
      <c r="H58" s="85">
        <f>'Calculated Data'!H29</f>
        <v>0.4620374964</v>
      </c>
      <c r="I58" s="85">
        <f>'Calculated Data'!I29</f>
        <v>0.3370999157</v>
      </c>
      <c r="J58" s="85">
        <f>'Calculated Data'!J29</f>
        <v>0.2846984734</v>
      </c>
      <c r="K58" s="102">
        <f>'Calculated Data'!K29</f>
        <v>0.261418217</v>
      </c>
      <c r="L58" s="14"/>
      <c r="M58" s="22" t="s">
        <v>177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5" customHeight="1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14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5" customHeight="1">
      <c r="A60" s="104" t="s">
        <v>178</v>
      </c>
      <c r="B60" s="105">
        <f>'Calculated Data'!B50</f>
        <v>6.007816405</v>
      </c>
      <c r="C60" s="105">
        <f>'Calculated Data'!C50</f>
        <v>6.067547543</v>
      </c>
      <c r="D60" s="105">
        <f>'Calculated Data'!D50</f>
        <v>6.832327211</v>
      </c>
      <c r="E60" s="105">
        <f>'Calculated Data'!E50</f>
        <v>6.345198554</v>
      </c>
      <c r="F60" s="105">
        <f>'Calculated Data'!F50</f>
        <v>7.773218532</v>
      </c>
      <c r="G60" s="105">
        <f>'Calculated Data'!G50</f>
        <v>7.122696289</v>
      </c>
      <c r="H60" s="105">
        <f>'Calculated Data'!H50</f>
        <v>7.287829932</v>
      </c>
      <c r="I60" s="105">
        <f>'Calculated Data'!I50</f>
        <v>6.937531772</v>
      </c>
      <c r="J60" s="105">
        <f>'Calculated Data'!J50</f>
        <v>7.375871348</v>
      </c>
      <c r="K60" s="106">
        <f>'Calculated Data'!K50</f>
        <v>8.304031982</v>
      </c>
      <c r="L60" s="14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5" customHeight="1">
      <c r="A61" s="107" t="s">
        <v>22</v>
      </c>
      <c r="B61" s="108">
        <f>'Data Sheet'!B31/'Data Sheet'!B30</f>
        <v>0.364000759</v>
      </c>
      <c r="C61" s="108">
        <f>'Data Sheet'!C31/'Data Sheet'!C30</f>
        <v>0.3880533614</v>
      </c>
      <c r="D61" s="108">
        <f>'Data Sheet'!D31/'Data Sheet'!D30</f>
        <v>0.3961198693</v>
      </c>
      <c r="E61" s="108">
        <f>'Data Sheet'!E31/'Data Sheet'!E30</f>
        <v>0.417111773</v>
      </c>
      <c r="F61" s="108">
        <f>'Data Sheet'!F31/'Data Sheet'!F30</f>
        <v>0.4193885962</v>
      </c>
      <c r="G61" s="108">
        <f>'Data Sheet'!G31/'Data Sheet'!G30</f>
        <v>0.4122258131</v>
      </c>
      <c r="H61" s="108">
        <f>'Data Sheet'!H31/'Data Sheet'!H30</f>
        <v>0.5094177155</v>
      </c>
      <c r="I61" s="108">
        <f>'Data Sheet'!I31/'Data Sheet'!I30</f>
        <v>0.4092833006</v>
      </c>
      <c r="J61" s="108">
        <f>'Data Sheet'!J31/'Data Sheet'!J30</f>
        <v>0.4671601915</v>
      </c>
      <c r="K61" s="109">
        <f>'Data Sheet'!K31/'Data Sheet'!K30</f>
        <v>0.4254963644</v>
      </c>
      <c r="L61" s="14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5" customHeight="1">
      <c r="A62" s="107" t="s">
        <v>179</v>
      </c>
      <c r="B62" s="108">
        <f>'Data Sheet'!B69/'Data Sheet'!B61</f>
        <v>0.13582456</v>
      </c>
      <c r="C62" s="108">
        <f>'Data Sheet'!C69/'Data Sheet'!C61</f>
        <v>0.1092943337</v>
      </c>
      <c r="D62" s="108">
        <f>'Data Sheet'!D69/'Data Sheet'!D61</f>
        <v>0.108584273</v>
      </c>
      <c r="E62" s="108">
        <f>'Data Sheet'!E69/'Data Sheet'!E61</f>
        <v>0.02835772841</v>
      </c>
      <c r="F62" s="108">
        <f>'Data Sheet'!F69/'Data Sheet'!F61</f>
        <v>0.02292781424</v>
      </c>
      <c r="G62" s="108">
        <f>'Data Sheet'!G69/'Data Sheet'!G61</f>
        <v>0.04017414478</v>
      </c>
      <c r="H62" s="108">
        <f>'Data Sheet'!H69/'Data Sheet'!H61</f>
        <v>0.06458667703</v>
      </c>
      <c r="I62" s="108">
        <f>'Data Sheet'!I69/'Data Sheet'!I61</f>
        <v>0.02940026796</v>
      </c>
      <c r="J62" s="108">
        <f>'Data Sheet'!J69/'Data Sheet'!J61</f>
        <v>0.02737918522</v>
      </c>
      <c r="K62" s="109">
        <f>'Data Sheet'!K69/'Data Sheet'!K61</f>
        <v>0.04850857946</v>
      </c>
      <c r="L62" s="14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5" customHeight="1">
      <c r="A63" s="107" t="s">
        <v>180</v>
      </c>
      <c r="B63" s="108">
        <f>'Calculated Data'!B4/'Calculated Data'!B13</f>
        <v>0.6454806514</v>
      </c>
      <c r="C63" s="108">
        <f>'Calculated Data'!C4/'Calculated Data'!C13</f>
        <v>0.5475433933</v>
      </c>
      <c r="D63" s="108">
        <f>'Calculated Data'!D4/'Calculated Data'!D13</f>
        <v>0.5082301015</v>
      </c>
      <c r="E63" s="108">
        <f>'Calculated Data'!E4/'Calculated Data'!E13</f>
        <v>0.6570255723</v>
      </c>
      <c r="F63" s="108">
        <f>'Calculated Data'!F4/'Calculated Data'!F13</f>
        <v>0.5931330016</v>
      </c>
      <c r="G63" s="108">
        <f>'Calculated Data'!G4/'Calculated Data'!G13</f>
        <v>0.6438256471</v>
      </c>
      <c r="H63" s="108">
        <f>'Calculated Data'!H4/'Calculated Data'!H13</f>
        <v>0.5436755294</v>
      </c>
      <c r="I63" s="108">
        <f>'Calculated Data'!I4/'Calculated Data'!I13</f>
        <v>0.4674362336</v>
      </c>
      <c r="J63" s="108">
        <f>'Calculated Data'!J4/'Calculated Data'!J13</f>
        <v>0.4155617479</v>
      </c>
      <c r="K63" s="109">
        <f>'Calculated Data'!K4/'Calculated Data'!K13</f>
        <v>0.4048826574</v>
      </c>
      <c r="L63" s="14"/>
      <c r="M63" s="6" t="s">
        <v>181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5" customHeight="1">
      <c r="A64" s="107" t="s">
        <v>182</v>
      </c>
      <c r="B64" s="110">
        <f>'Calculated Data'!B26</f>
        <v>660.5007483</v>
      </c>
      <c r="C64" s="110">
        <f>'Calculated Data'!C26</f>
        <v>722.8428659</v>
      </c>
      <c r="D64" s="110">
        <f>'Calculated Data'!D26</f>
        <v>788.2357835</v>
      </c>
      <c r="E64" s="110">
        <f>'Calculated Data'!E26</f>
        <v>952.0191857</v>
      </c>
      <c r="F64" s="110">
        <f>'Calculated Data'!F26</f>
        <v>1027.630662</v>
      </c>
      <c r="G64" s="110">
        <f>'Calculated Data'!G26</f>
        <v>1306.211342</v>
      </c>
      <c r="H64" s="110">
        <f>'Calculated Data'!H26</f>
        <v>1380.213062</v>
      </c>
      <c r="I64" s="110">
        <f>'Calculated Data'!I26</f>
        <v>1308.880176</v>
      </c>
      <c r="J64" s="110">
        <f>'Calculated Data'!J26</f>
        <v>1295.231032</v>
      </c>
      <c r="K64" s="111">
        <f>'Calculated Data'!K26</f>
        <v>1749.134296</v>
      </c>
      <c r="L64" s="14"/>
      <c r="M64" s="6" t="s">
        <v>183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0" customHeight="1">
      <c r="A65" s="107" t="s">
        <v>184</v>
      </c>
      <c r="B65" s="112">
        <f>'Calculated Data'!B33</f>
        <v>24227.4736</v>
      </c>
      <c r="C65" s="112">
        <f>'Calculated Data'!C33</f>
        <v>31097.264</v>
      </c>
      <c r="D65" s="112">
        <f>'Calculated Data'!D33</f>
        <v>47166.7416</v>
      </c>
      <c r="E65" s="112">
        <f>'Calculated Data'!E33</f>
        <v>52559.364</v>
      </c>
      <c r="F65" s="112">
        <f>'Calculated Data'!F33</f>
        <v>77819.896</v>
      </c>
      <c r="G65" s="112">
        <f>'Calculated Data'!G33</f>
        <v>83296.928</v>
      </c>
      <c r="H65" s="112">
        <f>'Calculated Data'!H33</f>
        <v>102970.12</v>
      </c>
      <c r="I65" s="112">
        <f>'Calculated Data'!I33</f>
        <v>107468.768</v>
      </c>
      <c r="J65" s="112">
        <f>'Calculated Data'!J33</f>
        <v>143179.784</v>
      </c>
      <c r="K65" s="113">
        <f>'Calculated Data'!K33</f>
        <v>159850.68</v>
      </c>
      <c r="L65" s="14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0" customHeight="1">
      <c r="A66" s="14" t="s">
        <v>185</v>
      </c>
      <c r="B66" s="14"/>
      <c r="C66" s="114">
        <f t="shared" ref="C66:K66" si="7">C65-B65</f>
        <v>6869.7904</v>
      </c>
      <c r="D66" s="114">
        <f t="shared" si="7"/>
        <v>16069.4776</v>
      </c>
      <c r="E66" s="114">
        <f t="shared" si="7"/>
        <v>5392.6224</v>
      </c>
      <c r="F66" s="114">
        <f t="shared" si="7"/>
        <v>25260.532</v>
      </c>
      <c r="G66" s="114">
        <f t="shared" si="7"/>
        <v>5477.032</v>
      </c>
      <c r="H66" s="114">
        <f t="shared" si="7"/>
        <v>19673.192</v>
      </c>
      <c r="I66" s="114">
        <f t="shared" si="7"/>
        <v>4498.648</v>
      </c>
      <c r="J66" s="114">
        <f t="shared" si="7"/>
        <v>35711.016</v>
      </c>
      <c r="K66" s="115">
        <f t="shared" si="7"/>
        <v>16670.896</v>
      </c>
      <c r="L66" s="14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5" customHeight="1">
      <c r="A67" s="14" t="s">
        <v>186</v>
      </c>
      <c r="B67" s="26"/>
      <c r="C67" s="26">
        <f t="shared" ref="C67:K67" si="8">C66-C64</f>
        <v>6146.947534</v>
      </c>
      <c r="D67" s="26">
        <f t="shared" si="8"/>
        <v>15281.24182</v>
      </c>
      <c r="E67" s="26">
        <f t="shared" si="8"/>
        <v>4440.603214</v>
      </c>
      <c r="F67" s="26">
        <f t="shared" si="8"/>
        <v>24232.90134</v>
      </c>
      <c r="G67" s="26">
        <f t="shared" si="8"/>
        <v>4170.820658</v>
      </c>
      <c r="H67" s="26">
        <f t="shared" si="8"/>
        <v>18292.97894</v>
      </c>
      <c r="I67" s="26">
        <f t="shared" si="8"/>
        <v>3189.767824</v>
      </c>
      <c r="J67" s="26">
        <f t="shared" si="8"/>
        <v>34415.78497</v>
      </c>
      <c r="K67" s="116">
        <f t="shared" si="8"/>
        <v>14921.7617</v>
      </c>
      <c r="L67" s="1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5" customHeight="1">
      <c r="A69" s="14" t="s">
        <v>187</v>
      </c>
      <c r="B69" s="117">
        <f>SUM('Calculated Data'!B$18:K$18)/SUM('Calculated Data'!B$7:K$7)</f>
        <v>0.5091635376</v>
      </c>
      <c r="C69" s="18"/>
      <c r="D69" s="18"/>
      <c r="E69" s="18"/>
      <c r="F69" s="18"/>
      <c r="G69" s="18"/>
      <c r="H69" s="18"/>
      <c r="I69" s="18"/>
      <c r="J69" s="18"/>
      <c r="K69" s="18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5" customHeight="1">
      <c r="A70" s="14" t="s">
        <v>188</v>
      </c>
      <c r="B70" s="117">
        <f>SUM('Calculated Data'!E$18:K$18)/SUM('Calculated Data'!E$7:K$7)</f>
        <v>0.5150126112</v>
      </c>
      <c r="C70" s="18"/>
      <c r="D70" s="18"/>
      <c r="E70" s="18"/>
      <c r="F70" s="18"/>
      <c r="G70" s="18"/>
      <c r="H70" s="18"/>
      <c r="I70" s="18"/>
      <c r="J70" s="18"/>
      <c r="K70" s="18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5" customHeight="1">
      <c r="A71" s="14" t="s">
        <v>189</v>
      </c>
      <c r="B71" s="117">
        <f>SUM('Calculated Data'!G$18:K$18)/SUM('Calculated Data'!G$7:K$7)</f>
        <v>0.5602464333</v>
      </c>
      <c r="C71" s="15"/>
      <c r="D71" s="15"/>
      <c r="E71" s="15"/>
      <c r="F71" s="15"/>
      <c r="G71" s="15"/>
      <c r="H71" s="15"/>
      <c r="I71" s="15"/>
      <c r="J71" s="15"/>
      <c r="K71" s="15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5" customHeight="1">
      <c r="A72" s="14" t="s">
        <v>190</v>
      </c>
      <c r="B72" s="117">
        <f>SUM('Calculated Data'!I$18:K$18)/SUM('Calculated Data'!I$7:K$7)</f>
        <v>0.6687487862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14" t="s">
        <v>191</v>
      </c>
      <c r="B73" s="117">
        <f>SUM('Calculated Data'!B$18:K$18)/SUM('Data Sheet'!B26:K26)</f>
        <v>2.510797454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3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3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3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3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3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3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3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3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3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3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3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3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3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3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3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3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3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3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3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3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3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3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3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3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3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3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0:J10"/>
    <mergeCell ref="A34:K34"/>
    <mergeCell ref="A48:K48"/>
    <mergeCell ref="A59:K59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24.25"/>
    <col customWidth="1" min="2" max="2" width="11.75"/>
    <col customWidth="1" min="3" max="3" width="14.88"/>
    <col customWidth="1" min="4" max="11" width="11.75"/>
    <col customWidth="1" min="12" max="26" width="7.75"/>
  </cols>
  <sheetData>
    <row r="1" ht="13.5" customHeight="1">
      <c r="A1" s="118" t="s">
        <v>192</v>
      </c>
      <c r="B1" s="119" t="s">
        <v>193</v>
      </c>
      <c r="C1" s="118"/>
      <c r="D1" s="118"/>
      <c r="E1" s="120" t="str">
        <f>IF(H2&lt;&gt;H3, "A NEW VERSION OF THE WORKSHEET IS AVAILABLE", "")</f>
        <v/>
      </c>
      <c r="F1" s="121"/>
      <c r="G1" s="121"/>
      <c r="H1" s="121"/>
      <c r="I1" s="121"/>
      <c r="J1" s="121"/>
      <c r="K1" s="122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ht="13.5" customHeight="1">
      <c r="A2" s="118" t="s">
        <v>194</v>
      </c>
      <c r="B2" s="123">
        <v>2.1</v>
      </c>
      <c r="C2" s="124"/>
      <c r="D2" s="125"/>
      <c r="E2" s="126" t="s">
        <v>195</v>
      </c>
      <c r="F2" s="121"/>
      <c r="G2" s="121"/>
      <c r="H2" s="121"/>
      <c r="I2" s="121"/>
      <c r="J2" s="121"/>
      <c r="K2" s="122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ht="13.5" customHeight="1">
      <c r="A3" s="118" t="s">
        <v>196</v>
      </c>
      <c r="B3" s="123">
        <v>2.1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ht="13.5" customHeight="1">
      <c r="A4" s="11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ht="13.5" customHeight="1">
      <c r="A5" s="118" t="s">
        <v>197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ht="13.5" customHeight="1">
      <c r="A6" s="124" t="s">
        <v>198</v>
      </c>
      <c r="B6" s="123">
        <f>IF(B9&gt;0, B9/B8, 0)</f>
        <v>95.93879047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ht="13.5" customHeight="1">
      <c r="A7" s="124" t="s">
        <v>199</v>
      </c>
      <c r="B7" s="127">
        <v>1.0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ht="13.5" customHeight="1">
      <c r="A8" s="124" t="s">
        <v>200</v>
      </c>
      <c r="B8" s="127">
        <v>2754.8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ht="13.5" customHeight="1">
      <c r="A9" s="124" t="s">
        <v>201</v>
      </c>
      <c r="B9" s="127">
        <v>264292.18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ht="13.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ht="13.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ht="13.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ht="13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ht="13.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ht="13.5" customHeight="1">
      <c r="A15" s="128" t="s">
        <v>202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ht="13.5" customHeight="1">
      <c r="A16" s="129" t="s">
        <v>203</v>
      </c>
      <c r="B16" s="130">
        <v>40633.0</v>
      </c>
      <c r="C16" s="130">
        <v>40999.0</v>
      </c>
      <c r="D16" s="130">
        <v>41364.0</v>
      </c>
      <c r="E16" s="130">
        <v>41729.0</v>
      </c>
      <c r="F16" s="130">
        <v>42094.0</v>
      </c>
      <c r="G16" s="130">
        <v>42460.0</v>
      </c>
      <c r="H16" s="130">
        <v>42825.0</v>
      </c>
      <c r="I16" s="130">
        <v>43190.0</v>
      </c>
      <c r="J16" s="130">
        <v>43555.0</v>
      </c>
      <c r="K16" s="130">
        <v>43921.0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ht="13.5" customHeight="1">
      <c r="A17" s="124" t="s">
        <v>5</v>
      </c>
      <c r="B17" s="127">
        <v>7402.91</v>
      </c>
      <c r="C17" s="127">
        <v>9231.25</v>
      </c>
      <c r="D17" s="127">
        <v>10503.91</v>
      </c>
      <c r="E17" s="127">
        <v>12220.37</v>
      </c>
      <c r="F17" s="127">
        <v>13615.26</v>
      </c>
      <c r="G17" s="127">
        <v>14271.49</v>
      </c>
      <c r="H17" s="127">
        <v>15061.99</v>
      </c>
      <c r="I17" s="127">
        <v>16824.55</v>
      </c>
      <c r="J17" s="127">
        <v>19240.13</v>
      </c>
      <c r="K17" s="127">
        <v>20211.25</v>
      </c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ht="13.5" customHeight="1">
      <c r="A18" s="124" t="s">
        <v>85</v>
      </c>
      <c r="B18" s="127">
        <v>3906.17</v>
      </c>
      <c r="C18" s="127">
        <v>5117.61</v>
      </c>
      <c r="D18" s="127">
        <v>5636.23</v>
      </c>
      <c r="E18" s="127">
        <v>6339.75</v>
      </c>
      <c r="F18" s="127">
        <v>8119.54</v>
      </c>
      <c r="G18" s="127">
        <v>7850.32</v>
      </c>
      <c r="H18" s="127">
        <v>7452.6</v>
      </c>
      <c r="I18" s="127">
        <v>8128.17</v>
      </c>
      <c r="J18" s="127">
        <v>9974.4</v>
      </c>
      <c r="K18" s="127">
        <v>9986.19</v>
      </c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ht="13.5" customHeight="1">
      <c r="A19" s="124" t="s">
        <v>86</v>
      </c>
      <c r="B19" s="127">
        <v>151.43</v>
      </c>
      <c r="C19" s="127">
        <v>172.95</v>
      </c>
      <c r="D19" s="127">
        <v>149.56</v>
      </c>
      <c r="E19" s="127">
        <v>90.28</v>
      </c>
      <c r="F19" s="127">
        <v>148.07</v>
      </c>
      <c r="G19" s="127">
        <v>-199.33</v>
      </c>
      <c r="H19" s="127">
        <v>528.6</v>
      </c>
      <c r="I19" s="127">
        <v>-142.13</v>
      </c>
      <c r="J19" s="127">
        <v>293.26</v>
      </c>
      <c r="K19" s="127">
        <v>239.15</v>
      </c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ht="13.5" customHeight="1">
      <c r="A20" s="124" t="s">
        <v>87</v>
      </c>
      <c r="B20" s="127">
        <v>77.19</v>
      </c>
      <c r="C20" s="127">
        <v>87.41</v>
      </c>
      <c r="D20" s="127">
        <v>114.71</v>
      </c>
      <c r="E20" s="127">
        <v>133.74</v>
      </c>
      <c r="F20" s="127">
        <v>130.68</v>
      </c>
      <c r="G20" s="127">
        <v>114.48</v>
      </c>
      <c r="H20" s="127">
        <v>106.02</v>
      </c>
      <c r="I20" s="127">
        <v>110.3</v>
      </c>
      <c r="J20" s="127">
        <v>119.63</v>
      </c>
      <c r="K20" s="127">
        <v>114.93</v>
      </c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ht="13.5" customHeight="1">
      <c r="A21" s="124" t="s">
        <v>88</v>
      </c>
      <c r="B21" s="127">
        <v>845.13</v>
      </c>
      <c r="C21" s="127">
        <v>985.76</v>
      </c>
      <c r="D21" s="127">
        <v>1107.31</v>
      </c>
      <c r="E21" s="127">
        <v>1292.18</v>
      </c>
      <c r="F21" s="127">
        <v>259.76</v>
      </c>
      <c r="G21" s="127">
        <v>254.73</v>
      </c>
      <c r="H21" s="127">
        <v>1662.75</v>
      </c>
      <c r="I21" s="127">
        <v>1691.68</v>
      </c>
      <c r="J21" s="127">
        <v>1862.35</v>
      </c>
      <c r="K21" s="127">
        <v>1941.92</v>
      </c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ht="13.5" customHeight="1">
      <c r="A22" s="124" t="s">
        <v>89</v>
      </c>
      <c r="B22" s="127">
        <v>456.05</v>
      </c>
      <c r="C22" s="127">
        <v>529.67</v>
      </c>
      <c r="D22" s="127">
        <v>627.59</v>
      </c>
      <c r="E22" s="127">
        <v>763.59</v>
      </c>
      <c r="F22" s="127">
        <v>936.86</v>
      </c>
      <c r="G22" s="127">
        <v>994.98</v>
      </c>
      <c r="H22" s="127">
        <v>1039.89</v>
      </c>
      <c r="I22" s="127">
        <v>1121.89</v>
      </c>
      <c r="J22" s="127">
        <v>1242.69</v>
      </c>
      <c r="K22" s="127">
        <v>1371.27</v>
      </c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ht="13.5" customHeight="1">
      <c r="A23" s="124" t="s">
        <v>204</v>
      </c>
      <c r="B23" s="127">
        <v>1480.36</v>
      </c>
      <c r="C23" s="127">
        <v>1855.87</v>
      </c>
      <c r="D23" s="127">
        <v>2273.91</v>
      </c>
      <c r="E23" s="127">
        <v>2826.43</v>
      </c>
      <c r="F23" s="127">
        <v>3370.79</v>
      </c>
      <c r="G23" s="127">
        <v>3946.74</v>
      </c>
      <c r="H23" s="127">
        <v>4364.04</v>
      </c>
      <c r="I23" s="127">
        <v>2254.92</v>
      </c>
      <c r="J23" s="127">
        <v>2366.87</v>
      </c>
      <c r="K23" s="127">
        <v>2623.15</v>
      </c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ht="13.5" customHeight="1">
      <c r="A24" s="124" t="s">
        <v>91</v>
      </c>
      <c r="B24" s="127">
        <v>-541.43</v>
      </c>
      <c r="C24" s="127">
        <v>-683.3</v>
      </c>
      <c r="D24" s="127">
        <v>-843.67</v>
      </c>
      <c r="E24" s="127">
        <v>-1038.74</v>
      </c>
      <c r="F24" s="127">
        <v>-1269.62</v>
      </c>
      <c r="G24" s="127">
        <v>-1814.13</v>
      </c>
      <c r="H24" s="127">
        <v>-2028.47</v>
      </c>
      <c r="I24" s="127">
        <v>171.45</v>
      </c>
      <c r="J24" s="127">
        <v>202.51</v>
      </c>
      <c r="K24" s="127">
        <v>250.5</v>
      </c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ht="13.5" customHeight="1">
      <c r="A25" s="124" t="s">
        <v>8</v>
      </c>
      <c r="B25" s="127">
        <v>67.98</v>
      </c>
      <c r="C25" s="127">
        <v>107.41</v>
      </c>
      <c r="D25" s="127">
        <v>114.48</v>
      </c>
      <c r="E25" s="127">
        <v>134.22</v>
      </c>
      <c r="F25" s="127">
        <v>169.71</v>
      </c>
      <c r="G25" s="127">
        <v>213.39</v>
      </c>
      <c r="H25" s="127">
        <v>337.9</v>
      </c>
      <c r="I25" s="127">
        <v>336.41</v>
      </c>
      <c r="J25" s="127">
        <v>273.77</v>
      </c>
      <c r="K25" s="127">
        <v>355.05</v>
      </c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ht="13.5" customHeight="1">
      <c r="A26" s="124" t="s">
        <v>9</v>
      </c>
      <c r="B26" s="127">
        <v>113.13</v>
      </c>
      <c r="C26" s="127">
        <v>121.13</v>
      </c>
      <c r="D26" s="127">
        <v>154.6</v>
      </c>
      <c r="E26" s="127">
        <v>245.66</v>
      </c>
      <c r="F26" s="127">
        <v>265.92</v>
      </c>
      <c r="G26" s="127">
        <v>275.58</v>
      </c>
      <c r="H26" s="127">
        <v>334.79</v>
      </c>
      <c r="I26" s="127">
        <v>360.47</v>
      </c>
      <c r="J26" s="127">
        <v>622.14</v>
      </c>
      <c r="K26" s="127">
        <v>780.5</v>
      </c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</row>
    <row r="27" ht="13.5" customHeight="1">
      <c r="A27" s="124" t="s">
        <v>10</v>
      </c>
      <c r="B27" s="127">
        <v>25.98</v>
      </c>
      <c r="C27" s="127">
        <v>43.38</v>
      </c>
      <c r="D27" s="127">
        <v>42.06</v>
      </c>
      <c r="E27" s="127">
        <v>47.99</v>
      </c>
      <c r="F27" s="127">
        <v>42.24</v>
      </c>
      <c r="G27" s="127">
        <v>49.0</v>
      </c>
      <c r="H27" s="127">
        <v>37.33</v>
      </c>
      <c r="I27" s="127">
        <v>41.47</v>
      </c>
      <c r="J27" s="127">
        <v>110.47</v>
      </c>
      <c r="K27" s="127">
        <v>107.95</v>
      </c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</row>
    <row r="28" ht="13.5" customHeight="1">
      <c r="A28" s="124" t="s">
        <v>11</v>
      </c>
      <c r="B28" s="127">
        <v>1259.74</v>
      </c>
      <c r="C28" s="127">
        <v>1454.08</v>
      </c>
      <c r="D28" s="127">
        <v>1655.21</v>
      </c>
      <c r="E28" s="127">
        <v>1834.27</v>
      </c>
      <c r="F28" s="127">
        <v>2076.87</v>
      </c>
      <c r="G28" s="127">
        <v>2613.85</v>
      </c>
      <c r="H28" s="127">
        <v>2959.54</v>
      </c>
      <c r="I28" s="127">
        <v>3138.48</v>
      </c>
      <c r="J28" s="127">
        <v>3306.1</v>
      </c>
      <c r="K28" s="127">
        <v>3629.04</v>
      </c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</row>
    <row r="29" ht="13.5" customHeight="1">
      <c r="A29" s="124" t="s">
        <v>12</v>
      </c>
      <c r="B29" s="127">
        <v>378.39</v>
      </c>
      <c r="C29" s="127">
        <v>433.5</v>
      </c>
      <c r="D29" s="127">
        <v>495.69</v>
      </c>
      <c r="E29" s="127">
        <v>571.51</v>
      </c>
      <c r="F29" s="127">
        <v>649.54</v>
      </c>
      <c r="G29" s="127">
        <v>844.49</v>
      </c>
      <c r="H29" s="127">
        <v>943.29</v>
      </c>
      <c r="I29" s="127">
        <v>1040.96</v>
      </c>
      <c r="J29" s="127">
        <v>1098.06</v>
      </c>
      <c r="K29" s="127">
        <v>854.85</v>
      </c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</row>
    <row r="30" ht="13.5" customHeight="1">
      <c r="A30" s="124" t="s">
        <v>13</v>
      </c>
      <c r="B30" s="127">
        <v>843.24</v>
      </c>
      <c r="C30" s="127">
        <v>988.73</v>
      </c>
      <c r="D30" s="127">
        <v>1113.88</v>
      </c>
      <c r="E30" s="127">
        <v>1218.81</v>
      </c>
      <c r="F30" s="127">
        <v>1395.15</v>
      </c>
      <c r="G30" s="127">
        <v>1745.16</v>
      </c>
      <c r="H30" s="127">
        <v>1939.43</v>
      </c>
      <c r="I30" s="127">
        <v>2038.93</v>
      </c>
      <c r="J30" s="127">
        <v>2155.92</v>
      </c>
      <c r="K30" s="127">
        <v>2705.17</v>
      </c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</row>
    <row r="31" ht="13.5" customHeight="1">
      <c r="A31" s="124" t="s">
        <v>94</v>
      </c>
      <c r="B31" s="127">
        <v>306.94</v>
      </c>
      <c r="C31" s="127">
        <v>383.68</v>
      </c>
      <c r="D31" s="127">
        <v>441.23</v>
      </c>
      <c r="E31" s="127">
        <v>508.38</v>
      </c>
      <c r="F31" s="127">
        <v>585.11</v>
      </c>
      <c r="G31" s="127">
        <v>719.4</v>
      </c>
      <c r="H31" s="127">
        <v>987.98</v>
      </c>
      <c r="I31" s="127">
        <v>834.5</v>
      </c>
      <c r="J31" s="127">
        <v>1007.16</v>
      </c>
      <c r="K31" s="127">
        <v>1151.04</v>
      </c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</row>
    <row r="32" ht="13.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</row>
    <row r="33" ht="13.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</row>
    <row r="34" ht="13.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</row>
    <row r="35" ht="13.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</row>
    <row r="36" ht="13.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</row>
    <row r="37" ht="13.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</row>
    <row r="38" ht="13.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39" ht="13.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</row>
    <row r="40" ht="13.5" customHeight="1">
      <c r="A40" s="128" t="s">
        <v>205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ht="13.5" customHeight="1">
      <c r="A41" s="129" t="s">
        <v>203</v>
      </c>
      <c r="B41" s="130">
        <v>43281.0</v>
      </c>
      <c r="C41" s="130">
        <v>43373.0</v>
      </c>
      <c r="D41" s="130">
        <v>43465.0</v>
      </c>
      <c r="E41" s="130">
        <v>43555.0</v>
      </c>
      <c r="F41" s="130">
        <v>43646.0</v>
      </c>
      <c r="G41" s="130">
        <v>43738.0</v>
      </c>
      <c r="H41" s="130">
        <v>43830.0</v>
      </c>
      <c r="I41" s="130">
        <v>43921.0</v>
      </c>
      <c r="J41" s="130">
        <v>44012.0</v>
      </c>
      <c r="K41" s="130">
        <v>44104.0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ht="13.5" customHeight="1">
      <c r="A42" s="124" t="s">
        <v>5</v>
      </c>
      <c r="B42" s="127">
        <v>4390.27</v>
      </c>
      <c r="C42" s="127">
        <v>4615.49</v>
      </c>
      <c r="D42" s="127">
        <v>5263.04</v>
      </c>
      <c r="E42" s="127">
        <v>4991.5</v>
      </c>
      <c r="F42" s="127">
        <v>5104.72</v>
      </c>
      <c r="G42" s="127">
        <v>5050.66</v>
      </c>
      <c r="H42" s="127">
        <v>5420.28</v>
      </c>
      <c r="I42" s="127">
        <v>4635.59</v>
      </c>
      <c r="J42" s="127">
        <v>2922.66</v>
      </c>
      <c r="K42" s="127">
        <v>5350.23</v>
      </c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  <row r="43" ht="13.5" customHeight="1">
      <c r="A43" s="124" t="s">
        <v>6</v>
      </c>
      <c r="B43" s="127">
        <v>3460.57</v>
      </c>
      <c r="C43" s="127">
        <v>3771.79</v>
      </c>
      <c r="D43" s="127">
        <v>4159.45</v>
      </c>
      <c r="E43" s="127">
        <v>4108.14</v>
      </c>
      <c r="F43" s="127">
        <v>3948.85</v>
      </c>
      <c r="G43" s="127">
        <v>4098.72</v>
      </c>
      <c r="H43" s="127">
        <v>4230.89</v>
      </c>
      <c r="I43" s="127">
        <v>3775.97</v>
      </c>
      <c r="J43" s="127">
        <v>2452.69</v>
      </c>
      <c r="K43" s="127">
        <v>4085.03</v>
      </c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</row>
    <row r="44" ht="13.5" customHeight="1">
      <c r="A44" s="124" t="s">
        <v>8</v>
      </c>
      <c r="B44" s="127">
        <v>73.19</v>
      </c>
      <c r="C44" s="127">
        <v>72.84</v>
      </c>
      <c r="D44" s="127">
        <v>64.64</v>
      </c>
      <c r="E44" s="127">
        <v>63.1</v>
      </c>
      <c r="F44" s="127">
        <v>85.71</v>
      </c>
      <c r="G44" s="127">
        <v>120.54</v>
      </c>
      <c r="H44" s="127">
        <v>89.04</v>
      </c>
      <c r="I44" s="127">
        <v>59.76</v>
      </c>
      <c r="J44" s="127">
        <v>47.09</v>
      </c>
      <c r="K44" s="127">
        <v>94.41</v>
      </c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</row>
    <row r="45" ht="13.5" customHeight="1">
      <c r="A45" s="124" t="s">
        <v>9</v>
      </c>
      <c r="B45" s="127">
        <v>135.81</v>
      </c>
      <c r="C45" s="127">
        <v>143.61</v>
      </c>
      <c r="D45" s="127">
        <v>164.98</v>
      </c>
      <c r="E45" s="127">
        <v>178.56</v>
      </c>
      <c r="F45" s="127">
        <v>191.75</v>
      </c>
      <c r="G45" s="127">
        <v>197.17</v>
      </c>
      <c r="H45" s="127">
        <v>197.08</v>
      </c>
      <c r="I45" s="127">
        <v>194.5</v>
      </c>
      <c r="J45" s="127">
        <v>191.17</v>
      </c>
      <c r="K45" s="127">
        <v>193.58</v>
      </c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</row>
    <row r="46" ht="13.5" customHeight="1">
      <c r="A46" s="124" t="s">
        <v>10</v>
      </c>
      <c r="B46" s="127">
        <v>20.96</v>
      </c>
      <c r="C46" s="127">
        <v>25.74</v>
      </c>
      <c r="D46" s="127">
        <v>29.07</v>
      </c>
      <c r="E46" s="127">
        <v>29.6</v>
      </c>
      <c r="F46" s="127">
        <v>26.66</v>
      </c>
      <c r="G46" s="127">
        <v>25.94</v>
      </c>
      <c r="H46" s="127">
        <v>24.07</v>
      </c>
      <c r="I46" s="127">
        <v>25.66</v>
      </c>
      <c r="J46" s="127">
        <v>20.13</v>
      </c>
      <c r="K46" s="127">
        <v>20.51</v>
      </c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</row>
    <row r="47" ht="13.5" customHeight="1">
      <c r="A47" s="124" t="s">
        <v>11</v>
      </c>
      <c r="B47" s="127">
        <v>846.12</v>
      </c>
      <c r="C47" s="127">
        <v>747.19</v>
      </c>
      <c r="D47" s="127">
        <v>974.18</v>
      </c>
      <c r="E47" s="127">
        <v>738.3</v>
      </c>
      <c r="F47" s="127">
        <v>1023.17</v>
      </c>
      <c r="G47" s="127">
        <v>849.37</v>
      </c>
      <c r="H47" s="127">
        <v>1057.28</v>
      </c>
      <c r="I47" s="127">
        <v>699.22</v>
      </c>
      <c r="J47" s="127">
        <v>305.76</v>
      </c>
      <c r="K47" s="127">
        <v>1145.52</v>
      </c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</row>
    <row r="48" ht="13.5" customHeight="1">
      <c r="A48" s="124" t="s">
        <v>12</v>
      </c>
      <c r="B48" s="127">
        <v>276.1</v>
      </c>
      <c r="C48" s="127">
        <v>242.45</v>
      </c>
      <c r="D48" s="127">
        <v>326.9</v>
      </c>
      <c r="E48" s="127">
        <v>252.31</v>
      </c>
      <c r="F48" s="127">
        <v>351.08</v>
      </c>
      <c r="G48" s="127">
        <v>7.23</v>
      </c>
      <c r="H48" s="127">
        <v>277.57</v>
      </c>
      <c r="I48" s="127">
        <v>218.97</v>
      </c>
      <c r="J48" s="127">
        <v>86.15</v>
      </c>
      <c r="K48" s="127">
        <v>293.62</v>
      </c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</row>
    <row r="49" ht="13.5" customHeight="1">
      <c r="A49" s="124" t="s">
        <v>13</v>
      </c>
      <c r="B49" s="127">
        <v>556.85</v>
      </c>
      <c r="C49" s="127">
        <v>491.58</v>
      </c>
      <c r="D49" s="127">
        <v>635.83</v>
      </c>
      <c r="E49" s="127">
        <v>471.65</v>
      </c>
      <c r="F49" s="127">
        <v>655.44</v>
      </c>
      <c r="G49" s="127">
        <v>823.41</v>
      </c>
      <c r="H49" s="127">
        <v>764.43</v>
      </c>
      <c r="I49" s="127">
        <v>461.89</v>
      </c>
      <c r="J49" s="127">
        <v>218.45</v>
      </c>
      <c r="K49" s="127">
        <v>830.37</v>
      </c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</row>
    <row r="50" ht="13.5" customHeight="1">
      <c r="A50" s="124" t="s">
        <v>7</v>
      </c>
      <c r="B50" s="127">
        <v>929.7</v>
      </c>
      <c r="C50" s="127">
        <v>843.7</v>
      </c>
      <c r="D50" s="127">
        <v>1103.59</v>
      </c>
      <c r="E50" s="127">
        <v>883.36</v>
      </c>
      <c r="F50" s="127">
        <v>1155.87</v>
      </c>
      <c r="G50" s="127">
        <v>951.94</v>
      </c>
      <c r="H50" s="127">
        <v>1189.39</v>
      </c>
      <c r="I50" s="127">
        <v>859.62</v>
      </c>
      <c r="J50" s="127">
        <v>469.97</v>
      </c>
      <c r="K50" s="127">
        <v>1265.2</v>
      </c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ht="13.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</row>
    <row r="52" ht="13.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</row>
    <row r="53" ht="13.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</row>
    <row r="54" ht="13.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ht="13.5" customHeight="1">
      <c r="A55" s="128" t="s">
        <v>206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</row>
    <row r="56" ht="13.5" customHeight="1">
      <c r="A56" s="129" t="s">
        <v>203</v>
      </c>
      <c r="B56" s="130">
        <v>40633.0</v>
      </c>
      <c r="C56" s="130">
        <v>40999.0</v>
      </c>
      <c r="D56" s="130">
        <v>41364.0</v>
      </c>
      <c r="E56" s="130">
        <v>41729.0</v>
      </c>
      <c r="F56" s="130">
        <v>42094.0</v>
      </c>
      <c r="G56" s="130">
        <v>42460.0</v>
      </c>
      <c r="H56" s="130">
        <v>42825.0</v>
      </c>
      <c r="I56" s="130">
        <v>43190.0</v>
      </c>
      <c r="J56" s="130">
        <v>43555.0</v>
      </c>
      <c r="K56" s="130">
        <v>43921.0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ht="13.5" customHeight="1">
      <c r="A57" s="124" t="s">
        <v>36</v>
      </c>
      <c r="B57" s="127">
        <v>95.92</v>
      </c>
      <c r="C57" s="127">
        <v>95.92</v>
      </c>
      <c r="D57" s="127">
        <v>95.92</v>
      </c>
      <c r="E57" s="127">
        <v>95.92</v>
      </c>
      <c r="F57" s="127">
        <v>95.92</v>
      </c>
      <c r="G57" s="127">
        <v>95.92</v>
      </c>
      <c r="H57" s="127">
        <v>95.92</v>
      </c>
      <c r="I57" s="127">
        <v>95.92</v>
      </c>
      <c r="J57" s="127">
        <v>95.92</v>
      </c>
      <c r="K57" s="127">
        <v>95.92</v>
      </c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</row>
    <row r="58" ht="13.5" customHeight="1">
      <c r="A58" s="124" t="s">
        <v>37</v>
      </c>
      <c r="B58" s="127">
        <v>2091.5</v>
      </c>
      <c r="C58" s="127">
        <v>2652.58</v>
      </c>
      <c r="D58" s="127">
        <v>3288.37</v>
      </c>
      <c r="E58" s="127">
        <v>3943.3</v>
      </c>
      <c r="F58" s="127">
        <v>4646.44</v>
      </c>
      <c r="G58" s="127">
        <v>6428.9</v>
      </c>
      <c r="H58" s="127">
        <v>7507.97</v>
      </c>
      <c r="I58" s="127">
        <v>8314.31</v>
      </c>
      <c r="J58" s="127">
        <v>9374.63</v>
      </c>
      <c r="K58" s="127">
        <v>10034.24</v>
      </c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</row>
    <row r="59" ht="13.5" customHeight="1">
      <c r="A59" s="124" t="s">
        <v>38</v>
      </c>
      <c r="B59" s="127">
        <v>233.43</v>
      </c>
      <c r="C59" s="127">
        <v>341.11</v>
      </c>
      <c r="D59" s="127">
        <v>250.96</v>
      </c>
      <c r="E59" s="127">
        <v>249.15</v>
      </c>
      <c r="F59" s="127">
        <v>418.17</v>
      </c>
      <c r="G59" s="127">
        <v>323.29</v>
      </c>
      <c r="H59" s="127">
        <v>560.34</v>
      </c>
      <c r="I59" s="127">
        <v>533.43</v>
      </c>
      <c r="J59" s="127">
        <v>1319.6</v>
      </c>
      <c r="K59" s="127">
        <v>1118.5</v>
      </c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</row>
    <row r="60" ht="13.5" customHeight="1">
      <c r="A60" s="124" t="s">
        <v>39</v>
      </c>
      <c r="B60" s="127">
        <v>2189.73</v>
      </c>
      <c r="C60" s="127">
        <v>2622.58</v>
      </c>
      <c r="D60" s="127">
        <v>3149.25</v>
      </c>
      <c r="E60" s="127">
        <v>3787.03</v>
      </c>
      <c r="F60" s="127">
        <v>3753.97</v>
      </c>
      <c r="G60" s="127">
        <v>3710.92</v>
      </c>
      <c r="H60" s="127">
        <v>4240.96</v>
      </c>
      <c r="I60" s="127">
        <v>4819.82</v>
      </c>
      <c r="J60" s="127">
        <v>5458.69</v>
      </c>
      <c r="K60" s="127">
        <v>4889.31</v>
      </c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</row>
    <row r="61" ht="13.5" customHeight="1">
      <c r="A61" s="118" t="s">
        <v>41</v>
      </c>
      <c r="B61" s="127">
        <v>4610.58</v>
      </c>
      <c r="C61" s="127">
        <v>5712.19</v>
      </c>
      <c r="D61" s="127">
        <v>6784.5</v>
      </c>
      <c r="E61" s="127">
        <v>8075.4</v>
      </c>
      <c r="F61" s="127">
        <v>8914.5</v>
      </c>
      <c r="G61" s="127">
        <v>10559.03</v>
      </c>
      <c r="H61" s="127">
        <v>12405.19</v>
      </c>
      <c r="I61" s="127">
        <v>13763.48</v>
      </c>
      <c r="J61" s="127">
        <v>16248.84</v>
      </c>
      <c r="K61" s="127">
        <v>16137.97</v>
      </c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</row>
    <row r="62" ht="13.5" customHeight="1">
      <c r="A62" s="124" t="s">
        <v>96</v>
      </c>
      <c r="B62" s="127">
        <v>1309.87</v>
      </c>
      <c r="C62" s="127">
        <v>1300.55</v>
      </c>
      <c r="D62" s="127">
        <v>2440.97</v>
      </c>
      <c r="E62" s="127">
        <v>2561.58</v>
      </c>
      <c r="F62" s="127">
        <v>2660.04</v>
      </c>
      <c r="G62" s="127">
        <v>3416.35</v>
      </c>
      <c r="H62" s="127">
        <v>3303.74</v>
      </c>
      <c r="I62" s="127">
        <v>3732.24</v>
      </c>
      <c r="J62" s="127">
        <v>6496.56</v>
      </c>
      <c r="K62" s="127">
        <v>6272.31</v>
      </c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</row>
    <row r="63" ht="13.5" customHeight="1">
      <c r="A63" s="124" t="s">
        <v>43</v>
      </c>
      <c r="B63" s="127">
        <v>43.32</v>
      </c>
      <c r="C63" s="127">
        <v>617.08</v>
      </c>
      <c r="D63" s="127">
        <v>59.21</v>
      </c>
      <c r="E63" s="127">
        <v>71.6</v>
      </c>
      <c r="F63" s="127">
        <v>196.0</v>
      </c>
      <c r="G63" s="127">
        <v>106.59</v>
      </c>
      <c r="H63" s="127">
        <v>257.54</v>
      </c>
      <c r="I63" s="127">
        <v>1405.11</v>
      </c>
      <c r="J63" s="127">
        <v>209.67</v>
      </c>
      <c r="K63" s="127">
        <v>140.24</v>
      </c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</row>
    <row r="64" ht="13.5" customHeight="1">
      <c r="A64" s="124" t="s">
        <v>44</v>
      </c>
      <c r="B64" s="127">
        <v>428.97</v>
      </c>
      <c r="C64" s="127">
        <v>354.74</v>
      </c>
      <c r="D64" s="127">
        <v>295.68</v>
      </c>
      <c r="E64" s="127">
        <v>1423.55</v>
      </c>
      <c r="F64" s="127">
        <v>1587.79</v>
      </c>
      <c r="G64" s="127">
        <v>2712.13</v>
      </c>
      <c r="H64" s="127">
        <v>2651.99</v>
      </c>
      <c r="I64" s="127">
        <v>2140.7</v>
      </c>
      <c r="J64" s="127">
        <v>2568.58</v>
      </c>
      <c r="K64" s="127">
        <v>2018.85</v>
      </c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</row>
    <row r="65" ht="13.5" customHeight="1">
      <c r="A65" s="124" t="s">
        <v>45</v>
      </c>
      <c r="B65" s="127">
        <v>2828.42</v>
      </c>
      <c r="C65" s="127">
        <v>3439.82</v>
      </c>
      <c r="D65" s="127">
        <v>3988.64</v>
      </c>
      <c r="E65" s="127">
        <v>4018.67</v>
      </c>
      <c r="F65" s="127">
        <v>4470.67</v>
      </c>
      <c r="G65" s="127">
        <v>4323.96</v>
      </c>
      <c r="H65" s="127">
        <v>6191.92</v>
      </c>
      <c r="I65" s="127">
        <v>6485.43</v>
      </c>
      <c r="J65" s="127">
        <v>6974.03</v>
      </c>
      <c r="K65" s="127">
        <v>7706.57</v>
      </c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</row>
    <row r="66" ht="13.5" customHeight="1">
      <c r="A66" s="118" t="s">
        <v>41</v>
      </c>
      <c r="B66" s="127">
        <v>4610.58</v>
      </c>
      <c r="C66" s="127">
        <v>5712.19</v>
      </c>
      <c r="D66" s="127">
        <v>6784.5</v>
      </c>
      <c r="E66" s="127">
        <v>8075.4</v>
      </c>
      <c r="F66" s="127">
        <v>8914.5</v>
      </c>
      <c r="G66" s="127">
        <v>10559.03</v>
      </c>
      <c r="H66" s="127">
        <v>12405.19</v>
      </c>
      <c r="I66" s="127">
        <v>13763.48</v>
      </c>
      <c r="J66" s="127">
        <v>16248.84</v>
      </c>
      <c r="K66" s="127">
        <v>16137.97</v>
      </c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</row>
    <row r="67" ht="13.5" customHeight="1">
      <c r="A67" s="124" t="s">
        <v>98</v>
      </c>
      <c r="B67" s="127">
        <v>573.1</v>
      </c>
      <c r="C67" s="127">
        <v>781.25</v>
      </c>
      <c r="D67" s="127">
        <v>980.88</v>
      </c>
      <c r="E67" s="127">
        <v>1110.3</v>
      </c>
      <c r="F67" s="127">
        <v>1182.07</v>
      </c>
      <c r="G67" s="127">
        <v>1186.84</v>
      </c>
      <c r="H67" s="127">
        <v>1446.6</v>
      </c>
      <c r="I67" s="127">
        <v>1730.63</v>
      </c>
      <c r="J67" s="127">
        <v>1907.33</v>
      </c>
      <c r="K67" s="127">
        <v>1795.22</v>
      </c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</row>
    <row r="68" ht="13.5" customHeight="1">
      <c r="A68" s="124" t="s">
        <v>50</v>
      </c>
      <c r="B68" s="127">
        <v>1305.43</v>
      </c>
      <c r="C68" s="127">
        <v>1598.89</v>
      </c>
      <c r="D68" s="127">
        <v>1830.29</v>
      </c>
      <c r="E68" s="127">
        <v>2069.86</v>
      </c>
      <c r="F68" s="127">
        <v>2258.52</v>
      </c>
      <c r="G68" s="127">
        <v>1998.24</v>
      </c>
      <c r="H68" s="127">
        <v>2626.94</v>
      </c>
      <c r="I68" s="127">
        <v>2658.31</v>
      </c>
      <c r="J68" s="127">
        <v>3149.86</v>
      </c>
      <c r="K68" s="127">
        <v>3389.81</v>
      </c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ht="13.5" customHeight="1">
      <c r="A69" s="124" t="s">
        <v>99</v>
      </c>
      <c r="B69" s="127">
        <v>626.23</v>
      </c>
      <c r="C69" s="127">
        <v>624.31</v>
      </c>
      <c r="D69" s="127">
        <v>736.69</v>
      </c>
      <c r="E69" s="127">
        <v>229.0</v>
      </c>
      <c r="F69" s="127">
        <v>204.39</v>
      </c>
      <c r="G69" s="127">
        <v>424.2</v>
      </c>
      <c r="H69" s="127">
        <v>801.21</v>
      </c>
      <c r="I69" s="127">
        <v>404.65</v>
      </c>
      <c r="J69" s="127">
        <v>444.88</v>
      </c>
      <c r="K69" s="127">
        <v>782.83</v>
      </c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</row>
    <row r="70" ht="13.5" customHeight="1">
      <c r="A70" s="124" t="s">
        <v>207</v>
      </c>
      <c r="B70" s="127">
        <v>9.5919779E7</v>
      </c>
      <c r="C70" s="127">
        <v>9.5919779E7</v>
      </c>
      <c r="D70" s="127">
        <v>9.5919779E7</v>
      </c>
      <c r="E70" s="127">
        <v>9.591978E8</v>
      </c>
      <c r="F70" s="127">
        <v>9.5919779E8</v>
      </c>
      <c r="G70" s="127">
        <v>9.5919779E8</v>
      </c>
      <c r="H70" s="127">
        <v>9.5919779E8</v>
      </c>
      <c r="I70" s="127">
        <v>9.5919779E8</v>
      </c>
      <c r="J70" s="127">
        <v>9.5919779E8</v>
      </c>
      <c r="K70" s="127">
        <v>9.5919779E8</v>
      </c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</row>
    <row r="71" ht="13.5" customHeight="1">
      <c r="A71" s="124" t="s">
        <v>208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</row>
    <row r="72" ht="13.5" customHeight="1">
      <c r="A72" s="124" t="s">
        <v>209</v>
      </c>
      <c r="B72" s="127">
        <v>10.0</v>
      </c>
      <c r="C72" s="127">
        <v>10.0</v>
      </c>
      <c r="D72" s="127">
        <v>10.0</v>
      </c>
      <c r="E72" s="127">
        <v>1.0</v>
      </c>
      <c r="F72" s="127">
        <v>1.0</v>
      </c>
      <c r="G72" s="127">
        <v>1.0</v>
      </c>
      <c r="H72" s="127">
        <v>1.0</v>
      </c>
      <c r="I72" s="127">
        <v>1.0</v>
      </c>
      <c r="J72" s="127">
        <v>1.0</v>
      </c>
      <c r="K72" s="127">
        <v>1.0</v>
      </c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ht="13.5" customHeight="1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</row>
    <row r="74" ht="13.5" customHeight="1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</row>
    <row r="75" ht="13.5" customHeigh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</row>
    <row r="76" ht="13.5" customHeight="1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</row>
    <row r="77" ht="13.5" customHeight="1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</row>
    <row r="78" ht="13.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</row>
    <row r="79" ht="13.5" customHeight="1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</row>
    <row r="80" ht="13.5" customHeight="1">
      <c r="A80" s="128" t="s">
        <v>210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</row>
    <row r="81" ht="13.5" customHeight="1">
      <c r="A81" s="129" t="s">
        <v>203</v>
      </c>
      <c r="B81" s="130">
        <v>40633.0</v>
      </c>
      <c r="C81" s="130">
        <v>40999.0</v>
      </c>
      <c r="D81" s="130">
        <v>41364.0</v>
      </c>
      <c r="E81" s="130">
        <v>41729.0</v>
      </c>
      <c r="F81" s="130">
        <v>42094.0</v>
      </c>
      <c r="G81" s="130">
        <v>42460.0</v>
      </c>
      <c r="H81" s="130">
        <v>42825.0</v>
      </c>
      <c r="I81" s="130">
        <v>43190.0</v>
      </c>
      <c r="J81" s="130">
        <v>43555.0</v>
      </c>
      <c r="K81" s="130">
        <v>43921.0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ht="13.5" customHeight="1">
      <c r="A82" s="124" t="s">
        <v>75</v>
      </c>
      <c r="B82" s="127">
        <v>762.46</v>
      </c>
      <c r="C82" s="127">
        <v>709.98</v>
      </c>
      <c r="D82" s="127">
        <v>1186.79</v>
      </c>
      <c r="E82" s="127">
        <v>1402.03</v>
      </c>
      <c r="F82" s="127">
        <v>1187.69</v>
      </c>
      <c r="G82" s="127">
        <v>2242.95</v>
      </c>
      <c r="H82" s="127">
        <v>1527.33</v>
      </c>
      <c r="I82" s="127">
        <v>2113.44</v>
      </c>
      <c r="J82" s="127">
        <v>2469.54</v>
      </c>
      <c r="K82" s="127">
        <v>2631.89</v>
      </c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</row>
    <row r="83" ht="13.5" customHeight="1">
      <c r="A83" s="124" t="s">
        <v>76</v>
      </c>
      <c r="B83" s="127">
        <v>-439.21</v>
      </c>
      <c r="C83" s="127">
        <v>-385.61</v>
      </c>
      <c r="D83" s="127">
        <v>-463.2</v>
      </c>
      <c r="E83" s="127">
        <v>-585.99</v>
      </c>
      <c r="F83" s="127">
        <v>-464.99</v>
      </c>
      <c r="G83" s="127">
        <v>-866.21</v>
      </c>
      <c r="H83" s="127">
        <v>-681.11</v>
      </c>
      <c r="I83" s="127">
        <v>-1556.14</v>
      </c>
      <c r="J83" s="127">
        <v>-917.79</v>
      </c>
      <c r="K83" s="127">
        <v>-517.91</v>
      </c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</row>
    <row r="84" ht="13.5" customHeight="1">
      <c r="A84" s="124" t="s">
        <v>77</v>
      </c>
      <c r="B84" s="127">
        <v>-334.49</v>
      </c>
      <c r="C84" s="127">
        <v>-326.58</v>
      </c>
      <c r="D84" s="127">
        <v>-601.0</v>
      </c>
      <c r="E84" s="127">
        <v>-625.91</v>
      </c>
      <c r="F84" s="127">
        <v>-576.09</v>
      </c>
      <c r="G84" s="127">
        <v>-848.98</v>
      </c>
      <c r="H84" s="127">
        <v>-756.43</v>
      </c>
      <c r="I84" s="127">
        <v>-1379.14</v>
      </c>
      <c r="J84" s="127">
        <v>-1117.46</v>
      </c>
      <c r="K84" s="127">
        <v>-2465.2</v>
      </c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</row>
    <row r="85" ht="13.5" customHeight="1">
      <c r="A85" s="124" t="s">
        <v>78</v>
      </c>
      <c r="B85" s="127">
        <v>-11.24</v>
      </c>
      <c r="C85" s="127">
        <v>-2.21</v>
      </c>
      <c r="D85" s="127">
        <v>122.59</v>
      </c>
      <c r="E85" s="127">
        <v>190.13</v>
      </c>
      <c r="F85" s="127">
        <v>146.61</v>
      </c>
      <c r="G85" s="127">
        <v>527.76</v>
      </c>
      <c r="H85" s="127">
        <v>89.79</v>
      </c>
      <c r="I85" s="127">
        <v>-821.84</v>
      </c>
      <c r="J85" s="127">
        <v>434.29</v>
      </c>
      <c r="K85" s="127">
        <v>-351.22</v>
      </c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</row>
    <row r="86" ht="13.5" customHeight="1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</row>
    <row r="87" ht="13.5" customHeight="1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</row>
    <row r="88" ht="13.5" customHeight="1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</row>
    <row r="89" ht="13.5" customHeight="1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</row>
    <row r="90" ht="13.5" customHeight="1">
      <c r="A90" s="118" t="s">
        <v>211</v>
      </c>
      <c r="B90" s="127">
        <v>252.58</v>
      </c>
      <c r="C90" s="127">
        <v>324.2</v>
      </c>
      <c r="D90" s="127">
        <v>491.73</v>
      </c>
      <c r="E90" s="127">
        <v>547.95</v>
      </c>
      <c r="F90" s="127">
        <v>811.3</v>
      </c>
      <c r="G90" s="127">
        <v>868.4</v>
      </c>
      <c r="H90" s="127">
        <v>1073.5</v>
      </c>
      <c r="I90" s="127">
        <v>1120.4</v>
      </c>
      <c r="J90" s="127">
        <v>1492.7</v>
      </c>
      <c r="K90" s="127">
        <v>1666.5</v>
      </c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</row>
    <row r="91" ht="13.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</row>
    <row r="92" ht="13.5" customHeight="1">
      <c r="A92" s="118" t="s">
        <v>212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</row>
    <row r="93" ht="13.5" customHeight="1">
      <c r="A93" s="124" t="s">
        <v>213</v>
      </c>
      <c r="B93" s="132">
        <v>95.92</v>
      </c>
      <c r="C93" s="132">
        <v>95.92</v>
      </c>
      <c r="D93" s="132">
        <v>95.92</v>
      </c>
      <c r="E93" s="132">
        <v>95.92</v>
      </c>
      <c r="F93" s="132">
        <v>95.92</v>
      </c>
      <c r="G93" s="132">
        <v>95.92</v>
      </c>
      <c r="H93" s="132">
        <v>95.92</v>
      </c>
      <c r="I93" s="132">
        <v>95.92</v>
      </c>
      <c r="J93" s="132">
        <v>95.92</v>
      </c>
      <c r="K93" s="132">
        <v>95.92</v>
      </c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</row>
    <row r="94" ht="13.5" customHeight="1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</row>
    <row r="95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</row>
    <row r="96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</row>
    <row r="97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</row>
    <row r="98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</row>
    <row r="99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</row>
    <row r="100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</row>
    <row r="10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</row>
    <row r="102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</row>
    <row r="103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</row>
    <row r="104" ht="13.5" customHeight="1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</row>
    <row r="105" ht="13.5" customHeight="1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</row>
    <row r="106" ht="13.5" customHeight="1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</row>
    <row r="107" ht="13.5" customHeight="1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</row>
    <row r="108" ht="13.5" customHeight="1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</row>
    <row r="109" ht="13.5" customHeight="1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</row>
    <row r="110" ht="13.5" customHeight="1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</row>
    <row r="111" ht="13.5" customHeight="1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</row>
    <row r="112" ht="13.5" customHeight="1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</row>
    <row r="113" ht="13.5" customHeight="1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</row>
    <row r="114" ht="13.5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</row>
    <row r="115" ht="13.5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</row>
    <row r="116" ht="13.5" customHeight="1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</row>
    <row r="117" ht="13.5" customHeight="1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</row>
    <row r="118" ht="13.5" customHeight="1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</row>
    <row r="119" ht="13.5" customHeight="1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</row>
    <row r="120" ht="13.5" customHeight="1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</row>
    <row r="121" ht="13.5" customHeight="1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</row>
    <row r="122" ht="13.5" customHeight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</row>
    <row r="123" ht="13.5" customHeight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</row>
    <row r="124" ht="13.5" customHeight="1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</row>
    <row r="125" ht="13.5" customHeight="1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</row>
    <row r="126" ht="13.5" customHeight="1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</row>
    <row r="127" ht="13.5" customHeight="1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</row>
    <row r="128" ht="13.5" customHeight="1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</row>
    <row r="129" ht="13.5" customHeight="1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</row>
    <row r="130" ht="13.5" customHeight="1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</row>
    <row r="131" ht="13.5" customHeight="1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</row>
    <row r="132" ht="13.5" customHeight="1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</row>
    <row r="133" ht="13.5" customHeight="1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</row>
    <row r="134" ht="13.5" customHeight="1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</row>
    <row r="135" ht="13.5" customHeight="1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</row>
    <row r="136" ht="13.5" customHeight="1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</row>
    <row r="137" ht="13.5" customHeight="1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</row>
    <row r="138" ht="13.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</row>
    <row r="139" ht="13.5" customHeight="1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</row>
    <row r="140" ht="13.5" customHeight="1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</row>
    <row r="141" ht="13.5" customHeight="1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</row>
    <row r="142" ht="13.5" customHeight="1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</row>
    <row r="143" ht="13.5" customHeight="1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</row>
    <row r="144" ht="13.5" customHeight="1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</row>
    <row r="145" ht="13.5" customHeight="1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</row>
    <row r="146" ht="13.5" customHeight="1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</row>
    <row r="147" ht="13.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</row>
    <row r="148" ht="13.5" customHeight="1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</row>
    <row r="149" ht="13.5" customHeight="1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</row>
    <row r="150" ht="13.5" customHeight="1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</row>
    <row r="151" ht="13.5" customHeight="1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</row>
    <row r="152" ht="13.5" customHeight="1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</row>
    <row r="153" ht="13.5" customHeight="1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</row>
    <row r="154" ht="13.5" customHeight="1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</row>
    <row r="155" ht="13.5" customHeight="1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</row>
    <row r="156" ht="13.5" customHeight="1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</row>
    <row r="157" ht="13.5" customHeight="1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</row>
    <row r="158" ht="13.5" customHeight="1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</row>
    <row r="159" ht="13.5" customHeight="1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</row>
    <row r="160" ht="13.5" customHeight="1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</row>
    <row r="161" ht="13.5" customHeight="1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</row>
    <row r="162" ht="13.5" customHeight="1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</row>
    <row r="163" ht="13.5" customHeight="1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</row>
    <row r="164" ht="13.5" customHeight="1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</row>
    <row r="165" ht="13.5" customHeight="1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</row>
    <row r="166" ht="13.5" customHeight="1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</row>
    <row r="167" ht="13.5" customHeight="1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</row>
    <row r="168" ht="13.5" customHeight="1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</row>
    <row r="169" ht="13.5" customHeight="1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</row>
    <row r="170" ht="13.5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</row>
    <row r="171" ht="13.5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</row>
    <row r="172" ht="13.5" customHeight="1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</row>
    <row r="173" ht="13.5" customHeight="1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</row>
    <row r="174" ht="13.5" customHeight="1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</row>
    <row r="175" ht="13.5" customHeight="1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</row>
    <row r="176" ht="13.5" customHeight="1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</row>
    <row r="177" ht="13.5" customHeight="1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</row>
    <row r="178" ht="13.5" customHeight="1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</row>
    <row r="179" ht="13.5" customHeight="1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</row>
    <row r="180" ht="13.5" customHeight="1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</row>
    <row r="181" ht="13.5" customHeight="1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</row>
    <row r="182" ht="13.5" customHeight="1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</row>
    <row r="183" ht="13.5" customHeight="1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</row>
    <row r="184" ht="13.5" customHeight="1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</row>
    <row r="185" ht="13.5" customHeight="1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</row>
    <row r="186" ht="13.5" customHeight="1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</row>
    <row r="187" ht="13.5" customHeight="1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</row>
    <row r="188" ht="13.5" customHeight="1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</row>
    <row r="189" ht="13.5" customHeight="1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</row>
    <row r="190" ht="13.5" customHeight="1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</row>
    <row r="191" ht="13.5" customHeight="1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</row>
    <row r="192" ht="13.5" customHeight="1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</row>
    <row r="193" ht="13.5" customHeight="1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</row>
    <row r="194" ht="13.5" customHeight="1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</row>
    <row r="195" ht="13.5" customHeight="1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</row>
    <row r="196" ht="13.5" customHeight="1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</row>
    <row r="197" ht="13.5" customHeight="1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</row>
    <row r="198" ht="13.5" customHeight="1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</row>
    <row r="199" ht="13.5" customHeight="1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</row>
    <row r="200" ht="13.5" customHeight="1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</row>
    <row r="201" ht="13.5" customHeight="1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</row>
    <row r="202" ht="13.5" customHeight="1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</row>
    <row r="203" ht="13.5" customHeight="1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</row>
    <row r="204" ht="13.5" customHeight="1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</row>
    <row r="205" ht="13.5" customHeight="1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</row>
    <row r="206" ht="13.5" customHeight="1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</row>
    <row r="207" ht="13.5" customHeight="1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</row>
    <row r="208" ht="13.5" customHeight="1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</row>
    <row r="209" ht="13.5" customHeight="1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</row>
    <row r="210" ht="13.5" customHeight="1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</row>
    <row r="211" ht="13.5" customHeight="1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</row>
    <row r="212" ht="13.5" customHeight="1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</row>
    <row r="213" ht="13.5" customHeight="1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</row>
    <row r="214" ht="13.5" customHeight="1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</row>
    <row r="215" ht="13.5" customHeight="1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</row>
    <row r="216" ht="13.5" customHeight="1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</row>
    <row r="217" ht="13.5" customHeight="1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</row>
    <row r="218" ht="13.5" customHeight="1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</row>
    <row r="219" ht="13.5" customHeight="1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</row>
    <row r="220" ht="13.5" customHeight="1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</row>
    <row r="221" ht="13.5" customHeight="1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</row>
    <row r="222" ht="13.5" customHeight="1">
      <c r="A222" s="124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</row>
    <row r="223" ht="13.5" customHeight="1">
      <c r="A223" s="124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</row>
    <row r="224" ht="13.5" customHeight="1">
      <c r="A224" s="124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</row>
    <row r="225" ht="13.5" customHeight="1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</row>
    <row r="226" ht="13.5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</row>
    <row r="227" ht="13.5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</row>
    <row r="228" ht="13.5" customHeight="1">
      <c r="A228" s="124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</row>
    <row r="229" ht="13.5" customHeight="1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</row>
    <row r="230" ht="13.5" customHeight="1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</row>
    <row r="231" ht="13.5" customHeight="1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</row>
    <row r="232" ht="13.5" customHeight="1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</row>
    <row r="233" ht="13.5" customHeight="1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</row>
    <row r="234" ht="13.5" customHeight="1">
      <c r="A234" s="124"/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</row>
    <row r="235" ht="13.5" customHeight="1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</row>
    <row r="236" ht="13.5" customHeight="1">
      <c r="A236" s="124"/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</row>
    <row r="237" ht="13.5" customHeight="1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</row>
    <row r="238" ht="13.5" customHeight="1">
      <c r="A238" s="124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</row>
    <row r="239" ht="13.5" customHeight="1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</row>
    <row r="240" ht="13.5" customHeight="1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</row>
    <row r="241" ht="13.5" customHeight="1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</row>
    <row r="242" ht="13.5" customHeight="1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</row>
    <row r="243" ht="13.5" customHeight="1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</row>
    <row r="244" ht="13.5" customHeight="1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</row>
    <row r="245" ht="13.5" customHeight="1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</row>
    <row r="246" ht="13.5" customHeight="1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</row>
    <row r="247" ht="13.5" customHeight="1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</row>
    <row r="248" ht="13.5" customHeight="1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</row>
    <row r="249" ht="13.5" customHeight="1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</row>
    <row r="250" ht="13.5" customHeight="1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</row>
    <row r="251" ht="13.5" customHeight="1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</row>
    <row r="252" ht="13.5" customHeight="1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</row>
    <row r="253" ht="13.5" customHeight="1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</row>
    <row r="254" ht="13.5" customHeight="1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</row>
    <row r="255" ht="13.5" customHeight="1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</row>
    <row r="256" ht="13.5" customHeight="1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</row>
    <row r="257" ht="13.5" customHeight="1">
      <c r="A257" s="124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</row>
    <row r="258" ht="13.5" customHeight="1">
      <c r="A258" s="124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</row>
    <row r="259" ht="13.5" customHeight="1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</row>
    <row r="260" ht="13.5" customHeight="1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</row>
    <row r="261" ht="13.5" customHeight="1">
      <c r="A261" s="124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</row>
    <row r="262" ht="13.5" customHeight="1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</row>
    <row r="263" ht="13.5" customHeight="1">
      <c r="A263" s="124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</row>
    <row r="264" ht="13.5" customHeight="1">
      <c r="A264" s="124"/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</row>
    <row r="265" ht="13.5" customHeight="1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</row>
    <row r="266" ht="13.5" customHeight="1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</row>
    <row r="267" ht="13.5" customHeight="1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</row>
    <row r="268" ht="13.5" customHeight="1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</row>
    <row r="269" ht="13.5" customHeight="1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</row>
    <row r="270" ht="13.5" customHeight="1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</row>
    <row r="271" ht="13.5" customHeight="1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</row>
    <row r="272" ht="13.5" customHeight="1">
      <c r="A272" s="124"/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</row>
    <row r="273" ht="13.5" customHeight="1">
      <c r="A273" s="124"/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</row>
    <row r="274" ht="13.5" customHeight="1">
      <c r="A274" s="124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</row>
    <row r="275" ht="13.5" customHeight="1">
      <c r="A275" s="124"/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</row>
    <row r="276" ht="13.5" customHeight="1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</row>
    <row r="277" ht="13.5" customHeight="1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</row>
    <row r="278" ht="13.5" customHeight="1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</row>
    <row r="279" ht="13.5" customHeight="1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</row>
    <row r="280" ht="13.5" customHeight="1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</row>
    <row r="281" ht="13.5" customHeight="1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</row>
    <row r="282" ht="13.5" customHeight="1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</row>
    <row r="283" ht="13.5" customHeight="1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</row>
    <row r="284" ht="13.5" customHeight="1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</row>
    <row r="285" ht="13.5" customHeight="1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</row>
    <row r="286" ht="13.5" customHeight="1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</row>
    <row r="287" ht="13.5" customHeight="1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</row>
    <row r="288" ht="13.5" customHeight="1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</row>
    <row r="289" ht="13.5" customHeight="1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</row>
    <row r="290" ht="13.5" customHeight="1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</row>
    <row r="291" ht="13.5" customHeight="1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</row>
    <row r="292" ht="13.5" customHeight="1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</row>
    <row r="293" ht="13.5" customHeight="1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</row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5"/>
    <col customWidth="1" min="2" max="2" width="8.5"/>
    <col customWidth="1" min="3" max="3" width="9.0"/>
    <col customWidth="1" min="4" max="11" width="7.75"/>
    <col customWidth="1" min="12" max="12" width="8.0"/>
    <col customWidth="1" min="13" max="14" width="7.75"/>
    <col customWidth="1" min="15" max="15" width="13.63"/>
    <col customWidth="1" min="16" max="26" width="7.75"/>
  </cols>
  <sheetData>
    <row r="1" ht="13.5" customHeight="1">
      <c r="A1" s="1" t="str">
        <f>'Data Sheet'!B1</f>
        <v>ASIAN PAINTS LTD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3.5" customHeight="1">
      <c r="A2" s="8" t="str">
        <f>A1</f>
        <v>ASIAN PAINTS LTD</v>
      </c>
      <c r="B2" s="8">
        <f>'Data Sheet'!B16</f>
        <v>40633</v>
      </c>
      <c r="C2" s="8">
        <f>'Data Sheet'!C16</f>
        <v>40999</v>
      </c>
      <c r="D2" s="8">
        <f>'Data Sheet'!D16</f>
        <v>41364</v>
      </c>
      <c r="E2" s="8">
        <f>'Data Sheet'!E16</f>
        <v>41729</v>
      </c>
      <c r="F2" s="8">
        <f>'Data Sheet'!F16</f>
        <v>42094</v>
      </c>
      <c r="G2" s="8">
        <f>'Data Sheet'!G16</f>
        <v>42460</v>
      </c>
      <c r="H2" s="8">
        <f>'Data Sheet'!H16</f>
        <v>42825</v>
      </c>
      <c r="I2" s="8">
        <f>'Data Sheet'!I16</f>
        <v>43190</v>
      </c>
      <c r="J2" s="8">
        <f>'Data Sheet'!J16</f>
        <v>43555</v>
      </c>
      <c r="K2" s="8">
        <f>'Data Sheet'!K16</f>
        <v>43921</v>
      </c>
      <c r="L2" s="8" t="s">
        <v>139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13.5" customHeight="1">
      <c r="A3" s="133" t="s">
        <v>214</v>
      </c>
      <c r="B3" s="133">
        <f>'Data Sheet'!B17-'Data Sheet'!B18</f>
        <v>3496.74</v>
      </c>
      <c r="C3" s="133">
        <f>'Data Sheet'!C17-'Data Sheet'!C18</f>
        <v>4113.64</v>
      </c>
      <c r="D3" s="133">
        <f>'Data Sheet'!D17-'Data Sheet'!D18</f>
        <v>4867.68</v>
      </c>
      <c r="E3" s="133">
        <f>'Data Sheet'!E17-'Data Sheet'!E18</f>
        <v>5880.62</v>
      </c>
      <c r="F3" s="133">
        <f>'Data Sheet'!F17-'Data Sheet'!F18</f>
        <v>5495.72</v>
      </c>
      <c r="G3" s="133">
        <f>'Data Sheet'!G17-'Data Sheet'!G18</f>
        <v>6421.17</v>
      </c>
      <c r="H3" s="133">
        <f>'Data Sheet'!H17-'Data Sheet'!H18</f>
        <v>7609.39</v>
      </c>
      <c r="I3" s="133">
        <f>'Data Sheet'!I17-'Data Sheet'!I18</f>
        <v>8696.38</v>
      </c>
      <c r="J3" s="133">
        <f>'Data Sheet'!J17-'Data Sheet'!J18</f>
        <v>9265.73</v>
      </c>
      <c r="K3" s="133">
        <f>'Data Sheet'!K17-'Data Sheet'!K18</f>
        <v>10225.06</v>
      </c>
      <c r="L3" s="13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ht="13.5" customHeight="1">
      <c r="A4" s="133" t="s">
        <v>17</v>
      </c>
      <c r="B4" s="133">
        <f>'Data Sheet'!B28+'Data Sheet'!B27</f>
        <v>1285.72</v>
      </c>
      <c r="C4" s="133">
        <f>'Data Sheet'!C28+'Data Sheet'!C27</f>
        <v>1497.46</v>
      </c>
      <c r="D4" s="133">
        <f>'Data Sheet'!D28+'Data Sheet'!D27</f>
        <v>1697.27</v>
      </c>
      <c r="E4" s="133">
        <f>'Data Sheet'!E28+'Data Sheet'!E27</f>
        <v>1882.26</v>
      </c>
      <c r="F4" s="133">
        <f>'Data Sheet'!F28+'Data Sheet'!F27</f>
        <v>2119.11</v>
      </c>
      <c r="G4" s="133">
        <f>'Data Sheet'!G28+'Data Sheet'!G27</f>
        <v>2662.85</v>
      </c>
      <c r="H4" s="133">
        <f>'Data Sheet'!H28+'Data Sheet'!H27</f>
        <v>2996.87</v>
      </c>
      <c r="I4" s="133">
        <f>'Data Sheet'!I28+'Data Sheet'!I27</f>
        <v>3179.95</v>
      </c>
      <c r="J4" s="133">
        <f>'Data Sheet'!J28+'Data Sheet'!J27</f>
        <v>3416.57</v>
      </c>
      <c r="K4" s="133">
        <f>'Data Sheet'!K28+'Data Sheet'!K27</f>
        <v>3736.99</v>
      </c>
      <c r="L4" s="134">
        <f>'Profit &amp; Loss'!L17</f>
        <v>3298.15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3.5" customHeight="1">
      <c r="A5" s="133" t="s">
        <v>18</v>
      </c>
      <c r="B5" s="133">
        <f>'Calculated Data'!B4+'Data Sheet'!B26</f>
        <v>1398.85</v>
      </c>
      <c r="C5" s="133">
        <f>'Calculated Data'!C4+'Data Sheet'!C26</f>
        <v>1618.59</v>
      </c>
      <c r="D5" s="133">
        <f>'Calculated Data'!D4+'Data Sheet'!D26</f>
        <v>1851.87</v>
      </c>
      <c r="E5" s="133">
        <f>'Calculated Data'!E4+'Data Sheet'!E26</f>
        <v>2127.92</v>
      </c>
      <c r="F5" s="133">
        <f>'Calculated Data'!F4+'Data Sheet'!F26</f>
        <v>2385.03</v>
      </c>
      <c r="G5" s="133">
        <f>'Calculated Data'!G4+'Data Sheet'!G26</f>
        <v>2938.43</v>
      </c>
      <c r="H5" s="133">
        <f>'Calculated Data'!H4+'Data Sheet'!H26</f>
        <v>3331.66</v>
      </c>
      <c r="I5" s="133">
        <f>'Calculated Data'!I4+'Data Sheet'!I26</f>
        <v>3540.42</v>
      </c>
      <c r="J5" s="133">
        <f>'Calculated Data'!J4+'Data Sheet'!J26</f>
        <v>4038.71</v>
      </c>
      <c r="K5" s="133">
        <f>'Calculated Data'!K4+'Data Sheet'!K26</f>
        <v>4517.49</v>
      </c>
      <c r="L5" s="134">
        <f>'Profit &amp; Loss'!L18</f>
        <v>4074.48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ht="13.5" customHeight="1">
      <c r="A6" s="133" t="s">
        <v>19</v>
      </c>
      <c r="B6" s="133">
        <f>B5-'Data Sheet'!B25</f>
        <v>1330.87</v>
      </c>
      <c r="C6" s="133">
        <f>C5-'Data Sheet'!C25</f>
        <v>1511.18</v>
      </c>
      <c r="D6" s="133">
        <f>D5-'Data Sheet'!D25</f>
        <v>1737.39</v>
      </c>
      <c r="E6" s="133">
        <f>E5-'Data Sheet'!E25</f>
        <v>1993.7</v>
      </c>
      <c r="F6" s="133">
        <f>F5-'Data Sheet'!F25</f>
        <v>2215.32</v>
      </c>
      <c r="G6" s="133">
        <f>G5-'Data Sheet'!G25</f>
        <v>2725.04</v>
      </c>
      <c r="H6" s="133">
        <f>H5-'Data Sheet'!H25</f>
        <v>2993.76</v>
      </c>
      <c r="I6" s="133">
        <f>I5-'Data Sheet'!I25</f>
        <v>3204.01</v>
      </c>
      <c r="J6" s="133">
        <f>J5-'Data Sheet'!J25</f>
        <v>3764.94</v>
      </c>
      <c r="K6" s="133">
        <f>K5-'Data Sheet'!K25</f>
        <v>4162.44</v>
      </c>
      <c r="L6" s="134">
        <f>'Profit &amp; Loss'!L19</f>
        <v>3784.18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ht="13.5" customHeight="1">
      <c r="A7" s="133" t="s">
        <v>126</v>
      </c>
      <c r="B7" s="133">
        <f>'Data Sheet'!B30</f>
        <v>843.24</v>
      </c>
      <c r="C7" s="133">
        <f>'Data Sheet'!C30</f>
        <v>988.73</v>
      </c>
      <c r="D7" s="133">
        <f>'Data Sheet'!D30</f>
        <v>1113.88</v>
      </c>
      <c r="E7" s="133">
        <f>'Data Sheet'!E30</f>
        <v>1218.81</v>
      </c>
      <c r="F7" s="133">
        <f>'Data Sheet'!F30</f>
        <v>1395.15</v>
      </c>
      <c r="G7" s="133">
        <f>'Data Sheet'!G30</f>
        <v>1745.16</v>
      </c>
      <c r="H7" s="133">
        <f>'Data Sheet'!H30</f>
        <v>1939.43</v>
      </c>
      <c r="I7" s="133">
        <f>'Data Sheet'!I30</f>
        <v>2038.93</v>
      </c>
      <c r="J7" s="133">
        <f>'Data Sheet'!J30</f>
        <v>2155.92</v>
      </c>
      <c r="K7" s="133">
        <f>'Data Sheet'!K30</f>
        <v>2705.17</v>
      </c>
      <c r="L7" s="134">
        <f>'Profit &amp; Loss'!L12</f>
        <v>2275.14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ht="13.5" customHeight="1">
      <c r="A8" s="133" t="s">
        <v>215</v>
      </c>
      <c r="B8" s="133">
        <f>'Data Sheet'!B31</f>
        <v>306.94</v>
      </c>
      <c r="C8" s="133">
        <f>'Data Sheet'!C31</f>
        <v>383.68</v>
      </c>
      <c r="D8" s="133">
        <f>'Data Sheet'!D31</f>
        <v>441.23</v>
      </c>
      <c r="E8" s="133">
        <f>'Data Sheet'!E31</f>
        <v>508.38</v>
      </c>
      <c r="F8" s="133">
        <f>'Data Sheet'!F31</f>
        <v>585.11</v>
      </c>
      <c r="G8" s="133">
        <f>'Data Sheet'!G31</f>
        <v>719.4</v>
      </c>
      <c r="H8" s="133">
        <f>'Data Sheet'!H31</f>
        <v>987.98</v>
      </c>
      <c r="I8" s="133">
        <f>'Data Sheet'!I31</f>
        <v>834.5</v>
      </c>
      <c r="J8" s="133">
        <f>'Data Sheet'!J31</f>
        <v>1007.16</v>
      </c>
      <c r="K8" s="133">
        <f>'Data Sheet'!K31</f>
        <v>1151.04</v>
      </c>
      <c r="L8" s="133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ht="13.5" customHeight="1">
      <c r="A9" s="8"/>
      <c r="B9" s="8">
        <f t="shared" ref="B9:K9" si="1">B2</f>
        <v>40633</v>
      </c>
      <c r="C9" s="8">
        <f t="shared" si="1"/>
        <v>40999</v>
      </c>
      <c r="D9" s="8">
        <f t="shared" si="1"/>
        <v>41364</v>
      </c>
      <c r="E9" s="8">
        <f t="shared" si="1"/>
        <v>41729</v>
      </c>
      <c r="F9" s="8">
        <f t="shared" si="1"/>
        <v>42094</v>
      </c>
      <c r="G9" s="8">
        <f t="shared" si="1"/>
        <v>42460</v>
      </c>
      <c r="H9" s="8">
        <f t="shared" si="1"/>
        <v>42825</v>
      </c>
      <c r="I9" s="8">
        <f t="shared" si="1"/>
        <v>43190</v>
      </c>
      <c r="J9" s="8">
        <f t="shared" si="1"/>
        <v>43555</v>
      </c>
      <c r="K9" s="8">
        <f t="shared" si="1"/>
        <v>43921</v>
      </c>
      <c r="L9" s="8" t="s">
        <v>216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ht="13.5" customHeight="1">
      <c r="A10" s="133" t="s">
        <v>217</v>
      </c>
      <c r="B10" s="133">
        <f>'Data Sheet'!B57+'Data Sheet'!B58</f>
        <v>2187.42</v>
      </c>
      <c r="C10" s="133">
        <f>'Data Sheet'!C57+'Data Sheet'!C58</f>
        <v>2748.5</v>
      </c>
      <c r="D10" s="133">
        <f>'Data Sheet'!D57+'Data Sheet'!D58</f>
        <v>3384.29</v>
      </c>
      <c r="E10" s="133">
        <f>'Data Sheet'!E57+'Data Sheet'!E58</f>
        <v>4039.22</v>
      </c>
      <c r="F10" s="133">
        <f>'Data Sheet'!F57+'Data Sheet'!F58</f>
        <v>4742.36</v>
      </c>
      <c r="G10" s="133">
        <f>'Data Sheet'!G57+'Data Sheet'!G58</f>
        <v>6524.82</v>
      </c>
      <c r="H10" s="133">
        <f>'Data Sheet'!H57+'Data Sheet'!H58</f>
        <v>7603.89</v>
      </c>
      <c r="I10" s="133">
        <f>'Data Sheet'!I57+'Data Sheet'!I58</f>
        <v>8410.23</v>
      </c>
      <c r="J10" s="133">
        <f>'Data Sheet'!J57+'Data Sheet'!J58</f>
        <v>9470.55</v>
      </c>
      <c r="K10" s="133">
        <f>'Data Sheet'!K57+'Data Sheet'!K58</f>
        <v>10130.16</v>
      </c>
      <c r="L10" s="135">
        <f>'Balance Sheet'!L4+'Balance Sheet'!L5</f>
        <v>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ht="13.5" customHeight="1">
      <c r="A11" s="133" t="s">
        <v>48</v>
      </c>
      <c r="B11" s="133">
        <f>'Data Sheet'!B65-'Data Sheet'!B60</f>
        <v>638.69</v>
      </c>
      <c r="C11" s="133">
        <f>'Data Sheet'!C65-'Data Sheet'!C60</f>
        <v>817.24</v>
      </c>
      <c r="D11" s="133">
        <f>'Data Sheet'!D65-'Data Sheet'!D60</f>
        <v>839.39</v>
      </c>
      <c r="E11" s="133">
        <f>'Data Sheet'!E65-'Data Sheet'!E60</f>
        <v>231.64</v>
      </c>
      <c r="F11" s="133">
        <f>'Data Sheet'!F65-'Data Sheet'!F60</f>
        <v>716.7</v>
      </c>
      <c r="G11" s="133">
        <f>'Data Sheet'!G65-'Data Sheet'!G60</f>
        <v>613.04</v>
      </c>
      <c r="H11" s="133">
        <f>'Data Sheet'!H65-'Data Sheet'!H60</f>
        <v>1950.96</v>
      </c>
      <c r="I11" s="133">
        <f>'Data Sheet'!I65-'Data Sheet'!I60</f>
        <v>1665.61</v>
      </c>
      <c r="J11" s="133">
        <f>'Data Sheet'!J65-'Data Sheet'!J60</f>
        <v>1515.34</v>
      </c>
      <c r="K11" s="133">
        <f>'Data Sheet'!K65-'Data Sheet'!K60</f>
        <v>2817.26</v>
      </c>
      <c r="L11" s="135">
        <f>'Balance Sheet'!L16</f>
        <v>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ht="13.5" customHeight="1">
      <c r="A12" s="133" t="s">
        <v>218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5"/>
      <c r="M12" s="22" t="s">
        <v>219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ht="13.5" customHeight="1">
      <c r="A13" s="133" t="s">
        <v>220</v>
      </c>
      <c r="B13" s="133">
        <f>'Data Sheet'!B62+'Data Sheet'!B63+('Data Sheet'!B65-'Data Sheet'!B60)</f>
        <v>1991.88</v>
      </c>
      <c r="C13" s="133">
        <f>'Data Sheet'!C62+'Data Sheet'!C63+('Data Sheet'!C65-'Data Sheet'!C60)</f>
        <v>2734.87</v>
      </c>
      <c r="D13" s="133">
        <f>'Data Sheet'!D62+'Data Sheet'!D63+('Data Sheet'!D65-'Data Sheet'!D60)</f>
        <v>3339.57</v>
      </c>
      <c r="E13" s="133">
        <f>'Data Sheet'!E62+'Data Sheet'!E63+('Data Sheet'!E65-'Data Sheet'!E60)</f>
        <v>2864.82</v>
      </c>
      <c r="F13" s="133">
        <f>'Data Sheet'!F62+'Data Sheet'!F63+('Data Sheet'!F65-'Data Sheet'!F60)</f>
        <v>3572.74</v>
      </c>
      <c r="G13" s="133">
        <f>'Data Sheet'!G62+'Data Sheet'!G63+('Data Sheet'!G65-'Data Sheet'!G60)</f>
        <v>4135.98</v>
      </c>
      <c r="H13" s="133">
        <f>'Data Sheet'!H62+'Data Sheet'!H63+('Data Sheet'!H65-'Data Sheet'!H60)</f>
        <v>5512.24</v>
      </c>
      <c r="I13" s="133">
        <f>'Data Sheet'!I62+'Data Sheet'!I63+('Data Sheet'!I65-'Data Sheet'!I60)</f>
        <v>6802.96</v>
      </c>
      <c r="J13" s="133">
        <f>'Data Sheet'!J62+'Data Sheet'!J63+('Data Sheet'!J65-'Data Sheet'!J60)</f>
        <v>8221.57</v>
      </c>
      <c r="K13" s="133">
        <f>'Data Sheet'!K62+'Data Sheet'!K63+('Data Sheet'!K65-'Data Sheet'!K60)</f>
        <v>9229.81</v>
      </c>
      <c r="L13" s="135">
        <f>'Balance Sheet'!L10+'Balance Sheet'!L11+'Balance Sheet'!L16</f>
        <v>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ht="13.5" customHeight="1">
      <c r="A14" s="133" t="s">
        <v>221</v>
      </c>
      <c r="B14" s="133">
        <f>B10+'Data Sheet'!B59</f>
        <v>2420.85</v>
      </c>
      <c r="C14" s="133">
        <f>C10+'Data Sheet'!C59</f>
        <v>3089.61</v>
      </c>
      <c r="D14" s="133">
        <f>D10+'Data Sheet'!D59</f>
        <v>3635.25</v>
      </c>
      <c r="E14" s="133">
        <f>E10+'Data Sheet'!E59</f>
        <v>4288.37</v>
      </c>
      <c r="F14" s="133">
        <f>F10+'Data Sheet'!F59</f>
        <v>5160.53</v>
      </c>
      <c r="G14" s="133">
        <f>G10+'Data Sheet'!G59</f>
        <v>6848.11</v>
      </c>
      <c r="H14" s="133">
        <f>H10+'Data Sheet'!H59</f>
        <v>8164.23</v>
      </c>
      <c r="I14" s="133">
        <f>I10+'Data Sheet'!I59</f>
        <v>8943.66</v>
      </c>
      <c r="J14" s="133">
        <f>J10+'Data Sheet'!J59</f>
        <v>10790.15</v>
      </c>
      <c r="K14" s="133">
        <f>K10+'Data Sheet'!K59</f>
        <v>11248.66</v>
      </c>
      <c r="L14" s="133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ht="13.5" customHeight="1">
      <c r="A15" s="133" t="s">
        <v>97</v>
      </c>
      <c r="B15" s="14">
        <f>'Data Sheet'!B61</f>
        <v>4610.58</v>
      </c>
      <c r="C15" s="14">
        <f>'Data Sheet'!C61</f>
        <v>5712.19</v>
      </c>
      <c r="D15" s="14">
        <f>'Data Sheet'!D61</f>
        <v>6784.5</v>
      </c>
      <c r="E15" s="14">
        <f>'Data Sheet'!E61</f>
        <v>8075.4</v>
      </c>
      <c r="F15" s="14">
        <f>'Data Sheet'!F61</f>
        <v>8914.5</v>
      </c>
      <c r="G15" s="14">
        <f>'Data Sheet'!G61</f>
        <v>10559.03</v>
      </c>
      <c r="H15" s="14">
        <f>'Data Sheet'!H61</f>
        <v>12405.19</v>
      </c>
      <c r="I15" s="14">
        <f>'Data Sheet'!I61</f>
        <v>13763.48</v>
      </c>
      <c r="J15" s="14">
        <f>'Data Sheet'!J61</f>
        <v>16248.84</v>
      </c>
      <c r="K15" s="136">
        <f>'Data Sheet'!K61</f>
        <v>16137.97</v>
      </c>
      <c r="L15" s="135" t="str">
        <f>'Balance Sheet'!L8</f>
        <v/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ht="13.5" customHeight="1">
      <c r="A16" s="8"/>
      <c r="B16" s="8">
        <f t="shared" ref="B16:K16" si="2">B2</f>
        <v>40633</v>
      </c>
      <c r="C16" s="8">
        <f t="shared" si="2"/>
        <v>40999</v>
      </c>
      <c r="D16" s="8">
        <f t="shared" si="2"/>
        <v>41364</v>
      </c>
      <c r="E16" s="8">
        <f t="shared" si="2"/>
        <v>41729</v>
      </c>
      <c r="F16" s="8">
        <f t="shared" si="2"/>
        <v>42094</v>
      </c>
      <c r="G16" s="8">
        <f t="shared" si="2"/>
        <v>42460</v>
      </c>
      <c r="H16" s="8">
        <f t="shared" si="2"/>
        <v>42825</v>
      </c>
      <c r="I16" s="8">
        <f t="shared" si="2"/>
        <v>43190</v>
      </c>
      <c r="J16" s="8">
        <f t="shared" si="2"/>
        <v>43555</v>
      </c>
      <c r="K16" s="8">
        <f t="shared" si="2"/>
        <v>43921</v>
      </c>
      <c r="L16" s="8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ht="13.5" customHeight="1">
      <c r="A17" s="133" t="s">
        <v>222</v>
      </c>
      <c r="B17" s="133">
        <f>'Data Sheet'!B82</f>
        <v>762.46</v>
      </c>
      <c r="C17" s="133">
        <f>'Data Sheet'!C82</f>
        <v>709.98</v>
      </c>
      <c r="D17" s="133">
        <f>'Data Sheet'!D82</f>
        <v>1186.79</v>
      </c>
      <c r="E17" s="133">
        <f>'Data Sheet'!E82</f>
        <v>1402.03</v>
      </c>
      <c r="F17" s="133">
        <f>'Data Sheet'!F82</f>
        <v>1187.69</v>
      </c>
      <c r="G17" s="133">
        <f>'Data Sheet'!G82</f>
        <v>2242.95</v>
      </c>
      <c r="H17" s="133">
        <f>'Data Sheet'!H82</f>
        <v>1527.33</v>
      </c>
      <c r="I17" s="133">
        <f>'Data Sheet'!I82</f>
        <v>2113.44</v>
      </c>
      <c r="J17" s="133">
        <f>'Data Sheet'!J82</f>
        <v>2469.54</v>
      </c>
      <c r="K17" s="137">
        <f>'Data Sheet'!K82</f>
        <v>2631.89</v>
      </c>
      <c r="L17" s="133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ht="13.5" customHeight="1">
      <c r="A18" s="133" t="s">
        <v>223</v>
      </c>
      <c r="B18" s="133"/>
      <c r="C18" s="133">
        <f>('Data Sheet'!C62-'Data Sheet'!B62)+('Data Sheet'!C63-'Data Sheet'!B63)+'Data Sheet'!C26</f>
        <v>685.57</v>
      </c>
      <c r="D18" s="133">
        <f>('Data Sheet'!D62-'Data Sheet'!C62)+('Data Sheet'!D63-'Data Sheet'!C63)+'Data Sheet'!D26</f>
        <v>737.15</v>
      </c>
      <c r="E18" s="133">
        <f>('Data Sheet'!E62-'Data Sheet'!D62)+('Data Sheet'!E63-'Data Sheet'!D63)+'Data Sheet'!E26</f>
        <v>378.66</v>
      </c>
      <c r="F18" s="133">
        <f>('Data Sheet'!F62-'Data Sheet'!E62)+('Data Sheet'!F63-'Data Sheet'!E63)+'Data Sheet'!F26</f>
        <v>488.78</v>
      </c>
      <c r="G18" s="133">
        <f>('Data Sheet'!G62-'Data Sheet'!F62)+('Data Sheet'!G63-'Data Sheet'!F63)+'Data Sheet'!G26</f>
        <v>942.48</v>
      </c>
      <c r="H18" s="133">
        <f>('Data Sheet'!H62-'Data Sheet'!G62)+('Data Sheet'!H63-'Data Sheet'!G63)+'Data Sheet'!H26</f>
        <v>373.13</v>
      </c>
      <c r="I18" s="133">
        <f>('Data Sheet'!I62-'Data Sheet'!H62)+('Data Sheet'!I63-'Data Sheet'!H63)+'Data Sheet'!I26</f>
        <v>1936.54</v>
      </c>
      <c r="J18" s="133">
        <f>('Data Sheet'!J62-'Data Sheet'!I62)+('Data Sheet'!J63-'Data Sheet'!I63)+'Data Sheet'!J26</f>
        <v>2191.02</v>
      </c>
      <c r="K18" s="137">
        <f>('Data Sheet'!K62-'Data Sheet'!J62)+('Data Sheet'!K63-'Data Sheet'!J63)+'Data Sheet'!K26</f>
        <v>486.82</v>
      </c>
      <c r="L18" s="133"/>
      <c r="M18" s="22" t="s">
        <v>224</v>
      </c>
      <c r="N18" s="22" t="s">
        <v>225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ht="13.5" customHeight="1">
      <c r="A19" s="133" t="s">
        <v>226</v>
      </c>
      <c r="B19" s="135"/>
      <c r="C19" s="135">
        <f t="shared" ref="C19:K19" si="3">C17-C18</f>
        <v>24.41</v>
      </c>
      <c r="D19" s="135">
        <f t="shared" si="3"/>
        <v>449.64</v>
      </c>
      <c r="E19" s="135">
        <f t="shared" si="3"/>
        <v>1023.37</v>
      </c>
      <c r="F19" s="135">
        <f t="shared" si="3"/>
        <v>698.91</v>
      </c>
      <c r="G19" s="135">
        <f t="shared" si="3"/>
        <v>1300.47</v>
      </c>
      <c r="H19" s="135">
        <f t="shared" si="3"/>
        <v>1154.2</v>
      </c>
      <c r="I19" s="135">
        <f t="shared" si="3"/>
        <v>176.9</v>
      </c>
      <c r="J19" s="135">
        <f t="shared" si="3"/>
        <v>278.52</v>
      </c>
      <c r="K19" s="138">
        <f t="shared" si="3"/>
        <v>2145.07</v>
      </c>
      <c r="L19" s="13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ht="13.5" customHeight="1">
      <c r="A20" s="133" t="s">
        <v>227</v>
      </c>
      <c r="B20" s="139">
        <f>Customization!B53</f>
        <v>0.385495241</v>
      </c>
      <c r="C20" s="139">
        <f>Customization!C53</f>
        <v>0.3597344006</v>
      </c>
      <c r="D20" s="139">
        <f>Customization!D53</f>
        <v>0.3291325507</v>
      </c>
      <c r="E20" s="139">
        <f>Customization!E53</f>
        <v>0.3017439011</v>
      </c>
      <c r="F20" s="139">
        <f>Customization!F53</f>
        <v>0.2941889692</v>
      </c>
      <c r="G20" s="139">
        <f>Customization!G53</f>
        <v>0.2674648496</v>
      </c>
      <c r="H20" s="139">
        <f>Customization!H53</f>
        <v>0.2550576087</v>
      </c>
      <c r="I20" s="139">
        <f>Customization!I53</f>
        <v>0.2424345113</v>
      </c>
      <c r="J20" s="139">
        <f>Customization!J53</f>
        <v>0.2276446458</v>
      </c>
      <c r="K20" s="140">
        <f>Customization!K53</f>
        <v>0.2670411918</v>
      </c>
      <c r="L20" s="13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ht="13.5" customHeight="1">
      <c r="A21" s="133" t="s">
        <v>22</v>
      </c>
      <c r="B21" s="139">
        <f>'Profit &amp; Loss'!B23</f>
        <v>0.364000759</v>
      </c>
      <c r="C21" s="139">
        <f>'Profit &amp; Loss'!C23</f>
        <v>0.3880533614</v>
      </c>
      <c r="D21" s="139">
        <f>'Profit &amp; Loss'!D23</f>
        <v>0.3961198693</v>
      </c>
      <c r="E21" s="139">
        <f>'Profit &amp; Loss'!E23</f>
        <v>0.417111773</v>
      </c>
      <c r="F21" s="139">
        <f>'Profit &amp; Loss'!F23</f>
        <v>0.4193885962</v>
      </c>
      <c r="G21" s="139">
        <f>'Profit &amp; Loss'!G23</f>
        <v>0.4122258131</v>
      </c>
      <c r="H21" s="139">
        <f>'Profit &amp; Loss'!H23</f>
        <v>0.5094177155</v>
      </c>
      <c r="I21" s="139">
        <f>'Profit &amp; Loss'!I23</f>
        <v>0.4092833006</v>
      </c>
      <c r="J21" s="139">
        <f>'Profit &amp; Loss'!J23</f>
        <v>0.4671601915</v>
      </c>
      <c r="K21" s="140">
        <f>'Profit &amp; Loss'!K23</f>
        <v>0.4254963644</v>
      </c>
      <c r="L21" s="13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ht="13.5" customHeight="1">
      <c r="A22" s="133" t="s">
        <v>228</v>
      </c>
      <c r="B22" s="141">
        <f>'Data Sheet'!B29/'Data Sheet'!B28</f>
        <v>0.3003715052</v>
      </c>
      <c r="C22" s="141">
        <f>'Data Sheet'!C29/'Data Sheet'!C28</f>
        <v>0.2981266505</v>
      </c>
      <c r="D22" s="141">
        <f>'Data Sheet'!D29/'Data Sheet'!D28</f>
        <v>0.2994725745</v>
      </c>
      <c r="E22" s="141">
        <f>'Data Sheet'!E29/'Data Sheet'!E28</f>
        <v>0.3115735415</v>
      </c>
      <c r="F22" s="141">
        <f>'Data Sheet'!F29/'Data Sheet'!F28</f>
        <v>0.312749474</v>
      </c>
      <c r="G22" s="141">
        <f>'Data Sheet'!G29/'Data Sheet'!G28</f>
        <v>0.3230828089</v>
      </c>
      <c r="H22" s="141">
        <f>'Data Sheet'!H29/'Data Sheet'!H28</f>
        <v>0.3187285862</v>
      </c>
      <c r="I22" s="141">
        <f>'Data Sheet'!I29/'Data Sheet'!I28</f>
        <v>0.3316764803</v>
      </c>
      <c r="J22" s="141">
        <f>'Data Sheet'!J29/'Data Sheet'!J28</f>
        <v>0.3321315145</v>
      </c>
      <c r="K22" s="142">
        <f>'Data Sheet'!K29/'Data Sheet'!K28</f>
        <v>0.2355581641</v>
      </c>
      <c r="L22" s="13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ht="13.5" customHeight="1">
      <c r="A23" s="133" t="s">
        <v>229</v>
      </c>
      <c r="B23" s="135">
        <f t="shared" ref="B23:K23" si="4">B4*(1-B22)</f>
        <v>899.5263483</v>
      </c>
      <c r="C23" s="135">
        <f t="shared" si="4"/>
        <v>1051.027266</v>
      </c>
      <c r="D23" s="135">
        <f t="shared" si="4"/>
        <v>1188.984184</v>
      </c>
      <c r="E23" s="135">
        <f t="shared" si="4"/>
        <v>1295.797586</v>
      </c>
      <c r="F23" s="135">
        <f t="shared" si="4"/>
        <v>1456.359462</v>
      </c>
      <c r="G23" s="135">
        <f t="shared" si="4"/>
        <v>1802.528942</v>
      </c>
      <c r="H23" s="135">
        <f t="shared" si="4"/>
        <v>2041.681862</v>
      </c>
      <c r="I23" s="135">
        <f t="shared" si="4"/>
        <v>2125.235376</v>
      </c>
      <c r="J23" s="135">
        <f t="shared" si="4"/>
        <v>2281.819432</v>
      </c>
      <c r="K23" s="138">
        <f t="shared" si="4"/>
        <v>2856.711496</v>
      </c>
      <c r="L23" s="13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ht="13.5" customHeight="1">
      <c r="A24" s="133" t="s">
        <v>230</v>
      </c>
      <c r="B24" s="141">
        <f t="shared" ref="B24:K24" si="5">(B4/B13)*(1-B22)</f>
        <v>0.4515966566</v>
      </c>
      <c r="C24" s="141">
        <f t="shared" si="5"/>
        <v>0.3843061154</v>
      </c>
      <c r="D24" s="141">
        <f t="shared" si="5"/>
        <v>0.3560291246</v>
      </c>
      <c r="E24" s="141">
        <f t="shared" si="5"/>
        <v>0.4523137879</v>
      </c>
      <c r="F24" s="141">
        <f t="shared" si="5"/>
        <v>0.4076309673</v>
      </c>
      <c r="G24" s="141">
        <f t="shared" si="5"/>
        <v>0.4358166486</v>
      </c>
      <c r="H24" s="141">
        <f t="shared" si="5"/>
        <v>0.3703905965</v>
      </c>
      <c r="I24" s="141">
        <f t="shared" si="5"/>
        <v>0.3123986289</v>
      </c>
      <c r="J24" s="141">
        <f t="shared" si="5"/>
        <v>0.2775405952</v>
      </c>
      <c r="K24" s="142">
        <f t="shared" si="5"/>
        <v>0.3095092419</v>
      </c>
      <c r="L24" s="133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ht="13.5" customHeight="1">
      <c r="A25" s="133" t="s">
        <v>231</v>
      </c>
      <c r="B25" s="139">
        <v>0.12</v>
      </c>
      <c r="C25" s="139">
        <v>0.12</v>
      </c>
      <c r="D25" s="139">
        <v>0.12</v>
      </c>
      <c r="E25" s="139">
        <v>0.12</v>
      </c>
      <c r="F25" s="139">
        <v>0.12</v>
      </c>
      <c r="G25" s="139">
        <v>0.12</v>
      </c>
      <c r="H25" s="139">
        <v>0.12</v>
      </c>
      <c r="I25" s="139">
        <v>0.12</v>
      </c>
      <c r="J25" s="139">
        <v>0.12</v>
      </c>
      <c r="K25" s="139">
        <v>0.12</v>
      </c>
      <c r="L25" s="133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ht="13.5" customHeight="1">
      <c r="A26" s="133" t="s">
        <v>232</v>
      </c>
      <c r="B26" s="135">
        <f t="shared" ref="B26:K26" si="6">B13*(B24-B25)</f>
        <v>660.5007483</v>
      </c>
      <c r="C26" s="135">
        <f t="shared" si="6"/>
        <v>722.8428659</v>
      </c>
      <c r="D26" s="135">
        <f t="shared" si="6"/>
        <v>788.2357835</v>
      </c>
      <c r="E26" s="135">
        <f t="shared" si="6"/>
        <v>952.0191857</v>
      </c>
      <c r="F26" s="135">
        <f t="shared" si="6"/>
        <v>1027.630662</v>
      </c>
      <c r="G26" s="135">
        <f t="shared" si="6"/>
        <v>1306.211342</v>
      </c>
      <c r="H26" s="135">
        <f t="shared" si="6"/>
        <v>1380.213062</v>
      </c>
      <c r="I26" s="135">
        <f t="shared" si="6"/>
        <v>1308.880176</v>
      </c>
      <c r="J26" s="135">
        <f t="shared" si="6"/>
        <v>1295.231032</v>
      </c>
      <c r="K26" s="138">
        <f t="shared" si="6"/>
        <v>1749.134296</v>
      </c>
      <c r="L26" s="13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ht="13.5" customHeight="1">
      <c r="A27" s="133" t="s">
        <v>233</v>
      </c>
      <c r="B27" s="135"/>
      <c r="C27" s="139"/>
      <c r="D27" s="139">
        <f t="shared" ref="D27:K27" si="7">(D23-C23)/(C13-B13)</f>
        <v>0.1856780275</v>
      </c>
      <c r="E27" s="139">
        <f t="shared" si="7"/>
        <v>0.1766386675</v>
      </c>
      <c r="F27" s="139">
        <f t="shared" si="7"/>
        <v>-0.3382030047</v>
      </c>
      <c r="G27" s="139">
        <f t="shared" si="7"/>
        <v>0.4889951974</v>
      </c>
      <c r="H27" s="139">
        <f t="shared" si="7"/>
        <v>0.4246021581</v>
      </c>
      <c r="I27" s="139">
        <f t="shared" si="7"/>
        <v>0.0607105594</v>
      </c>
      <c r="J27" s="139">
        <f t="shared" si="7"/>
        <v>0.1213152777</v>
      </c>
      <c r="K27" s="140">
        <f t="shared" si="7"/>
        <v>0.4052502552</v>
      </c>
      <c r="L27" s="13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ht="13.5" customHeight="1">
      <c r="A28" s="133" t="s">
        <v>234</v>
      </c>
      <c r="B28" s="135"/>
      <c r="C28" s="139"/>
      <c r="D28" s="139"/>
      <c r="E28" s="139"/>
      <c r="F28" s="139"/>
      <c r="G28" s="139">
        <f t="shared" ref="G28:K28" si="8">(G23-D23)/(F13-C13)</f>
        <v>0.7322672477</v>
      </c>
      <c r="H28" s="139">
        <f t="shared" si="8"/>
        <v>0.9365581499</v>
      </c>
      <c r="I28" s="139">
        <f t="shared" si="8"/>
        <v>0.2526519835</v>
      </c>
      <c r="J28" s="139">
        <f t="shared" si="8"/>
        <v>0.1483770422</v>
      </c>
      <c r="K28" s="140">
        <f t="shared" si="8"/>
        <v>0.199488846</v>
      </c>
      <c r="L28" s="13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ht="13.5" customHeight="1">
      <c r="A29" s="133" t="s">
        <v>235</v>
      </c>
      <c r="B29" s="135"/>
      <c r="C29" s="139"/>
      <c r="D29" s="139"/>
      <c r="E29" s="139"/>
      <c r="F29" s="139"/>
      <c r="G29" s="139"/>
      <c r="H29" s="139">
        <f t="shared" ref="H29:K29" si="9">(H23-C23)/(G13-B13)</f>
        <v>0.4620374964</v>
      </c>
      <c r="I29" s="139">
        <f t="shared" si="9"/>
        <v>0.3370999157</v>
      </c>
      <c r="J29" s="139">
        <f t="shared" si="9"/>
        <v>0.2846984734</v>
      </c>
      <c r="K29" s="140">
        <f t="shared" si="9"/>
        <v>0.261418217</v>
      </c>
      <c r="L29" s="13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ht="13.5" customHeight="1">
      <c r="A30" s="133" t="s">
        <v>236</v>
      </c>
      <c r="B30" s="135"/>
      <c r="C30" s="135">
        <f>IF(C4-B4&gt;0,((C4-B4)/B4)/(('Data Sheet'!C17-'Data Sheet'!B17)/'Data Sheet'!B17), "")</f>
        <v>0.6668098675</v>
      </c>
      <c r="D30" s="135">
        <f>IF(D4-C4&gt;0,((D4-C4)/C4)/(('Data Sheet'!D17-'Data Sheet'!C17)/'Data Sheet'!C17), "")</f>
        <v>0.967854576</v>
      </c>
      <c r="E30" s="135">
        <f>IF(E4-D4&gt;0,((E4-D4)/D4)/(('Data Sheet'!E17-'Data Sheet'!D17)/'Data Sheet'!D17), "")</f>
        <v>0.666982781</v>
      </c>
      <c r="F30" s="135">
        <f>IF(F4-E4&gt;0,((F4-E4)/E4)/(('Data Sheet'!F17-'Data Sheet'!E17)/'Data Sheet'!E17), "")</f>
        <v>1.102397375</v>
      </c>
      <c r="G30" s="135">
        <f>IF(G4-F4&gt;0,((G4-F4)/F4)/(('Data Sheet'!G17-'Data Sheet'!F17)/'Data Sheet'!F17), "")</f>
        <v>5.323627264</v>
      </c>
      <c r="H30" s="135">
        <f>IF(H4-G4&gt;0,((H4-G4)/G4)/(('Data Sheet'!H17-'Data Sheet'!G17)/'Data Sheet'!G17), "")</f>
        <v>2.264608911</v>
      </c>
      <c r="I30" s="135">
        <f>IF(I4-H4&gt;0,((I4-H4)/H4)/(('Data Sheet'!I17-'Data Sheet'!H17)/'Data Sheet'!H17), "")</f>
        <v>0.5220492119</v>
      </c>
      <c r="J30" s="135">
        <f>IF(J4-I4&gt;0,((J4-I4)/I4)/(('Data Sheet'!J17-'Data Sheet'!I17)/'Data Sheet'!I17), "")</f>
        <v>0.5182665633</v>
      </c>
      <c r="K30" s="135">
        <f>IF(K4-J4&gt;0,((K4-J4)/J4)/(('Data Sheet'!K17-'Data Sheet'!J17)/'Data Sheet'!J17), "")</f>
        <v>1.858079948</v>
      </c>
      <c r="L30" s="13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ht="13.5" customHeight="1">
      <c r="A31" s="133" t="s">
        <v>237</v>
      </c>
      <c r="B31" s="139">
        <f t="shared" ref="B31:K31" si="10">B20*(1-B21)</f>
        <v>0.2451746807</v>
      </c>
      <c r="C31" s="139">
        <f t="shared" si="10"/>
        <v>0.2201382572</v>
      </c>
      <c r="D31" s="139">
        <f t="shared" si="10"/>
        <v>0.1987566077</v>
      </c>
      <c r="E31" s="139">
        <f t="shared" si="10"/>
        <v>0.1758829675</v>
      </c>
      <c r="F31" s="139">
        <f t="shared" si="10"/>
        <v>0.1708094704</v>
      </c>
      <c r="G31" s="139">
        <f t="shared" si="10"/>
        <v>0.1572089345</v>
      </c>
      <c r="H31" s="139">
        <f t="shared" si="10"/>
        <v>0.1251267443</v>
      </c>
      <c r="I31" s="139">
        <f t="shared" si="10"/>
        <v>0.1432101143</v>
      </c>
      <c r="J31" s="139">
        <f t="shared" si="10"/>
        <v>0.1212981295</v>
      </c>
      <c r="K31" s="140">
        <f t="shared" si="10"/>
        <v>0.1534161356</v>
      </c>
      <c r="L31" s="133"/>
      <c r="M31" s="22" t="s">
        <v>238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ht="13.5" customHeight="1">
      <c r="A32" s="8"/>
      <c r="B32" s="8">
        <f t="shared" ref="B32:K32" si="11">B2</f>
        <v>40633</v>
      </c>
      <c r="C32" s="8">
        <f t="shared" si="11"/>
        <v>40999</v>
      </c>
      <c r="D32" s="8">
        <f t="shared" si="11"/>
        <v>41364</v>
      </c>
      <c r="E32" s="8">
        <f t="shared" si="11"/>
        <v>41729</v>
      </c>
      <c r="F32" s="8">
        <f t="shared" si="11"/>
        <v>42094</v>
      </c>
      <c r="G32" s="8">
        <f t="shared" si="11"/>
        <v>42460</v>
      </c>
      <c r="H32" s="8">
        <f t="shared" si="11"/>
        <v>42825</v>
      </c>
      <c r="I32" s="8">
        <f t="shared" si="11"/>
        <v>43190</v>
      </c>
      <c r="J32" s="8">
        <f t="shared" si="11"/>
        <v>43555</v>
      </c>
      <c r="K32" s="8">
        <f t="shared" si="11"/>
        <v>43921</v>
      </c>
      <c r="L32" s="8" t="s">
        <v>239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ht="13.5" customHeight="1">
      <c r="A33" s="133" t="s">
        <v>184</v>
      </c>
      <c r="B33" s="135">
        <f>'Data Sheet'!B90*'Data Sheet'!B93</f>
        <v>24227.4736</v>
      </c>
      <c r="C33" s="135">
        <f>'Data Sheet'!C90*'Data Sheet'!C93</f>
        <v>31097.264</v>
      </c>
      <c r="D33" s="135">
        <f>'Data Sheet'!D90*'Data Sheet'!D93</f>
        <v>47166.7416</v>
      </c>
      <c r="E33" s="135">
        <f>'Data Sheet'!E90*'Data Sheet'!E93</f>
        <v>52559.364</v>
      </c>
      <c r="F33" s="135">
        <f>'Data Sheet'!F90*'Data Sheet'!F93</f>
        <v>77819.896</v>
      </c>
      <c r="G33" s="135">
        <f>'Data Sheet'!G90*'Data Sheet'!G93</f>
        <v>83296.928</v>
      </c>
      <c r="H33" s="135">
        <f>'Data Sheet'!H90*'Data Sheet'!H93</f>
        <v>102970.12</v>
      </c>
      <c r="I33" s="135">
        <f>'Data Sheet'!I90*'Data Sheet'!I93</f>
        <v>107468.768</v>
      </c>
      <c r="J33" s="135">
        <f>'Data Sheet'!J90*'Data Sheet'!J93</f>
        <v>143179.784</v>
      </c>
      <c r="K33" s="135">
        <f>'Data Sheet'!K90*'Data Sheet'!K93</f>
        <v>159850.68</v>
      </c>
      <c r="L33" s="143">
        <f>'Data Sheet'!B9</f>
        <v>264292.18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ht="13.5" customHeight="1">
      <c r="A34" s="144" t="s">
        <v>240</v>
      </c>
      <c r="B34" s="135">
        <f>B33+'Data Sheet'!B31</f>
        <v>24534.4136</v>
      </c>
      <c r="C34" s="135">
        <f>C33+'Data Sheet'!C31</f>
        <v>31480.944</v>
      </c>
      <c r="D34" s="135">
        <f>D33+'Data Sheet'!D31</f>
        <v>47607.9716</v>
      </c>
      <c r="E34" s="135">
        <f>E33+'Data Sheet'!E31</f>
        <v>53067.744</v>
      </c>
      <c r="F34" s="135">
        <f>F33+'Data Sheet'!F31</f>
        <v>78405.006</v>
      </c>
      <c r="G34" s="135">
        <f>G33+'Data Sheet'!G31</f>
        <v>84016.328</v>
      </c>
      <c r="H34" s="135">
        <f>H33+'Data Sheet'!H31</f>
        <v>103958.1</v>
      </c>
      <c r="I34" s="135">
        <f>I33+'Data Sheet'!I31</f>
        <v>108303.268</v>
      </c>
      <c r="J34" s="135">
        <f>J33+'Data Sheet'!J31</f>
        <v>144186.944</v>
      </c>
      <c r="K34" s="135">
        <f>K33+'Data Sheet'!K31</f>
        <v>161001.72</v>
      </c>
      <c r="L34" s="13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ht="13.5" customHeight="1">
      <c r="A35" s="133" t="s">
        <v>241</v>
      </c>
      <c r="B35" s="133">
        <f>'Data Sheet'!B30-'Data Sheet'!B31</f>
        <v>536.3</v>
      </c>
      <c r="C35" s="133">
        <f>'Data Sheet'!C30-'Data Sheet'!C31</f>
        <v>605.05</v>
      </c>
      <c r="D35" s="133">
        <f>'Data Sheet'!D30-'Data Sheet'!D31</f>
        <v>672.65</v>
      </c>
      <c r="E35" s="133">
        <f>'Data Sheet'!E30-'Data Sheet'!E31</f>
        <v>710.43</v>
      </c>
      <c r="F35" s="133">
        <f>'Data Sheet'!F30-'Data Sheet'!F31</f>
        <v>810.04</v>
      </c>
      <c r="G35" s="133">
        <f>'Data Sheet'!G30-'Data Sheet'!G31</f>
        <v>1025.76</v>
      </c>
      <c r="H35" s="133">
        <f>'Data Sheet'!H30-'Data Sheet'!H31</f>
        <v>951.45</v>
      </c>
      <c r="I35" s="133">
        <f>'Data Sheet'!I30-'Data Sheet'!I31</f>
        <v>1204.43</v>
      </c>
      <c r="J35" s="133">
        <f>'Data Sheet'!J30-'Data Sheet'!J31</f>
        <v>1148.76</v>
      </c>
      <c r="K35" s="133">
        <f>'Data Sheet'!K30-'Data Sheet'!K31</f>
        <v>1554.13</v>
      </c>
      <c r="L35" s="13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ht="13.5" customHeight="1">
      <c r="A36" s="133" t="s">
        <v>242</v>
      </c>
      <c r="B36" s="135">
        <f>B33+'Data Sheet'!B59-'Data Sheet'!B69</f>
        <v>23834.6736</v>
      </c>
      <c r="C36" s="135">
        <f>C33+'Data Sheet'!C59-'Data Sheet'!C69</f>
        <v>30814.064</v>
      </c>
      <c r="D36" s="135">
        <f>D33+'Data Sheet'!D59-'Data Sheet'!D69</f>
        <v>46681.0116</v>
      </c>
      <c r="E36" s="135">
        <f>E33+'Data Sheet'!E59-'Data Sheet'!E69</f>
        <v>52579.514</v>
      </c>
      <c r="F36" s="135">
        <f>F33+'Data Sheet'!F59-'Data Sheet'!F69</f>
        <v>78033.676</v>
      </c>
      <c r="G36" s="135">
        <f>G33+'Data Sheet'!G59-'Data Sheet'!G69</f>
        <v>83196.018</v>
      </c>
      <c r="H36" s="135">
        <f>H33+'Data Sheet'!H59-'Data Sheet'!H69</f>
        <v>102729.25</v>
      </c>
      <c r="I36" s="135">
        <f>I33+'Data Sheet'!I59-'Data Sheet'!I69</f>
        <v>107597.548</v>
      </c>
      <c r="J36" s="135">
        <f>J33+'Data Sheet'!J59-'Data Sheet'!J69</f>
        <v>144054.504</v>
      </c>
      <c r="K36" s="135">
        <f>K33+'Data Sheet'!K59-'Data Sheet'!K69</f>
        <v>160186.35</v>
      </c>
      <c r="L36" s="13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ht="13.5" customHeight="1">
      <c r="A37" s="86"/>
      <c r="B37" s="86">
        <f t="shared" ref="B37:K37" si="12">B2</f>
        <v>40633</v>
      </c>
      <c r="C37" s="86">
        <f t="shared" si="12"/>
        <v>40999</v>
      </c>
      <c r="D37" s="86">
        <f t="shared" si="12"/>
        <v>41364</v>
      </c>
      <c r="E37" s="86">
        <f t="shared" si="12"/>
        <v>41729</v>
      </c>
      <c r="F37" s="86">
        <f t="shared" si="12"/>
        <v>42094</v>
      </c>
      <c r="G37" s="86">
        <f t="shared" si="12"/>
        <v>42460</v>
      </c>
      <c r="H37" s="86">
        <f t="shared" si="12"/>
        <v>42825</v>
      </c>
      <c r="I37" s="86">
        <f t="shared" si="12"/>
        <v>43190</v>
      </c>
      <c r="J37" s="86">
        <f t="shared" si="12"/>
        <v>43555</v>
      </c>
      <c r="K37" s="86">
        <f t="shared" si="12"/>
        <v>43921</v>
      </c>
      <c r="L37" s="86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ht="13.5" customHeight="1">
      <c r="A38" s="133" t="s">
        <v>243</v>
      </c>
      <c r="B38" s="135">
        <f>B33/'Data Sheet'!B30</f>
        <v>28.73140933</v>
      </c>
      <c r="C38" s="135">
        <f>C33/'Data Sheet'!C30</f>
        <v>31.45172494</v>
      </c>
      <c r="D38" s="135">
        <f>D33/'Data Sheet'!D30</f>
        <v>42.34454483</v>
      </c>
      <c r="E38" s="135">
        <f>E33/'Data Sheet'!E30</f>
        <v>43.123509</v>
      </c>
      <c r="F38" s="135">
        <f>F33/'Data Sheet'!F30</f>
        <v>55.77887396</v>
      </c>
      <c r="G38" s="135">
        <f>G33/'Data Sheet'!G30</f>
        <v>47.73025281</v>
      </c>
      <c r="H38" s="135">
        <f>H33/'Data Sheet'!H30</f>
        <v>53.09298093</v>
      </c>
      <c r="I38" s="135">
        <f>I33/'Data Sheet'!I30</f>
        <v>52.70841471</v>
      </c>
      <c r="J38" s="135">
        <f>J33/'Data Sheet'!J30</f>
        <v>66.41238265</v>
      </c>
      <c r="K38" s="135">
        <f>K33/'Data Sheet'!K30</f>
        <v>59.0908076</v>
      </c>
      <c r="L38" s="13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ht="13.5" customHeight="1">
      <c r="A39" s="133" t="s">
        <v>244</v>
      </c>
      <c r="B39" s="135">
        <f t="shared" ref="B39:K39" si="13">B33/B10</f>
        <v>11.07582156</v>
      </c>
      <c r="C39" s="135">
        <f t="shared" si="13"/>
        <v>11.31426742</v>
      </c>
      <c r="D39" s="135">
        <f t="shared" si="13"/>
        <v>13.93696805</v>
      </c>
      <c r="E39" s="135">
        <f t="shared" si="13"/>
        <v>13.01225583</v>
      </c>
      <c r="F39" s="135">
        <f t="shared" si="13"/>
        <v>16.40952943</v>
      </c>
      <c r="G39" s="135">
        <f t="shared" si="13"/>
        <v>12.76616489</v>
      </c>
      <c r="H39" s="135">
        <f t="shared" si="13"/>
        <v>13.54176875</v>
      </c>
      <c r="I39" s="135">
        <f t="shared" si="13"/>
        <v>12.77833876</v>
      </c>
      <c r="J39" s="135">
        <f t="shared" si="13"/>
        <v>15.11842332</v>
      </c>
      <c r="K39" s="135">
        <f t="shared" si="13"/>
        <v>15.77967969</v>
      </c>
      <c r="L39" s="13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ht="13.5" customHeight="1">
      <c r="A40" s="133" t="s">
        <v>245</v>
      </c>
      <c r="B40" s="135">
        <f t="shared" ref="B40:K40" si="14">B33/B17</f>
        <v>31.77540278</v>
      </c>
      <c r="C40" s="135">
        <f t="shared" si="14"/>
        <v>43.80019719</v>
      </c>
      <c r="D40" s="135">
        <f t="shared" si="14"/>
        <v>39.74312355</v>
      </c>
      <c r="E40" s="135">
        <f t="shared" si="14"/>
        <v>37.48804519</v>
      </c>
      <c r="F40" s="135">
        <f t="shared" si="14"/>
        <v>65.52206047</v>
      </c>
      <c r="G40" s="135">
        <f t="shared" si="14"/>
        <v>37.13722018</v>
      </c>
      <c r="H40" s="135">
        <f t="shared" si="14"/>
        <v>67.41838372</v>
      </c>
      <c r="I40" s="135">
        <f t="shared" si="14"/>
        <v>50.85016277</v>
      </c>
      <c r="J40" s="135">
        <f t="shared" si="14"/>
        <v>57.97832147</v>
      </c>
      <c r="K40" s="135">
        <f t="shared" si="14"/>
        <v>60.7360794</v>
      </c>
      <c r="L40" s="13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ht="13.5" customHeight="1">
      <c r="A41" s="133" t="s">
        <v>246</v>
      </c>
      <c r="B41" s="135">
        <f>B33/'Data Sheet'!B17</f>
        <v>3.272695953</v>
      </c>
      <c r="C41" s="135">
        <f>C33/'Data Sheet'!C17</f>
        <v>3.368694814</v>
      </c>
      <c r="D41" s="135">
        <f>D33/'Data Sheet'!D17</f>
        <v>4.49039849</v>
      </c>
      <c r="E41" s="135">
        <f>E33/'Data Sheet'!E17</f>
        <v>4.300963391</v>
      </c>
      <c r="F41" s="135">
        <f>F33/'Data Sheet'!F17</f>
        <v>5.715637895</v>
      </c>
      <c r="G41" s="135">
        <f>G33/'Data Sheet'!G17</f>
        <v>5.836596459</v>
      </c>
      <c r="H41" s="135">
        <f>H33/'Data Sheet'!H17</f>
        <v>6.836422013</v>
      </c>
      <c r="I41" s="135">
        <f>I33/'Data Sheet'!I17</f>
        <v>6.387616192</v>
      </c>
      <c r="J41" s="135">
        <f>J33/'Data Sheet'!J17</f>
        <v>7.441726433</v>
      </c>
      <c r="K41" s="135">
        <f>K33/'Data Sheet'!K17</f>
        <v>7.908995238</v>
      </c>
      <c r="L41" s="133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ht="13.5" customHeight="1">
      <c r="A42" s="133" t="s">
        <v>109</v>
      </c>
      <c r="B42" s="135">
        <f t="shared" ref="B42:K42" si="15">B36/B5</f>
        <v>17.03876298</v>
      </c>
      <c r="C42" s="135">
        <f t="shared" si="15"/>
        <v>19.03759692</v>
      </c>
      <c r="D42" s="135">
        <f t="shared" si="15"/>
        <v>25.20749923</v>
      </c>
      <c r="E42" s="135">
        <f t="shared" si="15"/>
        <v>24.70934716</v>
      </c>
      <c r="F42" s="135">
        <f t="shared" si="15"/>
        <v>32.71811088</v>
      </c>
      <c r="G42" s="135">
        <f t="shared" si="15"/>
        <v>28.31308488</v>
      </c>
      <c r="H42" s="135">
        <f t="shared" si="15"/>
        <v>30.8342538</v>
      </c>
      <c r="I42" s="135">
        <f t="shared" si="15"/>
        <v>30.39118184</v>
      </c>
      <c r="J42" s="135">
        <f t="shared" si="15"/>
        <v>35.66844463</v>
      </c>
      <c r="K42" s="135">
        <f t="shared" si="15"/>
        <v>35.45914878</v>
      </c>
      <c r="L42" s="133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ht="13.5" customHeight="1">
      <c r="A43" s="133" t="s">
        <v>247</v>
      </c>
      <c r="B43" s="145">
        <f>'Data Sheet'!B31/'Calculated Data'!B33</f>
        <v>0.0126690882</v>
      </c>
      <c r="C43" s="145">
        <f>'Data Sheet'!C31/'Calculated Data'!C33</f>
        <v>0.01233806292</v>
      </c>
      <c r="D43" s="145">
        <f>'Data Sheet'!D31/'Calculated Data'!D33</f>
        <v>0.009354684785</v>
      </c>
      <c r="E43" s="145">
        <f>'Data Sheet'!E31/'Calculated Data'!E33</f>
        <v>0.009672491471</v>
      </c>
      <c r="F43" s="145">
        <f>'Data Sheet'!F31/'Calculated Data'!F33</f>
        <v>0.007518771292</v>
      </c>
      <c r="G43" s="145">
        <f>'Data Sheet'!G31/'Calculated Data'!G33</f>
        <v>0.008636573008</v>
      </c>
      <c r="H43" s="145">
        <f>'Data Sheet'!H31/'Calculated Data'!H33</f>
        <v>0.009594822265</v>
      </c>
      <c r="I43" s="145">
        <f>'Data Sheet'!I31/'Calculated Data'!I33</f>
        <v>0.007765046678</v>
      </c>
      <c r="J43" s="145">
        <f>'Data Sheet'!J31/'Calculated Data'!J33</f>
        <v>0.007034233269</v>
      </c>
      <c r="K43" s="145">
        <f>'Data Sheet'!K31/'Calculated Data'!K33</f>
        <v>0.007200720072</v>
      </c>
      <c r="L43" s="13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ht="13.5" customHeight="1">
      <c r="A44" s="86"/>
      <c r="B44" s="86">
        <f t="shared" ref="B44:K44" si="16">B2</f>
        <v>40633</v>
      </c>
      <c r="C44" s="86">
        <f t="shared" si="16"/>
        <v>40999</v>
      </c>
      <c r="D44" s="86">
        <f t="shared" si="16"/>
        <v>41364</v>
      </c>
      <c r="E44" s="86">
        <f t="shared" si="16"/>
        <v>41729</v>
      </c>
      <c r="F44" s="86">
        <f t="shared" si="16"/>
        <v>42094</v>
      </c>
      <c r="G44" s="86">
        <f t="shared" si="16"/>
        <v>42460</v>
      </c>
      <c r="H44" s="86">
        <f t="shared" si="16"/>
        <v>42825</v>
      </c>
      <c r="I44" s="86">
        <f t="shared" si="16"/>
        <v>43190</v>
      </c>
      <c r="J44" s="86">
        <f t="shared" si="16"/>
        <v>43555</v>
      </c>
      <c r="K44" s="86">
        <f t="shared" si="16"/>
        <v>43921</v>
      </c>
      <c r="L44" s="86" t="s">
        <v>248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ht="12.75" customHeight="1">
      <c r="A45" s="133" t="s">
        <v>69</v>
      </c>
      <c r="B45" s="135">
        <f t="shared" ref="B45:K45" si="17">B11/B15</f>
        <v>0.13852704</v>
      </c>
      <c r="C45" s="135">
        <f t="shared" si="17"/>
        <v>0.1430694707</v>
      </c>
      <c r="D45" s="135">
        <f t="shared" si="17"/>
        <v>0.1237217186</v>
      </c>
      <c r="E45" s="135">
        <f t="shared" si="17"/>
        <v>0.0286846472</v>
      </c>
      <c r="F45" s="135">
        <f t="shared" si="17"/>
        <v>0.08039710584</v>
      </c>
      <c r="G45" s="135">
        <f t="shared" si="17"/>
        <v>0.05805836332</v>
      </c>
      <c r="H45" s="135">
        <f t="shared" si="17"/>
        <v>0.1572696589</v>
      </c>
      <c r="I45" s="135">
        <f t="shared" si="17"/>
        <v>0.1210166324</v>
      </c>
      <c r="J45" s="135">
        <f t="shared" si="17"/>
        <v>0.09325834952</v>
      </c>
      <c r="K45" s="135">
        <f t="shared" si="17"/>
        <v>0.1745733819</v>
      </c>
      <c r="L45" s="143">
        <v>1.2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ht="12.75" customHeight="1">
      <c r="A46" s="133" t="s">
        <v>249</v>
      </c>
      <c r="B46" s="135">
        <f t="shared" ref="B46:K46" si="18">B35/B15</f>
        <v>0.1163194219</v>
      </c>
      <c r="C46" s="135">
        <f t="shared" si="18"/>
        <v>0.1059225971</v>
      </c>
      <c r="D46" s="135">
        <f t="shared" si="18"/>
        <v>0.09914511018</v>
      </c>
      <c r="E46" s="135">
        <f t="shared" si="18"/>
        <v>0.08797458949</v>
      </c>
      <c r="F46" s="135">
        <f t="shared" si="18"/>
        <v>0.09086768748</v>
      </c>
      <c r="G46" s="135">
        <f t="shared" si="18"/>
        <v>0.09714528702</v>
      </c>
      <c r="H46" s="135">
        <f t="shared" si="18"/>
        <v>0.076697737</v>
      </c>
      <c r="I46" s="135">
        <f t="shared" si="18"/>
        <v>0.08750911833</v>
      </c>
      <c r="J46" s="135">
        <f t="shared" si="18"/>
        <v>0.07069796982</v>
      </c>
      <c r="K46" s="135">
        <f t="shared" si="18"/>
        <v>0.09630269482</v>
      </c>
      <c r="L46" s="143">
        <v>1.4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ht="12.75" customHeight="1">
      <c r="A47" s="133" t="s">
        <v>250</v>
      </c>
      <c r="B47" s="135">
        <f t="shared" ref="B47:K47" si="19">B4/B15</f>
        <v>0.278862963</v>
      </c>
      <c r="C47" s="135">
        <f t="shared" si="19"/>
        <v>0.2621516441</v>
      </c>
      <c r="D47" s="135">
        <f t="shared" si="19"/>
        <v>0.250168767</v>
      </c>
      <c r="E47" s="135">
        <f t="shared" si="19"/>
        <v>0.2330856676</v>
      </c>
      <c r="F47" s="135">
        <f t="shared" si="19"/>
        <v>0.2377149588</v>
      </c>
      <c r="G47" s="135">
        <f t="shared" si="19"/>
        <v>0.2521869907</v>
      </c>
      <c r="H47" s="135">
        <f t="shared" si="19"/>
        <v>0.2415819508</v>
      </c>
      <c r="I47" s="135">
        <f t="shared" si="19"/>
        <v>0.2310425852</v>
      </c>
      <c r="J47" s="135">
        <f t="shared" si="19"/>
        <v>0.2102654713</v>
      </c>
      <c r="K47" s="135">
        <f t="shared" si="19"/>
        <v>0.2315650605</v>
      </c>
      <c r="L47" s="143">
        <v>3.3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ht="12.75" customHeight="1">
      <c r="A48" s="133" t="s">
        <v>251</v>
      </c>
      <c r="B48" s="135">
        <f t="shared" ref="B48:K48" si="20">B33/B15</f>
        <v>5.254756148</v>
      </c>
      <c r="C48" s="135">
        <f t="shared" si="20"/>
        <v>5.444017794</v>
      </c>
      <c r="D48" s="135">
        <f t="shared" si="20"/>
        <v>6.952132302</v>
      </c>
      <c r="E48" s="135">
        <f t="shared" si="20"/>
        <v>6.50857716</v>
      </c>
      <c r="F48" s="135">
        <f t="shared" si="20"/>
        <v>8.72958618</v>
      </c>
      <c r="G48" s="135">
        <f t="shared" si="20"/>
        <v>7.888691291</v>
      </c>
      <c r="H48" s="135">
        <f t="shared" si="20"/>
        <v>8.300567746</v>
      </c>
      <c r="I48" s="135">
        <f t="shared" si="20"/>
        <v>7.80825547</v>
      </c>
      <c r="J48" s="135">
        <f t="shared" si="20"/>
        <v>8.81169265</v>
      </c>
      <c r="K48" s="135">
        <f t="shared" si="20"/>
        <v>9.905253263</v>
      </c>
      <c r="L48" s="143">
        <v>0.6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ht="12.75" customHeight="1">
      <c r="A49" s="133" t="s">
        <v>252</v>
      </c>
      <c r="B49" s="135">
        <f>'Data Sheet'!B17/'Calculated Data'!B15</f>
        <v>1.6056353</v>
      </c>
      <c r="C49" s="135">
        <f>'Data Sheet'!C17/'Calculated Data'!C15</f>
        <v>1.616061441</v>
      </c>
      <c r="D49" s="135">
        <f>'Data Sheet'!D17/'Calculated Data'!D15</f>
        <v>1.548221682</v>
      </c>
      <c r="E49" s="135">
        <f>'Data Sheet'!E17/'Calculated Data'!E15</f>
        <v>1.513283553</v>
      </c>
      <c r="F49" s="135">
        <f>'Data Sheet'!F17/'Calculated Data'!F15</f>
        <v>1.52731617</v>
      </c>
      <c r="G49" s="135">
        <f>'Data Sheet'!G17/'Calculated Data'!G15</f>
        <v>1.351591008</v>
      </c>
      <c r="H49" s="135">
        <f>'Data Sheet'!H17/'Calculated Data'!H15</f>
        <v>1.214168425</v>
      </c>
      <c r="I49" s="135">
        <f>'Data Sheet'!I17/'Calculated Data'!I15</f>
        <v>1.222405235</v>
      </c>
      <c r="J49" s="135">
        <f>'Data Sheet'!J17/'Calculated Data'!J15</f>
        <v>1.184092526</v>
      </c>
      <c r="K49" s="135">
        <f>'Data Sheet'!K17/'Calculated Data'!K15</f>
        <v>1.252403493</v>
      </c>
      <c r="L49" s="143">
        <v>1.0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ht="12.75" customHeight="1">
      <c r="A50" s="133" t="s">
        <v>178</v>
      </c>
      <c r="B50" s="135">
        <f t="shared" ref="B50:K50" si="21">$L$45*B45+$L$46*B46+$L$47*B47+$L$48*B48+$L$49*B49</f>
        <v>6.007816405</v>
      </c>
      <c r="C50" s="135">
        <f t="shared" si="21"/>
        <v>6.067547543</v>
      </c>
      <c r="D50" s="135">
        <f t="shared" si="21"/>
        <v>6.832327211</v>
      </c>
      <c r="E50" s="135">
        <f t="shared" si="21"/>
        <v>6.345198554</v>
      </c>
      <c r="F50" s="135">
        <f t="shared" si="21"/>
        <v>7.773218532</v>
      </c>
      <c r="G50" s="135">
        <f t="shared" si="21"/>
        <v>7.122696289</v>
      </c>
      <c r="H50" s="135">
        <f t="shared" si="21"/>
        <v>7.287829932</v>
      </c>
      <c r="I50" s="135">
        <f t="shared" si="21"/>
        <v>6.937531772</v>
      </c>
      <c r="J50" s="135">
        <f t="shared" si="21"/>
        <v>7.375871348</v>
      </c>
      <c r="K50" s="135">
        <f t="shared" si="21"/>
        <v>8.304031982</v>
      </c>
      <c r="L50" s="143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ht="13.5" customHeight="1">
      <c r="A51" s="22" t="s">
        <v>253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ht="13.5" customHeight="1">
      <c r="A52" s="22" t="s">
        <v>254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ht="13.5" customHeight="1">
      <c r="A53" s="22" t="s">
        <v>255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 t="s">
        <v>256</v>
      </c>
      <c r="P53" s="22">
        <f>6%</f>
        <v>0.06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ht="13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ht="13.5" customHeight="1">
      <c r="A55" s="22"/>
      <c r="B55" s="22">
        <v>1.0</v>
      </c>
      <c r="C55" s="22">
        <v>2.0</v>
      </c>
      <c r="D55" s="22">
        <v>3.0</v>
      </c>
      <c r="E55" s="22">
        <v>4.0</v>
      </c>
      <c r="F55" s="22">
        <v>5.0</v>
      </c>
      <c r="G55" s="22">
        <v>6.0</v>
      </c>
      <c r="H55" s="22">
        <v>7.0</v>
      </c>
      <c r="I55" s="22">
        <v>8.0</v>
      </c>
      <c r="J55" s="22">
        <v>9.0</v>
      </c>
      <c r="K55" s="22">
        <v>10.0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ht="13.5" customHeight="1">
      <c r="A56" s="22" t="s">
        <v>257</v>
      </c>
      <c r="B56" s="22">
        <v>2020.0</v>
      </c>
      <c r="C56" s="22">
        <v>2021.0</v>
      </c>
      <c r="D56" s="22">
        <v>2022.0</v>
      </c>
      <c r="E56" s="22">
        <v>2023.0</v>
      </c>
      <c r="F56" s="22">
        <v>2024.0</v>
      </c>
      <c r="G56" s="22">
        <v>2025.0</v>
      </c>
      <c r="H56" s="22">
        <v>2026.0</v>
      </c>
      <c r="I56" s="22">
        <v>2027.0</v>
      </c>
      <c r="J56" s="22">
        <v>2028.0</v>
      </c>
      <c r="K56" s="22">
        <v>2029.0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ht="13.5" customHeight="1">
      <c r="A57" s="22" t="s">
        <v>79</v>
      </c>
      <c r="B57" s="146">
        <f>K19</f>
        <v>2145.07</v>
      </c>
      <c r="C57" s="22">
        <v>0.0</v>
      </c>
      <c r="D57" s="22">
        <f>B57/2</f>
        <v>1072.535</v>
      </c>
      <c r="E57" s="146">
        <f>B57</f>
        <v>2145.07</v>
      </c>
      <c r="F57" s="22">
        <f t="shared" ref="F57:K57" si="22">E57*1.15</f>
        <v>2466.8305</v>
      </c>
      <c r="G57" s="22">
        <f t="shared" si="22"/>
        <v>2836.855075</v>
      </c>
      <c r="H57" s="22">
        <f t="shared" si="22"/>
        <v>3262.383336</v>
      </c>
      <c r="I57" s="22">
        <f t="shared" si="22"/>
        <v>3751.740837</v>
      </c>
      <c r="J57" s="22">
        <f t="shared" si="22"/>
        <v>4314.501962</v>
      </c>
      <c r="K57" s="22">
        <f t="shared" si="22"/>
        <v>4961.677257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ht="13.5" customHeight="1">
      <c r="A58" s="22">
        <f>10%</f>
        <v>0.1</v>
      </c>
      <c r="B58" s="22">
        <f>1.1^1</f>
        <v>1.1</v>
      </c>
      <c r="C58" s="22">
        <f>1.1^2</f>
        <v>1.21</v>
      </c>
      <c r="D58" s="22">
        <f>1.1^3</f>
        <v>1.331</v>
      </c>
      <c r="E58" s="22">
        <f>1.1^4</f>
        <v>1.4641</v>
      </c>
      <c r="F58" s="22">
        <f>1.1^5</f>
        <v>1.61051</v>
      </c>
      <c r="G58" s="22">
        <f>1.1^6</f>
        <v>1.771561</v>
      </c>
      <c r="H58" s="22">
        <f>1.1^7</f>
        <v>1.9487171</v>
      </c>
      <c r="I58" s="22">
        <f>1.1^8</f>
        <v>2.14358881</v>
      </c>
      <c r="J58" s="22">
        <f>1.1^9</f>
        <v>2.357947691</v>
      </c>
      <c r="K58" s="22">
        <f>1.1^10</f>
        <v>2.59374246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ht="13.5" customHeight="1">
      <c r="A59" s="22">
        <f>12%</f>
        <v>0.12</v>
      </c>
      <c r="B59" s="22">
        <f t="shared" ref="B59:K59" si="23">1.12^B55</f>
        <v>1.12</v>
      </c>
      <c r="C59" s="22">
        <f t="shared" si="23"/>
        <v>1.2544</v>
      </c>
      <c r="D59" s="22">
        <f t="shared" si="23"/>
        <v>1.404928</v>
      </c>
      <c r="E59" s="22">
        <f t="shared" si="23"/>
        <v>1.57351936</v>
      </c>
      <c r="F59" s="22">
        <f t="shared" si="23"/>
        <v>1.762341683</v>
      </c>
      <c r="G59" s="22">
        <f t="shared" si="23"/>
        <v>1.973822685</v>
      </c>
      <c r="H59" s="22">
        <f t="shared" si="23"/>
        <v>2.210681407</v>
      </c>
      <c r="I59" s="22">
        <f t="shared" si="23"/>
        <v>2.475963176</v>
      </c>
      <c r="J59" s="22">
        <f t="shared" si="23"/>
        <v>2.773078757</v>
      </c>
      <c r="K59" s="22">
        <f t="shared" si="23"/>
        <v>3.105848208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ht="13.5" customHeight="1">
      <c r="A60" s="22">
        <f>15%</f>
        <v>0.15</v>
      </c>
      <c r="B60" s="22">
        <f t="shared" ref="B60:K60" si="24">1.15^B55</f>
        <v>1.15</v>
      </c>
      <c r="C60" s="22">
        <f t="shared" si="24"/>
        <v>1.3225</v>
      </c>
      <c r="D60" s="22">
        <f t="shared" si="24"/>
        <v>1.520875</v>
      </c>
      <c r="E60" s="22">
        <f t="shared" si="24"/>
        <v>1.74900625</v>
      </c>
      <c r="F60" s="22">
        <f t="shared" si="24"/>
        <v>2.011357188</v>
      </c>
      <c r="G60" s="22">
        <f t="shared" si="24"/>
        <v>2.313060766</v>
      </c>
      <c r="H60" s="22">
        <f t="shared" si="24"/>
        <v>2.66001988</v>
      </c>
      <c r="I60" s="22">
        <f t="shared" si="24"/>
        <v>3.059022863</v>
      </c>
      <c r="J60" s="22">
        <f t="shared" si="24"/>
        <v>3.517876292</v>
      </c>
      <c r="K60" s="22">
        <f t="shared" si="24"/>
        <v>4.045557736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ht="13.5" customHeight="1">
      <c r="A61" s="22" t="s">
        <v>258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ht="13.5" customHeight="1">
      <c r="A62" s="22" t="s">
        <v>259</v>
      </c>
      <c r="B62" s="22">
        <f t="shared" ref="B62:K62" si="25">B57/B58</f>
        <v>1950.063636</v>
      </c>
      <c r="C62" s="22">
        <f t="shared" si="25"/>
        <v>0</v>
      </c>
      <c r="D62" s="22">
        <f t="shared" si="25"/>
        <v>805.81142</v>
      </c>
      <c r="E62" s="22">
        <f t="shared" si="25"/>
        <v>1465.111673</v>
      </c>
      <c r="F62" s="22">
        <f t="shared" si="25"/>
        <v>1531.707658</v>
      </c>
      <c r="G62" s="22">
        <f t="shared" si="25"/>
        <v>1601.330733</v>
      </c>
      <c r="H62" s="22">
        <f t="shared" si="25"/>
        <v>1674.118494</v>
      </c>
      <c r="I62" s="22">
        <f t="shared" si="25"/>
        <v>1750.214789</v>
      </c>
      <c r="J62" s="22">
        <f t="shared" si="25"/>
        <v>1829.770007</v>
      </c>
      <c r="K62" s="22">
        <f t="shared" si="25"/>
        <v>1912.941371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ht="13.5" customHeight="1">
      <c r="A63" s="22" t="s">
        <v>260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>
        <f>sum(B62:K62)</f>
        <v>14521.06978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ht="13.5" customHeight="1">
      <c r="A64" s="22" t="s">
        <v>261</v>
      </c>
      <c r="B64" s="22">
        <f t="shared" ref="B64:K64" si="26">B57/B59</f>
        <v>1915.241071</v>
      </c>
      <c r="C64" s="22">
        <f t="shared" si="26"/>
        <v>0</v>
      </c>
      <c r="D64" s="22">
        <f t="shared" si="26"/>
        <v>763.4092281</v>
      </c>
      <c r="E64" s="22">
        <f t="shared" si="26"/>
        <v>1363.230764</v>
      </c>
      <c r="F64" s="22">
        <f t="shared" si="26"/>
        <v>1399.745874</v>
      </c>
      <c r="G64" s="22">
        <f t="shared" si="26"/>
        <v>1437.239067</v>
      </c>
      <c r="H64" s="22">
        <f t="shared" si="26"/>
        <v>1475.736542</v>
      </c>
      <c r="I64" s="22">
        <f t="shared" si="26"/>
        <v>1515.2652</v>
      </c>
      <c r="J64" s="22">
        <f t="shared" si="26"/>
        <v>1555.85266</v>
      </c>
      <c r="K64" s="22">
        <f t="shared" si="26"/>
        <v>1597.527285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ht="13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>
        <f>sum(B64:K64)</f>
        <v>13023.24769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ht="13.5" customHeight="1">
      <c r="A66" s="22" t="s">
        <v>262</v>
      </c>
      <c r="B66" s="22">
        <f t="shared" ref="B66:K66" si="27">B57/B60</f>
        <v>1865.278261</v>
      </c>
      <c r="C66" s="22">
        <f t="shared" si="27"/>
        <v>0</v>
      </c>
      <c r="D66" s="22">
        <f t="shared" si="27"/>
        <v>705.2091724</v>
      </c>
      <c r="E66" s="22">
        <f t="shared" si="27"/>
        <v>1226.450735</v>
      </c>
      <c r="F66" s="22">
        <f t="shared" si="27"/>
        <v>1226.450735</v>
      </c>
      <c r="G66" s="22">
        <f t="shared" si="27"/>
        <v>1226.450735</v>
      </c>
      <c r="H66" s="22">
        <f t="shared" si="27"/>
        <v>1226.450735</v>
      </c>
      <c r="I66" s="22">
        <f t="shared" si="27"/>
        <v>1226.450735</v>
      </c>
      <c r="J66" s="22">
        <f t="shared" si="27"/>
        <v>1226.450735</v>
      </c>
      <c r="K66" s="22">
        <f t="shared" si="27"/>
        <v>1226.450735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ht="13.5" customHeight="1">
      <c r="A67" s="22" t="s">
        <v>263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>
        <f>sum(B66:K66)</f>
        <v>11155.64257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ht="13.5" customHeight="1">
      <c r="A68" s="22" t="s">
        <v>264</v>
      </c>
      <c r="B68" s="22">
        <f>K57*(1+P53)/(A58-P53)</f>
        <v>131484.4473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ht="13.5" customHeight="1">
      <c r="A69" s="22" t="s">
        <v>265</v>
      </c>
      <c r="B69" s="22">
        <f>K57*(1+P53)/(A59-P53)</f>
        <v>87656.2982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ht="13.5" customHeight="1">
      <c r="A70" s="22" t="s">
        <v>266</v>
      </c>
      <c r="B70" s="22">
        <f>K57*(1+P53)/(A60-P53)</f>
        <v>58437.53213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ht="13.5" customHeight="1">
      <c r="A71" s="22"/>
      <c r="B71" s="22"/>
      <c r="C71" s="22"/>
      <c r="D71" s="22" t="s">
        <v>267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ht="13.5" customHeight="1">
      <c r="A72" s="22" t="s">
        <v>268</v>
      </c>
      <c r="B72" s="22">
        <f>B68+L63</f>
        <v>146005.5171</v>
      </c>
      <c r="C72" s="22"/>
      <c r="D72" s="22">
        <f t="shared" ref="D72:D74" si="28">B72/1.615</f>
        <v>90405.89293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ht="13.5" customHeight="1">
      <c r="A73" s="22" t="s">
        <v>269</v>
      </c>
      <c r="B73" s="22">
        <f>B69+L65</f>
        <v>100679.5459</v>
      </c>
      <c r="C73" s="22"/>
      <c r="D73" s="22">
        <f t="shared" si="28"/>
        <v>62340.27609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ht="13.5" customHeight="1">
      <c r="A74" s="22" t="s">
        <v>270</v>
      </c>
      <c r="B74" s="22">
        <f>B70+L67</f>
        <v>69593.17471</v>
      </c>
      <c r="C74" s="22"/>
      <c r="D74" s="22">
        <f t="shared" si="28"/>
        <v>43091.74904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ht="13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ht="13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ht="13.5" customHeight="1">
      <c r="A77" s="22" t="s">
        <v>271</v>
      </c>
      <c r="B77" s="22">
        <f>B57/1.615</f>
        <v>1328.216718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ht="13.5" customHeight="1">
      <c r="A78" s="22" t="s">
        <v>16</v>
      </c>
      <c r="B78" s="22">
        <v>100.0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ht="13.5" customHeight="1">
      <c r="A79" s="22" t="s">
        <v>272</v>
      </c>
      <c r="B79" s="22">
        <f>B78/B77</f>
        <v>0.07528891831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ht="13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ht="13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ht="13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ht="13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ht="13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ht="13.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ht="13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ht="13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ht="13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ht="13.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ht="13.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ht="13.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ht="13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ht="13.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ht="13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ht="13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ht="13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ht="13.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ht="13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ht="13.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ht="13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ht="13.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ht="13.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ht="13.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ht="13.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ht="13.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ht="13.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ht="13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ht="13.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ht="13.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ht="13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ht="13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ht="13.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ht="13.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ht="13.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ht="13.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ht="13.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ht="13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ht="13.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ht="13.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ht="13.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ht="13.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ht="13.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ht="13.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ht="13.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ht="13.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ht="13.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ht="13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ht="13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ht="13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ht="13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ht="13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ht="13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ht="13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ht="13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ht="13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ht="13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ht="13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ht="13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ht="13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ht="13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ht="13.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ht="13.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ht="13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ht="13.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ht="13.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ht="13.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ht="13.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ht="13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ht="13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ht="13.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ht="13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ht="13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ht="13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ht="13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ht="13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ht="13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ht="13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ht="13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ht="13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ht="13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ht="13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ht="13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ht="13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ht="13.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ht="13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ht="13.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ht="13.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ht="13.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ht="13.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ht="13.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ht="13.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ht="13.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ht="13.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ht="13.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ht="13.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ht="13.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ht="13.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ht="13.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ht="13.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ht="13.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ht="13.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ht="13.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ht="13.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ht="13.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ht="13.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ht="13.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ht="13.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ht="13.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ht="13.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ht="13.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ht="13.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ht="13.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ht="13.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ht="13.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ht="13.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ht="13.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ht="13.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ht="13.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ht="13.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ht="13.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ht="13.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ht="13.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ht="13.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ht="13.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ht="13.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ht="13.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ht="13.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ht="13.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ht="13.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ht="13.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ht="13.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ht="13.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ht="13.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ht="13.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ht="13.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ht="13.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ht="13.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ht="13.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ht="13.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ht="13.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ht="13.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ht="13.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ht="13.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ht="13.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ht="13.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ht="13.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ht="13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ht="13.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ht="13.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ht="13.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ht="13.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ht="13.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ht="13.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ht="13.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ht="13.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ht="13.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ht="13.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ht="13.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ht="13.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ht="13.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ht="13.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ht="13.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ht="13.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ht="13.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ht="13.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ht="13.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ht="13.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ht="13.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ht="13.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ht="13.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ht="13.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ht="13.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ht="13.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ht="13.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ht="13.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ht="13.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ht="13.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ht="13.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ht="13.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ht="13.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ht="13.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ht="13.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ht="13.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ht="13.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ht="13.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ht="13.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ht="13.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ht="13.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ht="13.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ht="13.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ht="13.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ht="13.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ht="13.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ht="13.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ht="13.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ht="13.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ht="13.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ht="13.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ht="13.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9.88"/>
    <col customWidth="1" min="2" max="11" width="10.0"/>
    <col customWidth="1" min="12" max="12" width="9.38"/>
  </cols>
  <sheetData>
    <row r="1" ht="13.5" customHeight="1">
      <c r="A1" s="147" t="str">
        <f>'Data Sheet'!B1</f>
        <v>ASIAN PAINTS LTD</v>
      </c>
      <c r="B1" s="86">
        <f t="shared" ref="B1:K1" si="1">B7</f>
        <v>40633</v>
      </c>
      <c r="C1" s="86">
        <f t="shared" si="1"/>
        <v>40999</v>
      </c>
      <c r="D1" s="86">
        <f t="shared" si="1"/>
        <v>41364</v>
      </c>
      <c r="E1" s="86">
        <f t="shared" si="1"/>
        <v>41729</v>
      </c>
      <c r="F1" s="86">
        <f t="shared" si="1"/>
        <v>42094</v>
      </c>
      <c r="G1" s="86">
        <f t="shared" si="1"/>
        <v>42460</v>
      </c>
      <c r="H1" s="86">
        <f t="shared" si="1"/>
        <v>42825</v>
      </c>
      <c r="I1" s="86">
        <f t="shared" si="1"/>
        <v>43190</v>
      </c>
      <c r="J1" s="86">
        <f t="shared" si="1"/>
        <v>43555</v>
      </c>
      <c r="K1" s="86">
        <f t="shared" si="1"/>
        <v>43921</v>
      </c>
    </row>
    <row r="2" ht="13.5" customHeight="1">
      <c r="A2" s="148" t="str">
        <f>'Data Sheet'!A17</f>
        <v>Sales</v>
      </c>
      <c r="B2" s="14">
        <f>'Data Sheet'!B17</f>
        <v>7402.91</v>
      </c>
      <c r="C2" s="14">
        <f>'Data Sheet'!C17</f>
        <v>9231.25</v>
      </c>
      <c r="D2" s="14">
        <f>'Data Sheet'!D17</f>
        <v>10503.91</v>
      </c>
      <c r="E2" s="14">
        <f>'Data Sheet'!E17</f>
        <v>12220.37</v>
      </c>
      <c r="F2" s="14">
        <f>'Data Sheet'!F17</f>
        <v>13615.26</v>
      </c>
      <c r="G2" s="14">
        <f>'Data Sheet'!G17</f>
        <v>14271.49</v>
      </c>
      <c r="H2" s="14">
        <f>'Data Sheet'!H17</f>
        <v>15061.99</v>
      </c>
      <c r="I2" s="14">
        <f>'Data Sheet'!I17</f>
        <v>16824.55</v>
      </c>
      <c r="J2" s="14">
        <f>'Data Sheet'!J17</f>
        <v>19240.13</v>
      </c>
      <c r="K2" s="14">
        <f>'Data Sheet'!K17</f>
        <v>20211.25</v>
      </c>
    </row>
    <row r="3" ht="13.5" customHeight="1">
      <c r="A3" s="148" t="str">
        <f>'Data Sheet'!A25</f>
        <v>Other Income</v>
      </c>
      <c r="B3" s="14">
        <f>'Data Sheet'!B25</f>
        <v>67.98</v>
      </c>
      <c r="C3" s="14">
        <f>'Data Sheet'!C25</f>
        <v>107.41</v>
      </c>
      <c r="D3" s="14">
        <f>'Data Sheet'!D25</f>
        <v>114.48</v>
      </c>
      <c r="E3" s="14">
        <f>'Data Sheet'!E25</f>
        <v>134.22</v>
      </c>
      <c r="F3" s="14">
        <f>'Data Sheet'!F25</f>
        <v>169.71</v>
      </c>
      <c r="G3" s="14">
        <f>'Data Sheet'!G25</f>
        <v>213.39</v>
      </c>
      <c r="H3" s="14">
        <f>'Data Sheet'!H25</f>
        <v>337.9</v>
      </c>
      <c r="I3" s="14">
        <f>'Data Sheet'!I25</f>
        <v>336.41</v>
      </c>
      <c r="J3" s="14">
        <f>'Data Sheet'!J25</f>
        <v>273.77</v>
      </c>
      <c r="K3" s="14">
        <f>'Data Sheet'!K25</f>
        <v>355.05</v>
      </c>
    </row>
    <row r="4" ht="13.5" customHeight="1">
      <c r="A4" s="149" t="s">
        <v>273</v>
      </c>
      <c r="B4" s="149"/>
      <c r="C4" s="150">
        <f t="shared" ref="C4:K4" si="2">(C2-B2)/B2</f>
        <v>0.2469758514</v>
      </c>
      <c r="D4" s="150">
        <f t="shared" si="2"/>
        <v>0.1378643196</v>
      </c>
      <c r="E4" s="150">
        <f t="shared" si="2"/>
        <v>0.1634115296</v>
      </c>
      <c r="F4" s="150">
        <f t="shared" si="2"/>
        <v>0.1141446617</v>
      </c>
      <c r="G4" s="150">
        <f t="shared" si="2"/>
        <v>0.04819812475</v>
      </c>
      <c r="H4" s="150">
        <f t="shared" si="2"/>
        <v>0.05539015197</v>
      </c>
      <c r="I4" s="150">
        <f t="shared" si="2"/>
        <v>0.1170203937</v>
      </c>
      <c r="J4" s="150">
        <f t="shared" si="2"/>
        <v>0.1435747167</v>
      </c>
      <c r="K4" s="150">
        <f t="shared" si="2"/>
        <v>0.05047367144</v>
      </c>
    </row>
    <row r="5" ht="13.5" customHeight="1">
      <c r="A5" s="14" t="s">
        <v>17</v>
      </c>
      <c r="B5" s="14">
        <f>'Calculated Data'!B4</f>
        <v>1285.72</v>
      </c>
      <c r="C5" s="14">
        <f>'Calculated Data'!C4</f>
        <v>1497.46</v>
      </c>
      <c r="D5" s="14">
        <f>'Calculated Data'!D4</f>
        <v>1697.27</v>
      </c>
      <c r="E5" s="14">
        <f>'Calculated Data'!E4</f>
        <v>1882.26</v>
      </c>
      <c r="F5" s="14">
        <f>'Calculated Data'!F4</f>
        <v>2119.11</v>
      </c>
      <c r="G5" s="14">
        <f>'Calculated Data'!G4</f>
        <v>2662.85</v>
      </c>
      <c r="H5" s="14">
        <f>'Calculated Data'!H4</f>
        <v>2996.87</v>
      </c>
      <c r="I5" s="14">
        <f>'Calculated Data'!I4</f>
        <v>3179.95</v>
      </c>
      <c r="J5" s="14">
        <f>'Calculated Data'!J4</f>
        <v>3416.57</v>
      </c>
      <c r="K5" s="14">
        <f>'Calculated Data'!K4</f>
        <v>3736.99</v>
      </c>
    </row>
    <row r="6" ht="13.5" customHeight="1">
      <c r="A6" s="149" t="s">
        <v>274</v>
      </c>
      <c r="B6" s="149"/>
      <c r="C6" s="150">
        <f t="shared" ref="C6:K6" si="3">(C5-B5)/B5</f>
        <v>0.1646859347</v>
      </c>
      <c r="D6" s="150">
        <f t="shared" si="3"/>
        <v>0.1334326126</v>
      </c>
      <c r="E6" s="150">
        <f t="shared" si="3"/>
        <v>0.1089926765</v>
      </c>
      <c r="F6" s="150">
        <f t="shared" si="3"/>
        <v>0.1258327755</v>
      </c>
      <c r="G6" s="150">
        <f t="shared" si="3"/>
        <v>0.256588851</v>
      </c>
      <c r="H6" s="150">
        <f t="shared" si="3"/>
        <v>0.1254370318</v>
      </c>
      <c r="I6" s="150">
        <f t="shared" si="3"/>
        <v>0.06109040432</v>
      </c>
      <c r="J6" s="150">
        <f t="shared" si="3"/>
        <v>0.074409975</v>
      </c>
      <c r="K6" s="150">
        <f t="shared" si="3"/>
        <v>0.09378411682</v>
      </c>
    </row>
    <row r="7" ht="13.5" customHeight="1">
      <c r="A7" s="147" t="s">
        <v>275</v>
      </c>
      <c r="B7" s="86">
        <f>'Data Sheet'!B16</f>
        <v>40633</v>
      </c>
      <c r="C7" s="86">
        <f>'Data Sheet'!C16</f>
        <v>40999</v>
      </c>
      <c r="D7" s="86">
        <f>'Data Sheet'!D16</f>
        <v>41364</v>
      </c>
      <c r="E7" s="86">
        <f>'Data Sheet'!E16</f>
        <v>41729</v>
      </c>
      <c r="F7" s="86">
        <f>'Data Sheet'!F16</f>
        <v>42094</v>
      </c>
      <c r="G7" s="86">
        <f>'Data Sheet'!G16</f>
        <v>42460</v>
      </c>
      <c r="H7" s="86">
        <f>'Data Sheet'!H16</f>
        <v>42825</v>
      </c>
      <c r="I7" s="86">
        <f>'Data Sheet'!I16</f>
        <v>43190</v>
      </c>
      <c r="J7" s="86">
        <f>'Data Sheet'!J16</f>
        <v>43555</v>
      </c>
      <c r="K7" s="86">
        <f>'Data Sheet'!K16</f>
        <v>43921</v>
      </c>
    </row>
    <row r="8" ht="13.5" customHeight="1">
      <c r="A8" s="148" t="str">
        <f>'Data Sheet'!A18</f>
        <v>Raw Material Cost</v>
      </c>
      <c r="B8" s="14">
        <f>'Data Sheet'!B18</f>
        <v>3906.17</v>
      </c>
      <c r="C8" s="14">
        <f>'Data Sheet'!C18</f>
        <v>5117.61</v>
      </c>
      <c r="D8" s="14">
        <f>'Data Sheet'!D18</f>
        <v>5636.23</v>
      </c>
      <c r="E8" s="14">
        <f>'Data Sheet'!E18</f>
        <v>6339.75</v>
      </c>
      <c r="F8" s="14">
        <f>'Data Sheet'!F18</f>
        <v>8119.54</v>
      </c>
      <c r="G8" s="14">
        <f>'Data Sheet'!G18</f>
        <v>7850.32</v>
      </c>
      <c r="H8" s="14">
        <f>'Data Sheet'!H18</f>
        <v>7452.6</v>
      </c>
      <c r="I8" s="14">
        <f>'Data Sheet'!I18</f>
        <v>8128.17</v>
      </c>
      <c r="J8" s="14">
        <f>'Data Sheet'!J18</f>
        <v>9974.4</v>
      </c>
      <c r="K8" s="14">
        <f>'Data Sheet'!K18</f>
        <v>9986.19</v>
      </c>
    </row>
    <row r="9" ht="13.5" customHeight="1">
      <c r="A9" s="148" t="str">
        <f>'Data Sheet'!A19</f>
        <v>Change in Inventory</v>
      </c>
      <c r="B9" s="14">
        <f>'Data Sheet'!B19</f>
        <v>151.43</v>
      </c>
      <c r="C9" s="14">
        <f>'Data Sheet'!C19</f>
        <v>172.95</v>
      </c>
      <c r="D9" s="14">
        <f>'Data Sheet'!D19</f>
        <v>149.56</v>
      </c>
      <c r="E9" s="14">
        <f>'Data Sheet'!E19</f>
        <v>90.28</v>
      </c>
      <c r="F9" s="14">
        <f>'Data Sheet'!F19</f>
        <v>148.07</v>
      </c>
      <c r="G9" s="14">
        <f>'Data Sheet'!G19</f>
        <v>-199.33</v>
      </c>
      <c r="H9" s="14">
        <f>'Data Sheet'!H19</f>
        <v>528.6</v>
      </c>
      <c r="I9" s="14">
        <f>'Data Sheet'!I19</f>
        <v>-142.13</v>
      </c>
      <c r="J9" s="14">
        <f>'Data Sheet'!J19</f>
        <v>293.26</v>
      </c>
      <c r="K9" s="14">
        <f>'Data Sheet'!K19</f>
        <v>239.15</v>
      </c>
    </row>
    <row r="10" ht="13.5" customHeight="1">
      <c r="A10" s="148" t="str">
        <f>'Data Sheet'!A20</f>
        <v>Power and Fuel</v>
      </c>
      <c r="B10" s="14">
        <f>'Data Sheet'!B20</f>
        <v>77.19</v>
      </c>
      <c r="C10" s="14">
        <f>'Data Sheet'!C20</f>
        <v>87.41</v>
      </c>
      <c r="D10" s="14">
        <f>'Data Sheet'!D20</f>
        <v>114.71</v>
      </c>
      <c r="E10" s="14">
        <f>'Data Sheet'!E20</f>
        <v>133.74</v>
      </c>
      <c r="F10" s="14">
        <f>'Data Sheet'!F20</f>
        <v>130.68</v>
      </c>
      <c r="G10" s="14">
        <f>'Data Sheet'!G20</f>
        <v>114.48</v>
      </c>
      <c r="H10" s="14">
        <f>'Data Sheet'!H20</f>
        <v>106.02</v>
      </c>
      <c r="I10" s="14">
        <f>'Data Sheet'!I20</f>
        <v>110.3</v>
      </c>
      <c r="J10" s="14">
        <f>'Data Sheet'!J20</f>
        <v>119.63</v>
      </c>
      <c r="K10" s="14">
        <f>'Data Sheet'!K20</f>
        <v>114.93</v>
      </c>
    </row>
    <row r="11" ht="13.5" customHeight="1">
      <c r="A11" s="148" t="str">
        <f>'Data Sheet'!A21</f>
        <v>Other Mfr. Exp</v>
      </c>
      <c r="B11" s="14">
        <f>'Data Sheet'!B21</f>
        <v>845.13</v>
      </c>
      <c r="C11" s="14">
        <f>'Data Sheet'!C21</f>
        <v>985.76</v>
      </c>
      <c r="D11" s="14">
        <f>'Data Sheet'!D21</f>
        <v>1107.31</v>
      </c>
      <c r="E11" s="14">
        <f>'Data Sheet'!E21</f>
        <v>1292.18</v>
      </c>
      <c r="F11" s="14">
        <f>'Data Sheet'!F21</f>
        <v>259.76</v>
      </c>
      <c r="G11" s="14">
        <f>'Data Sheet'!G21</f>
        <v>254.73</v>
      </c>
      <c r="H11" s="14">
        <f>'Data Sheet'!H21</f>
        <v>1662.75</v>
      </c>
      <c r="I11" s="14">
        <f>'Data Sheet'!I21</f>
        <v>1691.68</v>
      </c>
      <c r="J11" s="14">
        <f>'Data Sheet'!J21</f>
        <v>1862.35</v>
      </c>
      <c r="K11" s="14">
        <f>'Data Sheet'!K21</f>
        <v>1941.92</v>
      </c>
    </row>
    <row r="12" ht="13.5" customHeight="1">
      <c r="A12" s="148" t="str">
        <f>'Data Sheet'!A22</f>
        <v>Employee Cost</v>
      </c>
      <c r="B12" s="14">
        <f>'Data Sheet'!B22</f>
        <v>456.05</v>
      </c>
      <c r="C12" s="14">
        <f>'Data Sheet'!C22</f>
        <v>529.67</v>
      </c>
      <c r="D12" s="14">
        <f>'Data Sheet'!D22</f>
        <v>627.59</v>
      </c>
      <c r="E12" s="14">
        <f>'Data Sheet'!E22</f>
        <v>763.59</v>
      </c>
      <c r="F12" s="14">
        <f>'Data Sheet'!F22</f>
        <v>936.86</v>
      </c>
      <c r="G12" s="14">
        <f>'Data Sheet'!G22</f>
        <v>994.98</v>
      </c>
      <c r="H12" s="14">
        <f>'Data Sheet'!H22</f>
        <v>1039.89</v>
      </c>
      <c r="I12" s="14">
        <f>'Data Sheet'!I22</f>
        <v>1121.89</v>
      </c>
      <c r="J12" s="14">
        <f>'Data Sheet'!J22</f>
        <v>1242.69</v>
      </c>
      <c r="K12" s="14">
        <f>'Data Sheet'!K22</f>
        <v>1371.27</v>
      </c>
    </row>
    <row r="13" ht="13.5" customHeight="1">
      <c r="A13" s="148" t="str">
        <f>'Data Sheet'!A23</f>
        <v>Selling and admin</v>
      </c>
      <c r="B13" s="14">
        <f>'Data Sheet'!B23</f>
        <v>1480.36</v>
      </c>
      <c r="C13" s="14">
        <f>'Data Sheet'!C23</f>
        <v>1855.87</v>
      </c>
      <c r="D13" s="14">
        <f>'Data Sheet'!D23</f>
        <v>2273.91</v>
      </c>
      <c r="E13" s="14">
        <f>'Data Sheet'!E23</f>
        <v>2826.43</v>
      </c>
      <c r="F13" s="14">
        <f>'Data Sheet'!F23</f>
        <v>3370.79</v>
      </c>
      <c r="G13" s="14">
        <f>'Data Sheet'!G23</f>
        <v>3946.74</v>
      </c>
      <c r="H13" s="14">
        <f>'Data Sheet'!H23</f>
        <v>4364.04</v>
      </c>
      <c r="I13" s="14">
        <f>'Data Sheet'!I23</f>
        <v>2254.92</v>
      </c>
      <c r="J13" s="14">
        <f>'Data Sheet'!J23</f>
        <v>2366.87</v>
      </c>
      <c r="K13" s="14">
        <f>'Data Sheet'!K23</f>
        <v>2623.15</v>
      </c>
    </row>
    <row r="14" ht="13.5" customHeight="1">
      <c r="A14" s="148" t="str">
        <f>'Data Sheet'!A24</f>
        <v>Other Expenses</v>
      </c>
      <c r="B14" s="14">
        <f>'Data Sheet'!B24</f>
        <v>-541.43</v>
      </c>
      <c r="C14" s="14">
        <f>'Data Sheet'!C24</f>
        <v>-683.3</v>
      </c>
      <c r="D14" s="14">
        <f>'Data Sheet'!D24</f>
        <v>-843.67</v>
      </c>
      <c r="E14" s="14">
        <f>'Data Sheet'!E24</f>
        <v>-1038.74</v>
      </c>
      <c r="F14" s="14">
        <f>'Data Sheet'!F24</f>
        <v>-1269.62</v>
      </c>
      <c r="G14" s="14">
        <f>'Data Sheet'!G24</f>
        <v>-1814.13</v>
      </c>
      <c r="H14" s="14">
        <f>'Data Sheet'!H24</f>
        <v>-2028.47</v>
      </c>
      <c r="I14" s="14">
        <f>'Data Sheet'!I24</f>
        <v>171.45</v>
      </c>
      <c r="J14" s="14">
        <f>'Data Sheet'!J24</f>
        <v>202.51</v>
      </c>
      <c r="K14" s="14">
        <f>'Data Sheet'!K24</f>
        <v>250.5</v>
      </c>
    </row>
    <row r="15" ht="13.5" customHeight="1">
      <c r="A15" s="14" t="s">
        <v>276</v>
      </c>
      <c r="B15" s="148">
        <f>'Profit &amp; Loss'!B9</f>
        <v>25.98</v>
      </c>
      <c r="C15" s="148">
        <f>'Profit &amp; Loss'!C9</f>
        <v>43.38</v>
      </c>
      <c r="D15" s="148">
        <f>'Profit &amp; Loss'!D9</f>
        <v>42.06</v>
      </c>
      <c r="E15" s="148">
        <f>'Profit &amp; Loss'!E9</f>
        <v>47.99</v>
      </c>
      <c r="F15" s="148">
        <f>'Profit &amp; Loss'!F9</f>
        <v>42.24</v>
      </c>
      <c r="G15" s="148">
        <f>'Profit &amp; Loss'!G9</f>
        <v>49</v>
      </c>
      <c r="H15" s="148">
        <f>'Profit &amp; Loss'!H9</f>
        <v>37.33</v>
      </c>
      <c r="I15" s="148">
        <f>'Profit &amp; Loss'!I9</f>
        <v>41.47</v>
      </c>
      <c r="J15" s="148">
        <f>'Profit &amp; Loss'!J9</f>
        <v>110.47</v>
      </c>
      <c r="K15" s="148">
        <f>'Profit &amp; Loss'!K9</f>
        <v>107.95</v>
      </c>
    </row>
    <row r="16" ht="13.5" customHeight="1">
      <c r="A16" s="147" t="s">
        <v>277</v>
      </c>
      <c r="B16" s="86">
        <f t="shared" ref="B16:K16" si="4">B1</f>
        <v>40633</v>
      </c>
      <c r="C16" s="86">
        <f t="shared" si="4"/>
        <v>40999</v>
      </c>
      <c r="D16" s="86">
        <f t="shared" si="4"/>
        <v>41364</v>
      </c>
      <c r="E16" s="86">
        <f t="shared" si="4"/>
        <v>41729</v>
      </c>
      <c r="F16" s="86">
        <f t="shared" si="4"/>
        <v>42094</v>
      </c>
      <c r="G16" s="86">
        <f t="shared" si="4"/>
        <v>42460</v>
      </c>
      <c r="H16" s="86">
        <f t="shared" si="4"/>
        <v>42825</v>
      </c>
      <c r="I16" s="86">
        <f t="shared" si="4"/>
        <v>43190</v>
      </c>
      <c r="J16" s="86">
        <f t="shared" si="4"/>
        <v>43555</v>
      </c>
      <c r="K16" s="86">
        <f t="shared" si="4"/>
        <v>43921</v>
      </c>
    </row>
    <row r="17" ht="13.5" customHeight="1">
      <c r="A17" s="151" t="str">
        <f t="shared" ref="A17:A23" si="6">A8</f>
        <v>Raw Material Cost</v>
      </c>
      <c r="B17" s="152">
        <f t="shared" ref="B17:K17" si="5">B8/B$2</f>
        <v>0.5276533147</v>
      </c>
      <c r="C17" s="152">
        <f t="shared" si="5"/>
        <v>0.5543788761</v>
      </c>
      <c r="D17" s="152">
        <f t="shared" si="5"/>
        <v>0.5365839959</v>
      </c>
      <c r="E17" s="152">
        <f t="shared" si="5"/>
        <v>0.5187854378</v>
      </c>
      <c r="F17" s="152">
        <f t="shared" si="5"/>
        <v>0.5963558537</v>
      </c>
      <c r="G17" s="152">
        <f t="shared" si="5"/>
        <v>0.5500701048</v>
      </c>
      <c r="H17" s="152">
        <f t="shared" si="5"/>
        <v>0.4947951765</v>
      </c>
      <c r="I17" s="152">
        <f t="shared" si="5"/>
        <v>0.4831136643</v>
      </c>
      <c r="J17" s="152">
        <f t="shared" si="5"/>
        <v>0.5184164556</v>
      </c>
      <c r="K17" s="152">
        <f t="shared" si="5"/>
        <v>0.4940906673</v>
      </c>
      <c r="L17" s="153" t="s">
        <v>278</v>
      </c>
    </row>
    <row r="18" ht="13.5" customHeight="1">
      <c r="A18" s="148" t="str">
        <f t="shared" si="6"/>
        <v>Change in Inventory</v>
      </c>
      <c r="B18" s="101">
        <f t="shared" ref="B18:K18" si="7">B9/B$2</f>
        <v>0.02045546954</v>
      </c>
      <c r="C18" s="101">
        <f t="shared" si="7"/>
        <v>0.0187352742</v>
      </c>
      <c r="D18" s="101">
        <f t="shared" si="7"/>
        <v>0.01423850737</v>
      </c>
      <c r="E18" s="101">
        <f t="shared" si="7"/>
        <v>0.007387665022</v>
      </c>
      <c r="F18" s="101">
        <f t="shared" si="7"/>
        <v>0.01087529728</v>
      </c>
      <c r="G18" s="101">
        <f t="shared" si="7"/>
        <v>-0.01396700695</v>
      </c>
      <c r="H18" s="101">
        <f t="shared" si="7"/>
        <v>0.03509496421</v>
      </c>
      <c r="I18" s="101">
        <f t="shared" si="7"/>
        <v>-0.008447774235</v>
      </c>
      <c r="J18" s="101">
        <f t="shared" si="7"/>
        <v>0.01524210076</v>
      </c>
      <c r="K18" s="101">
        <f t="shared" si="7"/>
        <v>0.01183251902</v>
      </c>
    </row>
    <row r="19" ht="13.5" customHeight="1">
      <c r="A19" s="148" t="str">
        <f t="shared" si="6"/>
        <v>Power and Fuel</v>
      </c>
      <c r="B19" s="101">
        <f t="shared" ref="B19:K19" si="8">B10/B$2</f>
        <v>0.01042698074</v>
      </c>
      <c r="C19" s="101">
        <f t="shared" si="8"/>
        <v>0.009468923494</v>
      </c>
      <c r="D19" s="101">
        <f t="shared" si="8"/>
        <v>0.01092069525</v>
      </c>
      <c r="E19" s="101">
        <f t="shared" si="8"/>
        <v>0.01094402215</v>
      </c>
      <c r="F19" s="101">
        <f t="shared" si="8"/>
        <v>0.009598053948</v>
      </c>
      <c r="G19" s="101">
        <f t="shared" si="8"/>
        <v>0.008021587094</v>
      </c>
      <c r="H19" s="101">
        <f t="shared" si="8"/>
        <v>0.007038910529</v>
      </c>
      <c r="I19" s="101">
        <f t="shared" si="8"/>
        <v>0.006555895997</v>
      </c>
      <c r="J19" s="101">
        <f t="shared" si="8"/>
        <v>0.006217733456</v>
      </c>
      <c r="K19" s="101">
        <f t="shared" si="8"/>
        <v>0.005686437009</v>
      </c>
    </row>
    <row r="20" ht="13.5" customHeight="1">
      <c r="A20" s="148" t="str">
        <f t="shared" si="6"/>
        <v>Other Mfr. Exp</v>
      </c>
      <c r="B20" s="101">
        <f t="shared" ref="B20:K20" si="9">B11/B$2</f>
        <v>0.1141618634</v>
      </c>
      <c r="C20" s="101">
        <f t="shared" si="9"/>
        <v>0.1067851049</v>
      </c>
      <c r="D20" s="101">
        <f t="shared" si="9"/>
        <v>0.1054188393</v>
      </c>
      <c r="E20" s="101">
        <f t="shared" si="9"/>
        <v>0.1057398426</v>
      </c>
      <c r="F20" s="101">
        <f t="shared" si="9"/>
        <v>0.0190785927</v>
      </c>
      <c r="G20" s="101">
        <f t="shared" si="9"/>
        <v>0.01784887212</v>
      </c>
      <c r="H20" s="101">
        <f t="shared" si="9"/>
        <v>0.1103937793</v>
      </c>
      <c r="I20" s="101">
        <f t="shared" si="9"/>
        <v>0.1005483059</v>
      </c>
      <c r="J20" s="101">
        <f t="shared" si="9"/>
        <v>0.09679508402</v>
      </c>
      <c r="K20" s="101">
        <f t="shared" si="9"/>
        <v>0.09608114293</v>
      </c>
    </row>
    <row r="21" ht="13.5" customHeight="1">
      <c r="A21" s="148" t="str">
        <f t="shared" si="6"/>
        <v>Employee Cost</v>
      </c>
      <c r="B21" s="101">
        <f t="shared" ref="B21:K21" si="10">B12/B$2</f>
        <v>0.06160415296</v>
      </c>
      <c r="C21" s="101">
        <f t="shared" si="10"/>
        <v>0.05737792823</v>
      </c>
      <c r="D21" s="101">
        <f t="shared" si="10"/>
        <v>0.05974822709</v>
      </c>
      <c r="E21" s="101">
        <f t="shared" si="10"/>
        <v>0.06248501477</v>
      </c>
      <c r="F21" s="101">
        <f t="shared" si="10"/>
        <v>0.06880955634</v>
      </c>
      <c r="G21" s="101">
        <f t="shared" si="10"/>
        <v>0.06971801823</v>
      </c>
      <c r="H21" s="101">
        <f t="shared" si="10"/>
        <v>0.06904067789</v>
      </c>
      <c r="I21" s="101">
        <f t="shared" si="10"/>
        <v>0.06668172403</v>
      </c>
      <c r="J21" s="101">
        <f t="shared" si="10"/>
        <v>0.06458844093</v>
      </c>
      <c r="K21" s="101">
        <f t="shared" si="10"/>
        <v>0.06784686746</v>
      </c>
      <c r="L21" s="153" t="s">
        <v>279</v>
      </c>
    </row>
    <row r="22" ht="13.5" customHeight="1">
      <c r="A22" s="148" t="str">
        <f t="shared" si="6"/>
        <v>Selling and admin</v>
      </c>
      <c r="B22" s="101">
        <f t="shared" ref="B22:K22" si="11">B13/B$2</f>
        <v>0.1999700118</v>
      </c>
      <c r="C22" s="101">
        <f t="shared" si="11"/>
        <v>0.2010421124</v>
      </c>
      <c r="D22" s="101">
        <f t="shared" si="11"/>
        <v>0.2164822433</v>
      </c>
      <c r="E22" s="101">
        <f t="shared" si="11"/>
        <v>0.2312884143</v>
      </c>
      <c r="F22" s="101">
        <f t="shared" si="11"/>
        <v>0.2475744128</v>
      </c>
      <c r="G22" s="101">
        <f t="shared" si="11"/>
        <v>0.276547158</v>
      </c>
      <c r="H22" s="101">
        <f t="shared" si="11"/>
        <v>0.2897386069</v>
      </c>
      <c r="I22" s="101">
        <f t="shared" si="11"/>
        <v>0.1340255757</v>
      </c>
      <c r="J22" s="101">
        <f t="shared" si="11"/>
        <v>0.1230173601</v>
      </c>
      <c r="K22" s="101">
        <f t="shared" si="11"/>
        <v>0.1297866287</v>
      </c>
    </row>
    <row r="23" ht="13.5" customHeight="1">
      <c r="A23" s="148" t="str">
        <f t="shared" si="6"/>
        <v>Other Expenses</v>
      </c>
      <c r="B23" s="101">
        <f t="shared" ref="B23:K23" si="12">B14/B$2</f>
        <v>-0.07313745541</v>
      </c>
      <c r="C23" s="101">
        <f t="shared" si="12"/>
        <v>-0.07402031144</v>
      </c>
      <c r="D23" s="101">
        <f t="shared" si="12"/>
        <v>-0.08031961432</v>
      </c>
      <c r="E23" s="101">
        <f t="shared" si="12"/>
        <v>-0.08500069965</v>
      </c>
      <c r="F23" s="101">
        <f t="shared" si="12"/>
        <v>-0.09324978003</v>
      </c>
      <c r="G23" s="101">
        <f t="shared" si="12"/>
        <v>-0.1271156691</v>
      </c>
      <c r="H23" s="101">
        <f t="shared" si="12"/>
        <v>-0.1346747674</v>
      </c>
      <c r="I23" s="101">
        <f t="shared" si="12"/>
        <v>0.01019046572</v>
      </c>
      <c r="J23" s="101">
        <f t="shared" si="12"/>
        <v>0.01052539666</v>
      </c>
      <c r="K23" s="101">
        <f t="shared" si="12"/>
        <v>0.01239408745</v>
      </c>
    </row>
    <row r="24" ht="13.5" customHeight="1">
      <c r="A24" s="14" t="s">
        <v>276</v>
      </c>
      <c r="B24" s="101">
        <f t="shared" ref="B24:K24" si="13">B15/B2</f>
        <v>0.003509430751</v>
      </c>
      <c r="C24" s="101">
        <f t="shared" si="13"/>
        <v>0.004699255247</v>
      </c>
      <c r="D24" s="101">
        <f t="shared" si="13"/>
        <v>0.004004223189</v>
      </c>
      <c r="E24" s="101">
        <f t="shared" si="13"/>
        <v>0.003927049672</v>
      </c>
      <c r="F24" s="101">
        <f t="shared" si="13"/>
        <v>0.003102401276</v>
      </c>
      <c r="G24" s="101">
        <f t="shared" si="13"/>
        <v>0.003433418655</v>
      </c>
      <c r="H24" s="101">
        <f t="shared" si="13"/>
        <v>0.002478424166</v>
      </c>
      <c r="I24" s="101">
        <f t="shared" si="13"/>
        <v>0.002464850471</v>
      </c>
      <c r="J24" s="101">
        <f t="shared" si="13"/>
        <v>0.005741645197</v>
      </c>
      <c r="K24" s="101">
        <f t="shared" si="13"/>
        <v>0.005341084792</v>
      </c>
    </row>
    <row r="25" ht="13.5" customHeight="1">
      <c r="A25" s="14" t="s">
        <v>280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3" t="s">
        <v>281</v>
      </c>
    </row>
    <row r="26" ht="13.5" customHeight="1">
      <c r="A26" s="147" t="s">
        <v>282</v>
      </c>
      <c r="B26" s="86">
        <f t="shared" ref="B26:K26" si="14">B16</f>
        <v>40633</v>
      </c>
      <c r="C26" s="86">
        <f t="shared" si="14"/>
        <v>40999</v>
      </c>
      <c r="D26" s="86">
        <f t="shared" si="14"/>
        <v>41364</v>
      </c>
      <c r="E26" s="86">
        <f t="shared" si="14"/>
        <v>41729</v>
      </c>
      <c r="F26" s="86">
        <f t="shared" si="14"/>
        <v>42094</v>
      </c>
      <c r="G26" s="86">
        <f t="shared" si="14"/>
        <v>42460</v>
      </c>
      <c r="H26" s="86">
        <f t="shared" si="14"/>
        <v>42825</v>
      </c>
      <c r="I26" s="86">
        <f t="shared" si="14"/>
        <v>43190</v>
      </c>
      <c r="J26" s="86">
        <f t="shared" si="14"/>
        <v>43555</v>
      </c>
      <c r="K26" s="86">
        <f t="shared" si="14"/>
        <v>43921</v>
      </c>
    </row>
    <row r="27" ht="13.5" customHeight="1">
      <c r="A27" s="14" t="s">
        <v>283</v>
      </c>
      <c r="B27" s="14"/>
      <c r="C27" s="26">
        <f t="shared" ref="C27:K27" si="15">((C8-B8)/B8)/C$4</f>
        <v>1.255730023</v>
      </c>
      <c r="D27" s="26">
        <f t="shared" si="15"/>
        <v>0.7350725292</v>
      </c>
      <c r="E27" s="26">
        <f t="shared" si="15"/>
        <v>0.7638446582</v>
      </c>
      <c r="F27" s="26">
        <f t="shared" si="15"/>
        <v>2.45946714</v>
      </c>
      <c r="G27" s="26">
        <f t="shared" si="15"/>
        <v>-0.687932382</v>
      </c>
      <c r="H27" s="26">
        <f t="shared" si="15"/>
        <v>-0.9146554235</v>
      </c>
      <c r="I27" s="26">
        <f t="shared" si="15"/>
        <v>0.7746419079</v>
      </c>
      <c r="J27" s="26">
        <f t="shared" si="15"/>
        <v>1.582031248</v>
      </c>
      <c r="K27" s="26">
        <f t="shared" si="15"/>
        <v>0.02341866468</v>
      </c>
    </row>
    <row r="28" ht="13.5" customHeight="1">
      <c r="A28" s="14" t="s">
        <v>284</v>
      </c>
      <c r="B28" s="14"/>
      <c r="C28" s="26">
        <f t="shared" ref="C28:K28" si="16">((C9-B9)/B9)/C$4</f>
        <v>0.575407944</v>
      </c>
      <c r="D28" s="26">
        <f t="shared" si="16"/>
        <v>-0.9809746254</v>
      </c>
      <c r="E28" s="26">
        <f t="shared" si="16"/>
        <v>-2.425548948</v>
      </c>
      <c r="F28" s="26">
        <f t="shared" si="16"/>
        <v>5.607968153</v>
      </c>
      <c r="G28" s="26">
        <f t="shared" si="16"/>
        <v>-48.67798542</v>
      </c>
      <c r="H28" s="26">
        <f t="shared" si="16"/>
        <v>-65.93020024</v>
      </c>
      <c r="I28" s="26">
        <f t="shared" si="16"/>
        <v>-10.84323869</v>
      </c>
      <c r="J28" s="26">
        <f t="shared" si="16"/>
        <v>-21.33608466</v>
      </c>
      <c r="K28" s="26">
        <f t="shared" si="16"/>
        <v>-3.655609585</v>
      </c>
    </row>
    <row r="29" ht="13.5" customHeight="1">
      <c r="A29" s="155" t="s">
        <v>285</v>
      </c>
      <c r="B29" s="155"/>
      <c r="C29" s="156">
        <f t="shared" ref="C29:K29" si="17">((C10-B10)/B10)/C$4</f>
        <v>0.5360871084</v>
      </c>
      <c r="D29" s="156">
        <f t="shared" si="17"/>
        <v>2.265424772</v>
      </c>
      <c r="E29" s="156">
        <f t="shared" si="17"/>
        <v>1.01520749</v>
      </c>
      <c r="F29" s="156">
        <f t="shared" si="17"/>
        <v>-0.2004492807</v>
      </c>
      <c r="G29" s="156">
        <f t="shared" si="17"/>
        <v>-2.572028327</v>
      </c>
      <c r="H29" s="156">
        <f t="shared" si="17"/>
        <v>-1.334160829</v>
      </c>
      <c r="I29" s="156">
        <f t="shared" si="17"/>
        <v>0.3449803942</v>
      </c>
      <c r="J29" s="156">
        <f t="shared" si="17"/>
        <v>0.5891530947</v>
      </c>
      <c r="K29" s="156">
        <f t="shared" si="17"/>
        <v>-0.7783821336</v>
      </c>
    </row>
    <row r="30" ht="13.5" customHeight="1">
      <c r="A30" s="14" t="s">
        <v>286</v>
      </c>
      <c r="B30" s="14"/>
      <c r="C30" s="26">
        <f t="shared" ref="C30:K30" si="18">((C11-B11)/B11)/C$4</f>
        <v>0.6737518446</v>
      </c>
      <c r="D30" s="26">
        <f t="shared" si="18"/>
        <v>0.8944002049</v>
      </c>
      <c r="E30" s="26">
        <f t="shared" si="18"/>
        <v>1.021679135</v>
      </c>
      <c r="F30" s="26">
        <f t="shared" si="18"/>
        <v>-6.999673596</v>
      </c>
      <c r="G30" s="26">
        <f t="shared" si="18"/>
        <v>-0.4017589571</v>
      </c>
      <c r="H30" s="26">
        <f t="shared" si="18"/>
        <v>99.79210218</v>
      </c>
      <c r="I30" s="26">
        <f t="shared" si="18"/>
        <v>0.148682523</v>
      </c>
      <c r="J30" s="26">
        <f t="shared" si="18"/>
        <v>0.7026855221</v>
      </c>
      <c r="K30" s="26">
        <f t="shared" si="18"/>
        <v>0.8464925856</v>
      </c>
    </row>
    <row r="31" ht="13.5" customHeight="1">
      <c r="A31" s="14" t="s">
        <v>287</v>
      </c>
      <c r="B31" s="14"/>
      <c r="C31" s="26">
        <f t="shared" ref="C31:K31" si="19">((C12-B12)/B12)/C$4</f>
        <v>0.6536253115</v>
      </c>
      <c r="D31" s="26">
        <f t="shared" si="19"/>
        <v>1.340954826</v>
      </c>
      <c r="E31" s="26">
        <f t="shared" si="19"/>
        <v>1.326111979</v>
      </c>
      <c r="F31" s="26">
        <f t="shared" si="19"/>
        <v>1.987959524</v>
      </c>
      <c r="G31" s="26">
        <f t="shared" si="19"/>
        <v>1.287125123</v>
      </c>
      <c r="H31" s="26">
        <f t="shared" si="19"/>
        <v>0.814884669</v>
      </c>
      <c r="I31" s="26">
        <f t="shared" si="19"/>
        <v>0.67385258</v>
      </c>
      <c r="J31" s="26">
        <f t="shared" si="19"/>
        <v>0.749961017</v>
      </c>
      <c r="K31" s="26">
        <f t="shared" si="19"/>
        <v>2.04996158</v>
      </c>
    </row>
    <row r="32" ht="13.5" customHeight="1">
      <c r="A32" s="14" t="s">
        <v>288</v>
      </c>
      <c r="B32" s="14"/>
      <c r="C32" s="26">
        <f t="shared" ref="C32:K32" si="20">((C13-B13)/B13)/C$4</f>
        <v>1.027069125</v>
      </c>
      <c r="D32" s="26">
        <f t="shared" si="20"/>
        <v>1.633873413</v>
      </c>
      <c r="E32" s="26">
        <f t="shared" si="20"/>
        <v>1.486935179</v>
      </c>
      <c r="F32" s="26">
        <f t="shared" si="20"/>
        <v>1.687300231</v>
      </c>
      <c r="G32" s="26">
        <f t="shared" si="20"/>
        <v>3.54505473</v>
      </c>
      <c r="H32" s="26">
        <f t="shared" si="20"/>
        <v>1.908874211</v>
      </c>
      <c r="I32" s="26">
        <f t="shared" si="20"/>
        <v>-4.130009136</v>
      </c>
      <c r="J32" s="26">
        <f t="shared" si="20"/>
        <v>0.3457920396</v>
      </c>
      <c r="K32" s="26">
        <f t="shared" si="20"/>
        <v>2.145237668</v>
      </c>
    </row>
    <row r="33" ht="13.5" customHeight="1">
      <c r="A33" s="14" t="s">
        <v>289</v>
      </c>
      <c r="B33" s="14"/>
      <c r="C33" s="26">
        <f t="shared" ref="C33:K33" si="21">((C14-B14)/B14)/C$4</f>
        <v>1.060947177</v>
      </c>
      <c r="D33" s="26">
        <f t="shared" si="21"/>
        <v>1.702393008</v>
      </c>
      <c r="E33" s="26">
        <f t="shared" si="21"/>
        <v>1.414930742</v>
      </c>
      <c r="F33" s="26">
        <f t="shared" si="21"/>
        <v>1.947259595</v>
      </c>
      <c r="G33" s="26">
        <f t="shared" si="21"/>
        <v>8.898195914</v>
      </c>
      <c r="H33" s="26">
        <f t="shared" si="21"/>
        <v>2.133056035</v>
      </c>
      <c r="I33" s="26">
        <f t="shared" si="21"/>
        <v>-9.267801938</v>
      </c>
      <c r="J33" s="26">
        <f t="shared" si="21"/>
        <v>1.261786841</v>
      </c>
      <c r="K33" s="26">
        <f t="shared" si="21"/>
        <v>4.695040901</v>
      </c>
    </row>
    <row r="34" ht="13.5" customHeight="1">
      <c r="A34" s="147" t="s">
        <v>282</v>
      </c>
      <c r="B34" s="86">
        <f t="shared" ref="B34:K34" si="22">B26</f>
        <v>40633</v>
      </c>
      <c r="C34" s="86">
        <f t="shared" si="22"/>
        <v>40999</v>
      </c>
      <c r="D34" s="86">
        <f t="shared" si="22"/>
        <v>41364</v>
      </c>
      <c r="E34" s="86">
        <f t="shared" si="22"/>
        <v>41729</v>
      </c>
      <c r="F34" s="86">
        <f t="shared" si="22"/>
        <v>42094</v>
      </c>
      <c r="G34" s="86">
        <f t="shared" si="22"/>
        <v>42460</v>
      </c>
      <c r="H34" s="86">
        <f t="shared" si="22"/>
        <v>42825</v>
      </c>
      <c r="I34" s="86">
        <f t="shared" si="22"/>
        <v>43190</v>
      </c>
      <c r="J34" s="86">
        <f t="shared" si="22"/>
        <v>43555</v>
      </c>
      <c r="K34" s="86">
        <f t="shared" si="22"/>
        <v>43921</v>
      </c>
    </row>
    <row r="35" ht="13.5" customHeight="1">
      <c r="A35" s="14" t="s">
        <v>290</v>
      </c>
      <c r="B35" s="14"/>
      <c r="C35" s="26">
        <f>(('Calculated Data'!C11-'Calculated Data'!B11)/'Calculated Data'!B11)/'Cost Analysis'!C$4</f>
        <v>1.131918731</v>
      </c>
      <c r="D35" s="26">
        <f>(('Calculated Data'!D11-'Calculated Data'!C11)/'Calculated Data'!C11)/'Cost Analysis'!D$4</f>
        <v>0.1965948939</v>
      </c>
      <c r="E35" s="26">
        <f>(('Calculated Data'!E11-'Calculated Data'!D11)/'Calculated Data'!D11)/'Cost Analysis'!E$4</f>
        <v>-4.430762601</v>
      </c>
      <c r="F35" s="26">
        <f>(('Calculated Data'!F11-'Calculated Data'!E11)/'Calculated Data'!E11)/'Cost Analysis'!F$4</f>
        <v>18.34536263</v>
      </c>
      <c r="G35" s="26">
        <f>(('Calculated Data'!G11-'Calculated Data'!F11)/'Calculated Data'!F11)/'Cost Analysis'!G$4</f>
        <v>-3.000845655</v>
      </c>
      <c r="H35" s="26">
        <f>(('Calculated Data'!H11-'Calculated Data'!G11)/'Calculated Data'!G11)/'Cost Analysis'!H$4</f>
        <v>39.40113901</v>
      </c>
      <c r="I35" s="26">
        <f>(('Calculated Data'!I11-'Calculated Data'!H11)/'Calculated Data'!H11)/'Cost Analysis'!I$4</f>
        <v>-1.249878958</v>
      </c>
      <c r="J35" s="26">
        <f>(('Calculated Data'!J11-'Calculated Data'!I11)/'Calculated Data'!I11)/'Cost Analysis'!J$4</f>
        <v>-0.6283780393</v>
      </c>
      <c r="K35" s="26">
        <f>(('Calculated Data'!K11-'Calculated Data'!J11)/'Calculated Data'!J11)/'Cost Analysis'!K$4</f>
        <v>17.02195018</v>
      </c>
    </row>
    <row r="36" ht="13.5" customHeight="1">
      <c r="A36" s="14" t="s">
        <v>291</v>
      </c>
      <c r="B36" s="14"/>
      <c r="C36" s="26">
        <f>('Balance Sheet'!C17-'Balance Sheet'!B17)/'Balance Sheet'!B17/'Cost Analysis'!C$4</f>
        <v>1.470589685</v>
      </c>
      <c r="D36" s="26">
        <f>('Balance Sheet'!D17-'Balance Sheet'!C17)/'Balance Sheet'!C17/'Cost Analysis'!D$4</f>
        <v>1.853462889</v>
      </c>
      <c r="E36" s="26">
        <f>('Balance Sheet'!E17-'Balance Sheet'!D17)/'Balance Sheet'!D17/'Cost Analysis'!E$4</f>
        <v>0.8074261688</v>
      </c>
      <c r="F36" s="26">
        <f>('Balance Sheet'!F17-'Balance Sheet'!E17)/'Balance Sheet'!E17/'Cost Analysis'!F$4</f>
        <v>0.5663005729</v>
      </c>
      <c r="G36" s="26">
        <f>('Balance Sheet'!G17-'Balance Sheet'!F17)/'Balance Sheet'!F17/'Cost Analysis'!G$4</f>
        <v>0.0837230502</v>
      </c>
      <c r="H36" s="26">
        <f>('Balance Sheet'!H17-'Balance Sheet'!G17)/'Balance Sheet'!G17/'Cost Analysis'!H$4</f>
        <v>3.951368597</v>
      </c>
      <c r="I36" s="26">
        <f>('Balance Sheet'!I17-'Balance Sheet'!H17)/'Balance Sheet'!H17/'Cost Analysis'!I$4</f>
        <v>1.677854118</v>
      </c>
      <c r="J36" s="26">
        <f>('Balance Sheet'!J17-'Balance Sheet'!I17)/'Balance Sheet'!I17/'Cost Analysis'!J$4</f>
        <v>0.7111387658</v>
      </c>
      <c r="K36" s="26">
        <f>('Balance Sheet'!K17-'Balance Sheet'!J17)/'Balance Sheet'!J17/'Cost Analysis'!K$4</f>
        <v>-1.164537871</v>
      </c>
    </row>
    <row r="37" ht="13.5" customHeight="1">
      <c r="A37" s="14" t="s">
        <v>292</v>
      </c>
      <c r="B37" s="14"/>
      <c r="C37" s="26">
        <f>(('Balance Sheet'!C18-'Balance Sheet'!B18)/'Balance Sheet'!B18)/'Cost Analysis'!C$4</f>
        <v>0.9102083871</v>
      </c>
      <c r="D37" s="26">
        <f>(('Balance Sheet'!D18-'Balance Sheet'!C18)/'Balance Sheet'!C18)/'Cost Analysis'!D$4</f>
        <v>1.049766928</v>
      </c>
      <c r="E37" s="26">
        <f>(('Balance Sheet'!E18-'Balance Sheet'!D18)/'Balance Sheet'!D18)/'Cost Analysis'!E$4</f>
        <v>0.8009950473</v>
      </c>
      <c r="F37" s="26">
        <f>(('Balance Sheet'!F18-'Balance Sheet'!E18)/'Balance Sheet'!E18)/'Cost Analysis'!F$4</f>
        <v>0.79851532</v>
      </c>
      <c r="G37" s="26">
        <f>(('Balance Sheet'!G18-'Balance Sheet'!F18)/'Balance Sheet'!F18)/'Cost Analysis'!G$4</f>
        <v>-2.391039308</v>
      </c>
      <c r="H37" s="26">
        <f>(('Balance Sheet'!H18-'Balance Sheet'!G18)/'Balance Sheet'!G18)/'Cost Analysis'!H$4</f>
        <v>5.680195133</v>
      </c>
      <c r="I37" s="26">
        <f>(('Balance Sheet'!I18-'Balance Sheet'!H18)/'Balance Sheet'!H18)/'Cost Analysis'!I$4</f>
        <v>0.1020476035</v>
      </c>
      <c r="J37" s="26">
        <f>(('Balance Sheet'!J18-'Balance Sheet'!I18)/'Balance Sheet'!I18)/'Cost Analysis'!J$4</f>
        <v>1.287905825</v>
      </c>
      <c r="K37" s="26">
        <f>(('Balance Sheet'!K18-'Balance Sheet'!J18)/'Balance Sheet'!J18)/'Cost Analysis'!K$4</f>
        <v>1.509261892</v>
      </c>
    </row>
    <row r="38" ht="13.5" customHeight="1">
      <c r="A38" s="14" t="s">
        <v>293</v>
      </c>
      <c r="B38" s="14"/>
      <c r="C38" s="157">
        <f>IF('Balance Sheet'!C19&gt;0,(('Balance Sheet'!C19-'Balance Sheet'!B19)/'Balance Sheet'!B19)/'Cost Analysis'!C$4,0)</f>
        <v>-1.068365057</v>
      </c>
      <c r="D38" s="157">
        <f>IF('Balance Sheet'!D19&gt;0,(('Balance Sheet'!D19-'Balance Sheet'!C19)/'Balance Sheet'!C19)/'Cost Analysis'!D$4,0)</f>
        <v>0.799201065</v>
      </c>
      <c r="E38" s="157">
        <f>IF('Balance Sheet'!E19&gt;0,(('Balance Sheet'!E19-'Balance Sheet'!D19)/'Balance Sheet'!D19)/'Cost Analysis'!E$4,0)</f>
        <v>8.648818026</v>
      </c>
      <c r="F38" s="157">
        <f>IF('Balance Sheet'!F19&gt;0,(('Balance Sheet'!F19-'Balance Sheet'!E19)/'Balance Sheet'!E19)/'Cost Analysis'!F$4,0)</f>
        <v>8.30931843</v>
      </c>
      <c r="G38" s="157">
        <f>IF('Balance Sheet'!G19&gt;0,(('Balance Sheet'!G19-'Balance Sheet'!F19)/'Balance Sheet'!F19)/'Cost Analysis'!G$4,0)</f>
        <v>0.238351828</v>
      </c>
      <c r="H38" s="157">
        <f>IF('Balance Sheet'!H19&gt;0,(('Balance Sheet'!H19-'Balance Sheet'!G19)/'Balance Sheet'!G19)/'Cost Analysis'!H$4,0)</f>
        <v>-5.836711825</v>
      </c>
      <c r="I38" s="157">
        <f>IF('Balance Sheet'!I19&gt;0,(('Balance Sheet'!I19-'Balance Sheet'!H19)/'Balance Sheet'!H19)/'Cost Analysis'!I$4,0)</f>
        <v>-2.284808949</v>
      </c>
      <c r="J38" s="157">
        <f>IF('Balance Sheet'!J19&gt;0,(('Balance Sheet'!J19-'Balance Sheet'!I19)/'Balance Sheet'!I19)/'Cost Analysis'!J$4,0)</f>
        <v>6.159789163</v>
      </c>
      <c r="K38" s="157">
        <f>IF('Balance Sheet'!K19&gt;0,(('Balance Sheet'!K19-'Balance Sheet'!J19)/'Balance Sheet'!J19)/'Cost Analysis'!K$4,0)</f>
        <v>5.153329019</v>
      </c>
    </row>
    <row r="39" ht="13.5" customHeight="1">
      <c r="A39" s="14" t="s">
        <v>294</v>
      </c>
      <c r="B39" s="14"/>
      <c r="C39" s="26">
        <f>(('Calculated Data'!C13-'Calculated Data'!B13)/'Calculated Data'!B13)/'Cost Analysis'!C$4</f>
        <v>1.510307247</v>
      </c>
      <c r="D39" s="26">
        <f>(('Calculated Data'!D13-'Calculated Data'!C13)/'Calculated Data'!C13)/'Cost Analysis'!D$4</f>
        <v>1.603804396</v>
      </c>
      <c r="E39" s="26">
        <f>(('Calculated Data'!E13-'Calculated Data'!D13)/'Calculated Data'!D13)/'Cost Analysis'!E$4</f>
        <v>-0.8699448614</v>
      </c>
      <c r="F39" s="26">
        <f>(('Calculated Data'!F13-'Calculated Data'!E13)/'Calculated Data'!E13)/'Cost Analysis'!F$4</f>
        <v>2.164867082</v>
      </c>
      <c r="G39" s="26">
        <f>(('Calculated Data'!G13-'Calculated Data'!F13)/'Calculated Data'!F13)/'Cost Analysis'!G$4</f>
        <v>3.270859852</v>
      </c>
      <c r="H39" s="26">
        <f>(('Calculated Data'!H13-'Calculated Data'!G13)/'Calculated Data'!G13)/'Cost Analysis'!H$4</f>
        <v>6.007440815</v>
      </c>
      <c r="I39" s="26">
        <f>(('Calculated Data'!I13-'Calculated Data'!H13)/'Calculated Data'!H13)/'Cost Analysis'!I$4</f>
        <v>2.000978242</v>
      </c>
      <c r="J39" s="26">
        <f>(('Calculated Data'!J13-'Calculated Data'!I13)/'Calculated Data'!I13)/'Cost Analysis'!J$4</f>
        <v>1.452402981</v>
      </c>
      <c r="K39" s="26">
        <f>(('Calculated Data'!K13-'Calculated Data'!J13)/'Calculated Data'!J13)/'Cost Analysis'!K$4</f>
        <v>2.429653087</v>
      </c>
    </row>
    <row r="40" ht="13.5" customHeight="1">
      <c r="A40" s="147" t="s">
        <v>295</v>
      </c>
      <c r="B40" s="86">
        <f t="shared" ref="B40:K40" si="23">B1</f>
        <v>40633</v>
      </c>
      <c r="C40" s="86">
        <f t="shared" si="23"/>
        <v>40999</v>
      </c>
      <c r="D40" s="86">
        <f t="shared" si="23"/>
        <v>41364</v>
      </c>
      <c r="E40" s="86">
        <f t="shared" si="23"/>
        <v>41729</v>
      </c>
      <c r="F40" s="86">
        <f t="shared" si="23"/>
        <v>42094</v>
      </c>
      <c r="G40" s="86">
        <f t="shared" si="23"/>
        <v>42460</v>
      </c>
      <c r="H40" s="86">
        <f t="shared" si="23"/>
        <v>42825</v>
      </c>
      <c r="I40" s="86">
        <f t="shared" si="23"/>
        <v>43190</v>
      </c>
      <c r="J40" s="86">
        <f t="shared" si="23"/>
        <v>43555</v>
      </c>
      <c r="K40" s="86">
        <f t="shared" si="23"/>
        <v>43921</v>
      </c>
    </row>
    <row r="41" ht="13.5" customHeight="1">
      <c r="A41" s="14" t="s">
        <v>296</v>
      </c>
      <c r="B41" s="14"/>
      <c r="C41" s="101">
        <f>('Data Sheet'!C57-'Data Sheet'!B57)/'Data Sheet'!B57</f>
        <v>0</v>
      </c>
      <c r="D41" s="101">
        <f>('Data Sheet'!D57-'Data Sheet'!C57)/'Data Sheet'!C57</f>
        <v>0</v>
      </c>
      <c r="E41" s="101">
        <f>('Data Sheet'!E57-'Data Sheet'!D57)/'Data Sheet'!D57</f>
        <v>0</v>
      </c>
      <c r="F41" s="101">
        <f>('Data Sheet'!F57-'Data Sheet'!E57)/'Data Sheet'!E57</f>
        <v>0</v>
      </c>
      <c r="G41" s="101">
        <f>('Data Sheet'!G57-'Data Sheet'!F57)/'Data Sheet'!F57</f>
        <v>0</v>
      </c>
      <c r="H41" s="101">
        <f>('Data Sheet'!H57-'Data Sheet'!G57)/'Data Sheet'!G57</f>
        <v>0</v>
      </c>
      <c r="I41" s="101">
        <f>('Data Sheet'!I57-'Data Sheet'!H57)/'Data Sheet'!H57</f>
        <v>0</v>
      </c>
      <c r="J41" s="101">
        <f>('Data Sheet'!J57-'Data Sheet'!I57)/'Data Sheet'!I57</f>
        <v>0</v>
      </c>
      <c r="K41" s="101">
        <f>('Data Sheet'!K57-'Data Sheet'!J57)/'Data Sheet'!J57</f>
        <v>0</v>
      </c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paperSize="9" orientation="portrait"/>
  <drawing r:id="rId1"/>
</worksheet>
</file>