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nvesting\NSE\"/>
    </mc:Choice>
  </mc:AlternateContent>
  <xr:revisionPtr revIDLastSave="0" documentId="13_ncr:1_{CEBD1FC1-CEF0-4281-B3E5-356932A13E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ummary" sheetId="4" r:id="rId1"/>
    <sheet name="Bear case" sheetId="5" r:id="rId2"/>
    <sheet name="Base case" sheetId="2" r:id="rId3"/>
    <sheet name="Bull cas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2" l="1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B7" i="6"/>
  <c r="B6" i="6"/>
  <c r="B5" i="6"/>
  <c r="N15" i="6" s="1"/>
  <c r="N13" i="6" s="1"/>
  <c r="B4" i="6"/>
  <c r="B3" i="6"/>
  <c r="B2" i="6"/>
  <c r="H11" i="6" s="1"/>
  <c r="B26" i="6"/>
  <c r="B25" i="6"/>
  <c r="B23" i="6"/>
  <c r="G19" i="6"/>
  <c r="F19" i="6"/>
  <c r="E19" i="6"/>
  <c r="D19" i="6"/>
  <c r="C19" i="6"/>
  <c r="B19" i="6"/>
  <c r="G15" i="6"/>
  <c r="F15" i="6"/>
  <c r="E15" i="6"/>
  <c r="D15" i="6"/>
  <c r="C15" i="6"/>
  <c r="B15" i="6"/>
  <c r="G13" i="6"/>
  <c r="F13" i="6"/>
  <c r="E13" i="6"/>
  <c r="D13" i="6"/>
  <c r="C13" i="6"/>
  <c r="B13" i="6"/>
  <c r="G12" i="6"/>
  <c r="F12" i="6"/>
  <c r="E12" i="6"/>
  <c r="D12" i="6"/>
  <c r="C12" i="6"/>
  <c r="B7" i="2"/>
  <c r="B6" i="2"/>
  <c r="B5" i="2"/>
  <c r="B4" i="2"/>
  <c r="B3" i="2"/>
  <c r="B2" i="2"/>
  <c r="B7" i="5"/>
  <c r="B6" i="5"/>
  <c r="B5" i="5"/>
  <c r="P15" i="5" s="1"/>
  <c r="B4" i="5"/>
  <c r="B3" i="5"/>
  <c r="B2" i="5"/>
  <c r="H11" i="5" s="1"/>
  <c r="B23" i="5"/>
  <c r="B26" i="5" s="1"/>
  <c r="G19" i="5"/>
  <c r="F19" i="5"/>
  <c r="E19" i="5"/>
  <c r="D19" i="5"/>
  <c r="C19" i="5"/>
  <c r="B19" i="5"/>
  <c r="G15" i="5"/>
  <c r="F15" i="5"/>
  <c r="E15" i="5"/>
  <c r="D15" i="5"/>
  <c r="C15" i="5"/>
  <c r="B15" i="5"/>
  <c r="G13" i="5"/>
  <c r="F13" i="5"/>
  <c r="E13" i="5"/>
  <c r="D13" i="5"/>
  <c r="C13" i="5"/>
  <c r="B13" i="5"/>
  <c r="G12" i="5"/>
  <c r="F12" i="5"/>
  <c r="E12" i="5"/>
  <c r="D12" i="5"/>
  <c r="C12" i="5"/>
  <c r="K15" i="5" l="1"/>
  <c r="H15" i="5"/>
  <c r="H13" i="5" s="1"/>
  <c r="H14" i="5" s="1"/>
  <c r="Q15" i="5"/>
  <c r="Q13" i="5" s="1"/>
  <c r="O15" i="5"/>
  <c r="L15" i="6"/>
  <c r="L13" i="6" s="1"/>
  <c r="M15" i="5"/>
  <c r="M13" i="5" s="1"/>
  <c r="N15" i="5"/>
  <c r="N13" i="5" s="1"/>
  <c r="M15" i="6"/>
  <c r="M13" i="6" s="1"/>
  <c r="I15" i="5"/>
  <c r="J15" i="5"/>
  <c r="J13" i="5" s="1"/>
  <c r="K13" i="5"/>
  <c r="L15" i="5"/>
  <c r="L13" i="5" s="1"/>
  <c r="H12" i="6"/>
  <c r="I11" i="6"/>
  <c r="O15" i="6"/>
  <c r="O13" i="6" s="1"/>
  <c r="H15" i="6"/>
  <c r="H13" i="6" s="1"/>
  <c r="H14" i="6" s="1"/>
  <c r="P15" i="6"/>
  <c r="P13" i="6" s="1"/>
  <c r="I15" i="6"/>
  <c r="I13" i="6" s="1"/>
  <c r="Q15" i="6"/>
  <c r="Q13" i="6" s="1"/>
  <c r="J15" i="6"/>
  <c r="J13" i="6" s="1"/>
  <c r="K15" i="6"/>
  <c r="K13" i="6" s="1"/>
  <c r="I13" i="5"/>
  <c r="O13" i="5"/>
  <c r="B25" i="5"/>
  <c r="H12" i="5"/>
  <c r="P13" i="5"/>
  <c r="I11" i="5"/>
  <c r="H16" i="5" l="1"/>
  <c r="H17" i="5" s="1"/>
  <c r="H21" i="5" s="1"/>
  <c r="I14" i="6"/>
  <c r="I16" i="6"/>
  <c r="J11" i="6"/>
  <c r="I12" i="6"/>
  <c r="J14" i="6"/>
  <c r="H16" i="6"/>
  <c r="I14" i="5"/>
  <c r="H22" i="5"/>
  <c r="H18" i="5"/>
  <c r="H19" i="5" s="1"/>
  <c r="I16" i="5"/>
  <c r="J11" i="5"/>
  <c r="I12" i="5"/>
  <c r="J16" i="6" l="1"/>
  <c r="K11" i="6"/>
  <c r="J12" i="6"/>
  <c r="I17" i="6"/>
  <c r="H17" i="6"/>
  <c r="J16" i="5"/>
  <c r="K11" i="5"/>
  <c r="J12" i="5"/>
  <c r="I17" i="5"/>
  <c r="I18" i="5" s="1"/>
  <c r="I19" i="5" s="1"/>
  <c r="J14" i="5"/>
  <c r="K16" i="6" l="1"/>
  <c r="L11" i="6"/>
  <c r="K12" i="6"/>
  <c r="K14" i="6"/>
  <c r="J17" i="6"/>
  <c r="H21" i="6"/>
  <c r="H22" i="6"/>
  <c r="H18" i="6"/>
  <c r="I22" i="6"/>
  <c r="I21" i="6"/>
  <c r="I22" i="5"/>
  <c r="I21" i="5"/>
  <c r="L11" i="5"/>
  <c r="K12" i="5"/>
  <c r="K16" i="5"/>
  <c r="K14" i="5"/>
  <c r="J17" i="5"/>
  <c r="J18" i="5" s="1"/>
  <c r="J19" i="5" s="1"/>
  <c r="M11" i="6" l="1"/>
  <c r="L16" i="6"/>
  <c r="L12" i="6"/>
  <c r="L14" i="6"/>
  <c r="K17" i="6"/>
  <c r="H19" i="6"/>
  <c r="I18" i="6"/>
  <c r="I19" i="6" s="1"/>
  <c r="J22" i="6"/>
  <c r="J21" i="6"/>
  <c r="K17" i="5"/>
  <c r="K18" i="5" s="1"/>
  <c r="K19" i="5" s="1"/>
  <c r="J22" i="5"/>
  <c r="J21" i="5"/>
  <c r="L12" i="5"/>
  <c r="M11" i="5"/>
  <c r="L16" i="5"/>
  <c r="L14" i="5"/>
  <c r="J18" i="6" l="1"/>
  <c r="J19" i="6" s="1"/>
  <c r="N11" i="6"/>
  <c r="M12" i="6"/>
  <c r="M16" i="6"/>
  <c r="M14" i="6"/>
  <c r="K22" i="6"/>
  <c r="K21" i="6"/>
  <c r="L17" i="6"/>
  <c r="L17" i="5"/>
  <c r="M12" i="5"/>
  <c r="M16" i="5"/>
  <c r="N11" i="5"/>
  <c r="M14" i="5"/>
  <c r="K21" i="5"/>
  <c r="K22" i="5"/>
  <c r="K18" i="6" l="1"/>
  <c r="L21" i="6"/>
  <c r="L22" i="6"/>
  <c r="N12" i="6"/>
  <c r="N16" i="6"/>
  <c r="O11" i="6"/>
  <c r="N14" i="6"/>
  <c r="M17" i="6"/>
  <c r="N16" i="5"/>
  <c r="N12" i="5"/>
  <c r="O11" i="5"/>
  <c r="N14" i="5"/>
  <c r="M17" i="5"/>
  <c r="L21" i="5"/>
  <c r="L22" i="5"/>
  <c r="L18" i="5"/>
  <c r="L19" i="5" s="1"/>
  <c r="K19" i="6" l="1"/>
  <c r="L18" i="6"/>
  <c r="L19" i="6" s="1"/>
  <c r="N17" i="6"/>
  <c r="M21" i="6"/>
  <c r="M22" i="6"/>
  <c r="O12" i="6"/>
  <c r="O16" i="6"/>
  <c r="P11" i="6"/>
  <c r="O14" i="6"/>
  <c r="M18" i="5"/>
  <c r="M19" i="5" s="1"/>
  <c r="M22" i="5"/>
  <c r="M21" i="5"/>
  <c r="P11" i="5"/>
  <c r="O12" i="5"/>
  <c r="O16" i="5"/>
  <c r="O14" i="5"/>
  <c r="N17" i="5"/>
  <c r="N21" i="6" l="1"/>
  <c r="N22" i="6"/>
  <c r="P16" i="6"/>
  <c r="P12" i="6"/>
  <c r="Q11" i="6"/>
  <c r="P14" i="6"/>
  <c r="O17" i="6"/>
  <c r="M18" i="6"/>
  <c r="N18" i="5"/>
  <c r="N19" i="5" s="1"/>
  <c r="P16" i="5"/>
  <c r="Q11" i="5"/>
  <c r="P12" i="5"/>
  <c r="P14" i="5"/>
  <c r="N22" i="5"/>
  <c r="N21" i="5"/>
  <c r="O17" i="5"/>
  <c r="Q16" i="6" l="1"/>
  <c r="B30" i="6"/>
  <c r="B31" i="6" s="1"/>
  <c r="Q12" i="6"/>
  <c r="Q14" i="6"/>
  <c r="P17" i="6"/>
  <c r="M19" i="6"/>
  <c r="N18" i="6"/>
  <c r="O22" i="6"/>
  <c r="O21" i="6"/>
  <c r="Q16" i="5"/>
  <c r="Q12" i="5"/>
  <c r="B30" i="5"/>
  <c r="B31" i="5" s="1"/>
  <c r="Q14" i="5"/>
  <c r="P17" i="5"/>
  <c r="O21" i="5"/>
  <c r="O22" i="5"/>
  <c r="O18" i="5"/>
  <c r="O19" i="5" s="1"/>
  <c r="P22" i="6" l="1"/>
  <c r="P21" i="6"/>
  <c r="N19" i="6"/>
  <c r="O18" i="6"/>
  <c r="Q17" i="6"/>
  <c r="P18" i="5"/>
  <c r="P19" i="5" s="1"/>
  <c r="Q17" i="5"/>
  <c r="P22" i="5"/>
  <c r="P21" i="5"/>
  <c r="Q18" i="5" l="1"/>
  <c r="Q19" i="5" s="1"/>
  <c r="O19" i="6"/>
  <c r="P18" i="6"/>
  <c r="P19" i="6" s="1"/>
  <c r="Q22" i="6"/>
  <c r="B36" i="6" s="1"/>
  <c r="E11" i="4" s="1"/>
  <c r="Q21" i="6"/>
  <c r="B32" i="6" s="1"/>
  <c r="B33" i="6" s="1"/>
  <c r="B34" i="6" s="1"/>
  <c r="Q22" i="5"/>
  <c r="B36" i="5" s="1"/>
  <c r="C11" i="4" s="1"/>
  <c r="Q21" i="5"/>
  <c r="B32" i="5" s="1"/>
  <c r="B33" i="5" s="1"/>
  <c r="B34" i="5" s="1"/>
  <c r="B35" i="5" l="1"/>
  <c r="C10" i="4"/>
  <c r="B35" i="6"/>
  <c r="E10" i="4"/>
  <c r="Q18" i="6"/>
  <c r="Q19" i="6" s="1"/>
  <c r="G20" i="2" l="1"/>
  <c r="F20" i="2"/>
  <c r="E20" i="2"/>
  <c r="D20" i="2"/>
  <c r="C20" i="2"/>
  <c r="B20" i="2"/>
  <c r="G13" i="2"/>
  <c r="F13" i="2"/>
  <c r="E13" i="2"/>
  <c r="D13" i="2"/>
  <c r="C13" i="2"/>
  <c r="B13" i="2"/>
  <c r="B24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G12" i="2"/>
  <c r="F12" i="2"/>
  <c r="E12" i="2"/>
  <c r="D12" i="2"/>
  <c r="C12" i="2"/>
  <c r="H11" i="2"/>
  <c r="K13" i="2" l="1"/>
  <c r="J13" i="2"/>
  <c r="L13" i="2"/>
  <c r="M13" i="2"/>
  <c r="N13" i="2"/>
  <c r="O13" i="2"/>
  <c r="H13" i="2"/>
  <c r="H14" i="2" s="1"/>
  <c r="P13" i="2"/>
  <c r="I13" i="2"/>
  <c r="Q13" i="2"/>
  <c r="B27" i="2"/>
  <c r="H16" i="2"/>
  <c r="B26" i="2"/>
  <c r="H12" i="2"/>
  <c r="I11" i="2"/>
  <c r="I14" i="2" l="1"/>
  <c r="H17" i="2"/>
  <c r="H22" i="2" s="1"/>
  <c r="I16" i="2"/>
  <c r="J11" i="2"/>
  <c r="J14" i="2" s="1"/>
  <c r="I12" i="2"/>
  <c r="H19" i="2" l="1"/>
  <c r="H20" i="2" s="1"/>
  <c r="H23" i="2"/>
  <c r="I17" i="2"/>
  <c r="I23" i="2" s="1"/>
  <c r="J12" i="2"/>
  <c r="K11" i="2"/>
  <c r="K14" i="2" s="1"/>
  <c r="J16" i="2"/>
  <c r="I22" i="2" l="1"/>
  <c r="I19" i="2"/>
  <c r="I20" i="2" s="1"/>
  <c r="J17" i="2"/>
  <c r="J23" i="2" s="1"/>
  <c r="K12" i="2"/>
  <c r="K16" i="2"/>
  <c r="L11" i="2"/>
  <c r="L14" i="2" s="1"/>
  <c r="J19" i="2" l="1"/>
  <c r="J22" i="2"/>
  <c r="K17" i="2"/>
  <c r="K23" i="2" s="1"/>
  <c r="L16" i="2"/>
  <c r="M11" i="2"/>
  <c r="M14" i="2" s="1"/>
  <c r="L12" i="2"/>
  <c r="K19" i="2" l="1"/>
  <c r="J20" i="2"/>
  <c r="K22" i="2"/>
  <c r="L17" i="2"/>
  <c r="L23" i="2" s="1"/>
  <c r="M16" i="2"/>
  <c r="N11" i="2"/>
  <c r="N14" i="2" s="1"/>
  <c r="M12" i="2"/>
  <c r="L22" i="2" l="1"/>
  <c r="L19" i="2"/>
  <c r="K20" i="2"/>
  <c r="M17" i="2"/>
  <c r="M23" i="2" s="1"/>
  <c r="N12" i="2"/>
  <c r="N16" i="2"/>
  <c r="O11" i="2"/>
  <c r="O14" i="2" s="1"/>
  <c r="M19" i="2" l="1"/>
  <c r="L20" i="2"/>
  <c r="N17" i="2"/>
  <c r="N22" i="2" s="1"/>
  <c r="M22" i="2"/>
  <c r="O16" i="2"/>
  <c r="P11" i="2"/>
  <c r="P14" i="2" s="1"/>
  <c r="O12" i="2"/>
  <c r="N19" i="2" l="1"/>
  <c r="M20" i="2"/>
  <c r="N23" i="2"/>
  <c r="O17" i="2"/>
  <c r="O22" i="2" s="1"/>
  <c r="P16" i="2"/>
  <c r="Q11" i="2"/>
  <c r="Q14" i="2" s="1"/>
  <c r="P12" i="2"/>
  <c r="O19" i="2" l="1"/>
  <c r="N20" i="2"/>
  <c r="O23" i="2"/>
  <c r="P17" i="2"/>
  <c r="P22" i="2" s="1"/>
  <c r="Q16" i="2"/>
  <c r="Q12" i="2"/>
  <c r="B31" i="2"/>
  <c r="B32" i="2" s="1"/>
  <c r="P23" i="2" l="1"/>
  <c r="P19" i="2"/>
  <c r="O20" i="2"/>
  <c r="Q17" i="2"/>
  <c r="Q23" i="2" s="1"/>
  <c r="B37" i="2" s="1"/>
  <c r="D11" i="4" s="1"/>
  <c r="Q19" i="2" l="1"/>
  <c r="Q20" i="2" s="1"/>
  <c r="P20" i="2"/>
  <c r="Q22" i="2"/>
  <c r="B33" i="2" s="1"/>
  <c r="B34" i="2" s="1"/>
  <c r="B35" i="2" s="1"/>
  <c r="B36" i="2" l="1"/>
  <c r="D10" i="4"/>
</calcChain>
</file>

<file path=xl/sharedStrings.xml><?xml version="1.0" encoding="utf-8"?>
<sst xmlns="http://schemas.openxmlformats.org/spreadsheetml/2006/main" count="186" uniqueCount="63">
  <si>
    <t>FY</t>
  </si>
  <si>
    <t>FY20</t>
  </si>
  <si>
    <t>FY21</t>
  </si>
  <si>
    <t>FY22</t>
  </si>
  <si>
    <t>FY23</t>
  </si>
  <si>
    <t>FY24</t>
  </si>
  <si>
    <t>FY25</t>
  </si>
  <si>
    <t>PE</t>
  </si>
  <si>
    <t>PAT Margin (%)</t>
  </si>
  <si>
    <t>Market cap (as of 24-May 2025)</t>
  </si>
  <si>
    <t>All figures in ₹ Bn</t>
  </si>
  <si>
    <t>Revenue (₹ Bn)</t>
  </si>
  <si>
    <t>₹ Bn</t>
  </si>
  <si>
    <t>Revenue growth YoY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</si>
  <si>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</si>
  <si>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</si>
  <si>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</si>
  <si>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</si>
  <si>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</si>
  <si>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</si>
  <si>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</si>
  <si>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</si>
  <si>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</si>
  <si>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</si>
  <si>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Rev. growth rate until FY30</t>
  </si>
  <si>
    <t>Rev. growth rate FY31~FY35</t>
  </si>
  <si>
    <t>Rev. growth rate FY36 onwards</t>
  </si>
  <si>
    <t>Assumptions</t>
  </si>
  <si>
    <t>Discount rate (%)</t>
  </si>
  <si>
    <t>Discounted cash flow</t>
  </si>
  <si>
    <t>PAT (₹ Bn)</t>
  </si>
  <si>
    <t>Cash conversion - FCF vs PAT (%)</t>
  </si>
  <si>
    <t>FCF (₹ Bn)</t>
  </si>
  <si>
    <t>Shares outstanding</t>
  </si>
  <si>
    <t>Bn</t>
  </si>
  <si>
    <t>Share price</t>
  </si>
  <si>
    <t>₹</t>
  </si>
  <si>
    <t>Terminal value (2035)</t>
  </si>
  <si>
    <t>Discounted terminal value</t>
  </si>
  <si>
    <t>Enterprise value</t>
  </si>
  <si>
    <t>Net cash + cash equivalents + investments</t>
  </si>
  <si>
    <t>Discounted cash flows - total</t>
  </si>
  <si>
    <t>Intrinsic value</t>
  </si>
  <si>
    <t>Intrinsic value/share</t>
  </si>
  <si>
    <t>vs. current share price</t>
  </si>
  <si>
    <t>IRR</t>
  </si>
  <si>
    <t>IRR calc</t>
  </si>
  <si>
    <t>ROCE (%)</t>
  </si>
  <si>
    <t>Capital employed  (₹ Bn)</t>
  </si>
  <si>
    <t>EBIT (₹ Bn)</t>
  </si>
  <si>
    <t>EBIT Margin (%)</t>
  </si>
  <si>
    <t>Base</t>
  </si>
  <si>
    <t>Bull</t>
  </si>
  <si>
    <t>Bear</t>
  </si>
  <si>
    <t>Value/share (₹)</t>
  </si>
  <si>
    <t>Current unlisted share price (₹)</t>
  </si>
  <si>
    <t xml:space="preserve">₹1,775 ~ ₹2,000 </t>
  </si>
  <si>
    <t>Valuation scenarios</t>
  </si>
  <si>
    <t>Revenue growth rate until FY30</t>
  </si>
  <si>
    <t>Revenue growth rate FY31~FY35</t>
  </si>
  <si>
    <t>Revenue growth rate FY36 onwards</t>
  </si>
  <si>
    <t>Cash conversion - FCF to PAT (%)</t>
  </si>
  <si>
    <t>IRR on investment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</si>
</sst>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[$₹-4009]\ 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rgb="FF001D3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67BBCF"/>
        <bgColor indexed="64"/>
      </patternFill>
    </fill>
    <fill>
      <patternFill patternType="solid">
        <fgColor rgb="FF112E3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9" fontId="0" fillId="0" borderId="1" xfId="1" applyNumberFormat="1" applyFont="1" applyBorder="1"/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9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4" fillId="0" borderId="0" xfId="0" applyFont="1" applyAlignment="1">
      <alignment horizontal="center"/>
    </xf>
    <xf numFmtId="0" fontId="5" fillId="5" borderId="0" xfId="0" applyFont="1" applyFill="1"/>
    <xf numFmtId="0" fontId="6" fillId="5" borderId="0" xfId="0" applyFont="1" applyFill="1"/>
    <xf numFmtId="165" fontId="0" fillId="0" borderId="1" xfId="1" applyNumberFormat="1" applyFont="1" applyBorder="1"/>
    <xf numFmtId="0" fontId="7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9" fontId="1" fillId="0" borderId="1" xfId="0" applyNumberFormat="1" applyFont="1" applyBorder="1"/>
    <xf numFmtId="9" fontId="0" fillId="0" borderId="1" xfId="0" applyNumberForma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12E35"/>
      <color rgb="FF67BB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9771-2F5E-4530-91AA-B3610EC0D2CE}">
  <sheetPr>
    <tabColor theme="5" tint="-0.249977111117893"/>
  </sheetPr>
  <dimension ref="B2:E11"/>
  <sheetViews>
    <sheetView showGridLines="0" zoomScale="175" zoomScaleNormal="175" workbookViewId="0">
      <selection activeCell="B2" sqref="B2"/>
    </sheetView>
  </sheetViews>
  <sheetFormatPr defaultRowHeight="15" x14ac:dyDescent="0.25"/>
  <cols>
    <col min="1" max="1" width="2.85546875" customWidth="1"/>
    <col min="2" max="2" width="34.28515625" customWidth="1"/>
    <col min="3" max="5" width="11.42578125" customWidth="1"/>
  </cols>
  <sheetData>
    <row r="2" spans="2:5" x14ac:dyDescent="0.25">
      <c r="B2" s="24" t="s">
        <v>57</v>
      </c>
      <c r="C2" s="21" t="s">
        <v>53</v>
      </c>
      <c r="D2" s="22" t="s">
        <v>51</v>
      </c>
      <c r="E2" s="23" t="s">
        <v>52</v>
      </c>
    </row>
    <row r="3" spans="2:5" x14ac:dyDescent="0.25">
      <c r="B3" s="1" t="s">
        <v>58</v>
      </c>
      <c r="C3" s="19">
        <v>0.08</v>
      </c>
      <c r="D3" s="19">
        <v>0.12</v>
      </c>
      <c r="E3" s="19">
        <v>0.15</v>
      </c>
    </row>
    <row r="4" spans="2:5" x14ac:dyDescent="0.25">
      <c r="B4" s="1" t="s">
        <v>59</v>
      </c>
      <c r="C4" s="19">
        <v>0.04</v>
      </c>
      <c r="D4" s="19">
        <v>0.08</v>
      </c>
      <c r="E4" s="19">
        <v>0.12</v>
      </c>
    </row>
    <row r="5" spans="2:5" x14ac:dyDescent="0.25">
      <c r="B5" s="1" t="s">
        <v>60</v>
      </c>
      <c r="C5" s="19">
        <v>0.02</v>
      </c>
      <c r="D5" s="19">
        <v>0.03</v>
      </c>
      <c r="E5" s="19">
        <v>0.04</v>
      </c>
    </row>
    <row r="6" spans="2:5" x14ac:dyDescent="0.25">
      <c r="B6" s="1" t="s">
        <v>8</v>
      </c>
      <c r="C6" s="19">
        <v>0.5</v>
      </c>
      <c r="D6" s="19">
        <v>0.57499999999999996</v>
      </c>
      <c r="E6" s="19">
        <v>0.65</v>
      </c>
    </row>
    <row r="7" spans="2:5" x14ac:dyDescent="0.25">
      <c r="B7" s="1" t="s">
        <v>28</v>
      </c>
      <c r="C7" s="19">
        <v>0.1</v>
      </c>
      <c r="D7" s="19">
        <v>0.1</v>
      </c>
      <c r="E7" s="19">
        <v>0.1</v>
      </c>
    </row>
    <row r="8" spans="2:5" x14ac:dyDescent="0.25">
      <c r="B8" s="1" t="s">
        <v>61</v>
      </c>
      <c r="C8" s="19">
        <v>0.75</v>
      </c>
      <c r="D8" s="19">
        <v>0.85</v>
      </c>
      <c r="E8" s="19">
        <v>0.95</v>
      </c>
    </row>
    <row r="9" spans="2:5" x14ac:dyDescent="0.25">
      <c r="B9" s="1" t="s">
        <v>55</v>
      </c>
      <c r="C9" s="26" t="s">
        <v>56</v>
      </c>
      <c r="D9" s="27"/>
      <c r="E9" s="28"/>
    </row>
    <row r="10" spans="2:5" x14ac:dyDescent="0.25">
      <c r="B10" s="16" t="s">
        <v>54</v>
      </c>
      <c r="C10" s="20">
        <f>'Bear case'!B34</f>
        <v>1207.3922097338816</v>
      </c>
      <c r="D10" s="20">
        <f>'Base case'!B35</f>
        <v>1825.4682387981477</v>
      </c>
      <c r="E10" s="20">
        <f>'Bull case'!B34</f>
        <v>2735.1878457046514</v>
      </c>
    </row>
    <row r="11" spans="2:5" x14ac:dyDescent="0.25">
      <c r="B11" s="16" t="s">
        <v>62</v>
      </c>
      <c r="C11" s="25">
        <f>'Bear case'!B36</f>
        <v>4.5781066662995418E-2</v>
      </c>
      <c r="D11" s="25">
        <f>'Base case'!B37</f>
        <v>0.11455376382891203</v>
      </c>
      <c r="E11" s="25">
        <f>'Bull case'!B36</f>
        <v>0.18247162156067143</v>
      </c>
    </row>
  </sheetData>
  <mergeCells count="1"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D18-2C28-4675-B67D-667A4DCB3BB0}">
  <sheetPr>
    <tabColor theme="7" tint="0.39997558519241921"/>
  </sheetPr>
  <dimension ref="A1:Q36"/>
  <sheetViews>
    <sheetView showGridLines="0" workbookViewId="0">
      <selection activeCell="B2" sqref="B2:B7"/>
    </sheetView>
  </sheetViews>
  <sheetFormatPr defaultRowHeight="15" x14ac:dyDescent="0.25"/>
  <cols>
    <col min="1" max="1" width="26.5703125" customWidth="1"/>
    <col min="2" max="7" width="9.28515625" customWidth="1"/>
    <col min="8" max="8" width="9.140625" customWidth="1"/>
  </cols>
  <sheetData>
    <row r="1" spans="1:17" x14ac:dyDescent="0.25">
      <c r="A1" s="12" t="s">
        <v>27</v>
      </c>
      <c r="B1" s="13"/>
    </row>
    <row r="2" spans="1:17" x14ac:dyDescent="0.25">
      <c r="A2" s="8" t="s">
        <v>24</v>
      </c>
      <c r="B2" s="6">
        <f>Summary!C3</f>
        <v>0.08</v>
      </c>
    </row>
    <row r="3" spans="1:17" x14ac:dyDescent="0.25">
      <c r="A3" s="8" t="s">
        <v>25</v>
      </c>
      <c r="B3" s="6">
        <f>Summary!C4</f>
        <v>0.04</v>
      </c>
    </row>
    <row r="4" spans="1:17" x14ac:dyDescent="0.25">
      <c r="A4" s="8" t="s">
        <v>26</v>
      </c>
      <c r="B4" s="6">
        <f>Summary!C5</f>
        <v>0.02</v>
      </c>
    </row>
    <row r="5" spans="1:17" x14ac:dyDescent="0.25">
      <c r="A5" s="8" t="s">
        <v>8</v>
      </c>
      <c r="B5" s="6">
        <f>Summary!C6</f>
        <v>0.5</v>
      </c>
    </row>
    <row r="6" spans="1:17" x14ac:dyDescent="0.25">
      <c r="A6" s="8" t="s">
        <v>28</v>
      </c>
      <c r="B6" s="6">
        <f>Summary!C7</f>
        <v>0.1</v>
      </c>
    </row>
    <row r="7" spans="1:17" x14ac:dyDescent="0.25">
      <c r="A7" s="8" t="s">
        <v>31</v>
      </c>
      <c r="B7" s="6">
        <f>Summary!C8</f>
        <v>0.75</v>
      </c>
    </row>
    <row r="9" spans="1:17" x14ac:dyDescent="0.25">
      <c r="A9" t="s">
        <v>10</v>
      </c>
      <c r="H9" s="11">
        <v>1</v>
      </c>
      <c r="I9" s="11">
        <v>2</v>
      </c>
      <c r="J9" s="11">
        <v>3</v>
      </c>
      <c r="K9" s="11">
        <v>4</v>
      </c>
      <c r="L9" s="11">
        <v>5</v>
      </c>
      <c r="M9" s="11">
        <v>6</v>
      </c>
      <c r="N9" s="11">
        <v>7</v>
      </c>
      <c r="O9" s="11">
        <v>8</v>
      </c>
      <c r="P9" s="11">
        <v>9</v>
      </c>
      <c r="Q9" s="11">
        <v>10</v>
      </c>
    </row>
    <row r="10" spans="1:17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7" x14ac:dyDescent="0.25">
      <c r="A11" s="1" t="s">
        <v>11</v>
      </c>
      <c r="B11" s="2">
        <v>38.975200000000001</v>
      </c>
      <c r="C11" s="2">
        <v>62.023299999999999</v>
      </c>
      <c r="D11" s="2">
        <v>88.73790000000001</v>
      </c>
      <c r="E11" s="2">
        <v>127.65360000000001</v>
      </c>
      <c r="F11" s="2">
        <v>164.33610000000002</v>
      </c>
      <c r="G11" s="2">
        <v>191.76830000000001</v>
      </c>
      <c r="H11" s="7">
        <f>G11*(1+$B$2)</f>
        <v>207.10976400000001</v>
      </c>
      <c r="I11" s="7">
        <f>H11*(1+$B$2)</f>
        <v>223.67854512000002</v>
      </c>
      <c r="J11" s="7">
        <f>I11*(1+$B$2)</f>
        <v>241.57282872960005</v>
      </c>
      <c r="K11" s="7">
        <f>J11*(1+$B$2)</f>
        <v>260.89865502796806</v>
      </c>
      <c r="L11" s="7">
        <f>K11*(1+$B$2)</f>
        <v>281.77054743020551</v>
      </c>
      <c r="M11" s="7">
        <f>L11*(1+$B$3)</f>
        <v>293.04136932741375</v>
      </c>
      <c r="N11" s="7">
        <f t="shared" ref="N11:Q11" si="0">M11*(1+$B$3)</f>
        <v>304.76302410051034</v>
      </c>
      <c r="O11" s="7">
        <f t="shared" si="0"/>
        <v>316.95354506453077</v>
      </c>
      <c r="P11" s="7">
        <f t="shared" si="0"/>
        <v>329.63168686711202</v>
      </c>
      <c r="Q11" s="7">
        <f t="shared" si="0"/>
        <v>342.81695434179653</v>
      </c>
    </row>
    <row r="12" spans="1:17" x14ac:dyDescent="0.25">
      <c r="A12" s="1" t="s">
        <v>13</v>
      </c>
      <c r="B12" s="1"/>
      <c r="C12" s="6">
        <f>C11/B11-1</f>
        <v>0.59135296290974759</v>
      </c>
      <c r="D12" s="6">
        <f>D11/C11-1</f>
        <v>0.43071877826558747</v>
      </c>
      <c r="E12" s="6">
        <f>E11/D11-1</f>
        <v>0.43854655113542229</v>
      </c>
      <c r="F12" s="6">
        <f>F11/E11-1</f>
        <v>0.28735969843388665</v>
      </c>
      <c r="G12" s="6">
        <f>G11/F11-1</f>
        <v>0.16692741278392265</v>
      </c>
      <c r="H12" s="6">
        <f t="shared" ref="H12:Q12" si="1">H11/G11-1</f>
        <v>8.0000000000000071E-2</v>
      </c>
      <c r="I12" s="6">
        <f t="shared" si="1"/>
        <v>8.0000000000000071E-2</v>
      </c>
      <c r="J12" s="6">
        <f t="shared" si="1"/>
        <v>8.0000000000000071E-2</v>
      </c>
      <c r="K12" s="6">
        <f t="shared" si="1"/>
        <v>8.0000000000000071E-2</v>
      </c>
      <c r="L12" s="6">
        <f t="shared" si="1"/>
        <v>8.0000000000000071E-2</v>
      </c>
      <c r="M12" s="6">
        <f>M11/L11-1</f>
        <v>4.0000000000000036E-2</v>
      </c>
      <c r="N12" s="6">
        <f t="shared" si="1"/>
        <v>4.0000000000000036E-2</v>
      </c>
      <c r="O12" s="6">
        <f t="shared" si="1"/>
        <v>4.0000000000000036E-2</v>
      </c>
      <c r="P12" s="6">
        <f t="shared" si="1"/>
        <v>4.0000000000000036E-2</v>
      </c>
      <c r="Q12" s="6">
        <f t="shared" si="1"/>
        <v>4.0000000000000036E-2</v>
      </c>
    </row>
    <row r="13" spans="1:17" x14ac:dyDescent="0.25">
      <c r="A13" s="1" t="s">
        <v>50</v>
      </c>
      <c r="B13" s="3">
        <f>B14/B11</f>
        <v>0.52717625567026982</v>
      </c>
      <c r="C13" s="3">
        <f t="shared" ref="C13:G13" si="2">C14/C11</f>
        <v>0.65064419339183821</v>
      </c>
      <c r="D13" s="3">
        <f t="shared" si="2"/>
        <v>0.68784814605709499</v>
      </c>
      <c r="E13" s="3">
        <f t="shared" si="2"/>
        <v>0.75641266677947117</v>
      </c>
      <c r="F13" s="3">
        <f t="shared" si="2"/>
        <v>0.64268350046033706</v>
      </c>
      <c r="G13" s="3">
        <f t="shared" si="2"/>
        <v>0.75301288064815708</v>
      </c>
      <c r="H13" s="6">
        <f>AVERAGE($B$13:$G$13)/AVERAGE($B$15:$G$15)*H15</f>
        <v>0.59739835185808376</v>
      </c>
      <c r="I13" s="6">
        <f t="shared" ref="I13:Q13" si="3">AVERAGE($B$13:$G$13)/AVERAGE($B$15:$G$15)*I15</f>
        <v>0.59739835185808376</v>
      </c>
      <c r="J13" s="6">
        <f t="shared" si="3"/>
        <v>0.59739835185808376</v>
      </c>
      <c r="K13" s="6">
        <f t="shared" si="3"/>
        <v>0.59739835185808376</v>
      </c>
      <c r="L13" s="6">
        <f t="shared" si="3"/>
        <v>0.59739835185808376</v>
      </c>
      <c r="M13" s="6">
        <f t="shared" si="3"/>
        <v>0.59739835185808376</v>
      </c>
      <c r="N13" s="6">
        <f t="shared" si="3"/>
        <v>0.59739835185808376</v>
      </c>
      <c r="O13" s="6">
        <f t="shared" si="3"/>
        <v>0.59739835185808376</v>
      </c>
      <c r="P13" s="6">
        <f t="shared" si="3"/>
        <v>0.59739835185808376</v>
      </c>
      <c r="Q13" s="6">
        <f t="shared" si="3"/>
        <v>0.59739835185808376</v>
      </c>
    </row>
    <row r="14" spans="1:17" x14ac:dyDescent="0.25">
      <c r="A14" s="1" t="s">
        <v>49</v>
      </c>
      <c r="B14" s="2">
        <v>20.546799999999902</v>
      </c>
      <c r="C14" s="2">
        <v>40.3551</v>
      </c>
      <c r="D14" s="2">
        <v>61.038199999999897</v>
      </c>
      <c r="E14" s="2">
        <v>96.558799999999906</v>
      </c>
      <c r="F14" s="2">
        <v>105.6161</v>
      </c>
      <c r="G14" s="2">
        <v>144.404</v>
      </c>
      <c r="H14" s="2">
        <f>H13*H11</f>
        <v>123.72703166731669</v>
      </c>
      <c r="I14" s="2">
        <f t="shared" ref="I14:Q14" si="4">I13*I11</f>
        <v>133.62519420070203</v>
      </c>
      <c r="J14" s="2">
        <f t="shared" si="4"/>
        <v>144.31520973675822</v>
      </c>
      <c r="K14" s="2">
        <f t="shared" si="4"/>
        <v>155.86042651569889</v>
      </c>
      <c r="L14" s="2">
        <f t="shared" si="4"/>
        <v>168.32926063695479</v>
      </c>
      <c r="M14" s="2">
        <f t="shared" si="4"/>
        <v>175.06243106243301</v>
      </c>
      <c r="N14" s="2">
        <f t="shared" si="4"/>
        <v>182.06492830493033</v>
      </c>
      <c r="O14" s="2">
        <f t="shared" si="4"/>
        <v>189.34752543712756</v>
      </c>
      <c r="P14" s="2">
        <f t="shared" si="4"/>
        <v>196.92142645461269</v>
      </c>
      <c r="Q14" s="2">
        <f t="shared" si="4"/>
        <v>204.79828351279721</v>
      </c>
    </row>
    <row r="15" spans="1:17" x14ac:dyDescent="0.25">
      <c r="A15" s="1" t="s">
        <v>8</v>
      </c>
      <c r="B15" s="3">
        <f t="shared" ref="B15:G15" si="5">B16/B11</f>
        <v>0.48358443317802086</v>
      </c>
      <c r="C15" s="3">
        <f t="shared" si="5"/>
        <v>0.57614154680579721</v>
      </c>
      <c r="D15" s="3">
        <f t="shared" si="5"/>
        <v>0.58580268408425251</v>
      </c>
      <c r="E15" s="3">
        <f t="shared" si="5"/>
        <v>0.57624618498812408</v>
      </c>
      <c r="F15" s="3">
        <f t="shared" si="5"/>
        <v>0.5054117750147411</v>
      </c>
      <c r="G15" s="3">
        <f t="shared" si="5"/>
        <v>0.63554247495545402</v>
      </c>
      <c r="H15" s="6">
        <f t="shared" ref="H15:Q15" si="6">$B$5</f>
        <v>0.5</v>
      </c>
      <c r="I15" s="6">
        <f t="shared" si="6"/>
        <v>0.5</v>
      </c>
      <c r="J15" s="6">
        <f t="shared" si="6"/>
        <v>0.5</v>
      </c>
      <c r="K15" s="6">
        <f t="shared" si="6"/>
        <v>0.5</v>
      </c>
      <c r="L15" s="6">
        <f t="shared" si="6"/>
        <v>0.5</v>
      </c>
      <c r="M15" s="6">
        <f t="shared" si="6"/>
        <v>0.5</v>
      </c>
      <c r="N15" s="6">
        <f t="shared" si="6"/>
        <v>0.5</v>
      </c>
      <c r="O15" s="6">
        <f t="shared" si="6"/>
        <v>0.5</v>
      </c>
      <c r="P15" s="6">
        <f t="shared" si="6"/>
        <v>0.5</v>
      </c>
      <c r="Q15" s="6">
        <f t="shared" si="6"/>
        <v>0.5</v>
      </c>
    </row>
    <row r="16" spans="1:17" x14ac:dyDescent="0.25">
      <c r="A16" s="1" t="s">
        <v>30</v>
      </c>
      <c r="B16" s="2">
        <v>18.847799999999999</v>
      </c>
      <c r="C16" s="2">
        <v>35.734200000000001</v>
      </c>
      <c r="D16" s="2">
        <v>51.982900000000001</v>
      </c>
      <c r="E16" s="2">
        <v>73.559899999999999</v>
      </c>
      <c r="F16" s="2">
        <v>83.057400000000001</v>
      </c>
      <c r="G16" s="2">
        <v>121.87690000000001</v>
      </c>
      <c r="H16" s="7">
        <f t="shared" ref="H16:Q16" si="7">H11*H15</f>
        <v>103.55488200000001</v>
      </c>
      <c r="I16" s="7">
        <f t="shared" si="7"/>
        <v>111.83927256000001</v>
      </c>
      <c r="J16" s="7">
        <f t="shared" si="7"/>
        <v>120.78641436480002</v>
      </c>
      <c r="K16" s="7">
        <f t="shared" si="7"/>
        <v>130.44932751398403</v>
      </c>
      <c r="L16" s="7">
        <f t="shared" si="7"/>
        <v>140.88527371510276</v>
      </c>
      <c r="M16" s="7">
        <f t="shared" si="7"/>
        <v>146.52068466370687</v>
      </c>
      <c r="N16" s="7">
        <f t="shared" si="7"/>
        <v>152.38151205025517</v>
      </c>
      <c r="O16" s="7">
        <f t="shared" si="7"/>
        <v>158.47677253226539</v>
      </c>
      <c r="P16" s="7">
        <f t="shared" si="7"/>
        <v>164.81584343355601</v>
      </c>
      <c r="Q16" s="7">
        <f t="shared" si="7"/>
        <v>171.40847717089827</v>
      </c>
    </row>
    <row r="17" spans="1:17" x14ac:dyDescent="0.25">
      <c r="A17" s="1" t="s">
        <v>32</v>
      </c>
      <c r="B17" s="2">
        <v>21.46</v>
      </c>
      <c r="C17" s="2">
        <v>24.28</v>
      </c>
      <c r="D17" s="2">
        <v>39.950000000000003</v>
      </c>
      <c r="E17" s="2">
        <v>13</v>
      </c>
      <c r="F17" s="2">
        <v>292</v>
      </c>
      <c r="G17" s="2">
        <v>58</v>
      </c>
      <c r="H17" s="7">
        <f>H16*$B$7</f>
        <v>77.666161500000001</v>
      </c>
      <c r="I17" s="7">
        <f t="shared" ref="I17:Q17" si="8">I16*$B$7</f>
        <v>83.879454420000002</v>
      </c>
      <c r="J17" s="7">
        <f t="shared" si="8"/>
        <v>90.589810773600021</v>
      </c>
      <c r="K17" s="7">
        <f t="shared" si="8"/>
        <v>97.836995635488023</v>
      </c>
      <c r="L17" s="7">
        <f t="shared" si="8"/>
        <v>105.66395528632707</v>
      </c>
      <c r="M17" s="7">
        <f t="shared" si="8"/>
        <v>109.89051349778015</v>
      </c>
      <c r="N17" s="7">
        <f t="shared" si="8"/>
        <v>114.28613403769137</v>
      </c>
      <c r="O17" s="7">
        <f t="shared" si="8"/>
        <v>118.85757939919904</v>
      </c>
      <c r="P17" s="7">
        <f t="shared" si="8"/>
        <v>123.61188257516702</v>
      </c>
      <c r="Q17" s="7">
        <f t="shared" si="8"/>
        <v>128.55635787817369</v>
      </c>
    </row>
    <row r="18" spans="1:17" x14ac:dyDescent="0.25">
      <c r="A18" s="1" t="s">
        <v>48</v>
      </c>
      <c r="B18" s="2">
        <v>87.680099999999996</v>
      </c>
      <c r="C18" s="2">
        <v>82.592399999999998</v>
      </c>
      <c r="D18" s="2">
        <v>116.37869999999999</v>
      </c>
      <c r="E18" s="2">
        <v>169.09180000000001</v>
      </c>
      <c r="F18" s="2">
        <v>197.03119999999899</v>
      </c>
      <c r="G18" s="2">
        <v>268.17059999999998</v>
      </c>
      <c r="H18" s="7">
        <f>(H16-H17)+G18</f>
        <v>294.05932050000001</v>
      </c>
      <c r="I18" s="7">
        <f t="shared" ref="I18:Q18" si="9">(I16-I17)+H18</f>
        <v>322.01913864000005</v>
      </c>
      <c r="J18" s="7">
        <f t="shared" si="9"/>
        <v>352.21574223120007</v>
      </c>
      <c r="K18" s="7">
        <f t="shared" si="9"/>
        <v>384.8280741096961</v>
      </c>
      <c r="L18" s="7">
        <f t="shared" si="9"/>
        <v>420.04939253847181</v>
      </c>
      <c r="M18" s="7">
        <f t="shared" si="9"/>
        <v>456.67956370439856</v>
      </c>
      <c r="N18" s="7">
        <f t="shared" si="9"/>
        <v>494.77494171696236</v>
      </c>
      <c r="O18" s="7">
        <f t="shared" si="9"/>
        <v>534.39413485002865</v>
      </c>
      <c r="P18" s="7">
        <f t="shared" si="9"/>
        <v>575.59809570841765</v>
      </c>
      <c r="Q18" s="7">
        <f t="shared" si="9"/>
        <v>618.45021500114217</v>
      </c>
    </row>
    <row r="19" spans="1:17" x14ac:dyDescent="0.25">
      <c r="A19" s="1" t="s">
        <v>47</v>
      </c>
      <c r="B19" s="3">
        <f>B14/B18</f>
        <v>0.23433823638430959</v>
      </c>
      <c r="C19" s="3">
        <f t="shared" ref="C19:Q19" si="10">C14/C18</f>
        <v>0.48860548912490737</v>
      </c>
      <c r="D19" s="3">
        <f t="shared" si="10"/>
        <v>0.52447913578687422</v>
      </c>
      <c r="E19" s="3">
        <f t="shared" si="10"/>
        <v>0.57104365794201672</v>
      </c>
      <c r="F19" s="3">
        <f t="shared" si="10"/>
        <v>0.53603743975573692</v>
      </c>
      <c r="G19" s="3">
        <f t="shared" si="10"/>
        <v>0.53847811803381884</v>
      </c>
      <c r="H19" s="3">
        <f t="shared" si="10"/>
        <v>0.42075534778812324</v>
      </c>
      <c r="I19" s="3">
        <f t="shared" si="10"/>
        <v>0.4149604112508597</v>
      </c>
      <c r="J19" s="3">
        <f t="shared" si="10"/>
        <v>0.4097352628890375</v>
      </c>
      <c r="K19" s="3">
        <f t="shared" si="10"/>
        <v>0.40501313963718388</v>
      </c>
      <c r="L19" s="3">
        <f t="shared" si="10"/>
        <v>0.40073682673291267</v>
      </c>
      <c r="M19" s="3">
        <f t="shared" si="10"/>
        <v>0.38333756308777622</v>
      </c>
      <c r="N19" s="3">
        <f t="shared" si="10"/>
        <v>0.3679752407693298</v>
      </c>
      <c r="O19" s="3">
        <f t="shared" si="10"/>
        <v>0.35432186300148238</v>
      </c>
      <c r="P19" s="3">
        <f t="shared" si="10"/>
        <v>0.34211618822722395</v>
      </c>
      <c r="Q19" s="3">
        <f t="shared" si="10"/>
        <v>0.33114756619887176</v>
      </c>
    </row>
    <row r="21" spans="1:17" x14ac:dyDescent="0.25">
      <c r="G21" s="10" t="s">
        <v>29</v>
      </c>
      <c r="H21" s="7">
        <f t="shared" ref="H21:Q21" si="11">H17/(POWER(1+$B$6,H9-1))</f>
        <v>77.666161500000001</v>
      </c>
      <c r="I21" s="7">
        <f t="shared" si="11"/>
        <v>76.254049472727274</v>
      </c>
      <c r="J21" s="7">
        <f t="shared" si="11"/>
        <v>74.867612209586781</v>
      </c>
      <c r="K21" s="7">
        <f t="shared" si="11"/>
        <v>73.506382896685196</v>
      </c>
      <c r="L21" s="7">
        <f t="shared" si="11"/>
        <v>72.169903207654556</v>
      </c>
      <c r="M21" s="7">
        <f t="shared" si="11"/>
        <v>68.233363032691571</v>
      </c>
      <c r="N21" s="7">
        <f t="shared" si="11"/>
        <v>64.511543230908401</v>
      </c>
      <c r="O21" s="7">
        <f t="shared" si="11"/>
        <v>60.992731781949757</v>
      </c>
      <c r="P21" s="7">
        <f t="shared" si="11"/>
        <v>57.665855502934328</v>
      </c>
      <c r="Q21" s="7">
        <f t="shared" si="11"/>
        <v>54.520445202774262</v>
      </c>
    </row>
    <row r="22" spans="1:17" x14ac:dyDescent="0.25">
      <c r="G22" s="10" t="s">
        <v>46</v>
      </c>
      <c r="H22" s="7">
        <f>(-1*B25)+H17</f>
        <v>-3692.8553657136476</v>
      </c>
      <c r="I22" s="7">
        <f>I17</f>
        <v>83.879454420000002</v>
      </c>
      <c r="J22" s="7">
        <f t="shared" ref="J22:P22" si="12">J17</f>
        <v>90.589810773600021</v>
      </c>
      <c r="K22" s="7">
        <f t="shared" si="12"/>
        <v>97.836995635488023</v>
      </c>
      <c r="L22" s="7">
        <f t="shared" si="12"/>
        <v>105.66395528632707</v>
      </c>
      <c r="M22" s="7">
        <f t="shared" si="12"/>
        <v>109.89051349778015</v>
      </c>
      <c r="N22" s="7">
        <f t="shared" si="12"/>
        <v>114.28613403769137</v>
      </c>
      <c r="O22" s="7">
        <f t="shared" si="12"/>
        <v>118.85757939919904</v>
      </c>
      <c r="P22" s="7">
        <f t="shared" si="12"/>
        <v>123.61188257516702</v>
      </c>
      <c r="Q22" s="7">
        <f>Q17+B30</f>
        <v>4499.4725257360797</v>
      </c>
    </row>
    <row r="23" spans="1:17" x14ac:dyDescent="0.25">
      <c r="A23" s="1" t="s">
        <v>9</v>
      </c>
      <c r="B23" s="7">
        <f>B27*B28</f>
        <v>4393.5215272136475</v>
      </c>
      <c r="C23" t="s">
        <v>12</v>
      </c>
    </row>
    <row r="24" spans="1:17" x14ac:dyDescent="0.25">
      <c r="A24" s="1" t="s">
        <v>40</v>
      </c>
      <c r="B24" s="7">
        <v>623</v>
      </c>
      <c r="C24" t="s">
        <v>12</v>
      </c>
    </row>
    <row r="25" spans="1:17" x14ac:dyDescent="0.25">
      <c r="A25" s="1" t="s">
        <v>39</v>
      </c>
      <c r="B25" s="7">
        <f>B23-B24</f>
        <v>3770.5215272136475</v>
      </c>
      <c r="C25" t="s">
        <v>12</v>
      </c>
    </row>
    <row r="26" spans="1:17" x14ac:dyDescent="0.25">
      <c r="A26" s="1" t="s">
        <v>7</v>
      </c>
      <c r="B26" s="2">
        <f>B23/G16</f>
        <v>36.048845410521984</v>
      </c>
    </row>
    <row r="27" spans="1:17" x14ac:dyDescent="0.25">
      <c r="A27" s="1" t="s">
        <v>33</v>
      </c>
      <c r="B27" s="14">
        <v>2.4752233956133223</v>
      </c>
      <c r="C27" t="s">
        <v>34</v>
      </c>
    </row>
    <row r="28" spans="1:17" x14ac:dyDescent="0.25">
      <c r="A28" s="16" t="s">
        <v>35</v>
      </c>
      <c r="B28" s="17">
        <v>1775</v>
      </c>
      <c r="C28" s="9" t="s">
        <v>36</v>
      </c>
    </row>
    <row r="30" spans="1:17" x14ac:dyDescent="0.25">
      <c r="A30" s="1" t="s">
        <v>37</v>
      </c>
      <c r="B30" s="7">
        <f>(Q11*(1+$B$4))/($B$6-$B$4)</f>
        <v>4370.9161678579057</v>
      </c>
      <c r="C30" t="s">
        <v>12</v>
      </c>
    </row>
    <row r="31" spans="1:17" ht="18" x14ac:dyDescent="0.25">
      <c r="A31" s="1" t="s">
        <v>38</v>
      </c>
      <c r="B31" s="7">
        <f>B30/(POWER(1+$B$6,Q9))</f>
        <v>1685.177397176659</v>
      </c>
      <c r="D31" s="15"/>
    </row>
    <row r="32" spans="1:17" ht="18" x14ac:dyDescent="0.25">
      <c r="A32" s="1" t="s">
        <v>41</v>
      </c>
      <c r="B32" s="7">
        <f>SUM(H21:Q21)</f>
        <v>680.38804803791197</v>
      </c>
      <c r="D32" s="15"/>
    </row>
    <row r="33" spans="1:3" x14ac:dyDescent="0.25">
      <c r="A33" s="1" t="s">
        <v>42</v>
      </c>
      <c r="B33" s="7">
        <f>B31+B32+B24</f>
        <v>2988.5654452145709</v>
      </c>
      <c r="C33" t="s">
        <v>12</v>
      </c>
    </row>
    <row r="34" spans="1:3" x14ac:dyDescent="0.25">
      <c r="A34" s="16" t="s">
        <v>43</v>
      </c>
      <c r="B34" s="17">
        <f>B33/B27</f>
        <v>1207.3922097338816</v>
      </c>
      <c r="C34" s="9" t="s">
        <v>36</v>
      </c>
    </row>
    <row r="35" spans="1:3" x14ac:dyDescent="0.25">
      <c r="A35" s="16" t="s">
        <v>44</v>
      </c>
      <c r="B35" s="18">
        <f>B34/B28-1</f>
        <v>-0.31977903676964414</v>
      </c>
      <c r="C35" s="9"/>
    </row>
    <row r="36" spans="1:3" x14ac:dyDescent="0.25">
      <c r="A36" s="16" t="s">
        <v>45</v>
      </c>
      <c r="B36" s="18">
        <f>IRR(H22:Q22)</f>
        <v>4.5781066662995418E-2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94A7-877D-4ED0-AA05-042C0490E859}">
  <sheetPr>
    <tabColor theme="7" tint="-0.249977111117893"/>
  </sheetPr>
  <dimension ref="A1:Q37"/>
  <sheetViews>
    <sheetView showGridLines="0" tabSelected="1" workbookViewId="0"/>
  </sheetViews>
  <sheetFormatPr defaultRowHeight="15" x14ac:dyDescent="0.25"/>
  <cols>
    <col min="1" max="1" width="34.140625" customWidth="1"/>
    <col min="2" max="7" width="9.28515625" customWidth="1"/>
    <col min="8" max="8" width="9.140625" customWidth="1"/>
  </cols>
  <sheetData>
    <row r="1" spans="1:17" x14ac:dyDescent="0.25">
      <c r="A1" s="12" t="s">
        <v>27</v>
      </c>
      <c r="B1" s="13"/>
    </row>
    <row r="2" spans="1:17" x14ac:dyDescent="0.25">
      <c r="A2" s="8" t="s">
        <v>24</v>
      </c>
      <c r="B2" s="6">
        <f>Summary!D3</f>
        <v>0.12</v>
      </c>
    </row>
    <row r="3" spans="1:17" x14ac:dyDescent="0.25">
      <c r="A3" s="8" t="s">
        <v>25</v>
      </c>
      <c r="B3" s="6">
        <f>Summary!D4</f>
        <v>0.08</v>
      </c>
    </row>
    <row r="4" spans="1:17" x14ac:dyDescent="0.25">
      <c r="A4" s="8" t="s">
        <v>26</v>
      </c>
      <c r="B4" s="6">
        <f>Summary!D5</f>
        <v>0.03</v>
      </c>
    </row>
    <row r="5" spans="1:17" x14ac:dyDescent="0.25">
      <c r="A5" s="8" t="s">
        <v>8</v>
      </c>
      <c r="B5" s="6">
        <f>Summary!D6</f>
        <v>0.57499999999999996</v>
      </c>
    </row>
    <row r="6" spans="1:17" x14ac:dyDescent="0.25">
      <c r="A6" s="8" t="s">
        <v>28</v>
      </c>
      <c r="B6" s="6">
        <f>Summary!D7</f>
        <v>0.1</v>
      </c>
    </row>
    <row r="7" spans="1:17" x14ac:dyDescent="0.25">
      <c r="A7" s="8" t="s">
        <v>31</v>
      </c>
      <c r="B7" s="6">
        <f>Summary!D8</f>
        <v>0.85</v>
      </c>
    </row>
    <row r="9" spans="1:17" x14ac:dyDescent="0.25">
      <c r="A9" t="s">
        <v>10</v>
      </c>
      <c r="H9" s="11">
        <v>1</v>
      </c>
      <c r="I9" s="11">
        <v>2</v>
      </c>
      <c r="J9" s="11">
        <v>3</v>
      </c>
      <c r="K9" s="11">
        <v>4</v>
      </c>
      <c r="L9" s="11">
        <v>5</v>
      </c>
      <c r="M9" s="11">
        <v>6</v>
      </c>
      <c r="N9" s="11">
        <v>7</v>
      </c>
      <c r="O9" s="11">
        <v>8</v>
      </c>
      <c r="P9" s="11">
        <v>9</v>
      </c>
      <c r="Q9" s="11">
        <v>10</v>
      </c>
    </row>
    <row r="10" spans="1:17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7" x14ac:dyDescent="0.25">
      <c r="A11" s="1" t="s">
        <v>11</v>
      </c>
      <c r="B11" s="2">
        <v>38.975200000000001</v>
      </c>
      <c r="C11" s="2">
        <v>62.023299999999999</v>
      </c>
      <c r="D11" s="2">
        <v>88.73790000000001</v>
      </c>
      <c r="E11" s="2">
        <v>127.65360000000001</v>
      </c>
      <c r="F11" s="2">
        <v>164.33610000000002</v>
      </c>
      <c r="G11" s="2">
        <v>191.76830000000001</v>
      </c>
      <c r="H11" s="7">
        <f>G11*(1+$B$2)</f>
        <v>214.78049600000003</v>
      </c>
      <c r="I11" s="7">
        <f>H11*(1+$B$2)</f>
        <v>240.55415552000005</v>
      </c>
      <c r="J11" s="7">
        <f>I11*(1+$B$2)</f>
        <v>269.42065418240009</v>
      </c>
      <c r="K11" s="7">
        <f>J11*(1+$B$2)</f>
        <v>301.75113268428811</v>
      </c>
      <c r="L11" s="7">
        <f>K11*(1+$B$2)</f>
        <v>337.96126860640271</v>
      </c>
      <c r="M11" s="7">
        <f>L11*(1+$B$3)</f>
        <v>364.99817009491494</v>
      </c>
      <c r="N11" s="7">
        <f t="shared" ref="N11:Q11" si="0">M11*(1+$B$3)</f>
        <v>394.19802370250818</v>
      </c>
      <c r="O11" s="7">
        <f t="shared" si="0"/>
        <v>425.73386559870886</v>
      </c>
      <c r="P11" s="7">
        <f t="shared" si="0"/>
        <v>459.79257484660559</v>
      </c>
      <c r="Q11" s="7">
        <f t="shared" si="0"/>
        <v>496.57598083433408</v>
      </c>
    </row>
    <row r="12" spans="1:17" x14ac:dyDescent="0.25">
      <c r="A12" s="1" t="s">
        <v>13</v>
      </c>
      <c r="B12" s="1"/>
      <c r="C12" s="6">
        <f>C11/B11-1</f>
        <v>0.59135296290974759</v>
      </c>
      <c r="D12" s="6">
        <f>D11/C11-1</f>
        <v>0.43071877826558747</v>
      </c>
      <c r="E12" s="6">
        <f>E11/D11-1</f>
        <v>0.43854655113542229</v>
      </c>
      <c r="F12" s="6">
        <f>F11/E11-1</f>
        <v>0.28735969843388665</v>
      </c>
      <c r="G12" s="6">
        <f>G11/F11-1</f>
        <v>0.16692741278392265</v>
      </c>
      <c r="H12" s="6">
        <f t="shared" ref="H12:Q12" si="1">H11/G11-1</f>
        <v>0.12000000000000011</v>
      </c>
      <c r="I12" s="6">
        <f t="shared" si="1"/>
        <v>0.12000000000000011</v>
      </c>
      <c r="J12" s="6">
        <f t="shared" si="1"/>
        <v>0.12000000000000011</v>
      </c>
      <c r="K12" s="6">
        <f t="shared" si="1"/>
        <v>0.12000000000000011</v>
      </c>
      <c r="L12" s="6">
        <f t="shared" si="1"/>
        <v>0.12000000000000011</v>
      </c>
      <c r="M12" s="6">
        <f>M11/L11-1</f>
        <v>8.0000000000000071E-2</v>
      </c>
      <c r="N12" s="6">
        <f t="shared" si="1"/>
        <v>8.0000000000000071E-2</v>
      </c>
      <c r="O12" s="6">
        <f t="shared" si="1"/>
        <v>8.0000000000000071E-2</v>
      </c>
      <c r="P12" s="6">
        <f t="shared" si="1"/>
        <v>8.0000000000000071E-2</v>
      </c>
      <c r="Q12" s="6">
        <f t="shared" si="1"/>
        <v>8.0000000000000071E-2</v>
      </c>
    </row>
    <row r="13" spans="1:17" x14ac:dyDescent="0.25">
      <c r="A13" s="1" t="s">
        <v>50</v>
      </c>
      <c r="B13" s="3">
        <f>B14/B11</f>
        <v>0.52717625567026982</v>
      </c>
      <c r="C13" s="3">
        <f t="shared" ref="C13:G13" si="2">C14/C11</f>
        <v>0.65064419339183821</v>
      </c>
      <c r="D13" s="3">
        <f t="shared" si="2"/>
        <v>0.68784814605709499</v>
      </c>
      <c r="E13" s="3">
        <f t="shared" si="2"/>
        <v>0.75641266677947117</v>
      </c>
      <c r="F13" s="3">
        <f t="shared" si="2"/>
        <v>0.64268350046033706</v>
      </c>
      <c r="G13" s="3">
        <f t="shared" si="2"/>
        <v>0.75301288064815708</v>
      </c>
      <c r="H13" s="6">
        <f>AVERAGE($B$13:$G$13)/AVERAGE($B$15:$G$15)*H15</f>
        <v>0.68700810463679629</v>
      </c>
      <c r="I13" s="6">
        <f t="shared" ref="I13:Q13" si="3">AVERAGE($B$13:$G$13)/AVERAGE($B$15:$G$15)*I15</f>
        <v>0.68700810463679629</v>
      </c>
      <c r="J13" s="6">
        <f t="shared" si="3"/>
        <v>0.68700810463679629</v>
      </c>
      <c r="K13" s="6">
        <f t="shared" si="3"/>
        <v>0.68700810463679629</v>
      </c>
      <c r="L13" s="6">
        <f t="shared" si="3"/>
        <v>0.68700810463679629</v>
      </c>
      <c r="M13" s="6">
        <f t="shared" si="3"/>
        <v>0.68700810463679629</v>
      </c>
      <c r="N13" s="6">
        <f t="shared" si="3"/>
        <v>0.68700810463679629</v>
      </c>
      <c r="O13" s="6">
        <f t="shared" si="3"/>
        <v>0.68700810463679629</v>
      </c>
      <c r="P13" s="6">
        <f t="shared" si="3"/>
        <v>0.68700810463679629</v>
      </c>
      <c r="Q13" s="6">
        <f t="shared" si="3"/>
        <v>0.68700810463679629</v>
      </c>
    </row>
    <row r="14" spans="1:17" x14ac:dyDescent="0.25">
      <c r="A14" s="1" t="s">
        <v>49</v>
      </c>
      <c r="B14" s="2">
        <v>20.546799999999902</v>
      </c>
      <c r="C14" s="2">
        <v>40.3551</v>
      </c>
      <c r="D14" s="2">
        <v>61.038199999999897</v>
      </c>
      <c r="E14" s="2">
        <v>96.558799999999906</v>
      </c>
      <c r="F14" s="2">
        <v>105.6161</v>
      </c>
      <c r="G14" s="2">
        <v>144.404</v>
      </c>
      <c r="H14" s="2">
        <f>H13*H11</f>
        <v>147.55594146991103</v>
      </c>
      <c r="I14" s="2">
        <f t="shared" ref="I14:Q14" si="4">I13*I11</f>
        <v>165.26265444630036</v>
      </c>
      <c r="J14" s="2">
        <f t="shared" si="4"/>
        <v>185.09417297985644</v>
      </c>
      <c r="K14" s="2">
        <f t="shared" si="4"/>
        <v>207.3054737374392</v>
      </c>
      <c r="L14" s="2">
        <f t="shared" si="4"/>
        <v>232.18213058593193</v>
      </c>
      <c r="M14" s="2">
        <f t="shared" si="4"/>
        <v>250.75670103280649</v>
      </c>
      <c r="N14" s="2">
        <f t="shared" si="4"/>
        <v>270.81723711543106</v>
      </c>
      <c r="O14" s="2">
        <f t="shared" si="4"/>
        <v>292.48261608466555</v>
      </c>
      <c r="P14" s="2">
        <f t="shared" si="4"/>
        <v>315.8812253714388</v>
      </c>
      <c r="Q14" s="2">
        <f t="shared" si="4"/>
        <v>341.15172340115396</v>
      </c>
    </row>
    <row r="15" spans="1:17" x14ac:dyDescent="0.25">
      <c r="A15" s="1" t="s">
        <v>8</v>
      </c>
      <c r="B15" s="3">
        <f t="shared" ref="B15:G15" si="5">B16/B11</f>
        <v>0.48358443317802086</v>
      </c>
      <c r="C15" s="3">
        <f t="shared" si="5"/>
        <v>0.57614154680579721</v>
      </c>
      <c r="D15" s="3">
        <f t="shared" si="5"/>
        <v>0.58580268408425251</v>
      </c>
      <c r="E15" s="3">
        <f t="shared" si="5"/>
        <v>0.57624618498812408</v>
      </c>
      <c r="F15" s="3">
        <f t="shared" si="5"/>
        <v>0.5054117750147411</v>
      </c>
      <c r="G15" s="3">
        <f t="shared" si="5"/>
        <v>0.63554247495545402</v>
      </c>
      <c r="H15" s="6">
        <f t="shared" ref="H15:Q15" si="6">$B$5</f>
        <v>0.57499999999999996</v>
      </c>
      <c r="I15" s="6">
        <f t="shared" si="6"/>
        <v>0.57499999999999996</v>
      </c>
      <c r="J15" s="6">
        <f t="shared" si="6"/>
        <v>0.57499999999999996</v>
      </c>
      <c r="K15" s="6">
        <f t="shared" si="6"/>
        <v>0.57499999999999996</v>
      </c>
      <c r="L15" s="6">
        <f t="shared" si="6"/>
        <v>0.57499999999999996</v>
      </c>
      <c r="M15" s="6">
        <f t="shared" si="6"/>
        <v>0.57499999999999996</v>
      </c>
      <c r="N15" s="6">
        <f t="shared" si="6"/>
        <v>0.57499999999999996</v>
      </c>
      <c r="O15" s="6">
        <f t="shared" si="6"/>
        <v>0.57499999999999996</v>
      </c>
      <c r="P15" s="6">
        <f t="shared" si="6"/>
        <v>0.57499999999999996</v>
      </c>
      <c r="Q15" s="6">
        <f t="shared" si="6"/>
        <v>0.57499999999999996</v>
      </c>
    </row>
    <row r="16" spans="1:17" x14ac:dyDescent="0.25">
      <c r="A16" s="1" t="s">
        <v>30</v>
      </c>
      <c r="B16" s="2">
        <v>18.847799999999999</v>
      </c>
      <c r="C16" s="2">
        <v>35.734200000000001</v>
      </c>
      <c r="D16" s="2">
        <v>51.982900000000001</v>
      </c>
      <c r="E16" s="2">
        <v>73.559899999999999</v>
      </c>
      <c r="F16" s="2">
        <v>83.057400000000001</v>
      </c>
      <c r="G16" s="2">
        <v>121.87690000000001</v>
      </c>
      <c r="H16" s="7">
        <f t="shared" ref="H16:Q16" si="7">H11*H15</f>
        <v>123.4987852</v>
      </c>
      <c r="I16" s="7">
        <f t="shared" si="7"/>
        <v>138.31863942400003</v>
      </c>
      <c r="J16" s="7">
        <f t="shared" si="7"/>
        <v>154.91687615488004</v>
      </c>
      <c r="K16" s="7">
        <f t="shared" si="7"/>
        <v>173.50690129346566</v>
      </c>
      <c r="L16" s="7">
        <f t="shared" si="7"/>
        <v>194.32772944868154</v>
      </c>
      <c r="M16" s="7">
        <f t="shared" si="7"/>
        <v>209.87394780457606</v>
      </c>
      <c r="N16" s="7">
        <f t="shared" si="7"/>
        <v>226.66386362894218</v>
      </c>
      <c r="O16" s="7">
        <f t="shared" si="7"/>
        <v>244.79697271925758</v>
      </c>
      <c r="P16" s="7">
        <f t="shared" si="7"/>
        <v>264.38073053679818</v>
      </c>
      <c r="Q16" s="7">
        <f t="shared" si="7"/>
        <v>285.53118897974207</v>
      </c>
    </row>
    <row r="17" spans="1:17" x14ac:dyDescent="0.25">
      <c r="A17" s="1" t="s">
        <v>32</v>
      </c>
      <c r="B17" s="2">
        <v>21.46</v>
      </c>
      <c r="C17" s="2">
        <v>24.28</v>
      </c>
      <c r="D17" s="2">
        <v>39.950000000000003</v>
      </c>
      <c r="E17" s="2">
        <v>13</v>
      </c>
      <c r="F17" s="2">
        <v>292</v>
      </c>
      <c r="G17" s="2">
        <v>58</v>
      </c>
      <c r="H17" s="7">
        <f>H16*$B$7</f>
        <v>104.97396741999999</v>
      </c>
      <c r="I17" s="7">
        <f t="shared" ref="I17:Q17" si="8">I16*$B$7</f>
        <v>117.57084351040002</v>
      </c>
      <c r="J17" s="7">
        <f t="shared" si="8"/>
        <v>131.67934473164803</v>
      </c>
      <c r="K17" s="7">
        <f t="shared" si="8"/>
        <v>147.48086609944582</v>
      </c>
      <c r="L17" s="7">
        <f t="shared" si="8"/>
        <v>165.17857003137931</v>
      </c>
      <c r="M17" s="7">
        <f t="shared" si="8"/>
        <v>178.39285563388964</v>
      </c>
      <c r="N17" s="7">
        <f t="shared" si="8"/>
        <v>192.66428408460084</v>
      </c>
      <c r="O17" s="7">
        <f t="shared" si="8"/>
        <v>208.07742681136895</v>
      </c>
      <c r="P17" s="7">
        <f t="shared" si="8"/>
        <v>224.72362095627844</v>
      </c>
      <c r="Q17" s="7">
        <f t="shared" si="8"/>
        <v>242.70151063278075</v>
      </c>
    </row>
    <row r="18" spans="1:17" x14ac:dyDescent="0.25">
      <c r="A18" s="1" t="s">
        <v>31</v>
      </c>
      <c r="B18" s="3">
        <f>B17/B16</f>
        <v>1.1385944248135063</v>
      </c>
      <c r="C18" s="3">
        <f t="shared" ref="C18:Q18" si="9">C17/C16</f>
        <v>0.67946113247253337</v>
      </c>
      <c r="D18" s="3">
        <f t="shared" si="9"/>
        <v>0.7685219562586928</v>
      </c>
      <c r="E18" s="3">
        <f t="shared" si="9"/>
        <v>0.17672672203197667</v>
      </c>
      <c r="F18" s="3">
        <f t="shared" si="9"/>
        <v>3.5156409904475701</v>
      </c>
      <c r="G18" s="3">
        <f t="shared" si="9"/>
        <v>0.4758900168940956</v>
      </c>
      <c r="H18" s="3">
        <f t="shared" si="9"/>
        <v>0.85</v>
      </c>
      <c r="I18" s="3">
        <f t="shared" si="9"/>
        <v>0.85</v>
      </c>
      <c r="J18" s="3">
        <f t="shared" si="9"/>
        <v>0.85</v>
      </c>
      <c r="K18" s="3">
        <f t="shared" si="9"/>
        <v>0.85000000000000009</v>
      </c>
      <c r="L18" s="3">
        <f t="shared" si="9"/>
        <v>0.85</v>
      </c>
      <c r="M18" s="3">
        <f t="shared" si="9"/>
        <v>0.85</v>
      </c>
      <c r="N18" s="3">
        <f t="shared" si="9"/>
        <v>0.85</v>
      </c>
      <c r="O18" s="3">
        <f t="shared" si="9"/>
        <v>0.85</v>
      </c>
      <c r="P18" s="3">
        <f t="shared" si="9"/>
        <v>0.85</v>
      </c>
      <c r="Q18" s="3">
        <f t="shared" si="9"/>
        <v>0.85</v>
      </c>
    </row>
    <row r="19" spans="1:17" x14ac:dyDescent="0.25">
      <c r="A19" s="1" t="s">
        <v>48</v>
      </c>
      <c r="B19" s="2">
        <v>87.680099999999996</v>
      </c>
      <c r="C19" s="2">
        <v>82.592399999999998</v>
      </c>
      <c r="D19" s="2">
        <v>116.37869999999999</v>
      </c>
      <c r="E19" s="2">
        <v>169.09180000000001</v>
      </c>
      <c r="F19" s="2">
        <v>197.03119999999899</v>
      </c>
      <c r="G19" s="2">
        <v>268.17059999999998</v>
      </c>
      <c r="H19" s="7">
        <f>(H16-H17)+G19</f>
        <v>286.69541777999996</v>
      </c>
      <c r="I19" s="7">
        <f t="shared" ref="I19:Q19" si="10">(I16-I17)+H19</f>
        <v>307.44321369359994</v>
      </c>
      <c r="J19" s="7">
        <f t="shared" si="10"/>
        <v>330.68074511683199</v>
      </c>
      <c r="K19" s="7">
        <f t="shared" si="10"/>
        <v>356.70678031085185</v>
      </c>
      <c r="L19" s="7">
        <f t="shared" si="10"/>
        <v>385.85593972815411</v>
      </c>
      <c r="M19" s="7">
        <f t="shared" si="10"/>
        <v>417.33703189884056</v>
      </c>
      <c r="N19" s="7">
        <f t="shared" si="10"/>
        <v>451.33661144318194</v>
      </c>
      <c r="O19" s="7">
        <f t="shared" si="10"/>
        <v>488.05615735107057</v>
      </c>
      <c r="P19" s="7">
        <f t="shared" si="10"/>
        <v>527.71326693159028</v>
      </c>
      <c r="Q19" s="7">
        <f t="shared" si="10"/>
        <v>570.54294527855154</v>
      </c>
    </row>
    <row r="20" spans="1:17" x14ac:dyDescent="0.25">
      <c r="A20" s="1" t="s">
        <v>47</v>
      </c>
      <c r="B20" s="3">
        <f>B14/B19</f>
        <v>0.23433823638430959</v>
      </c>
      <c r="C20" s="3">
        <f t="shared" ref="C20:Q20" si="11">C14/C19</f>
        <v>0.48860548912490737</v>
      </c>
      <c r="D20" s="3">
        <f t="shared" si="11"/>
        <v>0.52447913578687422</v>
      </c>
      <c r="E20" s="3">
        <f t="shared" si="11"/>
        <v>0.57104365794201672</v>
      </c>
      <c r="F20" s="3">
        <f t="shared" si="11"/>
        <v>0.53603743975573692</v>
      </c>
      <c r="G20" s="3">
        <f t="shared" si="11"/>
        <v>0.53847811803381884</v>
      </c>
      <c r="H20" s="3">
        <f t="shared" si="11"/>
        <v>0.51467840892783401</v>
      </c>
      <c r="I20" s="3">
        <f t="shared" si="11"/>
        <v>0.53753879443571739</v>
      </c>
      <c r="J20" s="3">
        <f t="shared" si="11"/>
        <v>0.55973677244032238</v>
      </c>
      <c r="K20" s="3">
        <f t="shared" si="11"/>
        <v>0.58116493764649779</v>
      </c>
      <c r="L20" s="3">
        <f t="shared" si="11"/>
        <v>0.60173268487070719</v>
      </c>
      <c r="M20" s="3">
        <f t="shared" si="11"/>
        <v>0.60084938998077719</v>
      </c>
      <c r="N20" s="3">
        <f t="shared" si="11"/>
        <v>0.60003383339426652</v>
      </c>
      <c r="O20" s="3">
        <f t="shared" si="11"/>
        <v>0.59928065998002711</v>
      </c>
      <c r="P20" s="3">
        <f t="shared" si="11"/>
        <v>0.5985849611250873</v>
      </c>
      <c r="Q20" s="3">
        <f t="shared" si="11"/>
        <v>0.59794223418991932</v>
      </c>
    </row>
    <row r="22" spans="1:17" x14ac:dyDescent="0.25">
      <c r="G22" s="10" t="s">
        <v>29</v>
      </c>
      <c r="H22" s="7">
        <f t="shared" ref="H22:Q22" si="12">H17/(POWER(1+$B$6,H9-1))</f>
        <v>104.97396741999999</v>
      </c>
      <c r="I22" s="7">
        <f t="shared" si="12"/>
        <v>106.88258500945456</v>
      </c>
      <c r="J22" s="7">
        <f t="shared" si="12"/>
        <v>108.82590473689918</v>
      </c>
      <c r="K22" s="7">
        <f t="shared" si="12"/>
        <v>110.80455755029735</v>
      </c>
      <c r="L22" s="7">
        <f t="shared" si="12"/>
        <v>112.81918586939366</v>
      </c>
      <c r="M22" s="7">
        <f t="shared" si="12"/>
        <v>110.76792794449558</v>
      </c>
      <c r="N22" s="7">
        <f t="shared" si="12"/>
        <v>108.75396561823203</v>
      </c>
      <c r="O22" s="7">
        <f t="shared" si="12"/>
        <v>106.77662078880964</v>
      </c>
      <c r="P22" s="7">
        <f t="shared" si="12"/>
        <v>104.83522768355854</v>
      </c>
      <c r="Q22" s="7">
        <f t="shared" si="12"/>
        <v>102.92913263476657</v>
      </c>
    </row>
    <row r="23" spans="1:17" x14ac:dyDescent="0.25">
      <c r="G23" s="10" t="s">
        <v>46</v>
      </c>
      <c r="H23" s="7">
        <f>(-1*B26)+H17</f>
        <v>-3665.5475597936475</v>
      </c>
      <c r="I23" s="7">
        <f>I17</f>
        <v>117.57084351040002</v>
      </c>
      <c r="J23" s="7">
        <f t="shared" ref="J23:P23" si="13">J17</f>
        <v>131.67934473164803</v>
      </c>
      <c r="K23" s="7">
        <f t="shared" si="13"/>
        <v>147.48086609944582</v>
      </c>
      <c r="L23" s="7">
        <f t="shared" si="13"/>
        <v>165.17857003137931</v>
      </c>
      <c r="M23" s="7">
        <f t="shared" si="13"/>
        <v>178.39285563388964</v>
      </c>
      <c r="N23" s="7">
        <f t="shared" si="13"/>
        <v>192.66428408460084</v>
      </c>
      <c r="O23" s="7">
        <f t="shared" si="13"/>
        <v>208.07742681136895</v>
      </c>
      <c r="P23" s="7">
        <f t="shared" si="13"/>
        <v>224.72362095627844</v>
      </c>
      <c r="Q23" s="7">
        <f>Q17+B31</f>
        <v>7549.4623714808386</v>
      </c>
    </row>
    <row r="24" spans="1:17" x14ac:dyDescent="0.25">
      <c r="A24" s="1" t="s">
        <v>9</v>
      </c>
      <c r="B24" s="7">
        <f>B28*B29</f>
        <v>4393.5215272136475</v>
      </c>
      <c r="C24" t="s">
        <v>12</v>
      </c>
    </row>
    <row r="25" spans="1:17" x14ac:dyDescent="0.25">
      <c r="A25" s="1" t="s">
        <v>40</v>
      </c>
      <c r="B25" s="7">
        <v>623</v>
      </c>
      <c r="C25" t="s">
        <v>12</v>
      </c>
    </row>
    <row r="26" spans="1:17" x14ac:dyDescent="0.25">
      <c r="A26" s="1" t="s">
        <v>39</v>
      </c>
      <c r="B26" s="7">
        <f>B24-B25</f>
        <v>3770.5215272136475</v>
      </c>
      <c r="C26" t="s">
        <v>12</v>
      </c>
    </row>
    <row r="27" spans="1:17" x14ac:dyDescent="0.25">
      <c r="A27" s="1" t="s">
        <v>7</v>
      </c>
      <c r="B27" s="2">
        <f>B24/G16</f>
        <v>36.048845410521984</v>
      </c>
    </row>
    <row r="28" spans="1:17" x14ac:dyDescent="0.25">
      <c r="A28" s="1" t="s">
        <v>33</v>
      </c>
      <c r="B28" s="14">
        <v>2.4752233956133223</v>
      </c>
      <c r="C28" t="s">
        <v>34</v>
      </c>
    </row>
    <row r="29" spans="1:17" x14ac:dyDescent="0.25">
      <c r="A29" s="16" t="s">
        <v>35</v>
      </c>
      <c r="B29" s="17">
        <v>1775</v>
      </c>
      <c r="C29" s="9" t="s">
        <v>36</v>
      </c>
    </row>
    <row r="31" spans="1:17" x14ac:dyDescent="0.25">
      <c r="A31" s="1" t="s">
        <v>37</v>
      </c>
      <c r="B31" s="7">
        <f>(Q11*(1+$B$4))/($B$6-$B$4)</f>
        <v>7306.7608608480577</v>
      </c>
      <c r="C31" t="s">
        <v>12</v>
      </c>
    </row>
    <row r="32" spans="1:17" ht="18" x14ac:dyDescent="0.25">
      <c r="A32" s="1" t="s">
        <v>38</v>
      </c>
      <c r="B32" s="7">
        <f>B31/(POWER(1+$B$6,Q9))</f>
        <v>2817.0726173663152</v>
      </c>
      <c r="D32" s="15"/>
    </row>
    <row r="33" spans="1:4" ht="18" x14ac:dyDescent="0.25">
      <c r="A33" s="1" t="s">
        <v>41</v>
      </c>
      <c r="B33" s="7">
        <f>SUM(H22:Q22)</f>
        <v>1078.3690752559071</v>
      </c>
      <c r="D33" s="15"/>
    </row>
    <row r="34" spans="1:4" x14ac:dyDescent="0.25">
      <c r="A34" s="1" t="s">
        <v>42</v>
      </c>
      <c r="B34" s="7">
        <f>B32+B33+B25</f>
        <v>4518.441692622222</v>
      </c>
      <c r="C34" t="s">
        <v>12</v>
      </c>
    </row>
    <row r="35" spans="1:4" x14ac:dyDescent="0.25">
      <c r="A35" s="16" t="s">
        <v>43</v>
      </c>
      <c r="B35" s="17">
        <f>B34/B28</f>
        <v>1825.4682387981477</v>
      </c>
      <c r="C35" s="9" t="s">
        <v>36</v>
      </c>
    </row>
    <row r="36" spans="1:4" x14ac:dyDescent="0.25">
      <c r="A36" s="16" t="s">
        <v>44</v>
      </c>
      <c r="B36" s="18">
        <f>B35/B29-1</f>
        <v>2.8432810590505841E-2</v>
      </c>
      <c r="C36" s="9"/>
    </row>
    <row r="37" spans="1:4" x14ac:dyDescent="0.25">
      <c r="A37" s="16" t="s">
        <v>45</v>
      </c>
      <c r="B37" s="18">
        <f>IRR(H23:Q23)</f>
        <v>0.11455376382891203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DFFA-F0E1-4728-8F72-69502844D7EE}">
  <sheetPr>
    <tabColor theme="7" tint="-0.499984740745262"/>
  </sheetPr>
  <dimension ref="A1:Q36"/>
  <sheetViews>
    <sheetView showGridLines="0" workbookViewId="0">
      <selection activeCell="B2" sqref="B2:B7"/>
    </sheetView>
  </sheetViews>
  <sheetFormatPr defaultRowHeight="15" x14ac:dyDescent="0.25"/>
  <cols>
    <col min="1" max="1" width="26.5703125" customWidth="1"/>
    <col min="2" max="7" width="9.28515625" customWidth="1"/>
    <col min="8" max="8" width="9.140625" customWidth="1"/>
  </cols>
  <sheetData>
    <row r="1" spans="1:17" x14ac:dyDescent="0.25">
      <c r="A1" s="12" t="s">
        <v>27</v>
      </c>
      <c r="B1" s="13"/>
    </row>
    <row r="2" spans="1:17" x14ac:dyDescent="0.25">
      <c r="A2" s="8" t="s">
        <v>24</v>
      </c>
      <c r="B2" s="6">
        <f>Summary!E3</f>
        <v>0.15</v>
      </c>
    </row>
    <row r="3" spans="1:17" x14ac:dyDescent="0.25">
      <c r="A3" s="8" t="s">
        <v>25</v>
      </c>
      <c r="B3" s="6">
        <f>Summary!E4</f>
        <v>0.12</v>
      </c>
    </row>
    <row r="4" spans="1:17" x14ac:dyDescent="0.25">
      <c r="A4" s="8" t="s">
        <v>26</v>
      </c>
      <c r="B4" s="6">
        <f>Summary!E5</f>
        <v>0.04</v>
      </c>
    </row>
    <row r="5" spans="1:17" x14ac:dyDescent="0.25">
      <c r="A5" s="8" t="s">
        <v>8</v>
      </c>
      <c r="B5" s="6">
        <f>Summary!E6</f>
        <v>0.65</v>
      </c>
    </row>
    <row r="6" spans="1:17" x14ac:dyDescent="0.25">
      <c r="A6" s="8" t="s">
        <v>28</v>
      </c>
      <c r="B6" s="6">
        <f>Summary!E7</f>
        <v>0.1</v>
      </c>
    </row>
    <row r="7" spans="1:17" x14ac:dyDescent="0.25">
      <c r="A7" s="8" t="s">
        <v>31</v>
      </c>
      <c r="B7" s="6">
        <f>Summary!E8</f>
        <v>0.95</v>
      </c>
    </row>
    <row r="9" spans="1:17" x14ac:dyDescent="0.25">
      <c r="A9" t="s">
        <v>10</v>
      </c>
      <c r="H9" s="11">
        <v>1</v>
      </c>
      <c r="I9" s="11">
        <v>2</v>
      </c>
      <c r="J9" s="11">
        <v>3</v>
      </c>
      <c r="K9" s="11">
        <v>4</v>
      </c>
      <c r="L9" s="11">
        <v>5</v>
      </c>
      <c r="M9" s="11">
        <v>6</v>
      </c>
      <c r="N9" s="11">
        <v>7</v>
      </c>
      <c r="O9" s="11">
        <v>8</v>
      </c>
      <c r="P9" s="11">
        <v>9</v>
      </c>
      <c r="Q9" s="11">
        <v>10</v>
      </c>
    </row>
    <row r="10" spans="1:17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</row>
    <row r="11" spans="1:17" x14ac:dyDescent="0.25">
      <c r="A11" s="1" t="s">
        <v>11</v>
      </c>
      <c r="B11" s="2">
        <v>38.975200000000001</v>
      </c>
      <c r="C11" s="2">
        <v>62.023299999999999</v>
      </c>
      <c r="D11" s="2">
        <v>88.73790000000001</v>
      </c>
      <c r="E11" s="2">
        <v>127.65360000000001</v>
      </c>
      <c r="F11" s="2">
        <v>164.33610000000002</v>
      </c>
      <c r="G11" s="2">
        <v>191.76830000000001</v>
      </c>
      <c r="H11" s="7">
        <f>G11*(1+$B$2)</f>
        <v>220.533545</v>
      </c>
      <c r="I11" s="7">
        <f>H11*(1+$B$2)</f>
        <v>253.61357674999999</v>
      </c>
      <c r="J11" s="7">
        <f>I11*(1+$B$2)</f>
        <v>291.65561326249997</v>
      </c>
      <c r="K11" s="7">
        <f>J11*(1+$B$2)</f>
        <v>335.40395525187495</v>
      </c>
      <c r="L11" s="7">
        <f>K11*(1+$B$2)</f>
        <v>385.71454853965616</v>
      </c>
      <c r="M11" s="7">
        <f>L11*(1+$B$3)</f>
        <v>432.00029436441497</v>
      </c>
      <c r="N11" s="7">
        <f t="shared" ref="N11:Q11" si="0">M11*(1+$B$3)</f>
        <v>483.84032968814483</v>
      </c>
      <c r="O11" s="7">
        <f t="shared" si="0"/>
        <v>541.90116925072232</v>
      </c>
      <c r="P11" s="7">
        <f t="shared" si="0"/>
        <v>606.92930956080909</v>
      </c>
      <c r="Q11" s="7">
        <f t="shared" si="0"/>
        <v>679.76082670810626</v>
      </c>
    </row>
    <row r="12" spans="1:17" x14ac:dyDescent="0.25">
      <c r="A12" s="1" t="s">
        <v>13</v>
      </c>
      <c r="B12" s="1"/>
      <c r="C12" s="6">
        <f>C11/B11-1</f>
        <v>0.59135296290974759</v>
      </c>
      <c r="D12" s="6">
        <f>D11/C11-1</f>
        <v>0.43071877826558747</v>
      </c>
      <c r="E12" s="6">
        <f>E11/D11-1</f>
        <v>0.43854655113542229</v>
      </c>
      <c r="F12" s="6">
        <f>F11/E11-1</f>
        <v>0.28735969843388665</v>
      </c>
      <c r="G12" s="6">
        <f>G11/F11-1</f>
        <v>0.16692741278392265</v>
      </c>
      <c r="H12" s="6">
        <f t="shared" ref="H12:Q12" si="1">H11/G11-1</f>
        <v>0.14999999999999991</v>
      </c>
      <c r="I12" s="6">
        <f t="shared" si="1"/>
        <v>0.14999999999999991</v>
      </c>
      <c r="J12" s="6">
        <f t="shared" si="1"/>
        <v>0.14999999999999991</v>
      </c>
      <c r="K12" s="6">
        <f t="shared" si="1"/>
        <v>0.14999999999999991</v>
      </c>
      <c r="L12" s="6">
        <f t="shared" si="1"/>
        <v>0.14999999999999991</v>
      </c>
      <c r="M12" s="6">
        <f>M11/L11-1</f>
        <v>0.12000000000000011</v>
      </c>
      <c r="N12" s="6">
        <f t="shared" si="1"/>
        <v>0.12000000000000011</v>
      </c>
      <c r="O12" s="6">
        <f t="shared" si="1"/>
        <v>0.12000000000000011</v>
      </c>
      <c r="P12" s="6">
        <f t="shared" si="1"/>
        <v>0.12000000000000011</v>
      </c>
      <c r="Q12" s="6">
        <f t="shared" si="1"/>
        <v>0.12000000000000011</v>
      </c>
    </row>
    <row r="13" spans="1:17" x14ac:dyDescent="0.25">
      <c r="A13" s="1" t="s">
        <v>50</v>
      </c>
      <c r="B13" s="3">
        <f>B14/B11</f>
        <v>0.52717625567026982</v>
      </c>
      <c r="C13" s="3">
        <f t="shared" ref="C13:G13" si="2">C14/C11</f>
        <v>0.65064419339183821</v>
      </c>
      <c r="D13" s="3">
        <f t="shared" si="2"/>
        <v>0.68784814605709499</v>
      </c>
      <c r="E13" s="3">
        <f t="shared" si="2"/>
        <v>0.75641266677947117</v>
      </c>
      <c r="F13" s="3">
        <f t="shared" si="2"/>
        <v>0.64268350046033706</v>
      </c>
      <c r="G13" s="3">
        <f t="shared" si="2"/>
        <v>0.75301288064815708</v>
      </c>
      <c r="H13" s="6">
        <f>AVERAGE($B$13:$G$13)/AVERAGE($B$15:$G$15)*H15</f>
        <v>0.77661785741550893</v>
      </c>
      <c r="I13" s="6">
        <f t="shared" ref="I13:Q13" si="3">AVERAGE($B$13:$G$13)/AVERAGE($B$15:$G$15)*I15</f>
        <v>0.77661785741550893</v>
      </c>
      <c r="J13" s="6">
        <f t="shared" si="3"/>
        <v>0.77661785741550893</v>
      </c>
      <c r="K13" s="6">
        <f t="shared" si="3"/>
        <v>0.77661785741550893</v>
      </c>
      <c r="L13" s="6">
        <f t="shared" si="3"/>
        <v>0.77661785741550893</v>
      </c>
      <c r="M13" s="6">
        <f t="shared" si="3"/>
        <v>0.77661785741550893</v>
      </c>
      <c r="N13" s="6">
        <f t="shared" si="3"/>
        <v>0.77661785741550893</v>
      </c>
      <c r="O13" s="6">
        <f t="shared" si="3"/>
        <v>0.77661785741550893</v>
      </c>
      <c r="P13" s="6">
        <f t="shared" si="3"/>
        <v>0.77661785741550893</v>
      </c>
      <c r="Q13" s="6">
        <f t="shared" si="3"/>
        <v>0.77661785741550893</v>
      </c>
    </row>
    <row r="14" spans="1:17" x14ac:dyDescent="0.25">
      <c r="A14" s="1" t="s">
        <v>49</v>
      </c>
      <c r="B14" s="2">
        <v>20.546799999999902</v>
      </c>
      <c r="C14" s="2">
        <v>40.3551</v>
      </c>
      <c r="D14" s="2">
        <v>61.038199999999897</v>
      </c>
      <c r="E14" s="2">
        <v>96.558799999999906</v>
      </c>
      <c r="F14" s="2">
        <v>105.6161</v>
      </c>
      <c r="G14" s="2">
        <v>144.404</v>
      </c>
      <c r="H14" s="2">
        <f>H13*H11</f>
        <v>171.27028920614671</v>
      </c>
      <c r="I14" s="2">
        <f t="shared" ref="I14:Q14" si="4">I13*I11</f>
        <v>196.96083258706872</v>
      </c>
      <c r="J14" s="2">
        <f t="shared" si="4"/>
        <v>226.504957475129</v>
      </c>
      <c r="K14" s="2">
        <f t="shared" si="4"/>
        <v>260.48070109639838</v>
      </c>
      <c r="L14" s="2">
        <f t="shared" si="4"/>
        <v>299.55280626085806</v>
      </c>
      <c r="M14" s="2">
        <f t="shared" si="4"/>
        <v>335.49914301216108</v>
      </c>
      <c r="N14" s="2">
        <f t="shared" si="4"/>
        <v>375.75904017362052</v>
      </c>
      <c r="O14" s="2">
        <f t="shared" si="4"/>
        <v>420.85012499445503</v>
      </c>
      <c r="P14" s="2">
        <f t="shared" si="4"/>
        <v>471.35213999378971</v>
      </c>
      <c r="Q14" s="2">
        <f t="shared" si="4"/>
        <v>527.91439679304449</v>
      </c>
    </row>
    <row r="15" spans="1:17" x14ac:dyDescent="0.25">
      <c r="A15" s="1" t="s">
        <v>8</v>
      </c>
      <c r="B15" s="3">
        <f t="shared" ref="B15:G15" si="5">B16/B11</f>
        <v>0.48358443317802086</v>
      </c>
      <c r="C15" s="3">
        <f t="shared" si="5"/>
        <v>0.57614154680579721</v>
      </c>
      <c r="D15" s="3">
        <f t="shared" si="5"/>
        <v>0.58580268408425251</v>
      </c>
      <c r="E15" s="3">
        <f t="shared" si="5"/>
        <v>0.57624618498812408</v>
      </c>
      <c r="F15" s="3">
        <f t="shared" si="5"/>
        <v>0.5054117750147411</v>
      </c>
      <c r="G15" s="3">
        <f t="shared" si="5"/>
        <v>0.63554247495545402</v>
      </c>
      <c r="H15" s="6">
        <f t="shared" ref="H15:Q15" si="6">$B$5</f>
        <v>0.65</v>
      </c>
      <c r="I15" s="6">
        <f t="shared" si="6"/>
        <v>0.65</v>
      </c>
      <c r="J15" s="6">
        <f t="shared" si="6"/>
        <v>0.65</v>
      </c>
      <c r="K15" s="6">
        <f t="shared" si="6"/>
        <v>0.65</v>
      </c>
      <c r="L15" s="6">
        <f t="shared" si="6"/>
        <v>0.65</v>
      </c>
      <c r="M15" s="6">
        <f t="shared" si="6"/>
        <v>0.65</v>
      </c>
      <c r="N15" s="6">
        <f t="shared" si="6"/>
        <v>0.65</v>
      </c>
      <c r="O15" s="6">
        <f t="shared" si="6"/>
        <v>0.65</v>
      </c>
      <c r="P15" s="6">
        <f t="shared" si="6"/>
        <v>0.65</v>
      </c>
      <c r="Q15" s="6">
        <f t="shared" si="6"/>
        <v>0.65</v>
      </c>
    </row>
    <row r="16" spans="1:17" x14ac:dyDescent="0.25">
      <c r="A16" s="1" t="s">
        <v>30</v>
      </c>
      <c r="B16" s="2">
        <v>18.847799999999999</v>
      </c>
      <c r="C16" s="2">
        <v>35.734200000000001</v>
      </c>
      <c r="D16" s="2">
        <v>51.982900000000001</v>
      </c>
      <c r="E16" s="2">
        <v>73.559899999999999</v>
      </c>
      <c r="F16" s="2">
        <v>83.057400000000001</v>
      </c>
      <c r="G16" s="2">
        <v>121.87690000000001</v>
      </c>
      <c r="H16" s="7">
        <f t="shared" ref="H16:Q16" si="7">H11*H15</f>
        <v>143.34680425000002</v>
      </c>
      <c r="I16" s="7">
        <f t="shared" si="7"/>
        <v>164.8488248875</v>
      </c>
      <c r="J16" s="7">
        <f t="shared" si="7"/>
        <v>189.57614862062499</v>
      </c>
      <c r="K16" s="7">
        <f t="shared" si="7"/>
        <v>218.01257091371872</v>
      </c>
      <c r="L16" s="7">
        <f t="shared" si="7"/>
        <v>250.7144565507765</v>
      </c>
      <c r="M16" s="7">
        <f t="shared" si="7"/>
        <v>280.80019133686972</v>
      </c>
      <c r="N16" s="7">
        <f t="shared" si="7"/>
        <v>314.49621429729416</v>
      </c>
      <c r="O16" s="7">
        <f t="shared" si="7"/>
        <v>352.23576001296954</v>
      </c>
      <c r="P16" s="7">
        <f t="shared" si="7"/>
        <v>394.50405121452593</v>
      </c>
      <c r="Q16" s="7">
        <f t="shared" si="7"/>
        <v>441.8445373602691</v>
      </c>
    </row>
    <row r="17" spans="1:17" x14ac:dyDescent="0.25">
      <c r="A17" s="1" t="s">
        <v>32</v>
      </c>
      <c r="B17" s="2">
        <v>21.46</v>
      </c>
      <c r="C17" s="2">
        <v>24.28</v>
      </c>
      <c r="D17" s="2">
        <v>39.950000000000003</v>
      </c>
      <c r="E17" s="2">
        <v>13</v>
      </c>
      <c r="F17" s="2">
        <v>292</v>
      </c>
      <c r="G17" s="2">
        <v>58</v>
      </c>
      <c r="H17" s="7">
        <f>H16*$B$7</f>
        <v>136.17946403750003</v>
      </c>
      <c r="I17" s="7">
        <f t="shared" ref="I17:Q17" si="8">I16*$B$7</f>
        <v>156.60638364312499</v>
      </c>
      <c r="J17" s="7">
        <f t="shared" si="8"/>
        <v>180.09734118959372</v>
      </c>
      <c r="K17" s="7">
        <f t="shared" si="8"/>
        <v>207.11194236803277</v>
      </c>
      <c r="L17" s="7">
        <f t="shared" si="8"/>
        <v>238.17873372323766</v>
      </c>
      <c r="M17" s="7">
        <f t="shared" si="8"/>
        <v>266.76018177002624</v>
      </c>
      <c r="N17" s="7">
        <f t="shared" si="8"/>
        <v>298.77140358242946</v>
      </c>
      <c r="O17" s="7">
        <f t="shared" si="8"/>
        <v>334.62397201232102</v>
      </c>
      <c r="P17" s="7">
        <f t="shared" si="8"/>
        <v>374.77884865379963</v>
      </c>
      <c r="Q17" s="7">
        <f t="shared" si="8"/>
        <v>419.75231049225562</v>
      </c>
    </row>
    <row r="18" spans="1:17" x14ac:dyDescent="0.25">
      <c r="A18" s="1" t="s">
        <v>48</v>
      </c>
      <c r="B18" s="2">
        <v>87.680099999999996</v>
      </c>
      <c r="C18" s="2">
        <v>82.592399999999998</v>
      </c>
      <c r="D18" s="2">
        <v>116.37869999999999</v>
      </c>
      <c r="E18" s="2">
        <v>169.09180000000001</v>
      </c>
      <c r="F18" s="2">
        <v>197.03119999999899</v>
      </c>
      <c r="G18" s="2">
        <v>268.17059999999998</v>
      </c>
      <c r="H18" s="7">
        <f>(H16-H17)+G18</f>
        <v>275.33794021249997</v>
      </c>
      <c r="I18" s="7">
        <f t="shared" ref="I18:Q18" si="9">(I16-I17)+H18</f>
        <v>283.58038145687499</v>
      </c>
      <c r="J18" s="7">
        <f t="shared" si="9"/>
        <v>293.05918888790626</v>
      </c>
      <c r="K18" s="7">
        <f t="shared" si="9"/>
        <v>303.95981743359221</v>
      </c>
      <c r="L18" s="7">
        <f t="shared" si="9"/>
        <v>316.49554026113105</v>
      </c>
      <c r="M18" s="7">
        <f t="shared" si="9"/>
        <v>330.53554982797453</v>
      </c>
      <c r="N18" s="7">
        <f t="shared" si="9"/>
        <v>346.26036054283924</v>
      </c>
      <c r="O18" s="7">
        <f t="shared" si="9"/>
        <v>363.87214854348775</v>
      </c>
      <c r="P18" s="7">
        <f t="shared" si="9"/>
        <v>383.59735110421406</v>
      </c>
      <c r="Q18" s="7">
        <f t="shared" si="9"/>
        <v>405.68957797222754</v>
      </c>
    </row>
    <row r="19" spans="1:17" x14ac:dyDescent="0.25">
      <c r="A19" s="1" t="s">
        <v>47</v>
      </c>
      <c r="B19" s="3">
        <f>B14/B18</f>
        <v>0.23433823638430959</v>
      </c>
      <c r="C19" s="3">
        <f t="shared" ref="C19:Q19" si="10">C14/C18</f>
        <v>0.48860548912490737</v>
      </c>
      <c r="D19" s="3">
        <f t="shared" si="10"/>
        <v>0.52447913578687422</v>
      </c>
      <c r="E19" s="3">
        <f t="shared" si="10"/>
        <v>0.57104365794201672</v>
      </c>
      <c r="F19" s="3">
        <f t="shared" si="10"/>
        <v>0.53603743975573692</v>
      </c>
      <c r="G19" s="3">
        <f t="shared" si="10"/>
        <v>0.53847811803381884</v>
      </c>
      <c r="H19" s="3">
        <f t="shared" si="10"/>
        <v>0.62203664730681119</v>
      </c>
      <c r="I19" s="3">
        <f t="shared" si="10"/>
        <v>0.6945502773329939</v>
      </c>
      <c r="J19" s="3">
        <f t="shared" si="10"/>
        <v>0.77289832929199187</v>
      </c>
      <c r="K19" s="3">
        <f t="shared" si="10"/>
        <v>0.85695768373497938</v>
      </c>
      <c r="L19" s="3">
        <f t="shared" si="10"/>
        <v>0.94646770066240415</v>
      </c>
      <c r="M19" s="3">
        <f t="shared" si="10"/>
        <v>1.0150168209948063</v>
      </c>
      <c r="N19" s="3">
        <f t="shared" si="10"/>
        <v>1.0851921934827757</v>
      </c>
      <c r="O19" s="3">
        <f t="shared" si="10"/>
        <v>1.1565879023141492</v>
      </c>
      <c r="P19" s="3">
        <f t="shared" si="10"/>
        <v>1.22876797411913</v>
      </c>
      <c r="Q19" s="3">
        <f t="shared" si="10"/>
        <v>1.3012767038082111</v>
      </c>
    </row>
    <row r="21" spans="1:17" x14ac:dyDescent="0.25">
      <c r="G21" s="10" t="s">
        <v>29</v>
      </c>
      <c r="H21" s="7">
        <f t="shared" ref="H21:Q21" si="11">H17/(POWER(1+$B$6,H9-1))</f>
        <v>136.17946403750003</v>
      </c>
      <c r="I21" s="7">
        <f t="shared" si="11"/>
        <v>142.36943967556815</v>
      </c>
      <c r="J21" s="7">
        <f t="shared" si="11"/>
        <v>148.84077784263943</v>
      </c>
      <c r="K21" s="7">
        <f t="shared" si="11"/>
        <v>155.60626774457754</v>
      </c>
      <c r="L21" s="7">
        <f t="shared" si="11"/>
        <v>162.67927991478558</v>
      </c>
      <c r="M21" s="7">
        <f t="shared" si="11"/>
        <v>165.63708500414535</v>
      </c>
      <c r="N21" s="7">
        <f t="shared" si="11"/>
        <v>168.64866836785711</v>
      </c>
      <c r="O21" s="7">
        <f t="shared" si="11"/>
        <v>171.71500779272722</v>
      </c>
      <c r="P21" s="7">
        <f t="shared" si="11"/>
        <v>174.83709884350415</v>
      </c>
      <c r="Q21" s="7">
        <f t="shared" si="11"/>
        <v>178.0159551861133</v>
      </c>
    </row>
    <row r="22" spans="1:17" x14ac:dyDescent="0.25">
      <c r="G22" s="10" t="s">
        <v>46</v>
      </c>
      <c r="H22" s="7">
        <f>(-1*B25)+H17</f>
        <v>-3634.3420631761473</v>
      </c>
      <c r="I22" s="7">
        <f>I17</f>
        <v>156.60638364312499</v>
      </c>
      <c r="J22" s="7">
        <f t="shared" ref="J22:P22" si="12">J17</f>
        <v>180.09734118959372</v>
      </c>
      <c r="K22" s="7">
        <f t="shared" si="12"/>
        <v>207.11194236803277</v>
      </c>
      <c r="L22" s="7">
        <f t="shared" si="12"/>
        <v>238.17873372323766</v>
      </c>
      <c r="M22" s="7">
        <f t="shared" si="12"/>
        <v>266.76018177002624</v>
      </c>
      <c r="N22" s="7">
        <f t="shared" si="12"/>
        <v>298.77140358242946</v>
      </c>
      <c r="O22" s="7">
        <f t="shared" si="12"/>
        <v>334.62397201232102</v>
      </c>
      <c r="P22" s="7">
        <f t="shared" si="12"/>
        <v>374.77884865379963</v>
      </c>
      <c r="Q22" s="7">
        <f>Q17+B30</f>
        <v>12202.273306766096</v>
      </c>
    </row>
    <row r="23" spans="1:17" x14ac:dyDescent="0.25">
      <c r="A23" s="1" t="s">
        <v>9</v>
      </c>
      <c r="B23" s="7">
        <f>B27*B28</f>
        <v>4393.5215272136475</v>
      </c>
      <c r="C23" t="s">
        <v>12</v>
      </c>
    </row>
    <row r="24" spans="1:17" x14ac:dyDescent="0.25">
      <c r="A24" s="1" t="s">
        <v>40</v>
      </c>
      <c r="B24" s="7">
        <v>623</v>
      </c>
      <c r="C24" t="s">
        <v>12</v>
      </c>
    </row>
    <row r="25" spans="1:17" x14ac:dyDescent="0.25">
      <c r="A25" s="1" t="s">
        <v>39</v>
      </c>
      <c r="B25" s="7">
        <f>B23-B24</f>
        <v>3770.5215272136475</v>
      </c>
      <c r="C25" t="s">
        <v>12</v>
      </c>
    </row>
    <row r="26" spans="1:17" x14ac:dyDescent="0.25">
      <c r="A26" s="1" t="s">
        <v>7</v>
      </c>
      <c r="B26" s="2">
        <f>B23/G16</f>
        <v>36.048845410521984</v>
      </c>
    </row>
    <row r="27" spans="1:17" x14ac:dyDescent="0.25">
      <c r="A27" s="1" t="s">
        <v>33</v>
      </c>
      <c r="B27" s="14">
        <v>2.4752233956133223</v>
      </c>
      <c r="C27" t="s">
        <v>34</v>
      </c>
    </row>
    <row r="28" spans="1:17" x14ac:dyDescent="0.25">
      <c r="A28" s="16" t="s">
        <v>35</v>
      </c>
      <c r="B28" s="17">
        <v>1775</v>
      </c>
      <c r="C28" s="9" t="s">
        <v>36</v>
      </c>
    </row>
    <row r="30" spans="1:17" x14ac:dyDescent="0.25">
      <c r="A30" s="1" t="s">
        <v>37</v>
      </c>
      <c r="B30" s="7">
        <f>(Q11*(1+$B$4))/($B$6-$B$4)</f>
        <v>11782.520996273841</v>
      </c>
      <c r="C30" t="s">
        <v>12</v>
      </c>
    </row>
    <row r="31" spans="1:17" ht="18" x14ac:dyDescent="0.25">
      <c r="A31" s="1" t="s">
        <v>38</v>
      </c>
      <c r="B31" s="7">
        <f>B30/(POWER(1+$B$6,Q9))</f>
        <v>4542.6719026759365</v>
      </c>
      <c r="D31" s="15"/>
    </row>
    <row r="32" spans="1:17" ht="18" x14ac:dyDescent="0.25">
      <c r="A32" s="1" t="s">
        <v>41</v>
      </c>
      <c r="B32" s="7">
        <f>SUM(H21:Q21)</f>
        <v>1604.5290444094178</v>
      </c>
      <c r="D32" s="15"/>
    </row>
    <row r="33" spans="1:3" x14ac:dyDescent="0.25">
      <c r="A33" s="1" t="s">
        <v>42</v>
      </c>
      <c r="B33" s="7">
        <f>B31+B32+B24</f>
        <v>6770.2009470853545</v>
      </c>
      <c r="C33" t="s">
        <v>12</v>
      </c>
    </row>
    <row r="34" spans="1:3" x14ac:dyDescent="0.25">
      <c r="A34" s="16" t="s">
        <v>43</v>
      </c>
      <c r="B34" s="17">
        <f>B33/B27</f>
        <v>2735.1878457046514</v>
      </c>
      <c r="C34" s="9" t="s">
        <v>36</v>
      </c>
    </row>
    <row r="35" spans="1:3" x14ac:dyDescent="0.25">
      <c r="A35" s="16" t="s">
        <v>44</v>
      </c>
      <c r="B35" s="18">
        <f>B34/B28-1</f>
        <v>0.5409508989885361</v>
      </c>
      <c r="C35" s="9"/>
    </row>
    <row r="36" spans="1:3" x14ac:dyDescent="0.25">
      <c r="A36" s="16" t="s">
        <v>45</v>
      </c>
      <c r="B36" s="18">
        <f>IRR(H22:Q22)</f>
        <v>0.18247162156067143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Bear case</vt:lpstr>
      <vt:lpstr>Base case</vt:lpstr>
      <vt:lpstr>Bull case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 Bhat</dc:creator>
  <cp:lastModifiedBy>Sharad Bhat</cp:lastModifiedBy>
  <dcterms:created xsi:type="dcterms:W3CDTF">2025-05-24T14:26:56Z</dcterms:created>
  <dcterms:modified xsi:type="dcterms:W3CDTF">2025-05-25T06:08:35Z</dcterms:modified>
</cp:coreProperties>
</file>