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shit\Desktop\Self work\"/>
    </mc:Choice>
  </mc:AlternateContent>
  <xr:revisionPtr revIDLastSave="0" documentId="13_ncr:1_{BE888425-1379-4030-A672-886488A2BD74}" xr6:coauthVersionLast="47" xr6:coauthVersionMax="47" xr10:uidLastSave="{00000000-0000-0000-0000-000000000000}"/>
  <bookViews>
    <workbookView xWindow="-110" yWindow="-110" windowWidth="19420" windowHeight="10300" xr2:uid="{C85AD487-8348-44EE-B6B2-7698BDFCA238}"/>
  </bookViews>
  <sheets>
    <sheet name="Mod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8" i="1" l="1"/>
  <c r="AE8" i="1"/>
  <c r="AF8" i="1"/>
  <c r="AG8" i="1"/>
  <c r="AH8" i="1"/>
  <c r="AI8" i="1"/>
  <c r="AG9" i="1"/>
  <c r="AG10" i="1" s="1"/>
  <c r="AE9" i="1"/>
  <c r="AE10" i="1" s="1"/>
  <c r="AD9" i="1"/>
  <c r="AD10" i="1" s="1"/>
  <c r="AI11" i="1"/>
  <c r="AI3" i="1"/>
  <c r="AI4" i="1" s="1"/>
  <c r="AI5" i="1" s="1"/>
  <c r="AI6" i="1" s="1"/>
  <c r="AI7" i="1" s="1"/>
  <c r="AH11" i="1"/>
  <c r="AG11" i="1"/>
  <c r="AF11" i="1"/>
  <c r="AE11" i="1"/>
  <c r="AH9" i="1"/>
  <c r="AH10" i="1" s="1"/>
  <c r="AF9" i="1"/>
  <c r="AF10" i="1" s="1"/>
  <c r="AG3" i="1"/>
  <c r="AH3" i="1" s="1"/>
  <c r="AF3" i="1"/>
  <c r="AE3" i="1"/>
  <c r="AE4" i="1" s="1"/>
  <c r="AE5" i="1" s="1"/>
  <c r="AE6" i="1" s="1"/>
  <c r="AE7" i="1" s="1"/>
  <c r="AF4" i="1"/>
  <c r="AF5" i="1" s="1"/>
  <c r="AF6" i="1" s="1"/>
  <c r="AF7" i="1" s="1"/>
  <c r="AD4" i="1"/>
  <c r="AD5" i="1" s="1"/>
  <c r="AD6" i="1" s="1"/>
  <c r="AD7" i="1" s="1"/>
  <c r="L38" i="1"/>
  <c r="M38" i="1" s="1"/>
  <c r="N38" i="1" s="1"/>
  <c r="K38" i="1"/>
  <c r="G43" i="1"/>
  <c r="H43" i="1"/>
  <c r="I43" i="1" s="1"/>
  <c r="J43" i="1" s="1"/>
  <c r="K43" i="1" s="1"/>
  <c r="L43" i="1" s="1"/>
  <c r="M43" i="1" s="1"/>
  <c r="N43" i="1" s="1"/>
  <c r="F43" i="1"/>
  <c r="E43" i="1"/>
  <c r="D43" i="1"/>
  <c r="V41" i="1"/>
  <c r="F41" i="1"/>
  <c r="G41" i="1" s="1"/>
  <c r="E41" i="1"/>
  <c r="B23" i="1"/>
  <c r="G31" i="1"/>
  <c r="H31" i="1" s="1"/>
  <c r="I31" i="1" s="1"/>
  <c r="J31" i="1" s="1"/>
  <c r="K31" i="1" s="1"/>
  <c r="L31" i="1" s="1"/>
  <c r="M31" i="1" s="1"/>
  <c r="N31" i="1" s="1"/>
  <c r="G15" i="1"/>
  <c r="F38" i="1"/>
  <c r="E38" i="1"/>
  <c r="F2" i="1"/>
  <c r="E2" i="1"/>
  <c r="D2" i="1"/>
  <c r="C2" i="1"/>
  <c r="X3" i="1"/>
  <c r="Y3" i="1" s="1"/>
  <c r="U38" i="1"/>
  <c r="V38" i="1"/>
  <c r="Y40" i="1"/>
  <c r="Y39" i="1"/>
  <c r="S18" i="1"/>
  <c r="S15" i="1"/>
  <c r="S14" i="1"/>
  <c r="S13" i="1"/>
  <c r="S5" i="1"/>
  <c r="S4" i="1"/>
  <c r="S3" i="1"/>
  <c r="R12" i="1"/>
  <c r="R6" i="1"/>
  <c r="R8" i="1" s="1"/>
  <c r="V12" i="1"/>
  <c r="V6" i="1"/>
  <c r="V8" i="1" s="1"/>
  <c r="X8" i="1" s="1"/>
  <c r="Q12" i="1"/>
  <c r="Q6" i="1"/>
  <c r="Q8" i="1" s="1"/>
  <c r="U6" i="1"/>
  <c r="U8" i="1" s="1"/>
  <c r="U32" i="1"/>
  <c r="T32" i="1"/>
  <c r="F32" i="1"/>
  <c r="G12" i="1" s="1"/>
  <c r="E32" i="1"/>
  <c r="D32" i="1"/>
  <c r="F30" i="1"/>
  <c r="E30" i="1"/>
  <c r="D30" i="1"/>
  <c r="U30" i="1"/>
  <c r="U36" i="1" s="1"/>
  <c r="T30" i="1"/>
  <c r="T36" i="1" s="1"/>
  <c r="P12" i="1"/>
  <c r="P6" i="1"/>
  <c r="P8" i="1" s="1"/>
  <c r="T12" i="1"/>
  <c r="T6" i="1"/>
  <c r="T8" i="1" s="1"/>
  <c r="C12" i="1"/>
  <c r="F6" i="1"/>
  <c r="E6" i="1"/>
  <c r="D6" i="1"/>
  <c r="C6" i="1"/>
  <c r="B6" i="1"/>
  <c r="B8" i="1" s="1"/>
  <c r="AI9" i="1" l="1"/>
  <c r="AI10" i="1" s="1"/>
  <c r="AH4" i="1"/>
  <c r="AH5" i="1" s="1"/>
  <c r="AH6" i="1" s="1"/>
  <c r="AH7" i="1" s="1"/>
  <c r="AG4" i="1"/>
  <c r="AG5" i="1" s="1"/>
  <c r="AG6" i="1" s="1"/>
  <c r="AG7" i="1" s="1"/>
  <c r="F7" i="1"/>
  <c r="D7" i="1"/>
  <c r="G6" i="1"/>
  <c r="H6" i="1" s="1"/>
  <c r="I6" i="1" s="1"/>
  <c r="J6" i="1" s="1"/>
  <c r="K6" i="1" s="1"/>
  <c r="L6" i="1" s="1"/>
  <c r="M6" i="1" s="1"/>
  <c r="N6" i="1" s="1"/>
  <c r="C7" i="1"/>
  <c r="E7" i="1"/>
  <c r="D8" i="1"/>
  <c r="C8" i="1"/>
  <c r="C10" i="1" s="1"/>
  <c r="F36" i="1"/>
  <c r="G36" i="1" s="1"/>
  <c r="H36" i="1" s="1"/>
  <c r="I36" i="1" s="1"/>
  <c r="J36" i="1" s="1"/>
  <c r="K36" i="1" s="1"/>
  <c r="L36" i="1" s="1"/>
  <c r="M36" i="1" s="1"/>
  <c r="N36" i="1" s="1"/>
  <c r="E8" i="1"/>
  <c r="T9" i="1"/>
  <c r="B17" i="1"/>
  <c r="B19" i="1" s="1"/>
  <c r="P9" i="1"/>
  <c r="F8" i="1"/>
  <c r="F25" i="1" s="1"/>
  <c r="H41" i="1"/>
  <c r="I41" i="1" s="1"/>
  <c r="V42" i="1"/>
  <c r="F42" i="1"/>
  <c r="D36" i="1"/>
  <c r="E36" i="1"/>
  <c r="S12" i="1"/>
  <c r="B9" i="1"/>
  <c r="S6" i="1"/>
  <c r="X6" i="1"/>
  <c r="Y6" i="1" s="1"/>
  <c r="X9" i="1"/>
  <c r="R17" i="1"/>
  <c r="R19" i="1" s="1"/>
  <c r="R9" i="1"/>
  <c r="V17" i="1"/>
  <c r="V19" i="1" s="1"/>
  <c r="V9" i="1"/>
  <c r="Q9" i="1"/>
  <c r="Q17" i="1"/>
  <c r="Q19" i="1" s="1"/>
  <c r="U17" i="1"/>
  <c r="U19" i="1" s="1"/>
  <c r="U9" i="1"/>
  <c r="T17" i="1"/>
  <c r="T19" i="1" s="1"/>
  <c r="P17" i="1"/>
  <c r="P19" i="1" s="1"/>
  <c r="E10" i="1" l="1"/>
  <c r="G34" i="1"/>
  <c r="H34" i="1" s="1"/>
  <c r="I34" i="1" s="1"/>
  <c r="J34" i="1" s="1"/>
  <c r="K34" i="1" s="1"/>
  <c r="L34" i="1" s="1"/>
  <c r="M34" i="1" s="1"/>
  <c r="N34" i="1" s="1"/>
  <c r="F10" i="1"/>
  <c r="D10" i="1"/>
  <c r="S8" i="1"/>
  <c r="S9" i="1" s="1"/>
  <c r="J41" i="1"/>
  <c r="K41" i="1" l="1"/>
  <c r="L41" i="1" l="1"/>
  <c r="M41" i="1" l="1"/>
  <c r="N41" i="1" l="1"/>
  <c r="F17" i="1" l="1"/>
  <c r="F19" i="1" s="1"/>
  <c r="D9" i="1"/>
  <c r="D17" i="1"/>
  <c r="D19" i="1" s="1"/>
  <c r="E17" i="1"/>
  <c r="E19" i="1" s="1"/>
  <c r="E9" i="1"/>
  <c r="C9" i="1"/>
  <c r="C17" i="1"/>
  <c r="C19" i="1" s="1"/>
  <c r="F9" i="1"/>
  <c r="S19" i="1" l="1"/>
  <c r="F26" i="1"/>
  <c r="S17" i="1"/>
  <c r="G39" i="1"/>
  <c r="G40" i="1" l="1"/>
  <c r="G3" i="1"/>
  <c r="G33" i="1"/>
  <c r="H39" i="1"/>
  <c r="G2" i="1" l="1"/>
  <c r="G35" i="1"/>
  <c r="G8" i="1"/>
  <c r="H3" i="1"/>
  <c r="H33" i="1" s="1"/>
  <c r="H40" i="1"/>
  <c r="G17" i="1"/>
  <c r="G9" i="1"/>
  <c r="G10" i="1"/>
  <c r="I39" i="1"/>
  <c r="H8" i="1" l="1"/>
  <c r="H9" i="1" s="1"/>
  <c r="H35" i="1"/>
  <c r="H2" i="1"/>
  <c r="I40" i="1"/>
  <c r="I3" i="1"/>
  <c r="I33" i="1" s="1"/>
  <c r="J39" i="1"/>
  <c r="J3" i="1" s="1"/>
  <c r="H10" i="1"/>
  <c r="G18" i="1"/>
  <c r="G19" i="1" s="1"/>
  <c r="J40" i="1" l="1"/>
  <c r="I35" i="1"/>
  <c r="J35" i="1" s="1"/>
  <c r="I8" i="1"/>
  <c r="I9" i="1" s="1"/>
  <c r="I2" i="1"/>
  <c r="J33" i="1"/>
  <c r="G26" i="1"/>
  <c r="G30" i="1"/>
  <c r="J2" i="1"/>
  <c r="J8" i="1"/>
  <c r="K39" i="1"/>
  <c r="K3" i="1" s="1"/>
  <c r="K40" i="1" l="1"/>
  <c r="I10" i="1"/>
  <c r="K35" i="1"/>
  <c r="J9" i="1"/>
  <c r="J10" i="1"/>
  <c r="L39" i="1"/>
  <c r="L3" i="1" s="1"/>
  <c r="G32" i="1"/>
  <c r="L40" i="1" l="1"/>
  <c r="K33" i="1"/>
  <c r="K8" i="1"/>
  <c r="K9" i="1" s="1"/>
  <c r="K2" i="1"/>
  <c r="L8" i="1"/>
  <c r="M39" i="1"/>
  <c r="H12" i="1"/>
  <c r="H17" i="1" s="1"/>
  <c r="G25" i="1"/>
  <c r="M40" i="1" l="1"/>
  <c r="K10" i="1"/>
  <c r="M3" i="1"/>
  <c r="M2" i="1" s="1"/>
  <c r="L33" i="1"/>
  <c r="L35" i="1"/>
  <c r="L2" i="1"/>
  <c r="N39" i="1"/>
  <c r="N40" i="1" s="1"/>
  <c r="H18" i="1"/>
  <c r="H19" i="1" s="1"/>
  <c r="L9" i="1"/>
  <c r="L10" i="1"/>
  <c r="N3" i="1" l="1"/>
  <c r="N2" i="1" s="1"/>
  <c r="M35" i="1"/>
  <c r="M33" i="1"/>
  <c r="M8" i="1"/>
  <c r="M9" i="1" s="1"/>
  <c r="H26" i="1"/>
  <c r="H30" i="1"/>
  <c r="N8" i="1" l="1"/>
  <c r="N10" i="1" s="1"/>
  <c r="N33" i="1"/>
  <c r="N35" i="1"/>
  <c r="M10" i="1"/>
  <c r="H32" i="1"/>
  <c r="N9" i="1" l="1"/>
  <c r="I12" i="1"/>
  <c r="I17" i="1" s="1"/>
  <c r="H25" i="1"/>
  <c r="I18" i="1" l="1"/>
  <c r="I19" i="1" s="1"/>
  <c r="I26" i="1" l="1"/>
  <c r="I30" i="1"/>
  <c r="I32" i="1" l="1"/>
  <c r="J12" i="1" l="1"/>
  <c r="J17" i="1" s="1"/>
  <c r="I25" i="1"/>
  <c r="J18" i="1" l="1"/>
  <c r="J19" i="1" s="1"/>
  <c r="J26" i="1" l="1"/>
  <c r="J30" i="1"/>
  <c r="J32" i="1" l="1"/>
  <c r="J25" i="1" l="1"/>
  <c r="K12" i="1"/>
  <c r="K17" i="1" s="1"/>
  <c r="K18" i="1" l="1"/>
  <c r="K19" i="1" s="1"/>
  <c r="K26" i="1" l="1"/>
  <c r="K30" i="1"/>
  <c r="K32" i="1" l="1"/>
  <c r="L12" i="1" l="1"/>
  <c r="L17" i="1" s="1"/>
  <c r="K25" i="1"/>
  <c r="L18" i="1" l="1"/>
  <c r="L19" i="1" s="1"/>
  <c r="L26" i="1" l="1"/>
  <c r="L30" i="1"/>
  <c r="L32" i="1" l="1"/>
  <c r="L25" i="1" l="1"/>
  <c r="M12" i="1"/>
  <c r="M17" i="1" s="1"/>
  <c r="M18" i="1" l="1"/>
  <c r="M19" i="1" s="1"/>
  <c r="M26" i="1" l="1"/>
  <c r="M30" i="1"/>
  <c r="M32" i="1" l="1"/>
  <c r="M25" i="1" l="1"/>
  <c r="N12" i="1"/>
  <c r="N17" i="1" s="1"/>
  <c r="N18" i="1" l="1"/>
  <c r="N19" i="1" s="1"/>
  <c r="N23" i="1" l="1"/>
  <c r="G23" i="1" s="1"/>
  <c r="N26" i="1"/>
  <c r="N30" i="1"/>
  <c r="N32" i="1" s="1"/>
  <c r="N25" i="1" s="1"/>
</calcChain>
</file>

<file path=xl/sharedStrings.xml><?xml version="1.0" encoding="utf-8"?>
<sst xmlns="http://schemas.openxmlformats.org/spreadsheetml/2006/main" count="63" uniqueCount="62">
  <si>
    <t>FY18</t>
  </si>
  <si>
    <t>FY19</t>
  </si>
  <si>
    <t>FY20</t>
  </si>
  <si>
    <t>FY21</t>
  </si>
  <si>
    <t>FY22</t>
  </si>
  <si>
    <t>1QFY22</t>
  </si>
  <si>
    <t>2QFY22</t>
  </si>
  <si>
    <t>3QFY22</t>
  </si>
  <si>
    <t>4QFY22</t>
  </si>
  <si>
    <t>1QFY23</t>
  </si>
  <si>
    <t>2QFY23</t>
  </si>
  <si>
    <t>3QFY23</t>
  </si>
  <si>
    <t>Operating revenue</t>
  </si>
  <si>
    <t>Rs crore</t>
  </si>
  <si>
    <t>Employee costs</t>
  </si>
  <si>
    <t>Other exp</t>
  </si>
  <si>
    <t>Operating expenses</t>
  </si>
  <si>
    <t>Op profits</t>
  </si>
  <si>
    <t>Dep</t>
  </si>
  <si>
    <t>Other Income</t>
  </si>
  <si>
    <t>Fin cost</t>
  </si>
  <si>
    <t>IPO expense</t>
  </si>
  <si>
    <t>PBT</t>
  </si>
  <si>
    <t>Tax</t>
  </si>
  <si>
    <t>PAT</t>
  </si>
  <si>
    <t>OPM</t>
  </si>
  <si>
    <t>Equity</t>
  </si>
  <si>
    <t>Borrowings</t>
  </si>
  <si>
    <t>Cap Employed</t>
  </si>
  <si>
    <t>PPE</t>
  </si>
  <si>
    <t>Cash &amp; Investments</t>
  </si>
  <si>
    <t>Drs</t>
  </si>
  <si>
    <t>Payables</t>
  </si>
  <si>
    <t>Advance payment</t>
  </si>
  <si>
    <t>Other adj</t>
  </si>
  <si>
    <t>Customer acc</t>
  </si>
  <si>
    <t>users</t>
  </si>
  <si>
    <t>% yoy - price</t>
  </si>
  <si>
    <t>3Q Annualized</t>
  </si>
  <si>
    <t>FY23</t>
  </si>
  <si>
    <t>FY24</t>
  </si>
  <si>
    <t>FY25</t>
  </si>
  <si>
    <t>FY26</t>
  </si>
  <si>
    <t>FY27</t>
  </si>
  <si>
    <t>FY28</t>
  </si>
  <si>
    <t>Customer acc % yoy</t>
  </si>
  <si>
    <t>% YoY Revenue</t>
  </si>
  <si>
    <t>% YoY Op cost</t>
  </si>
  <si>
    <t>OPM on Incr Sales</t>
  </si>
  <si>
    <t>FY20-FY23 CAGR</t>
  </si>
  <si>
    <t>FY29</t>
  </si>
  <si>
    <t>FY30</t>
  </si>
  <si>
    <t>CMP</t>
  </si>
  <si>
    <t>M/Cap</t>
  </si>
  <si>
    <t>#shares (cr)</t>
  </si>
  <si>
    <t>EV/EBIDTA</t>
  </si>
  <si>
    <t>PE</t>
  </si>
  <si>
    <t>CAGR at current price</t>
  </si>
  <si>
    <t>Justified MCAP</t>
  </si>
  <si>
    <t>revenue per account (Rs lakh)</t>
  </si>
  <si>
    <t>Revenue</t>
  </si>
  <si>
    <t>Long term justified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</si>
</sst>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2" fillId="0" borderId="0" xfId="0" applyFont="1"/>
    <xf numFmtId="165" fontId="2" fillId="0" borderId="0" xfId="1" applyNumberFormat="1" applyFont="1"/>
    <xf numFmtId="165" fontId="2" fillId="0" borderId="0" xfId="0" applyNumberFormat="1" applyFont="1"/>
    <xf numFmtId="9" fontId="2" fillId="0" borderId="0" xfId="2" applyFont="1"/>
    <xf numFmtId="0" fontId="4" fillId="0" borderId="0" xfId="0" applyFont="1"/>
    <xf numFmtId="9" fontId="4" fillId="0" borderId="0" xfId="2" applyFont="1"/>
    <xf numFmtId="9" fontId="0" fillId="0" borderId="0" xfId="2" applyFont="1"/>
    <xf numFmtId="166" fontId="0" fillId="0" borderId="0" xfId="2" applyNumberFormat="1" applyFont="1"/>
    <xf numFmtId="9" fontId="0" fillId="2" borderId="0" xfId="2" applyFont="1" applyFill="1"/>
    <xf numFmtId="0" fontId="5" fillId="0" borderId="0" xfId="0" applyFont="1"/>
    <xf numFmtId="9" fontId="5" fillId="0" borderId="0" xfId="2" applyFont="1"/>
    <xf numFmtId="9" fontId="5" fillId="2" borderId="0" xfId="2" applyFont="1" applyFill="1"/>
    <xf numFmtId="0" fontId="2" fillId="0" borderId="0" xfId="0" applyFont="1" applyAlignment="1">
      <alignment vertical="top"/>
    </xf>
    <xf numFmtId="9" fontId="0" fillId="0" borderId="0" xfId="2" applyFont="1" applyFill="1"/>
    <xf numFmtId="0" fontId="2" fillId="3" borderId="0" xfId="0" applyFont="1" applyFill="1"/>
    <xf numFmtId="0" fontId="0" fillId="3" borderId="0" xfId="0" applyFill="1"/>
    <xf numFmtId="165" fontId="0" fillId="3" borderId="0" xfId="1" applyNumberFormat="1" applyFont="1" applyFill="1"/>
    <xf numFmtId="0" fontId="0" fillId="4" borderId="0" xfId="0" applyFill="1"/>
    <xf numFmtId="0" fontId="4" fillId="4" borderId="0" xfId="0" applyFont="1" applyFill="1" applyAlignment="1">
      <alignment horizontal="right" vertical="top"/>
    </xf>
    <xf numFmtId="0" fontId="4" fillId="4" borderId="0" xfId="0" applyFont="1" applyFill="1"/>
    <xf numFmtId="9" fontId="4" fillId="4" borderId="0" xfId="2" applyFont="1" applyFill="1"/>
    <xf numFmtId="165" fontId="4" fillId="4" borderId="0" xfId="1" applyNumberFormat="1" applyFont="1" applyFill="1"/>
    <xf numFmtId="0" fontId="4" fillId="0" borderId="0" xfId="0" applyFont="1" applyAlignment="1">
      <alignment horizontal="right"/>
    </xf>
    <xf numFmtId="165" fontId="5" fillId="5" borderId="0" xfId="1" applyNumberFormat="1" applyFont="1" applyFill="1"/>
    <xf numFmtId="165" fontId="2" fillId="5" borderId="0" xfId="1" applyNumberFormat="1" applyFont="1" applyFill="1"/>
    <xf numFmtId="0" fontId="0" fillId="5" borderId="0" xfId="0" applyFill="1"/>
    <xf numFmtId="43" fontId="2" fillId="5" borderId="0" xfId="0" applyNumberFormat="1" applyFont="1" applyFill="1"/>
    <xf numFmtId="0" fontId="2" fillId="5" borderId="0" xfId="0" applyFont="1" applyFill="1"/>
    <xf numFmtId="0" fontId="4" fillId="5" borderId="0" xfId="0" applyFont="1" applyFill="1"/>
    <xf numFmtId="165" fontId="0" fillId="5" borderId="0" xfId="1" applyNumberFormat="1" applyFont="1" applyFill="1"/>
    <xf numFmtId="164" fontId="0" fillId="5" borderId="0" xfId="1" applyNumberFormat="1" applyFont="1" applyFill="1"/>
    <xf numFmtId="0" fontId="2" fillId="6" borderId="0" xfId="0" applyFont="1" applyFill="1" applyAlignment="1">
      <alignment vertical="top"/>
    </xf>
    <xf numFmtId="0" fontId="2" fillId="6" borderId="0" xfId="0" applyFont="1" applyFill="1" applyAlignment="1">
      <alignment horizontal="right" vertical="top"/>
    </xf>
    <xf numFmtId="0" fontId="2" fillId="6" borderId="0" xfId="0" applyFont="1" applyFill="1" applyAlignment="1">
      <alignment horizontal="right" vertical="top" wrapText="1"/>
    </xf>
    <xf numFmtId="0" fontId="4" fillId="6" borderId="0" xfId="0" applyFont="1" applyFill="1" applyAlignment="1">
      <alignment horizontal="right" vertical="top" wrapText="1"/>
    </xf>
    <xf numFmtId="43" fontId="0" fillId="0" borderId="0" xfId="0" applyNumberFormat="1"/>
    <xf numFmtId="165" fontId="5" fillId="0" borderId="0" xfId="1" applyNumberFormat="1" applyFont="1"/>
    <xf numFmtId="9" fontId="0" fillId="0" borderId="0" xfId="0" applyNumberFormat="1"/>
    <xf numFmtId="0" fontId="2" fillId="0" borderId="0" xfId="0" applyFont="1" applyAlignment="1">
      <alignment horizontal="right"/>
    </xf>
    <xf numFmtId="165" fontId="2" fillId="7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EFFD-3907-48A1-B0FD-EF84ADE63935}">
  <dimension ref="A1:AI43"/>
  <sheetViews>
    <sheetView tabSelected="1" zoomScale="55" zoomScaleNormal="55" workbookViewId="0">
      <pane xSplit="1" ySplit="1" topLeftCell="B32" activePane="bottomRight" state="frozen"/>
      <selection pane="topRight" activeCell="C1" sqref="C1"/>
      <selection pane="bottomLeft" activeCell="A2" sqref="A2"/>
      <selection pane="bottomRight" sqref="A1:Y42"/>
    </sheetView>
  </sheetViews>
  <sheetFormatPr defaultRowHeight="14.5" x14ac:dyDescent="0.35"/>
  <cols>
    <col min="1" max="1" width="20" bestFit="1" customWidth="1"/>
    <col min="2" max="14" width="7.26953125" customWidth="1"/>
    <col min="15" max="15" width="0.7265625" style="29" customWidth="1"/>
    <col min="16" max="22" width="7.54296875" bestFit="1" customWidth="1"/>
    <col min="23" max="23" width="0.7265625" style="29" customWidth="1"/>
    <col min="24" max="24" width="10.1796875" customWidth="1"/>
    <col min="25" max="25" width="10.453125" customWidth="1"/>
    <col min="30" max="30" width="7.1796875" bestFit="1" customWidth="1"/>
    <col min="31" max="35" width="6.54296875" bestFit="1" customWidth="1"/>
  </cols>
  <sheetData>
    <row r="1" spans="1:35" s="16" customFormat="1" ht="34.5" customHeight="1" x14ac:dyDescent="0.35">
      <c r="A1" s="35" t="s">
        <v>13</v>
      </c>
      <c r="B1" s="36" t="s">
        <v>0</v>
      </c>
      <c r="C1" s="36" t="s">
        <v>1</v>
      </c>
      <c r="D1" s="36" t="s">
        <v>2</v>
      </c>
      <c r="E1" s="36" t="s">
        <v>3</v>
      </c>
      <c r="F1" s="36" t="s">
        <v>4</v>
      </c>
      <c r="G1" s="36" t="s">
        <v>39</v>
      </c>
      <c r="H1" s="36" t="s">
        <v>40</v>
      </c>
      <c r="I1" s="36" t="s">
        <v>41</v>
      </c>
      <c r="J1" s="36" t="s">
        <v>42</v>
      </c>
      <c r="K1" s="36" t="s">
        <v>43</v>
      </c>
      <c r="L1" s="36" t="s">
        <v>44</v>
      </c>
      <c r="M1" s="36" t="s">
        <v>50</v>
      </c>
      <c r="N1" s="36" t="s">
        <v>51</v>
      </c>
      <c r="O1" s="27"/>
      <c r="P1" s="36" t="s">
        <v>5</v>
      </c>
      <c r="Q1" s="36" t="s">
        <v>6</v>
      </c>
      <c r="R1" s="36" t="s">
        <v>7</v>
      </c>
      <c r="S1" s="36" t="s">
        <v>8</v>
      </c>
      <c r="T1" s="36" t="s">
        <v>9</v>
      </c>
      <c r="U1" s="36" t="s">
        <v>10</v>
      </c>
      <c r="V1" s="36" t="s">
        <v>11</v>
      </c>
      <c r="W1" s="27"/>
      <c r="X1" s="37" t="s">
        <v>38</v>
      </c>
      <c r="Y1" s="38" t="s">
        <v>49</v>
      </c>
    </row>
    <row r="2" spans="1:35" s="13" customFormat="1" x14ac:dyDescent="0.35">
      <c r="A2" s="13" t="s">
        <v>46</v>
      </c>
      <c r="C2" s="14">
        <f>+C3/B3-1</f>
        <v>0.19302659956865553</v>
      </c>
      <c r="D2" s="14">
        <f t="shared" ref="D2:F2" si="0">+D3/C3-1</f>
        <v>0.12473636637541441</v>
      </c>
      <c r="E2" s="14">
        <f t="shared" si="0"/>
        <v>0.17278328422180556</v>
      </c>
      <c r="F2" s="14">
        <f t="shared" si="0"/>
        <v>0.44929191411603475</v>
      </c>
      <c r="G2" s="14">
        <f t="shared" ref="G2" si="1">+G3/F3-1</f>
        <v>0.23081355932203396</v>
      </c>
      <c r="H2" s="14">
        <f t="shared" ref="H2" si="2">+H3/G3-1</f>
        <v>0.13902392344497616</v>
      </c>
      <c r="I2" s="14">
        <f t="shared" ref="I2" si="3">+I3/H3-1</f>
        <v>0.19942307692307715</v>
      </c>
      <c r="J2" s="14">
        <f t="shared" ref="J2" si="4">+J3/I3-1</f>
        <v>0.23136363636363644</v>
      </c>
      <c r="K2" s="14">
        <f t="shared" ref="K2" si="5">+K3/J3-1</f>
        <v>0.20188372093023221</v>
      </c>
      <c r="L2" s="14">
        <f t="shared" ref="L2" si="6">+L3/K3-1</f>
        <v>0.19140654205607466</v>
      </c>
      <c r="M2" s="14">
        <f t="shared" ref="M2" si="7">+M3/L3-1</f>
        <v>0.18092957746478855</v>
      </c>
      <c r="N2" s="14">
        <f t="shared" ref="N2" si="8">+N3/M3-1</f>
        <v>0.17045283018867918</v>
      </c>
      <c r="O2" s="27"/>
      <c r="P2" s="14"/>
      <c r="Q2" s="14"/>
      <c r="R2" s="14"/>
      <c r="S2" s="14"/>
      <c r="T2" s="14"/>
      <c r="U2" s="14"/>
      <c r="V2" s="14"/>
      <c r="W2" s="27"/>
    </row>
    <row r="3" spans="1:35" s="4" customFormat="1" x14ac:dyDescent="0.35">
      <c r="A3" s="4" t="s">
        <v>12</v>
      </c>
      <c r="B3" s="5">
        <v>27.82</v>
      </c>
      <c r="C3" s="5">
        <v>33.19</v>
      </c>
      <c r="D3" s="5">
        <v>37.33</v>
      </c>
      <c r="E3" s="5">
        <v>43.78</v>
      </c>
      <c r="F3" s="5">
        <v>63.45</v>
      </c>
      <c r="G3" s="5">
        <f>+AVERAGE(F39:G39)*G41/100</f>
        <v>78.095120338983051</v>
      </c>
      <c r="H3" s="5">
        <f t="shared" ref="H3:N3" si="9">+AVERAGE(G39:H39)*H41/100</f>
        <v>88.952210370416026</v>
      </c>
      <c r="I3" s="5">
        <f>+AVERAGE(H39:I39)*I41/100</f>
        <v>106.69133386159325</v>
      </c>
      <c r="J3" s="5">
        <f t="shared" si="9"/>
        <v>131.37582883229825</v>
      </c>
      <c r="K3" s="5">
        <f t="shared" si="9"/>
        <v>157.89846999725592</v>
      </c>
      <c r="L3" s="5">
        <f t="shared" si="9"/>
        <v>188.12127013537554</v>
      </c>
      <c r="M3" s="5">
        <f t="shared" si="9"/>
        <v>222.15797205310838</v>
      </c>
      <c r="N3" s="5">
        <f t="shared" si="9"/>
        <v>260.02542713853819</v>
      </c>
      <c r="O3" s="28"/>
      <c r="P3" s="5">
        <v>14.9</v>
      </c>
      <c r="Q3" s="5">
        <v>14.9</v>
      </c>
      <c r="R3" s="5">
        <v>16.43</v>
      </c>
      <c r="S3" s="5">
        <f>+F3-SUM(P3:R3)</f>
        <v>17.22</v>
      </c>
      <c r="T3" s="5">
        <v>18.04</v>
      </c>
      <c r="U3" s="5">
        <v>19.11</v>
      </c>
      <c r="V3" s="5">
        <v>20.25</v>
      </c>
      <c r="W3" s="28"/>
      <c r="X3" s="6">
        <f>+V3*4</f>
        <v>81</v>
      </c>
      <c r="Y3" s="7">
        <f>+(X3/D3)^(1/3)-1</f>
        <v>0.29462009250246268</v>
      </c>
      <c r="AC3" s="42" t="s">
        <v>60</v>
      </c>
      <c r="AD3" s="5">
        <v>160</v>
      </c>
      <c r="AE3" s="5">
        <f>+AD3*1.35</f>
        <v>216</v>
      </c>
      <c r="AF3" s="43">
        <f>+AE3*1.2</f>
        <v>259.2</v>
      </c>
      <c r="AG3" s="5">
        <f t="shared" ref="AG3:AH3" si="10">+AF3*1.2</f>
        <v>311.03999999999996</v>
      </c>
      <c r="AH3" s="5">
        <f t="shared" si="10"/>
        <v>373.24799999999993</v>
      </c>
      <c r="AI3" s="5">
        <f t="shared" ref="AI3" si="11">+AH3*1.2</f>
        <v>447.8975999999999</v>
      </c>
    </row>
    <row r="4" spans="1:35" x14ac:dyDescent="0.35">
      <c r="A4" t="s">
        <v>14</v>
      </c>
      <c r="B4" s="2">
        <v>50.64</v>
      </c>
      <c r="C4" s="2">
        <v>46.2</v>
      </c>
      <c r="D4" s="2">
        <v>51.28</v>
      </c>
      <c r="E4" s="2">
        <v>53.81</v>
      </c>
      <c r="F4" s="2">
        <v>58.97</v>
      </c>
      <c r="G4" s="2"/>
      <c r="H4" s="2"/>
      <c r="I4" s="2"/>
      <c r="P4" s="2">
        <v>14.26</v>
      </c>
      <c r="Q4" s="2">
        <v>15.27</v>
      </c>
      <c r="R4" s="2">
        <v>13.68</v>
      </c>
      <c r="S4" s="2">
        <f t="shared" ref="S4:S8" si="12">+F4-SUM(P4:R4)</f>
        <v>15.759999999999998</v>
      </c>
      <c r="T4" s="2">
        <v>16.100000000000001</v>
      </c>
      <c r="U4" s="2">
        <v>16.25</v>
      </c>
      <c r="V4" s="2">
        <v>16.98</v>
      </c>
      <c r="Y4" s="4"/>
      <c r="AC4" s="41">
        <v>0.25</v>
      </c>
      <c r="AD4" s="2">
        <f>+AD3*$AC$4</f>
        <v>40</v>
      </c>
      <c r="AE4" s="2">
        <f t="shared" ref="AE4:AI4" si="13">+AE3*$AC$4</f>
        <v>54</v>
      </c>
      <c r="AF4" s="2">
        <f t="shared" si="13"/>
        <v>64.8</v>
      </c>
      <c r="AG4" s="2">
        <f t="shared" si="13"/>
        <v>77.759999999999991</v>
      </c>
      <c r="AH4" s="2">
        <f t="shared" si="13"/>
        <v>93.311999999999983</v>
      </c>
      <c r="AI4" s="2">
        <f t="shared" si="13"/>
        <v>111.97439999999997</v>
      </c>
    </row>
    <row r="5" spans="1:35" x14ac:dyDescent="0.35">
      <c r="A5" t="s">
        <v>15</v>
      </c>
      <c r="B5" s="2">
        <v>5.7</v>
      </c>
      <c r="C5" s="2">
        <v>7.5</v>
      </c>
      <c r="D5" s="2">
        <v>8.5</v>
      </c>
      <c r="E5" s="2">
        <v>7</v>
      </c>
      <c r="F5" s="2">
        <v>6.8</v>
      </c>
      <c r="G5" s="2"/>
      <c r="H5" s="2"/>
      <c r="I5" s="2"/>
      <c r="P5" s="2">
        <v>1.3</v>
      </c>
      <c r="Q5" s="2">
        <v>1.52</v>
      </c>
      <c r="R5" s="2">
        <v>1.99</v>
      </c>
      <c r="S5" s="2">
        <f t="shared" si="12"/>
        <v>1.9899999999999993</v>
      </c>
      <c r="T5" s="2">
        <v>2</v>
      </c>
      <c r="U5" s="2">
        <v>1.96</v>
      </c>
      <c r="V5" s="2">
        <v>2.48</v>
      </c>
      <c r="Y5" s="4"/>
      <c r="AD5" s="2">
        <f t="shared" ref="AD5:AI5" si="14">+AD4-5</f>
        <v>35</v>
      </c>
      <c r="AE5" s="2">
        <f t="shared" si="14"/>
        <v>49</v>
      </c>
      <c r="AF5" s="2">
        <f t="shared" si="14"/>
        <v>59.8</v>
      </c>
      <c r="AG5" s="2">
        <f t="shared" si="14"/>
        <v>72.759999999999991</v>
      </c>
      <c r="AH5" s="2">
        <f t="shared" si="14"/>
        <v>88.311999999999983</v>
      </c>
      <c r="AI5" s="2">
        <f t="shared" si="14"/>
        <v>106.97439999999997</v>
      </c>
    </row>
    <row r="6" spans="1:35" s="4" customFormat="1" x14ac:dyDescent="0.35">
      <c r="A6" s="4" t="s">
        <v>16</v>
      </c>
      <c r="B6" s="6">
        <f>+B4+B5</f>
        <v>56.34</v>
      </c>
      <c r="C6" s="6">
        <f t="shared" ref="C6:F6" si="15">+C4+C5</f>
        <v>53.7</v>
      </c>
      <c r="D6" s="6">
        <f t="shared" si="15"/>
        <v>59.78</v>
      </c>
      <c r="E6" s="6">
        <f t="shared" si="15"/>
        <v>60.81</v>
      </c>
      <c r="F6" s="6">
        <f t="shared" si="15"/>
        <v>65.77</v>
      </c>
      <c r="G6" s="6">
        <f>+F6*(1+G7)</f>
        <v>75.635499999999993</v>
      </c>
      <c r="H6" s="6">
        <f t="shared" ref="H6:L6" si="16">+G6*(1+H7)</f>
        <v>84.711759999999998</v>
      </c>
      <c r="I6" s="6">
        <f t="shared" si="16"/>
        <v>93.182936000000012</v>
      </c>
      <c r="J6" s="6">
        <f t="shared" si="16"/>
        <v>102.50122960000002</v>
      </c>
      <c r="K6" s="6">
        <f t="shared" si="16"/>
        <v>112.75135256000003</v>
      </c>
      <c r="L6" s="6">
        <f t="shared" si="16"/>
        <v>124.02648781600004</v>
      </c>
      <c r="M6" s="6">
        <f t="shared" ref="M6" si="17">+L6*(1+M7)</f>
        <v>136.42913659760006</v>
      </c>
      <c r="N6" s="6">
        <f t="shared" ref="N6" si="18">+M6*(1+N7)</f>
        <v>150.07205025736008</v>
      </c>
      <c r="O6" s="30"/>
      <c r="P6" s="6">
        <f t="shared" ref="P6:Q6" si="19">+P4+P5</f>
        <v>15.56</v>
      </c>
      <c r="Q6" s="6">
        <f t="shared" si="19"/>
        <v>16.79</v>
      </c>
      <c r="R6" s="6">
        <f t="shared" ref="R6:V6" si="20">+R4+R5</f>
        <v>15.67</v>
      </c>
      <c r="S6" s="6">
        <f t="shared" si="12"/>
        <v>17.749999999999993</v>
      </c>
      <c r="T6" s="6">
        <f t="shared" si="20"/>
        <v>18.100000000000001</v>
      </c>
      <c r="U6" s="6">
        <f t="shared" si="20"/>
        <v>18.21</v>
      </c>
      <c r="V6" s="6">
        <f t="shared" si="20"/>
        <v>19.46</v>
      </c>
      <c r="W6" s="30"/>
      <c r="X6" s="6">
        <f>+V6*4</f>
        <v>77.84</v>
      </c>
      <c r="Y6" s="7">
        <f>+(X6/D6)^(1/3)-1</f>
        <v>9.1982400397416342E-2</v>
      </c>
      <c r="AD6" s="5">
        <f t="shared" ref="AD6:AI6" si="21">+AD5*0.75</f>
        <v>26.25</v>
      </c>
      <c r="AE6" s="5">
        <f t="shared" si="21"/>
        <v>36.75</v>
      </c>
      <c r="AF6" s="5">
        <f t="shared" si="21"/>
        <v>44.849999999999994</v>
      </c>
      <c r="AG6" s="5">
        <f t="shared" si="21"/>
        <v>54.569999999999993</v>
      </c>
      <c r="AH6" s="5">
        <f t="shared" si="21"/>
        <v>66.23399999999998</v>
      </c>
      <c r="AI6" s="5">
        <f t="shared" si="21"/>
        <v>80.230799999999988</v>
      </c>
    </row>
    <row r="7" spans="1:35" s="13" customFormat="1" x14ac:dyDescent="0.35">
      <c r="A7" s="13" t="s">
        <v>47</v>
      </c>
      <c r="C7" s="14">
        <f>+C6/B6-1</f>
        <v>-4.6858359957401508E-2</v>
      </c>
      <c r="D7" s="14">
        <f>+D6/C6-1</f>
        <v>0.11322160148975779</v>
      </c>
      <c r="E7" s="14">
        <f>+E6/D6-1</f>
        <v>1.7229842756774749E-2</v>
      </c>
      <c r="F7" s="14">
        <f>+F6/E6-1</f>
        <v>8.1565531984870709E-2</v>
      </c>
      <c r="G7" s="15">
        <v>0.15</v>
      </c>
      <c r="H7" s="15">
        <v>0.12</v>
      </c>
      <c r="I7" s="15">
        <v>0.1</v>
      </c>
      <c r="J7" s="15">
        <v>0.1</v>
      </c>
      <c r="K7" s="15">
        <v>0.1</v>
      </c>
      <c r="L7" s="15">
        <v>0.1</v>
      </c>
      <c r="M7" s="15">
        <v>0.1</v>
      </c>
      <c r="N7" s="15">
        <v>0.1</v>
      </c>
      <c r="O7" s="27"/>
      <c r="W7" s="27"/>
      <c r="AD7" s="40">
        <f t="shared" ref="AD7:AI7" si="22">625/AD6</f>
        <v>23.80952380952381</v>
      </c>
      <c r="AE7" s="40">
        <f t="shared" si="22"/>
        <v>17.006802721088434</v>
      </c>
      <c r="AF7" s="40">
        <f t="shared" si="22"/>
        <v>13.935340022296545</v>
      </c>
      <c r="AG7" s="40">
        <f t="shared" si="22"/>
        <v>11.453179402602164</v>
      </c>
      <c r="AH7" s="40">
        <f t="shared" si="22"/>
        <v>9.4362412054231992</v>
      </c>
      <c r="AI7" s="40">
        <f t="shared" si="22"/>
        <v>7.7900257756372877</v>
      </c>
    </row>
    <row r="8" spans="1:35" s="4" customFormat="1" x14ac:dyDescent="0.35">
      <c r="A8" s="4" t="s">
        <v>17</v>
      </c>
      <c r="B8" s="6">
        <f>+B3-B6</f>
        <v>-28.520000000000003</v>
      </c>
      <c r="C8" s="6">
        <f t="shared" ref="C8:F8" si="23">+C3-C6</f>
        <v>-20.510000000000005</v>
      </c>
      <c r="D8" s="6">
        <f t="shared" si="23"/>
        <v>-22.450000000000003</v>
      </c>
      <c r="E8" s="6">
        <f t="shared" si="23"/>
        <v>-17.03</v>
      </c>
      <c r="F8" s="6">
        <f t="shared" si="23"/>
        <v>-2.3199999999999932</v>
      </c>
      <c r="G8" s="6">
        <f t="shared" ref="G8" si="24">+G3-G6</f>
        <v>2.4596203389830578</v>
      </c>
      <c r="H8" s="6">
        <f t="shared" ref="H8" si="25">+H3-H6</f>
        <v>4.2404503704160277</v>
      </c>
      <c r="I8" s="6">
        <f t="shared" ref="I8" si="26">+I3-I6</f>
        <v>13.508397861593238</v>
      </c>
      <c r="J8" s="6">
        <f t="shared" ref="J8" si="27">+J3-J6</f>
        <v>28.874599232298237</v>
      </c>
      <c r="K8" s="6">
        <f t="shared" ref="K8" si="28">+K3-K6</f>
        <v>45.147117437255886</v>
      </c>
      <c r="L8" s="6">
        <f t="shared" ref="L8" si="29">+L3-L6</f>
        <v>64.094782319375497</v>
      </c>
      <c r="M8" s="6">
        <f t="shared" ref="M8" si="30">+M3-M6</f>
        <v>85.728835455508317</v>
      </c>
      <c r="N8" s="6">
        <f t="shared" ref="N8" si="31">+N3-N6</f>
        <v>109.95337688117812</v>
      </c>
      <c r="O8" s="31"/>
      <c r="P8" s="6">
        <f t="shared" ref="P8:Q8" si="32">+P3-P6</f>
        <v>-0.66000000000000014</v>
      </c>
      <c r="Q8" s="6">
        <f t="shared" si="32"/>
        <v>-1.8899999999999988</v>
      </c>
      <c r="R8" s="6">
        <f t="shared" ref="R8:V8" si="33">+R3-R6</f>
        <v>0.75999999999999979</v>
      </c>
      <c r="S8" s="6">
        <f t="shared" si="12"/>
        <v>-0.52999999999999403</v>
      </c>
      <c r="T8" s="6">
        <f t="shared" si="33"/>
        <v>-6.0000000000002274E-2</v>
      </c>
      <c r="U8" s="6">
        <f t="shared" si="33"/>
        <v>0.89999999999999858</v>
      </c>
      <c r="V8" s="6">
        <f t="shared" si="33"/>
        <v>0.78999999999999915</v>
      </c>
      <c r="W8" s="31"/>
      <c r="X8" s="6">
        <f>+V8*4</f>
        <v>3.1599999999999966</v>
      </c>
      <c r="AD8" s="7">
        <f>20/AD7-1</f>
        <v>-0.16000000000000003</v>
      </c>
      <c r="AE8" s="7">
        <f t="shared" ref="AE8:AI8" si="34">20/AE7-1</f>
        <v>0.17600000000000016</v>
      </c>
      <c r="AF8" s="7">
        <f t="shared" si="34"/>
        <v>0.43519999999999981</v>
      </c>
      <c r="AG8" s="7">
        <f t="shared" si="34"/>
        <v>0.74623999999999979</v>
      </c>
      <c r="AH8" s="7">
        <f t="shared" si="34"/>
        <v>1.1194879999999996</v>
      </c>
      <c r="AI8" s="7">
        <f t="shared" si="34"/>
        <v>1.5673855999999997</v>
      </c>
    </row>
    <row r="9" spans="1:35" s="8" customFormat="1" x14ac:dyDescent="0.35">
      <c r="A9" s="8" t="s">
        <v>25</v>
      </c>
      <c r="B9" s="9">
        <f>+B8/B3</f>
        <v>-1.0251617541337168</v>
      </c>
      <c r="C9" s="9">
        <f t="shared" ref="C9:Q9" si="35">+C8/C3</f>
        <v>-0.61795721602892462</v>
      </c>
      <c r="D9" s="9">
        <f t="shared" si="35"/>
        <v>-0.6013929815162069</v>
      </c>
      <c r="E9" s="9">
        <f t="shared" si="35"/>
        <v>-0.38899040657834627</v>
      </c>
      <c r="F9" s="9">
        <f t="shared" si="35"/>
        <v>-3.6564223798266245E-2</v>
      </c>
      <c r="G9" s="9">
        <f t="shared" ref="G9" si="36">+G8/G3</f>
        <v>3.1495185977135617E-2</v>
      </c>
      <c r="H9" s="9">
        <f t="shared" ref="H9" si="37">+H8/H3</f>
        <v>4.7671107359309968E-2</v>
      </c>
      <c r="I9" s="9">
        <f t="shared" ref="I9" si="38">+I8/I3</f>
        <v>0.12661195031188932</v>
      </c>
      <c r="J9" s="9">
        <f t="shared" ref="J9" si="39">+J8/J3</f>
        <v>0.21978623837385469</v>
      </c>
      <c r="K9" s="9">
        <f t="shared" ref="K9" si="40">+K8/K3</f>
        <v>0.28592498355456192</v>
      </c>
      <c r="L9" s="9">
        <f t="shared" ref="L9" si="41">+L8/L3</f>
        <v>0.34070991692354463</v>
      </c>
      <c r="M9" s="9">
        <f t="shared" ref="M9" si="42">+M8/M3</f>
        <v>0.38589133067443671</v>
      </c>
      <c r="N9" s="9">
        <f t="shared" ref="N9" si="43">+N8/N3</f>
        <v>0.42285624944900629</v>
      </c>
      <c r="O9" s="32"/>
      <c r="P9" s="9">
        <f t="shared" si="35"/>
        <v>-4.4295302013422827E-2</v>
      </c>
      <c r="Q9" s="9">
        <f t="shared" si="35"/>
        <v>-0.12684563758389253</v>
      </c>
      <c r="R9" s="9">
        <f t="shared" ref="R9:V9" si="44">+R8/R3</f>
        <v>4.625684723067558E-2</v>
      </c>
      <c r="S9" s="9">
        <f t="shared" si="44"/>
        <v>-3.0778164924506045E-2</v>
      </c>
      <c r="T9" s="9">
        <f t="shared" si="44"/>
        <v>-3.3259423503327204E-3</v>
      </c>
      <c r="U9" s="9">
        <f t="shared" si="44"/>
        <v>4.7095761381475594E-2</v>
      </c>
      <c r="V9" s="9">
        <f t="shared" si="44"/>
        <v>3.9012345679012302E-2</v>
      </c>
      <c r="W9" s="32"/>
      <c r="X9" s="9">
        <f>+X8/X3</f>
        <v>3.9012345679012302E-2</v>
      </c>
      <c r="Z9" s="4"/>
      <c r="AA9" s="4"/>
      <c r="AB9" s="4"/>
      <c r="AC9" s="4"/>
      <c r="AD9" s="5">
        <f>225*(1+AD8)</f>
        <v>189</v>
      </c>
      <c r="AE9" s="5">
        <f t="shared" ref="AE9:AI9" si="45">225*(1+AE8)</f>
        <v>264.60000000000002</v>
      </c>
      <c r="AF9" s="5">
        <f t="shared" si="45"/>
        <v>322.91999999999996</v>
      </c>
      <c r="AG9" s="5">
        <f t="shared" si="45"/>
        <v>392.90399999999994</v>
      </c>
      <c r="AH9" s="5">
        <f t="shared" si="45"/>
        <v>476.88479999999993</v>
      </c>
      <c r="AI9" s="5">
        <f t="shared" si="45"/>
        <v>577.66175999999996</v>
      </c>
    </row>
    <row r="10" spans="1:35" s="8" customFormat="1" x14ac:dyDescent="0.35">
      <c r="A10" s="8" t="s">
        <v>48</v>
      </c>
      <c r="B10" s="9"/>
      <c r="C10" s="9">
        <f t="shared" ref="C10:L10" si="46">+(C8-B8)/(C3-B3)</f>
        <v>1.4916201117318439</v>
      </c>
      <c r="D10" s="9">
        <f t="shared" si="46"/>
        <v>-0.46859903381642448</v>
      </c>
      <c r="E10" s="9">
        <f t="shared" si="46"/>
        <v>0.84031007751937969</v>
      </c>
      <c r="F10" s="9">
        <f t="shared" si="46"/>
        <v>0.74783934926283713</v>
      </c>
      <c r="G10" s="9">
        <f t="shared" si="46"/>
        <v>0.32636265379536966</v>
      </c>
      <c r="H10" s="9">
        <f t="shared" si="46"/>
        <v>0.16402461675063837</v>
      </c>
      <c r="I10" s="9">
        <f t="shared" si="46"/>
        <v>0.52245802876262404</v>
      </c>
      <c r="J10" s="9">
        <f t="shared" si="46"/>
        <v>0.6225041828460034</v>
      </c>
      <c r="K10" s="9">
        <f t="shared" si="46"/>
        <v>0.61353309814624657</v>
      </c>
      <c r="L10" s="9">
        <f t="shared" si="46"/>
        <v>0.62693280554839026</v>
      </c>
      <c r="M10" s="9">
        <f t="shared" ref="M10:N10" si="47">+(M8-L8)/(M3-L3)</f>
        <v>0.63560956018660719</v>
      </c>
      <c r="N10" s="9">
        <f t="shared" si="47"/>
        <v>0.6397192885293902</v>
      </c>
      <c r="O10" s="32"/>
      <c r="P10" s="9"/>
      <c r="Q10" s="9"/>
      <c r="R10" s="9"/>
      <c r="S10" s="9"/>
      <c r="T10" s="9"/>
      <c r="U10" s="9"/>
      <c r="V10" s="9"/>
      <c r="W10" s="32"/>
      <c r="X10" s="9"/>
      <c r="Z10" s="4"/>
      <c r="AA10" s="4"/>
      <c r="AB10" s="4"/>
      <c r="AC10" s="4"/>
      <c r="AD10" s="5">
        <f t="shared" ref="AD10:AI10" si="48">+(AD9*21000-5000000)/100000</f>
        <v>-10.31</v>
      </c>
      <c r="AE10" s="5">
        <f t="shared" si="48"/>
        <v>5.5660000000000096</v>
      </c>
      <c r="AF10" s="5">
        <f t="shared" si="48"/>
        <v>17.813199999999991</v>
      </c>
      <c r="AG10" s="5">
        <f t="shared" si="48"/>
        <v>32.50983999999999</v>
      </c>
      <c r="AH10" s="5">
        <f t="shared" si="48"/>
        <v>50.145807999999988</v>
      </c>
      <c r="AI10" s="5">
        <f t="shared" si="48"/>
        <v>71.308969599999983</v>
      </c>
    </row>
    <row r="11" spans="1:35" x14ac:dyDescent="0.35">
      <c r="Z11" s="4"/>
      <c r="AA11" s="4"/>
      <c r="AB11" s="4"/>
      <c r="AC11" s="4"/>
      <c r="AD11" s="5">
        <v>30</v>
      </c>
      <c r="AE11" s="5">
        <f>+AD11+1</f>
        <v>31</v>
      </c>
      <c r="AF11" s="5">
        <f>+AE11+1</f>
        <v>32</v>
      </c>
      <c r="AG11" s="5">
        <f>+AF11+1</f>
        <v>33</v>
      </c>
      <c r="AH11" s="5">
        <f>+AG11+1</f>
        <v>34</v>
      </c>
      <c r="AI11" s="5">
        <f>+AH11+1</f>
        <v>35</v>
      </c>
    </row>
    <row r="12" spans="1:35" x14ac:dyDescent="0.35">
      <c r="A12" t="s">
        <v>19</v>
      </c>
      <c r="B12" s="2">
        <v>1.27</v>
      </c>
      <c r="C12" s="2">
        <f>33.5+0.7</f>
        <v>34.200000000000003</v>
      </c>
      <c r="D12" s="2">
        <v>-31.02</v>
      </c>
      <c r="E12" s="2">
        <v>11.96</v>
      </c>
      <c r="F12" s="2">
        <v>1.7</v>
      </c>
      <c r="G12" s="2">
        <f>+F32*6%</f>
        <v>2.5025999999999997</v>
      </c>
      <c r="H12" s="2">
        <f t="shared" ref="H12:L12" si="49">+G32*6%</f>
        <v>3.1716977389830507</v>
      </c>
      <c r="I12" s="2">
        <f t="shared" si="49"/>
        <v>3.7060659593426815</v>
      </c>
      <c r="J12" s="2">
        <f t="shared" si="49"/>
        <v>4.7995532967068382</v>
      </c>
      <c r="K12" s="2">
        <f t="shared" si="49"/>
        <v>6.7549554812825452</v>
      </c>
      <c r="L12" s="2">
        <f t="shared" si="49"/>
        <v>9.5637311201049791</v>
      </c>
      <c r="M12" s="2">
        <f t="shared" ref="M12:N12" si="50">+L32*6%</f>
        <v>13.416968873940178</v>
      </c>
      <c r="N12" s="2">
        <f t="shared" si="50"/>
        <v>18.484671711960228</v>
      </c>
      <c r="P12" s="2">
        <f>0.18+0.279</f>
        <v>0.45900000000000002</v>
      </c>
      <c r="Q12" s="2">
        <f>0.26+0.08</f>
        <v>0.34</v>
      </c>
      <c r="R12" s="2">
        <f>0.26+0.12</f>
        <v>0.38</v>
      </c>
      <c r="S12" s="2">
        <f t="shared" ref="S12:S19" si="51">+F12-SUM(P12:R12)</f>
        <v>0.52099999999999991</v>
      </c>
      <c r="T12" s="2">
        <f>0.4+0.26</f>
        <v>0.66</v>
      </c>
      <c r="U12" s="2">
        <v>1</v>
      </c>
      <c r="V12" s="2">
        <f>0.25+0.445</f>
        <v>0.69500000000000006</v>
      </c>
      <c r="Z12" s="4"/>
      <c r="AA12" s="4"/>
      <c r="AB12" s="4"/>
      <c r="AC12" s="4"/>
      <c r="AD12" s="4"/>
      <c r="AE12" s="4"/>
      <c r="AF12" s="4"/>
      <c r="AG12" s="4"/>
    </row>
    <row r="13" spans="1:35" x14ac:dyDescent="0.35">
      <c r="A13" t="s">
        <v>18</v>
      </c>
      <c r="B13" s="2">
        <v>0.59</v>
      </c>
      <c r="C13" s="2">
        <v>0.65</v>
      </c>
      <c r="D13" s="2">
        <v>0.56000000000000005</v>
      </c>
      <c r="E13" s="2">
        <v>0.25</v>
      </c>
      <c r="F13" s="2">
        <v>0.15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P13" s="2">
        <v>4.3099999999999999E-2</v>
      </c>
      <c r="Q13" s="2">
        <v>2.4899999999999999E-2</v>
      </c>
      <c r="R13" s="2">
        <v>0.02</v>
      </c>
      <c r="S13" s="2">
        <f t="shared" si="51"/>
        <v>6.1999999999999986E-2</v>
      </c>
      <c r="T13" s="2">
        <v>2.4899999999999999E-2</v>
      </c>
      <c r="U13" s="2">
        <v>0.04</v>
      </c>
      <c r="V13" s="2">
        <v>0.06</v>
      </c>
      <c r="Z13" s="4"/>
      <c r="AA13" s="4"/>
      <c r="AB13" s="4"/>
      <c r="AC13" s="4"/>
      <c r="AD13" s="4"/>
      <c r="AE13" s="4"/>
      <c r="AF13" s="4"/>
      <c r="AG13" s="4"/>
    </row>
    <row r="14" spans="1:35" x14ac:dyDescent="0.35">
      <c r="A14" t="s">
        <v>20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P14" s="1">
        <v>0</v>
      </c>
      <c r="Q14" s="1">
        <v>0</v>
      </c>
      <c r="R14" s="1">
        <v>0</v>
      </c>
      <c r="S14" s="1">
        <f t="shared" si="51"/>
        <v>0</v>
      </c>
      <c r="T14" s="1">
        <v>0</v>
      </c>
      <c r="U14" s="1">
        <v>0</v>
      </c>
      <c r="V14" s="1">
        <v>0</v>
      </c>
      <c r="Z14" s="4"/>
      <c r="AA14" s="4"/>
      <c r="AB14" s="4"/>
      <c r="AC14" s="4"/>
      <c r="AD14" s="4"/>
      <c r="AE14" s="4"/>
      <c r="AF14" s="4"/>
      <c r="AG14" s="4"/>
    </row>
    <row r="15" spans="1:35" x14ac:dyDescent="0.35">
      <c r="A15" t="s">
        <v>21</v>
      </c>
      <c r="B15" s="1">
        <v>0</v>
      </c>
      <c r="C15" s="1">
        <v>0</v>
      </c>
      <c r="D15" s="1">
        <v>0</v>
      </c>
      <c r="E15" s="1">
        <v>0</v>
      </c>
      <c r="F15" s="2">
        <v>-4.49</v>
      </c>
      <c r="G15" s="2">
        <f>+V15+T15+U15</f>
        <v>3.9640000000000004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P15" s="2">
        <v>-0.52</v>
      </c>
      <c r="Q15" s="2">
        <v>-3.22</v>
      </c>
      <c r="R15" s="2">
        <v>0</v>
      </c>
      <c r="S15" s="2">
        <f t="shared" si="51"/>
        <v>-0.75</v>
      </c>
      <c r="T15" s="2">
        <v>-0.52600000000000002</v>
      </c>
      <c r="U15" s="2">
        <v>-0.28999999999999998</v>
      </c>
      <c r="V15" s="2">
        <v>4.78</v>
      </c>
      <c r="Y15" s="10"/>
      <c r="Z15" s="4"/>
      <c r="AA15" s="4"/>
      <c r="AB15" s="4"/>
      <c r="AC15" s="4"/>
      <c r="AD15" s="4"/>
      <c r="AE15" s="4"/>
      <c r="AF15" s="4"/>
      <c r="AG15" s="4"/>
    </row>
    <row r="16" spans="1:35" x14ac:dyDescent="0.35">
      <c r="Z16" s="4"/>
      <c r="AA16" s="4"/>
      <c r="AB16" s="4"/>
      <c r="AC16" s="4"/>
      <c r="AD16" s="4"/>
      <c r="AE16" s="4"/>
      <c r="AF16" s="4"/>
      <c r="AG16" s="4"/>
    </row>
    <row r="17" spans="1:33" s="4" customFormat="1" x14ac:dyDescent="0.35">
      <c r="A17" s="4" t="s">
        <v>22</v>
      </c>
      <c r="B17" s="5">
        <f>+B8+B12-B13-B14+B15</f>
        <v>-27.840000000000003</v>
      </c>
      <c r="C17" s="5">
        <f t="shared" ref="C17:L17" si="52">+C8+C12-C13-C14+C15</f>
        <v>13.039999999999997</v>
      </c>
      <c r="D17" s="5">
        <f t="shared" si="52"/>
        <v>-54.03</v>
      </c>
      <c r="E17" s="5">
        <f t="shared" si="52"/>
        <v>-5.32</v>
      </c>
      <c r="F17" s="5">
        <f t="shared" si="52"/>
        <v>-5.2599999999999936</v>
      </c>
      <c r="G17" s="5">
        <f t="shared" si="52"/>
        <v>8.9262203389830574</v>
      </c>
      <c r="H17" s="5">
        <f t="shared" si="52"/>
        <v>7.4121481093990784</v>
      </c>
      <c r="I17" s="5">
        <f t="shared" si="52"/>
        <v>17.214463820935919</v>
      </c>
      <c r="J17" s="5">
        <f t="shared" si="52"/>
        <v>33.674152529005077</v>
      </c>
      <c r="K17" s="5">
        <f t="shared" si="52"/>
        <v>51.90207291853843</v>
      </c>
      <c r="L17" s="5">
        <f t="shared" si="52"/>
        <v>73.658513439480473</v>
      </c>
      <c r="M17" s="5">
        <f t="shared" ref="M17:N17" si="53">+M8+M12-M13-M14+M15</f>
        <v>99.145804329448495</v>
      </c>
      <c r="N17" s="5">
        <f t="shared" si="53"/>
        <v>128.43804859313835</v>
      </c>
      <c r="O17" s="31"/>
      <c r="P17" s="5">
        <f t="shared" ref="P17:R17" si="54">+P8+P12-P13-P14+P15</f>
        <v>-0.76410000000000011</v>
      </c>
      <c r="Q17" s="5">
        <f t="shared" si="54"/>
        <v>-4.7948999999999984</v>
      </c>
      <c r="R17" s="5">
        <f t="shared" si="54"/>
        <v>1.1199999999999997</v>
      </c>
      <c r="S17" s="5">
        <f t="shared" si="51"/>
        <v>-0.82099999999999529</v>
      </c>
      <c r="T17" s="5">
        <f t="shared" ref="T17:V17" si="55">+T8+T12-T13-T14+T15</f>
        <v>4.9099999999997701E-2</v>
      </c>
      <c r="U17" s="5">
        <f t="shared" si="55"/>
        <v>1.5699999999999985</v>
      </c>
      <c r="V17" s="5">
        <f t="shared" si="55"/>
        <v>6.2049999999999992</v>
      </c>
      <c r="W17" s="31"/>
    </row>
    <row r="18" spans="1:33" x14ac:dyDescent="0.35">
      <c r="A18" t="s">
        <v>23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f>+G17*25%</f>
        <v>2.2315550847457644</v>
      </c>
      <c r="H18" s="2">
        <f t="shared" ref="H18:L18" si="56">+H17*25%</f>
        <v>1.8530370273497696</v>
      </c>
      <c r="I18" s="2">
        <f t="shared" si="56"/>
        <v>4.3036159552339797</v>
      </c>
      <c r="J18" s="2">
        <f t="shared" si="56"/>
        <v>8.4185381322512693</v>
      </c>
      <c r="K18" s="2">
        <f t="shared" si="56"/>
        <v>12.975518229634607</v>
      </c>
      <c r="L18" s="2">
        <f t="shared" si="56"/>
        <v>18.414628359870118</v>
      </c>
      <c r="M18" s="2">
        <f t="shared" ref="M18" si="57">+M17*25%</f>
        <v>24.786451082362124</v>
      </c>
      <c r="N18" s="2">
        <f t="shared" ref="N18" si="58">+N17*25%</f>
        <v>32.109512148284587</v>
      </c>
      <c r="P18" s="2">
        <v>0</v>
      </c>
      <c r="Q18" s="2">
        <v>0</v>
      </c>
      <c r="R18" s="2">
        <v>0</v>
      </c>
      <c r="S18" s="2">
        <f t="shared" si="51"/>
        <v>0</v>
      </c>
      <c r="T18" s="2">
        <v>0</v>
      </c>
      <c r="U18" s="2">
        <v>0</v>
      </c>
      <c r="V18" s="2">
        <v>0</v>
      </c>
      <c r="Z18" s="4"/>
      <c r="AA18" s="4"/>
      <c r="AB18" s="4"/>
      <c r="AC18" s="4"/>
      <c r="AD18" s="4"/>
      <c r="AE18" s="4"/>
      <c r="AF18" s="4"/>
      <c r="AG18" s="4"/>
    </row>
    <row r="19" spans="1:33" s="4" customFormat="1" x14ac:dyDescent="0.35">
      <c r="A19" s="4" t="s">
        <v>24</v>
      </c>
      <c r="B19" s="6">
        <f t="shared" ref="B19:F19" si="59">+B17-B18</f>
        <v>-27.840000000000003</v>
      </c>
      <c r="C19" s="6">
        <f t="shared" si="59"/>
        <v>13.039999999999997</v>
      </c>
      <c r="D19" s="6">
        <f t="shared" si="59"/>
        <v>-54.03</v>
      </c>
      <c r="E19" s="6">
        <f t="shared" si="59"/>
        <v>-5.32</v>
      </c>
      <c r="F19" s="6">
        <f t="shared" si="59"/>
        <v>-5.2599999999999936</v>
      </c>
      <c r="G19" s="6">
        <f>+G17-G18</f>
        <v>6.6946652542372931</v>
      </c>
      <c r="H19" s="6">
        <f t="shared" ref="H19:L19" si="60">+H17-H18</f>
        <v>5.5591110820493093</v>
      </c>
      <c r="I19" s="6">
        <f t="shared" si="60"/>
        <v>12.910847865701939</v>
      </c>
      <c r="J19" s="6">
        <f t="shared" si="60"/>
        <v>25.255614396753806</v>
      </c>
      <c r="K19" s="6">
        <f t="shared" si="60"/>
        <v>38.926554688903821</v>
      </c>
      <c r="L19" s="6">
        <f t="shared" si="60"/>
        <v>55.243885079610351</v>
      </c>
      <c r="M19" s="6">
        <f t="shared" ref="M19" si="61">+M17-M18</f>
        <v>74.359353247086375</v>
      </c>
      <c r="N19" s="6">
        <f t="shared" ref="N19" si="62">+N17-N18</f>
        <v>96.328536444853768</v>
      </c>
      <c r="O19" s="31"/>
      <c r="P19" s="6">
        <f>+P17-P18</f>
        <v>-0.76410000000000011</v>
      </c>
      <c r="Q19" s="6">
        <f>+Q17-Q18</f>
        <v>-4.7948999999999984</v>
      </c>
      <c r="R19" s="6">
        <f>+R17-R18</f>
        <v>1.1199999999999997</v>
      </c>
      <c r="S19" s="6">
        <f t="shared" si="51"/>
        <v>-0.82099999999999529</v>
      </c>
      <c r="T19" s="6">
        <f>+T17-T18</f>
        <v>4.9099999999997701E-2</v>
      </c>
      <c r="U19" s="6">
        <f>+U17-U18</f>
        <v>1.5699999999999985</v>
      </c>
      <c r="V19" s="6">
        <f>+V17-V18</f>
        <v>6.2049999999999992</v>
      </c>
      <c r="W19" s="31"/>
    </row>
    <row r="20" spans="1:33" x14ac:dyDescent="0.35">
      <c r="Z20" s="4"/>
      <c r="AA20" s="4"/>
      <c r="AB20" s="4"/>
      <c r="AC20" s="4"/>
      <c r="AD20" s="4"/>
      <c r="AE20" s="4"/>
      <c r="AF20" s="4"/>
      <c r="AG20" s="4"/>
    </row>
    <row r="21" spans="1:33" x14ac:dyDescent="0.35">
      <c r="A21" s="4" t="s">
        <v>52</v>
      </c>
      <c r="B21" s="19">
        <v>65</v>
      </c>
      <c r="Z21" s="4"/>
      <c r="AA21" s="4"/>
      <c r="AB21" s="4"/>
      <c r="AC21" s="4"/>
      <c r="AD21" s="4"/>
      <c r="AE21" s="4"/>
      <c r="AF21" s="4"/>
      <c r="AG21" s="4"/>
    </row>
    <row r="22" spans="1:33" x14ac:dyDescent="0.35">
      <c r="A22" t="s">
        <v>54</v>
      </c>
      <c r="B22">
        <v>10</v>
      </c>
      <c r="G22" s="23" t="s">
        <v>57</v>
      </c>
      <c r="H22" s="21"/>
      <c r="L22" s="21"/>
      <c r="M22" s="22" t="s">
        <v>61</v>
      </c>
      <c r="N22" s="23">
        <v>25</v>
      </c>
      <c r="Z22" s="4"/>
      <c r="AA22" s="4"/>
      <c r="AB22" s="4"/>
      <c r="AC22" s="4"/>
      <c r="AD22" s="4"/>
      <c r="AE22" s="4"/>
      <c r="AF22" s="4"/>
      <c r="AG22" s="4"/>
    </row>
    <row r="23" spans="1:33" x14ac:dyDescent="0.35">
      <c r="A23" s="4" t="s">
        <v>53</v>
      </c>
      <c r="B23" s="4">
        <f>+B21*B22</f>
        <v>650</v>
      </c>
      <c r="F23" s="39"/>
      <c r="G23" s="24">
        <f>+(N23/B23)^(1/7)-1</f>
        <v>0.20574235311026512</v>
      </c>
      <c r="H23" s="21"/>
      <c r="L23" s="21"/>
      <c r="M23" s="22" t="s">
        <v>58</v>
      </c>
      <c r="N23" s="25">
        <f>+N22*N19</f>
        <v>2408.2134111213441</v>
      </c>
      <c r="Z23" s="4"/>
      <c r="AA23" s="4"/>
      <c r="AB23" s="4"/>
      <c r="AC23" s="4"/>
      <c r="AD23" s="4"/>
      <c r="AE23" s="4"/>
      <c r="AF23" s="4"/>
      <c r="AG23" s="4"/>
    </row>
    <row r="24" spans="1:33" x14ac:dyDescent="0.35">
      <c r="Z24" s="4"/>
      <c r="AA24" s="4"/>
      <c r="AB24" s="4"/>
      <c r="AC24" s="4"/>
      <c r="AD24" s="4"/>
      <c r="AE24" s="4"/>
      <c r="AF24" s="4"/>
      <c r="AG24" s="4"/>
    </row>
    <row r="25" spans="1:33" x14ac:dyDescent="0.35">
      <c r="A25" s="18" t="s">
        <v>55</v>
      </c>
      <c r="B25" s="19"/>
      <c r="C25" s="19"/>
      <c r="D25" s="20"/>
      <c r="E25" s="20"/>
      <c r="F25" s="20">
        <f t="shared" ref="F25:N25" si="63">+($B$23-F32)/F8</f>
        <v>-262.19396551724213</v>
      </c>
      <c r="G25" s="20">
        <f t="shared" si="63"/>
        <v>242.77664383920282</v>
      </c>
      <c r="H25" s="20">
        <f t="shared" si="63"/>
        <v>138.719282771194</v>
      </c>
      <c r="I25" s="20">
        <f t="shared" si="63"/>
        <v>42.196524776303626</v>
      </c>
      <c r="J25" s="20">
        <f t="shared" si="63"/>
        <v>18.612116633090871</v>
      </c>
      <c r="K25" s="20">
        <f t="shared" si="63"/>
        <v>10.866795250292803</v>
      </c>
      <c r="L25" s="20">
        <f t="shared" si="63"/>
        <v>6.6523956657873473</v>
      </c>
      <c r="M25" s="20">
        <f t="shared" si="63"/>
        <v>3.9884145902278987</v>
      </c>
      <c r="N25" s="20">
        <f t="shared" si="63"/>
        <v>2.1314309380883243</v>
      </c>
    </row>
    <row r="26" spans="1:33" x14ac:dyDescent="0.35">
      <c r="A26" s="18" t="s">
        <v>56</v>
      </c>
      <c r="B26" s="19"/>
      <c r="C26" s="19"/>
      <c r="D26" s="20"/>
      <c r="E26" s="20"/>
      <c r="F26" s="20">
        <f t="shared" ref="F26:N26" si="64">+$B$23/F19</f>
        <v>-123.57414448669216</v>
      </c>
      <c r="G26" s="20">
        <f t="shared" si="64"/>
        <v>97.092233190986178</v>
      </c>
      <c r="H26" s="20">
        <f t="shared" si="64"/>
        <v>116.92516850380765</v>
      </c>
      <c r="I26" s="20">
        <f t="shared" si="64"/>
        <v>50.345260571673592</v>
      </c>
      <c r="J26" s="20">
        <f t="shared" si="64"/>
        <v>25.736851608074392</v>
      </c>
      <c r="K26" s="20">
        <f t="shared" si="64"/>
        <v>16.698112771467166</v>
      </c>
      <c r="L26" s="20">
        <f t="shared" si="64"/>
        <v>11.766008112269873</v>
      </c>
      <c r="M26" s="20">
        <f t="shared" si="64"/>
        <v>8.7413347698188719</v>
      </c>
      <c r="N26" s="20">
        <f t="shared" si="64"/>
        <v>6.7477408459549517</v>
      </c>
    </row>
    <row r="28" spans="1:33" x14ac:dyDescent="0.35">
      <c r="A28" t="s">
        <v>26</v>
      </c>
      <c r="B28" s="2"/>
      <c r="C28" s="2"/>
      <c r="D28" s="2">
        <v>-135.19999999999999</v>
      </c>
      <c r="E28" s="2">
        <v>22.2</v>
      </c>
      <c r="F28" s="2">
        <v>20.64</v>
      </c>
      <c r="G28" s="2"/>
      <c r="H28" s="2"/>
      <c r="I28" s="2"/>
      <c r="T28" s="2">
        <v>22.98</v>
      </c>
      <c r="U28" s="2">
        <v>25.7</v>
      </c>
    </row>
    <row r="29" spans="1:33" x14ac:dyDescent="0.35">
      <c r="A29" t="s">
        <v>27</v>
      </c>
      <c r="D29" s="2">
        <v>0</v>
      </c>
      <c r="E29" s="2">
        <v>0</v>
      </c>
      <c r="F29" s="2">
        <v>0</v>
      </c>
      <c r="G29" s="2"/>
      <c r="H29" s="2"/>
      <c r="I29" s="2"/>
      <c r="T29" s="2">
        <v>0</v>
      </c>
      <c r="U29" s="2">
        <v>0</v>
      </c>
    </row>
    <row r="30" spans="1:33" s="4" customFormat="1" x14ac:dyDescent="0.35">
      <c r="A30" s="4" t="s">
        <v>28</v>
      </c>
      <c r="D30" s="6">
        <f t="shared" ref="D30:F30" si="65">+D28+D29</f>
        <v>-135.19999999999999</v>
      </c>
      <c r="E30" s="6">
        <f t="shared" si="65"/>
        <v>22.2</v>
      </c>
      <c r="F30" s="6">
        <f t="shared" si="65"/>
        <v>20.64</v>
      </c>
      <c r="G30" s="6">
        <f t="shared" ref="G30:N30" si="66">+F30+G19</f>
        <v>27.334665254237294</v>
      </c>
      <c r="H30" s="6">
        <f t="shared" si="66"/>
        <v>32.893776336286606</v>
      </c>
      <c r="I30" s="6">
        <f t="shared" si="66"/>
        <v>45.804624201988545</v>
      </c>
      <c r="J30" s="6">
        <f t="shared" si="66"/>
        <v>71.060238598742359</v>
      </c>
      <c r="K30" s="6">
        <f t="shared" si="66"/>
        <v>109.98679328764618</v>
      </c>
      <c r="L30" s="6">
        <f t="shared" si="66"/>
        <v>165.23067836725653</v>
      </c>
      <c r="M30" s="6">
        <f t="shared" si="66"/>
        <v>239.59003161434291</v>
      </c>
      <c r="N30" s="6">
        <f t="shared" si="66"/>
        <v>335.91856805919667</v>
      </c>
      <c r="O30" s="31"/>
      <c r="T30" s="6">
        <f>+T28+T29</f>
        <v>22.98</v>
      </c>
      <c r="U30" s="6">
        <f>+U28+U29</f>
        <v>25.7</v>
      </c>
      <c r="W30" s="31"/>
    </row>
    <row r="31" spans="1:33" x14ac:dyDescent="0.35">
      <c r="A31" t="s">
        <v>29</v>
      </c>
      <c r="C31" s="2"/>
      <c r="D31" s="2">
        <v>0.56999999999999995</v>
      </c>
      <c r="E31" s="2">
        <v>0.27</v>
      </c>
      <c r="F31" s="2">
        <v>0.27</v>
      </c>
      <c r="G31" s="2">
        <f>+F31</f>
        <v>0.27</v>
      </c>
      <c r="H31" s="2">
        <f t="shared" ref="H31:L31" si="67">+G31</f>
        <v>0.27</v>
      </c>
      <c r="I31" s="2">
        <f t="shared" si="67"/>
        <v>0.27</v>
      </c>
      <c r="J31" s="2">
        <f t="shared" si="67"/>
        <v>0.27</v>
      </c>
      <c r="K31" s="2">
        <f t="shared" si="67"/>
        <v>0.27</v>
      </c>
      <c r="L31" s="2">
        <f t="shared" si="67"/>
        <v>0.27</v>
      </c>
      <c r="M31" s="2">
        <f t="shared" ref="M31:N31" si="68">+L31</f>
        <v>0.27</v>
      </c>
      <c r="N31" s="2">
        <f t="shared" si="68"/>
        <v>0.27</v>
      </c>
      <c r="O31" s="33"/>
      <c r="P31" s="2"/>
      <c r="Q31" s="2"/>
      <c r="R31" s="2"/>
      <c r="S31" s="2"/>
      <c r="T31" s="2">
        <v>0.34</v>
      </c>
      <c r="U31" s="2">
        <v>0.39</v>
      </c>
      <c r="W31" s="33"/>
    </row>
    <row r="32" spans="1:33" x14ac:dyDescent="0.35">
      <c r="A32" t="s">
        <v>30</v>
      </c>
      <c r="C32" s="2"/>
      <c r="D32" s="2">
        <f>41.47+2.3+1.09</f>
        <v>44.86</v>
      </c>
      <c r="E32" s="2">
        <f>16.76+1.8+21.15</f>
        <v>39.71</v>
      </c>
      <c r="F32" s="2">
        <f>22.11+16.41+3.19</f>
        <v>41.709999999999994</v>
      </c>
      <c r="G32" s="2">
        <f>+G30-G31-G33-G34-G35-G36</f>
        <v>52.861628983050849</v>
      </c>
      <c r="H32" s="2">
        <f t="shared" ref="H32:L32" si="69">+H30-H31-H33-H34-H35-H36</f>
        <v>61.76776598904469</v>
      </c>
      <c r="I32" s="2">
        <f t="shared" si="69"/>
        <v>79.992554945113966</v>
      </c>
      <c r="J32" s="2">
        <f t="shared" si="69"/>
        <v>112.58259135470909</v>
      </c>
      <c r="K32" s="2">
        <f t="shared" si="69"/>
        <v>159.39551866841632</v>
      </c>
      <c r="L32" s="2">
        <f t="shared" si="69"/>
        <v>223.61614789900298</v>
      </c>
      <c r="M32" s="2">
        <f t="shared" ref="M32" si="70">+M30-M31-M33-M34-M35-M36</f>
        <v>308.07786186600384</v>
      </c>
      <c r="N32" s="2">
        <f t="shared" ref="N32" si="71">+N30-N31-N33-N34-N35-N36</f>
        <v>415.64197076817146</v>
      </c>
      <c r="O32" s="33"/>
      <c r="P32" s="2"/>
      <c r="Q32" s="2"/>
      <c r="R32" s="2"/>
      <c r="S32" s="2"/>
      <c r="T32" s="2">
        <f>19.35+22.36+1.94</f>
        <v>43.65</v>
      </c>
      <c r="U32" s="2">
        <f>22.63+22.64+2.69</f>
        <v>47.959999999999994</v>
      </c>
      <c r="W32" s="33"/>
    </row>
    <row r="33" spans="1:25" x14ac:dyDescent="0.35">
      <c r="A33" t="s">
        <v>31</v>
      </c>
      <c r="D33" s="2">
        <v>4.4000000000000004</v>
      </c>
      <c r="E33" s="2">
        <v>5.68</v>
      </c>
      <c r="F33" s="2">
        <v>7.17</v>
      </c>
      <c r="G33" s="2">
        <f t="shared" ref="G33:N33" si="72">+F33*G3/F3</f>
        <v>8.8249332203389823</v>
      </c>
      <c r="H33" s="2">
        <f t="shared" si="72"/>
        <v>10.051810060770414</v>
      </c>
      <c r="I33" s="2">
        <f t="shared" si="72"/>
        <v>12.056372951735595</v>
      </c>
      <c r="J33" s="2">
        <f t="shared" si="72"/>
        <v>14.845779239205331</v>
      </c>
      <c r="K33" s="2">
        <f t="shared" si="72"/>
        <v>17.842900392124896</v>
      </c>
      <c r="L33" s="2">
        <f t="shared" si="72"/>
        <v>21.258148256432502</v>
      </c>
      <c r="M33" s="2">
        <f t="shared" si="72"/>
        <v>25.104376038152669</v>
      </c>
      <c r="N33" s="2">
        <f t="shared" si="72"/>
        <v>29.383487983976654</v>
      </c>
      <c r="T33" s="2">
        <v>7.41</v>
      </c>
      <c r="U33" s="2">
        <v>6.17</v>
      </c>
    </row>
    <row r="34" spans="1:25" x14ac:dyDescent="0.35">
      <c r="A34" t="s">
        <v>32</v>
      </c>
      <c r="D34" s="2">
        <v>-1.04</v>
      </c>
      <c r="E34" s="2">
        <v>-1.3</v>
      </c>
      <c r="F34" s="2">
        <v>-1.6</v>
      </c>
      <c r="G34" s="2">
        <f t="shared" ref="G34:N34" si="73">+F34*G6/F6</f>
        <v>-1.8399999999999999</v>
      </c>
      <c r="H34" s="2">
        <f t="shared" si="73"/>
        <v>-2.0608</v>
      </c>
      <c r="I34" s="2">
        <f t="shared" si="73"/>
        <v>-2.2668800000000005</v>
      </c>
      <c r="J34" s="2">
        <f t="shared" si="73"/>
        <v>-2.4935680000000007</v>
      </c>
      <c r="K34" s="2">
        <f t="shared" si="73"/>
        <v>-2.7429248000000008</v>
      </c>
      <c r="L34" s="2">
        <f t="shared" si="73"/>
        <v>-3.017217280000001</v>
      </c>
      <c r="M34" s="2">
        <f t="shared" si="73"/>
        <v>-3.3189390080000014</v>
      </c>
      <c r="N34" s="2">
        <f t="shared" si="73"/>
        <v>-3.6508329088000018</v>
      </c>
      <c r="T34" s="2">
        <v>-1.67</v>
      </c>
      <c r="U34" s="2">
        <v>-1.78</v>
      </c>
    </row>
    <row r="35" spans="1:25" x14ac:dyDescent="0.35">
      <c r="A35" t="s">
        <v>33</v>
      </c>
      <c r="D35" s="2">
        <v>-12.46</v>
      </c>
      <c r="E35" s="2">
        <v>-19.41</v>
      </c>
      <c r="F35" s="2">
        <v>-25.44</v>
      </c>
      <c r="G35" s="2">
        <f t="shared" ref="G35:N35" si="74">+F35*G3/F3</f>
        <v>-31.311896949152541</v>
      </c>
      <c r="H35" s="2">
        <f t="shared" si="74"/>
        <v>-35.664999713528502</v>
      </c>
      <c r="I35" s="2">
        <f t="shared" si="74"/>
        <v>-42.777423694861021</v>
      </c>
      <c r="J35" s="2">
        <f t="shared" si="74"/>
        <v>-52.674563995172058</v>
      </c>
      <c r="K35" s="2">
        <f t="shared" si="74"/>
        <v>-63.308700972895032</v>
      </c>
      <c r="L35" s="2">
        <f t="shared" si="74"/>
        <v>-75.426400508178929</v>
      </c>
      <c r="M35" s="2">
        <f t="shared" si="74"/>
        <v>-89.073267281813642</v>
      </c>
      <c r="N35" s="2">
        <f t="shared" si="74"/>
        <v>-104.25605778415145</v>
      </c>
      <c r="O35" s="33"/>
      <c r="P35" s="2"/>
      <c r="Q35" s="2"/>
      <c r="R35" s="2"/>
      <c r="S35" s="2"/>
      <c r="T35" s="2">
        <v>-26</v>
      </c>
      <c r="U35" s="2">
        <v>-24.6</v>
      </c>
      <c r="W35" s="33"/>
    </row>
    <row r="36" spans="1:25" x14ac:dyDescent="0.35">
      <c r="A36" t="s">
        <v>34</v>
      </c>
      <c r="D36" s="3">
        <f>+D30-SUM(D31:D35)</f>
        <v>-171.52999999999997</v>
      </c>
      <c r="E36" s="3">
        <f>+E30-SUM(E31:E35)</f>
        <v>-2.7500000000000071</v>
      </c>
      <c r="F36" s="3">
        <f>+F30-SUM(F31:F35)</f>
        <v>-1.4699999999999953</v>
      </c>
      <c r="G36" s="3">
        <f>+F36</f>
        <v>-1.4699999999999953</v>
      </c>
      <c r="H36" s="3">
        <f t="shared" ref="H36:L36" si="75">+G36</f>
        <v>-1.4699999999999953</v>
      </c>
      <c r="I36" s="3">
        <f t="shared" si="75"/>
        <v>-1.4699999999999953</v>
      </c>
      <c r="J36" s="3">
        <f t="shared" si="75"/>
        <v>-1.4699999999999953</v>
      </c>
      <c r="K36" s="3">
        <f t="shared" si="75"/>
        <v>-1.4699999999999953</v>
      </c>
      <c r="L36" s="3">
        <f t="shared" si="75"/>
        <v>-1.4699999999999953</v>
      </c>
      <c r="M36" s="3">
        <f t="shared" ref="M36:N36" si="76">+L36</f>
        <v>-1.4699999999999953</v>
      </c>
      <c r="N36" s="3">
        <f t="shared" si="76"/>
        <v>-1.4699999999999953</v>
      </c>
      <c r="T36" s="3">
        <f>+T30-SUM(T31:T35)</f>
        <v>-0.75000000000000355</v>
      </c>
      <c r="U36" s="3">
        <f>+U30-SUM(U31:U35)</f>
        <v>-2.4399999999999942</v>
      </c>
    </row>
    <row r="38" spans="1:25" x14ac:dyDescent="0.35">
      <c r="A38" t="s">
        <v>45</v>
      </c>
      <c r="E38" s="10">
        <f>+E39/D39-1</f>
        <v>0.33177570093457942</v>
      </c>
      <c r="F38" s="10">
        <f>+F39/E39-1</f>
        <v>0.27719298245614032</v>
      </c>
      <c r="G38" s="12">
        <v>0.09</v>
      </c>
      <c r="H38" s="12">
        <v>0.08</v>
      </c>
      <c r="I38" s="12">
        <v>0.2</v>
      </c>
      <c r="J38" s="12">
        <v>0.15</v>
      </c>
      <c r="K38" s="12">
        <f>+J38-1%</f>
        <v>0.13999999999999999</v>
      </c>
      <c r="L38" s="12">
        <f t="shared" ref="L38:N38" si="77">+K38-1%</f>
        <v>0.12999999999999998</v>
      </c>
      <c r="M38" s="12">
        <f t="shared" si="77"/>
        <v>0.11999999999999998</v>
      </c>
      <c r="N38" s="12">
        <f t="shared" si="77"/>
        <v>0.10999999999999999</v>
      </c>
      <c r="U38" s="11">
        <f>+U39/T39-1</f>
        <v>1.4047410008779737E-2</v>
      </c>
      <c r="V38" s="11">
        <f>+V39/U39-1</f>
        <v>2.7705627705627789E-2</v>
      </c>
      <c r="Y38" s="26" t="s">
        <v>49</v>
      </c>
    </row>
    <row r="39" spans="1:25" x14ac:dyDescent="0.35">
      <c r="A39" t="s">
        <v>35</v>
      </c>
      <c r="D39" s="2">
        <v>642</v>
      </c>
      <c r="E39" s="2">
        <v>855</v>
      </c>
      <c r="F39" s="2">
        <v>1092</v>
      </c>
      <c r="G39" s="2">
        <f>+F39*(1+G38)</f>
        <v>1190.2800000000002</v>
      </c>
      <c r="H39" s="2">
        <f>+G39*(1+H38)</f>
        <v>1285.5024000000003</v>
      </c>
      <c r="I39" s="2">
        <f t="shared" ref="I39:L39" si="78">+H39*(1+I38)</f>
        <v>1542.6028800000004</v>
      </c>
      <c r="J39" s="2">
        <f t="shared" si="78"/>
        <v>1773.9933120000003</v>
      </c>
      <c r="K39" s="2">
        <f t="shared" si="78"/>
        <v>2022.3523756800003</v>
      </c>
      <c r="L39" s="2">
        <f t="shared" si="78"/>
        <v>2285.2581845184</v>
      </c>
      <c r="M39" s="2">
        <f t="shared" ref="M39" si="79">+L39*(1+M38)</f>
        <v>2559.4891666606077</v>
      </c>
      <c r="N39" s="2">
        <f t="shared" ref="N39" si="80">+M39*(1+N38)</f>
        <v>2841.0329749932744</v>
      </c>
      <c r="O39" s="33"/>
      <c r="P39" s="2"/>
      <c r="Q39" s="2"/>
      <c r="R39" s="2"/>
      <c r="S39" s="2"/>
      <c r="T39" s="2">
        <v>1139</v>
      </c>
      <c r="U39" s="2">
        <v>1155</v>
      </c>
      <c r="V39" s="2">
        <v>1187</v>
      </c>
      <c r="W39" s="33"/>
      <c r="Y39" s="17">
        <f>+(V39/D39)^(1/3)-1</f>
        <v>0.22735980658164556</v>
      </c>
    </row>
    <row r="40" spans="1:25" x14ac:dyDescent="0.35">
      <c r="A40" t="s">
        <v>36</v>
      </c>
      <c r="D40" s="2">
        <v>2075</v>
      </c>
      <c r="E40" s="2">
        <v>2358</v>
      </c>
      <c r="F40" s="2">
        <v>3117</v>
      </c>
      <c r="G40" s="2">
        <f>+G39*4</f>
        <v>4761.1200000000008</v>
      </c>
      <c r="H40" s="2">
        <f t="shared" ref="H40:N40" si="81">+H39*4</f>
        <v>5142.0096000000012</v>
      </c>
      <c r="I40" s="2">
        <f t="shared" si="81"/>
        <v>6170.4115200000015</v>
      </c>
      <c r="J40" s="2">
        <f t="shared" si="81"/>
        <v>7095.9732480000011</v>
      </c>
      <c r="K40" s="2">
        <f t="shared" si="81"/>
        <v>8089.409502720001</v>
      </c>
      <c r="L40" s="2">
        <f t="shared" si="81"/>
        <v>9141.0327380735998</v>
      </c>
      <c r="M40" s="2">
        <f t="shared" si="81"/>
        <v>10237.956666642431</v>
      </c>
      <c r="N40" s="2">
        <f t="shared" si="81"/>
        <v>11364.131899973097</v>
      </c>
      <c r="O40" s="33"/>
      <c r="P40" s="2"/>
      <c r="Q40" s="2"/>
      <c r="R40" s="2"/>
      <c r="S40" s="2"/>
      <c r="T40" s="2">
        <v>3271</v>
      </c>
      <c r="U40" s="2">
        <v>3365</v>
      </c>
      <c r="V40" s="2">
        <v>3391</v>
      </c>
      <c r="W40" s="33"/>
      <c r="Y40" s="17">
        <f>+(V40/D40)^(1/3)-1</f>
        <v>0.1778859177058485</v>
      </c>
    </row>
    <row r="41" spans="1:25" x14ac:dyDescent="0.35">
      <c r="A41" t="s">
        <v>59</v>
      </c>
      <c r="D41" s="2"/>
      <c r="E41" s="1">
        <f>+E3*10000000/AVERAGE(E39,D39)/100000</f>
        <v>5.849031396125584</v>
      </c>
      <c r="F41" s="1">
        <f>+F3*10000000/AVERAGE(F39,E39)/100000</f>
        <v>6.5177195685670259</v>
      </c>
      <c r="G41" s="1">
        <f>+F41*(1+G42)</f>
        <v>6.8436055469953772</v>
      </c>
      <c r="H41" s="1">
        <f t="shared" ref="H41:L41" si="82">+G41*(1+H42)</f>
        <v>7.185785824345146</v>
      </c>
      <c r="I41" s="1">
        <f t="shared" si="82"/>
        <v>7.5450751155624038</v>
      </c>
      <c r="J41" s="1">
        <f t="shared" si="82"/>
        <v>7.9223288713405244</v>
      </c>
      <c r="K41" s="1">
        <f t="shared" si="82"/>
        <v>8.3184453149075512</v>
      </c>
      <c r="L41" s="1">
        <f t="shared" si="82"/>
        <v>8.7343675806529291</v>
      </c>
      <c r="M41" s="1">
        <f t="shared" ref="M41" si="83">+L41*(1+M42)</f>
        <v>9.1710859596855752</v>
      </c>
      <c r="N41" s="1">
        <f t="shared" ref="N41" si="84">+M41*(1+N42)</f>
        <v>9.6296402576698537</v>
      </c>
      <c r="O41" s="34"/>
      <c r="P41" s="1"/>
      <c r="Q41" s="1"/>
      <c r="R41" s="1"/>
      <c r="S41" s="1"/>
      <c r="T41" s="1"/>
      <c r="U41" s="1"/>
      <c r="V41" s="1">
        <f>+V3*4*10000000/AVERAGE(V39,F39)/100000</f>
        <v>7.1083808688021071</v>
      </c>
      <c r="W41" s="34"/>
      <c r="X41" s="10"/>
    </row>
    <row r="42" spans="1:25" x14ac:dyDescent="0.35">
      <c r="A42" t="s">
        <v>37</v>
      </c>
      <c r="F42" s="10">
        <f>+F41/E41-1</f>
        <v>0.11432459960539498</v>
      </c>
      <c r="G42" s="12">
        <v>0.05</v>
      </c>
      <c r="H42" s="12">
        <v>0.05</v>
      </c>
      <c r="I42" s="12">
        <v>0.05</v>
      </c>
      <c r="J42" s="12">
        <v>0.05</v>
      </c>
      <c r="K42" s="12">
        <v>0.05</v>
      </c>
      <c r="L42" s="12">
        <v>0.05</v>
      </c>
      <c r="M42" s="12">
        <v>0.05</v>
      </c>
      <c r="N42" s="12">
        <v>0.05</v>
      </c>
      <c r="V42" s="10">
        <f>+V41/F41-1</f>
        <v>9.0623920532521884E-2</v>
      </c>
    </row>
    <row r="43" spans="1:25" x14ac:dyDescent="0.35">
      <c r="D43" s="39">
        <f>+D3*10000000/D40/100000</f>
        <v>1.7990361445783134</v>
      </c>
      <c r="E43" s="39">
        <f t="shared" ref="E43:F43" si="85">+E3*10000000/E40/100000</f>
        <v>1.8566581849024597</v>
      </c>
      <c r="F43" s="39">
        <f t="shared" si="85"/>
        <v>2.0356111645813284</v>
      </c>
      <c r="G43" s="39">
        <f>+F43*1.02</f>
        <v>2.076323387872955</v>
      </c>
      <c r="H43" s="39">
        <f t="shared" ref="H43:N43" si="86">+G43*1.02</f>
        <v>2.1178498556304142</v>
      </c>
      <c r="I43" s="39">
        <f t="shared" si="86"/>
        <v>2.1602068527430225</v>
      </c>
      <c r="J43" s="39">
        <f t="shared" si="86"/>
        <v>2.2034109897978831</v>
      </c>
      <c r="K43" s="39">
        <f t="shared" si="86"/>
        <v>2.2474792095938407</v>
      </c>
      <c r="L43" s="39">
        <f t="shared" si="86"/>
        <v>2.2924287937857177</v>
      </c>
      <c r="M43" s="39">
        <f t="shared" si="86"/>
        <v>2.3382773696614323</v>
      </c>
      <c r="N43" s="39">
        <f t="shared" si="86"/>
        <v>2.385042917054661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Harshit</dc:creator>
  <cp:lastModifiedBy>Harshit</cp:lastModifiedBy>
  <dcterms:created xsi:type="dcterms:W3CDTF">2023-02-20T17:38:41Z</dcterms:created>
  <dcterms:modified xsi:type="dcterms:W3CDTF">2023-03-29T18:59:08Z</dcterms:modified>
</cp:coreProperties>
</file>