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6CD8108-810D-4290-8E36-5970C48951F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RR Chart" sheetId="6" r:id="rId1"/>
    <sheet name="IRR" sheetId="1" r:id="rId2"/>
    <sheet name="Maintanence Capex" sheetId="2" r:id="rId3"/>
    <sheet name="Operating Profit Margin" sheetId="3" r:id="rId4"/>
    <sheet name="Interest Paid" sheetId="5" r:id="rId5"/>
  </sheet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l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B5" i="1"/>
  <c r="B3" i="1"/>
  <c r="B6" i="1" l="1"/>
  <c r="D11" i="2"/>
  <c r="D12" i="2"/>
  <c r="D13" i="2"/>
  <c r="D4" i="1"/>
  <c r="D3" i="1"/>
  <c r="D2" i="1"/>
  <c r="H2" i="1" s="1"/>
  <c r="J2" i="1" s="1"/>
  <c r="C4" i="5"/>
  <c r="D4" i="5"/>
  <c r="E4" i="5"/>
  <c r="F4" i="5"/>
  <c r="G4" i="5"/>
  <c r="H4" i="5"/>
  <c r="I4" i="5"/>
  <c r="J4" i="5"/>
  <c r="K4" i="5"/>
  <c r="B4" i="5"/>
  <c r="C4" i="3"/>
  <c r="D4" i="3"/>
  <c r="E4" i="3"/>
  <c r="F4" i="3"/>
  <c r="G4" i="3"/>
  <c r="H4" i="3"/>
  <c r="I4" i="3"/>
  <c r="J4" i="3"/>
  <c r="K4" i="3"/>
  <c r="B4" i="3"/>
  <c r="F4" i="1"/>
  <c r="F3" i="1"/>
  <c r="F2" i="1"/>
  <c r="D10" i="2"/>
  <c r="D3" i="2"/>
  <c r="D4" i="2"/>
  <c r="D5" i="2"/>
  <c r="D6" i="2"/>
  <c r="D7" i="2"/>
  <c r="D8" i="2"/>
  <c r="D9" i="2"/>
  <c r="D2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G5" i="1" l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B7" i="1"/>
  <c r="H3" i="1"/>
  <c r="J3" i="1" s="1"/>
  <c r="H4" i="1"/>
  <c r="J4" i="1" s="1"/>
  <c r="H6" i="1"/>
  <c r="J6" i="1" s="1"/>
  <c r="I12" i="1"/>
  <c r="H8" i="1"/>
  <c r="I14" i="1"/>
  <c r="E2" i="1"/>
  <c r="E3" i="1"/>
  <c r="I15" i="1"/>
  <c r="H5" i="1"/>
  <c r="J5" i="1" s="1"/>
  <c r="H9" i="1"/>
  <c r="I10" i="1"/>
  <c r="I11" i="1"/>
  <c r="E4" i="1"/>
  <c r="H7" i="1"/>
  <c r="I13" i="1"/>
  <c r="B8" i="1" l="1"/>
  <c r="J7" i="1"/>
  <c r="K4" i="1"/>
  <c r="L4" i="1" s="1"/>
  <c r="K2" i="1"/>
  <c r="L2" i="1" s="1"/>
  <c r="K3" i="1"/>
  <c r="L3" i="1" s="1"/>
  <c r="H12" i="1"/>
  <c r="H10" i="1"/>
  <c r="H11" i="1"/>
  <c r="H13" i="1"/>
  <c r="B9" i="1" l="1"/>
  <c r="J8" i="1"/>
  <c r="K5" i="1"/>
  <c r="E5" i="1"/>
  <c r="B10" i="1" l="1"/>
  <c r="J9" i="1"/>
  <c r="L5" i="1"/>
  <c r="K6" i="1"/>
  <c r="E6" i="1"/>
  <c r="B11" i="1" l="1"/>
  <c r="J10" i="1"/>
  <c r="L6" i="1"/>
  <c r="K7" i="1"/>
  <c r="E7" i="1"/>
  <c r="B12" i="1" l="1"/>
  <c r="J11" i="1"/>
  <c r="K8" i="1"/>
  <c r="E8" i="1"/>
  <c r="L7" i="1"/>
  <c r="B13" i="1" l="1"/>
  <c r="J12" i="1"/>
  <c r="L8" i="1"/>
  <c r="K9" i="1"/>
  <c r="E9" i="1"/>
  <c r="B14" i="1" l="1"/>
  <c r="J13" i="1"/>
  <c r="K10" i="1"/>
  <c r="E10" i="1"/>
  <c r="L9" i="1"/>
  <c r="M9" i="1" s="1"/>
  <c r="B15" i="1" l="1"/>
  <c r="J14" i="1"/>
  <c r="L10" i="1"/>
  <c r="K11" i="1"/>
  <c r="E11" i="1"/>
  <c r="M10" i="1" l="1"/>
  <c r="B16" i="1"/>
  <c r="J15" i="1"/>
  <c r="L11" i="1"/>
  <c r="M11" i="1" s="1"/>
  <c r="K12" i="1"/>
  <c r="E12" i="1"/>
  <c r="B17" i="1" l="1"/>
  <c r="J16" i="1"/>
  <c r="L12" i="1"/>
  <c r="M12" i="1" s="1"/>
  <c r="K13" i="1"/>
  <c r="E13" i="1"/>
  <c r="B18" i="1" l="1"/>
  <c r="J17" i="1"/>
  <c r="K14" i="1"/>
  <c r="E14" i="1"/>
  <c r="L13" i="1"/>
  <c r="M13" i="1" s="1"/>
  <c r="B19" i="1" l="1"/>
  <c r="J18" i="1"/>
  <c r="L14" i="1"/>
  <c r="M14" i="1" s="1"/>
  <c r="K15" i="1"/>
  <c r="E15" i="1"/>
  <c r="B20" i="1" l="1"/>
  <c r="J19" i="1"/>
  <c r="L15" i="1"/>
  <c r="M15" i="1" s="1"/>
  <c r="K16" i="1"/>
  <c r="E16" i="1"/>
  <c r="B21" i="1" l="1"/>
  <c r="J20" i="1"/>
  <c r="K20" i="1" s="1"/>
  <c r="E20" i="1"/>
  <c r="L16" i="1"/>
  <c r="M16" i="1" s="1"/>
  <c r="K17" i="1"/>
  <c r="E17" i="1"/>
  <c r="L20" i="1" l="1"/>
  <c r="B22" i="1"/>
  <c r="J21" i="1"/>
  <c r="K21" i="1" s="1"/>
  <c r="E21" i="1"/>
  <c r="L17" i="1"/>
  <c r="M17" i="1" s="1"/>
  <c r="K18" i="1"/>
  <c r="E18" i="1"/>
  <c r="L21" i="1" l="1"/>
  <c r="J22" i="1"/>
  <c r="K22" i="1" s="1"/>
  <c r="E22" i="1"/>
  <c r="B23" i="1"/>
  <c r="L18" i="1"/>
  <c r="M18" i="1" s="1"/>
  <c r="K19" i="1"/>
  <c r="E19" i="1"/>
  <c r="B24" i="1" l="1"/>
  <c r="J23" i="1"/>
  <c r="K23" i="1" s="1"/>
  <c r="E23" i="1"/>
  <c r="L22" i="1"/>
  <c r="L19" i="1"/>
  <c r="L23" i="1" l="1"/>
  <c r="J24" i="1"/>
  <c r="K24" i="1" s="1"/>
  <c r="E24" i="1"/>
  <c r="M21" i="1"/>
  <c r="M23" i="1"/>
  <c r="M22" i="1"/>
  <c r="M19" i="1"/>
  <c r="M20" i="1"/>
  <c r="L24" i="1" l="1"/>
  <c r="M24" i="1" s="1"/>
  <c r="M3" i="1"/>
  <c r="M4" i="1"/>
  <c r="M5" i="1"/>
  <c r="M6" i="1"/>
  <c r="M7" i="1"/>
  <c r="M8" i="1"/>
</calcChain>
</file>

<file path=xl/sharedStrings.xml><?xml version="1.0" encoding="utf-8"?>
<sst xmlns="http://schemas.openxmlformats.org/spreadsheetml/2006/main" count="25" uniqueCount="23">
  <si>
    <t>Year</t>
  </si>
  <si>
    <t>Total Inflows</t>
  </si>
  <si>
    <t>Capex</t>
  </si>
  <si>
    <t>Maintanence Capex</t>
  </si>
  <si>
    <t>Extra Beds EBIT</t>
  </si>
  <si>
    <t>Medical College EBIT</t>
  </si>
  <si>
    <t>Debt Taken</t>
  </si>
  <si>
    <t>Depreciation</t>
  </si>
  <si>
    <t>Gross Block</t>
  </si>
  <si>
    <t>Depreciation %</t>
  </si>
  <si>
    <t>Narration</t>
  </si>
  <si>
    <t>Sales</t>
  </si>
  <si>
    <t>Operating Profit</t>
  </si>
  <si>
    <t>OPM</t>
  </si>
  <si>
    <t>Interest Paid</t>
  </si>
  <si>
    <t>Interest</t>
  </si>
  <si>
    <t>Borrowings</t>
  </si>
  <si>
    <t>Interest %</t>
  </si>
  <si>
    <t>Debt Repaid</t>
  </si>
  <si>
    <t>Total Outflows</t>
  </si>
  <si>
    <t>Total Flows</t>
  </si>
  <si>
    <t>IRR</t>
  </si>
  <si>
    <t>Taxation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</si>
</sst>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[$-409]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275D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10" fontId="0" fillId="0" borderId="0" xfId="2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" xfId="2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3" fontId="1" fillId="0" borderId="0" xfId="1" applyFont="1" applyBorder="1" applyAlignment="1">
      <alignment horizontal="center" vertical="center"/>
    </xf>
    <xf numFmtId="43" fontId="0" fillId="0" borderId="0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b="1"/>
              <a:t>KMCH New Capex IRR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IRR!$E$1</c:f>
              <c:strCache>
                <c:ptCount val="1"/>
                <c:pt idx="0">
                  <c:v>Total Inflows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cat>
            <c:numRef>
              <c:f>IRR!$A$2:$A$24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IRR!$E$2:$E$24</c:f>
              <c:numCache>
                <c:formatCode>#,##0.00</c:formatCode>
                <c:ptCount val="23"/>
                <c:pt idx="0">
                  <c:v>77</c:v>
                </c:pt>
                <c:pt idx="1">
                  <c:v>176</c:v>
                </c:pt>
                <c:pt idx="2">
                  <c:v>172</c:v>
                </c:pt>
                <c:pt idx="3">
                  <c:v>57.296195169393592</c:v>
                </c:pt>
                <c:pt idx="4">
                  <c:v>67.897510299884431</c:v>
                </c:pt>
                <c:pt idx="5">
                  <c:v>80.464662153863628</c:v>
                </c:pt>
                <c:pt idx="6">
                  <c:v>95.36302134155909</c:v>
                </c:pt>
                <c:pt idx="7">
                  <c:v>163.02602918303973</c:v>
                </c:pt>
                <c:pt idx="8">
                  <c:v>189.97491923598685</c:v>
                </c:pt>
                <c:pt idx="9">
                  <c:v>221.41524021846448</c:v>
                </c:pt>
                <c:pt idx="10">
                  <c:v>258.10154430578808</c:v>
                </c:pt>
                <c:pt idx="11">
                  <c:v>300.91611725602991</c:v>
                </c:pt>
                <c:pt idx="12">
                  <c:v>350.89075758359525</c:v>
                </c:pt>
                <c:pt idx="13">
                  <c:v>409.23229405334439</c:v>
                </c:pt>
                <c:pt idx="14">
                  <c:v>477.35248710335372</c:v>
                </c:pt>
                <c:pt idx="15">
                  <c:v>556.90307192042576</c:v>
                </c:pt>
                <c:pt idx="16">
                  <c:v>649.81683257534098</c:v>
                </c:pt>
                <c:pt idx="17">
                  <c:v>758.35575130452685</c:v>
                </c:pt>
                <c:pt idx="18">
                  <c:v>885.16745873480977</c:v>
                </c:pt>
                <c:pt idx="19">
                  <c:v>1033.3514243318637</c:v>
                </c:pt>
                <c:pt idx="20">
                  <c:v>1206.5365771901056</c:v>
                </c:pt>
                <c:pt idx="21">
                  <c:v>1408.9723420346072</c:v>
                </c:pt>
                <c:pt idx="22">
                  <c:v>1645.6354216936613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6B-439A-B418-29F7A09A334A}"/>
            </c:ext>
          </c:extLst>
        </c:ser>
        <c:ser>
          <c:idx val="1"/>
          <c:order val="1"/>
          <c:tx>
            <c:strRef>
              <c:f>IRR!$K$1</c:f>
              <c:strCache>
                <c:ptCount val="1"/>
                <c:pt idx="0">
                  <c:v>Total Outflows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cat>
            <c:numRef>
              <c:f>IRR!$A$2:$A$24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IRR!$K$2:$K$24</c:f>
              <c:numCache>
                <c:formatCode>#,##0.00</c:formatCode>
                <c:ptCount val="23"/>
                <c:pt idx="0">
                  <c:v>-164.11128739139946</c:v>
                </c:pt>
                <c:pt idx="1">
                  <c:v>-332.17137285745542</c:v>
                </c:pt>
                <c:pt idx="2">
                  <c:v>-304.37195964477905</c:v>
                </c:pt>
                <c:pt idx="3">
                  <c:v>-72.133235412445302</c:v>
                </c:pt>
                <c:pt idx="4">
                  <c:v>-76.310060039393647</c:v>
                </c:pt>
                <c:pt idx="5">
                  <c:v>-81.054668639430375</c:v>
                </c:pt>
                <c:pt idx="6">
                  <c:v>-86.462220104723244</c:v>
                </c:pt>
                <c:pt idx="7">
                  <c:v>-105.14508181688086</c:v>
                </c:pt>
                <c:pt idx="8">
                  <c:v>-190.88191562277763</c:v>
                </c:pt>
                <c:pt idx="9">
                  <c:v>-195.23438042302584</c:v>
                </c:pt>
                <c:pt idx="10">
                  <c:v>-200.99575292455285</c:v>
                </c:pt>
                <c:pt idx="11">
                  <c:v>-208.39147516313005</c:v>
                </c:pt>
                <c:pt idx="12">
                  <c:v>-217.68461089342483</c:v>
                </c:pt>
                <c:pt idx="13">
                  <c:v>-234.63809108573841</c:v>
                </c:pt>
                <c:pt idx="14">
                  <c:v>-171.55464022686087</c:v>
                </c:pt>
                <c:pt idx="15">
                  <c:v>-194.05311235368001</c:v>
                </c:pt>
                <c:pt idx="16">
                  <c:v>-220.02291973608749</c:v>
                </c:pt>
                <c:pt idx="17">
                  <c:v>-250.03608499799657</c:v>
                </c:pt>
                <c:pt idx="18">
                  <c:v>-284.76136921416054</c:v>
                </c:pt>
                <c:pt idx="19">
                  <c:v>-324.98083583994696</c:v>
                </c:pt>
                <c:pt idx="20">
                  <c:v>-371.60927304235645</c:v>
                </c:pt>
                <c:pt idx="21">
                  <c:v>-425.71697069072337</c:v>
                </c:pt>
                <c:pt idx="22">
                  <c:v>-488.55643486459053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6B-439A-B418-29F7A09A3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768272"/>
        <c:axId val="1310631904"/>
      </c:lineChart>
      <c:lineChart>
        <c:grouping val="standard"/>
        <c:varyColors val="0"/>
        <c:ser>
          <c:idx val="2"/>
          <c:order val="2"/>
          <c:tx>
            <c:strRef>
              <c:f>IRR!$M$1</c:f>
              <c:strCache>
                <c:ptCount val="1"/>
                <c:pt idx="0">
                  <c:v>IRR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val>
            <c:numRef>
              <c:f>IRR!$M$2:$M$24</c:f>
              <c:numCache>
                <c:formatCode>0.00%</c:formatCode>
                <c:ptCount val="23"/>
                <c:pt idx="0">
                  <c:v>-1</c:v>
                </c:pt>
                <c:pt idx="1">
                  <c:v>-0.89691897916482022</c:v>
                </c:pt>
                <c:pt idx="2">
                  <c:v>-0.79383722924205835</c:v>
                </c:pt>
                <c:pt idx="3">
                  <c:v>-0.69075466019683329</c:v>
                </c:pt>
                <c:pt idx="4">
                  <c:v>-0.58767135314776975</c:v>
                </c:pt>
                <c:pt idx="5">
                  <c:v>-0.48458751287548363</c:v>
                </c:pt>
                <c:pt idx="6">
                  <c:v>-0.38150340599158628</c:v>
                </c:pt>
                <c:pt idx="7">
                  <c:v>-0.27841929910768892</c:v>
                </c:pt>
                <c:pt idx="8">
                  <c:v>-0.28109185839437645</c:v>
                </c:pt>
                <c:pt idx="9">
                  <c:v>-0.21000524184284874</c:v>
                </c:pt>
                <c:pt idx="10">
                  <c:v>-0.12686525494198475</c:v>
                </c:pt>
                <c:pt idx="11">
                  <c:v>-5.9311363706614162E-2</c:v>
                </c:pt>
                <c:pt idx="12">
                  <c:v>-6.9706931356121604E-3</c:v>
                </c:pt>
                <c:pt idx="13">
                  <c:v>3.2810144312760858E-2</c:v>
                </c:pt>
                <c:pt idx="14">
                  <c:v>7.3023445899464301E-2</c:v>
                </c:pt>
                <c:pt idx="15">
                  <c:v>0.10122504720928394</c:v>
                </c:pt>
                <c:pt idx="16">
                  <c:v>0.12255641490633429</c:v>
                </c:pt>
                <c:pt idx="17">
                  <c:v>0.13937675378255809</c:v>
                </c:pt>
                <c:pt idx="18">
                  <c:v>0.18095531953651278</c:v>
                </c:pt>
                <c:pt idx="19">
                  <c:v>0.1642504482490974</c:v>
                </c:pt>
                <c:pt idx="20">
                  <c:v>0.17367399223931246</c:v>
                </c:pt>
                <c:pt idx="21">
                  <c:v>0.18165976599607991</c:v>
                </c:pt>
                <c:pt idx="22">
                  <c:v>0.18849150675630222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6B-439A-B418-29F7A09A3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941872"/>
        <c:axId val="1310638144"/>
      </c:lineChart>
      <c:dateAx>
        <c:axId val="117576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0631904"/>
        <c:crosses val="autoZero"/>
        <c:auto val="0"/>
        <c:lblOffset val="100"/>
        <c:baseTimeUnit val="days"/>
      </c:dateAx>
      <c:valAx>
        <c:axId val="1310631904"/>
        <c:scaling>
          <c:orientation val="minMax"/>
          <c:max val="1700"/>
          <c:min val="-500"/>
        </c:scaling>
        <c:delete val="0"/>
        <c:axPos val="l"/>
        <c:numFmt formatCode="[$₹-4009]\ 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5768272"/>
        <c:crosses val="autoZero"/>
        <c:crossBetween val="between"/>
      </c:valAx>
      <c:valAx>
        <c:axId val="1310638144"/>
        <c:scaling>
          <c:orientation val="minMax"/>
          <c:max val="0.2"/>
          <c:min val="-0.4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9941872"/>
        <c:crosses val="max"/>
        <c:crossBetween val="between"/>
        <c:majorUnit val="5.000000000000001E-2"/>
      </c:valAx>
      <c:catAx>
        <c:axId val="1309941872"/>
        <c:scaling>
          <c:orientation val="minMax"/>
        </c:scaling>
        <c:delete val="1"/>
        <c:axPos val="b"/>
        <c:majorTickMark val="out"/>
        <c:minorTickMark val="none"/>
        <c:tickLblPos val="nextTo"/>
        <c:crossAx val="13106381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613833</xdr:colOff>
      <xdr:row>24</xdr:row>
      <xdr:rowOff>158750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BE1F0C4-D7B4-46AB-BD65-A4AFD38C7A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39FDD-9B0D-4B6F-888D-217341D9F097}">
  <dimension ref="A1"/>
  <sheetViews>
    <sheetView tabSelected="1" zoomScale="90" zoomScaleNormal="90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workbookViewId="0"/>
  </sheetViews>
  <sheetFormatPr defaultColWidth="4.85546875" defaultRowHeight="15" x14ac:dyDescent="0.25"/>
  <cols>
    <col min="1" max="1" width="5" style="1" bestFit="1" customWidth="1"/>
    <col min="2" max="2" width="14.42578125" style="1" bestFit="1" customWidth="1"/>
    <col min="3" max="3" width="19.7109375" style="1" bestFit="1" customWidth="1"/>
    <col min="4" max="4" width="11" style="1" bestFit="1" customWidth="1"/>
    <col min="5" max="5" width="12.42578125" style="1" bestFit="1" customWidth="1"/>
    <col min="6" max="6" width="7.28515625" style="1" bestFit="1" customWidth="1"/>
    <col min="7" max="7" width="18.85546875" style="1" bestFit="1" customWidth="1"/>
    <col min="8" max="8" width="12.28515625" style="1" bestFit="1" customWidth="1"/>
    <col min="9" max="9" width="11.85546875" style="1" bestFit="1" customWidth="1"/>
    <col min="10" max="10" width="8.5703125" style="1" bestFit="1" customWidth="1"/>
    <col min="11" max="11" width="14.140625" style="1" bestFit="1" customWidth="1"/>
    <col min="12" max="12" width="11" style="1" bestFit="1" customWidth="1"/>
    <col min="13" max="13" width="8.85546875" style="1" bestFit="1" customWidth="1"/>
    <col min="14" max="16384" width="4.85546875" style="1"/>
  </cols>
  <sheetData>
    <row r="1" spans="1:13" x14ac:dyDescent="0.25">
      <c r="A1" s="3" t="s">
        <v>0</v>
      </c>
      <c r="B1" s="3" t="s">
        <v>4</v>
      </c>
      <c r="C1" s="3" t="s">
        <v>5</v>
      </c>
      <c r="D1" s="3" t="s">
        <v>6</v>
      </c>
      <c r="E1" s="12" t="s">
        <v>1</v>
      </c>
      <c r="F1" s="3" t="s">
        <v>2</v>
      </c>
      <c r="G1" s="3" t="s">
        <v>3</v>
      </c>
      <c r="H1" s="3" t="s">
        <v>14</v>
      </c>
      <c r="I1" s="3" t="s">
        <v>18</v>
      </c>
      <c r="J1" s="3" t="s">
        <v>22</v>
      </c>
      <c r="K1" s="12" t="s">
        <v>19</v>
      </c>
      <c r="L1" s="12" t="s">
        <v>20</v>
      </c>
      <c r="M1" s="12" t="s">
        <v>21</v>
      </c>
    </row>
    <row r="2" spans="1:13" x14ac:dyDescent="0.25">
      <c r="A2" s="4">
        <v>2018</v>
      </c>
      <c r="B2" s="13">
        <v>0</v>
      </c>
      <c r="C2" s="13">
        <v>0</v>
      </c>
      <c r="D2" s="13">
        <f>202-125</f>
        <v>77</v>
      </c>
      <c r="E2" s="13">
        <f>SUM(B2:D2)</f>
        <v>77</v>
      </c>
      <c r="F2" s="13">
        <f>-191.66+'Maintanence Capex'!B12</f>
        <v>-157.32999999999998</v>
      </c>
      <c r="G2" s="13">
        <v>0</v>
      </c>
      <c r="H2" s="13">
        <f>-D2*AVERAGE('Interest Paid'!$B$4:$K$4)</f>
        <v>-6.7812873913994807</v>
      </c>
      <c r="I2" s="13">
        <v>0</v>
      </c>
      <c r="J2" s="13">
        <f>-IF(B2+C2+H2&lt;0,0,(B2+C2+H2)*0.25)</f>
        <v>0</v>
      </c>
      <c r="K2" s="13">
        <f>SUM(F2:J2)</f>
        <v>-164.11128739139946</v>
      </c>
      <c r="L2" s="13">
        <f>E2+K2</f>
        <v>-87.111287391399458</v>
      </c>
      <c r="M2" s="5">
        <v>-1</v>
      </c>
    </row>
    <row r="3" spans="1:13" x14ac:dyDescent="0.25">
      <c r="A3" s="4">
        <f t="shared" ref="A3:A24" si="0">A2+1</f>
        <v>2019</v>
      </c>
      <c r="B3" s="13">
        <f>B2*1.18</f>
        <v>0</v>
      </c>
      <c r="C3" s="13">
        <v>0</v>
      </c>
      <c r="D3" s="13">
        <f>378-202</f>
        <v>176</v>
      </c>
      <c r="E3" s="13">
        <f>SUM(B3:D3)</f>
        <v>176</v>
      </c>
      <c r="F3" s="13">
        <f>-345.42+'Maintanence Capex'!B13</f>
        <v>-309.89</v>
      </c>
      <c r="G3" s="13">
        <v>0</v>
      </c>
      <c r="H3" s="13">
        <f>-(D3+D2)*AVERAGE('Interest Paid'!$B$4:$K$4)</f>
        <v>-22.281372857455437</v>
      </c>
      <c r="I3" s="13">
        <v>0</v>
      </c>
      <c r="J3" s="13">
        <f>-IF(B3+C3+H3&lt;0,0,(B3+C3+H3)*0.25)</f>
        <v>0</v>
      </c>
      <c r="K3" s="13">
        <f>SUM(F3:J3)</f>
        <v>-332.17137285745542</v>
      </c>
      <c r="L3" s="13">
        <f>E3+K3</f>
        <v>-156.17137285745542</v>
      </c>
      <c r="M3" s="5">
        <f ca="1">AVERAGE(M2,M4)</f>
        <v>-0.89691897916482022</v>
      </c>
    </row>
    <row r="4" spans="1:13" x14ac:dyDescent="0.25">
      <c r="A4" s="4">
        <f t="shared" si="0"/>
        <v>2020</v>
      </c>
      <c r="B4" s="13">
        <v>0</v>
      </c>
      <c r="C4" s="13">
        <v>12</v>
      </c>
      <c r="D4" s="13">
        <f>538-378</f>
        <v>160</v>
      </c>
      <c r="E4" s="13">
        <f>SUM(B4:D4)</f>
        <v>172</v>
      </c>
      <c r="F4" s="13">
        <f>-268.0253+0.0257</f>
        <v>-267.99960000000004</v>
      </c>
      <c r="G4" s="13">
        <v>0</v>
      </c>
      <c r="H4" s="13">
        <f>-(D4+D3+D2)*AVERAGE('Interest Paid'!$B$4:$K$4)</f>
        <v>-36.372359644779031</v>
      </c>
      <c r="I4" s="13">
        <v>0</v>
      </c>
      <c r="J4" s="13">
        <f>-IF(B4+C4+H4&lt;0,0,(B4+C4+H4)*0.25)</f>
        <v>0</v>
      </c>
      <c r="K4" s="13">
        <f>SUM(F4:J4)</f>
        <v>-304.37195964477905</v>
      </c>
      <c r="L4" s="13">
        <f>E4+K4</f>
        <v>-132.37195964477905</v>
      </c>
      <c r="M4" s="5">
        <f t="shared" ref="M4:M8" ca="1" si="1">AVERAGE(M3,M5)</f>
        <v>-0.79383722924205835</v>
      </c>
    </row>
    <row r="5" spans="1:13" x14ac:dyDescent="0.25">
      <c r="A5" s="4">
        <f t="shared" si="0"/>
        <v>2021</v>
      </c>
      <c r="B5" s="13">
        <f>200*AVERAGE('Operating Profit Margin'!$B$4:$K$4)</f>
        <v>42.896195169393593</v>
      </c>
      <c r="C5" s="13">
        <f>C4*1.2</f>
        <v>14.399999999999999</v>
      </c>
      <c r="D5" s="13">
        <v>0</v>
      </c>
      <c r="E5" s="13">
        <f>SUM(B5:D5)</f>
        <v>57.296195169393592</v>
      </c>
      <c r="F5" s="13">
        <v>0</v>
      </c>
      <c r="G5" s="13">
        <f>SUM($F$2:$F$4)*AVERAGE('Maintanence Capex'!$D$2:$D$10)</f>
        <v>-30.529916886512634</v>
      </c>
      <c r="H5" s="13">
        <f>-SUM($D$2:$D$4)*AVERAGE('Interest Paid'!$B$4:$K$4)</f>
        <v>-36.372359644779031</v>
      </c>
      <c r="I5" s="13">
        <v>0</v>
      </c>
      <c r="J5" s="13">
        <f>-IF(B5+C5+H5&lt;0,0,(B5+C5+H5)*0.25)</f>
        <v>-5.23095888115364</v>
      </c>
      <c r="K5" s="13">
        <f>SUM(F5:J5)</f>
        <v>-72.133235412445302</v>
      </c>
      <c r="L5" s="13">
        <f>E5+K5</f>
        <v>-14.83704024305171</v>
      </c>
      <c r="M5" s="5">
        <f t="shared" ca="1" si="1"/>
        <v>-0.69075466019683329</v>
      </c>
    </row>
    <row r="6" spans="1:13" x14ac:dyDescent="0.25">
      <c r="A6" s="4">
        <f t="shared" si="0"/>
        <v>2022</v>
      </c>
      <c r="B6" s="13">
        <f t="shared" ref="B6:B24" si="2">B5*1.18</f>
        <v>50.617510299884437</v>
      </c>
      <c r="C6" s="13">
        <f t="shared" ref="C6:C8" si="3">C5*1.2</f>
        <v>17.279999999999998</v>
      </c>
      <c r="D6" s="13">
        <v>0</v>
      </c>
      <c r="E6" s="13">
        <f>SUM(B6:D6)</f>
        <v>67.897510299884431</v>
      </c>
      <c r="F6" s="13">
        <v>0</v>
      </c>
      <c r="G6" s="13">
        <f t="shared" ref="G6:G21" si="4">G5*1.05</f>
        <v>-32.056412730838268</v>
      </c>
      <c r="H6" s="13">
        <f>-SUM($D$2:$D$4)*AVERAGE('Interest Paid'!$B$4:$K$4)</f>
        <v>-36.372359644779031</v>
      </c>
      <c r="I6" s="13">
        <v>0</v>
      </c>
      <c r="J6" s="13">
        <f>-IF(B6+C6+H6&lt;0,0,(B6+C6+H6)*0.25)</f>
        <v>-7.8812876637763498</v>
      </c>
      <c r="K6" s="13">
        <f>SUM(F6:J6)</f>
        <v>-76.310060039393647</v>
      </c>
      <c r="L6" s="13">
        <f>E6+K6</f>
        <v>-8.4125497395092168</v>
      </c>
      <c r="M6" s="5">
        <f t="shared" ca="1" si="1"/>
        <v>-0.58767135314776975</v>
      </c>
    </row>
    <row r="7" spans="1:13" x14ac:dyDescent="0.25">
      <c r="A7" s="4">
        <f t="shared" si="0"/>
        <v>2023</v>
      </c>
      <c r="B7" s="13">
        <f t="shared" si="2"/>
        <v>59.728662153863631</v>
      </c>
      <c r="C7" s="13">
        <f t="shared" si="3"/>
        <v>20.735999999999997</v>
      </c>
      <c r="D7" s="13">
        <v>0</v>
      </c>
      <c r="E7" s="13">
        <f>SUM(B7:D7)</f>
        <v>80.464662153863628</v>
      </c>
      <c r="F7" s="13">
        <v>0</v>
      </c>
      <c r="G7" s="13">
        <f t="shared" si="4"/>
        <v>-33.659233367380182</v>
      </c>
      <c r="H7" s="13">
        <f>-SUM($D$2:$D$4)*AVERAGE('Interest Paid'!$B$4:$K$4)</f>
        <v>-36.372359644779031</v>
      </c>
      <c r="I7" s="13">
        <v>0</v>
      </c>
      <c r="J7" s="13">
        <f>-IF(B7+C7+H7&lt;0,0,(B7+C7+H7)*0.25)</f>
        <v>-11.023075627271149</v>
      </c>
      <c r="K7" s="13">
        <f>SUM(F7:J7)</f>
        <v>-81.054668639430375</v>
      </c>
      <c r="L7" s="13">
        <f>E7+K7</f>
        <v>-0.59000648556674662</v>
      </c>
      <c r="M7" s="5">
        <f t="shared" ca="1" si="1"/>
        <v>-0.48458751287548363</v>
      </c>
    </row>
    <row r="8" spans="1:13" x14ac:dyDescent="0.25">
      <c r="A8" s="4">
        <f t="shared" si="0"/>
        <v>2024</v>
      </c>
      <c r="B8" s="13">
        <f t="shared" si="2"/>
        <v>70.479821341559088</v>
      </c>
      <c r="C8" s="13">
        <f t="shared" si="3"/>
        <v>24.883199999999995</v>
      </c>
      <c r="D8" s="13">
        <v>0</v>
      </c>
      <c r="E8" s="13">
        <f>SUM(B8:D8)</f>
        <v>95.36302134155909</v>
      </c>
      <c r="F8" s="13">
        <v>0</v>
      </c>
      <c r="G8" s="13">
        <f t="shared" si="4"/>
        <v>-35.342195035749192</v>
      </c>
      <c r="H8" s="13">
        <f>-SUM($D$2:$D$4)*AVERAGE('Interest Paid'!$B$4:$K$4)</f>
        <v>-36.372359644779031</v>
      </c>
      <c r="I8" s="13">
        <v>0</v>
      </c>
      <c r="J8" s="13">
        <f>-IF(B8+C8+H8&lt;0,0,(B8+C8+H8)*0.25)</f>
        <v>-14.747665424195015</v>
      </c>
      <c r="K8" s="13">
        <f>SUM(F8:J8)</f>
        <v>-86.462220104723244</v>
      </c>
      <c r="L8" s="13">
        <f>E8+K8</f>
        <v>8.9008012368358465</v>
      </c>
      <c r="M8" s="5">
        <f t="shared" ca="1" si="1"/>
        <v>-0.38150340599158628</v>
      </c>
    </row>
    <row r="9" spans="1:13" x14ac:dyDescent="0.25">
      <c r="A9" s="4">
        <f t="shared" si="0"/>
        <v>2025</v>
      </c>
      <c r="B9" s="13">
        <f t="shared" si="2"/>
        <v>83.16618918303972</v>
      </c>
      <c r="C9" s="13">
        <f>(C8*1.2)+50</f>
        <v>79.859839999999991</v>
      </c>
      <c r="D9" s="13">
        <v>0</v>
      </c>
      <c r="E9" s="13">
        <f>SUM(B9:D9)</f>
        <v>163.02602918303973</v>
      </c>
      <c r="F9" s="13">
        <v>0</v>
      </c>
      <c r="G9" s="13">
        <f t="shared" si="4"/>
        <v>-37.109304787536651</v>
      </c>
      <c r="H9" s="13">
        <f>-SUM($D$2:$D$4)*AVERAGE('Interest Paid'!$B$4:$K$4)</f>
        <v>-36.372359644779031</v>
      </c>
      <c r="I9" s="13">
        <v>0</v>
      </c>
      <c r="J9" s="13">
        <f>-IF(B9+C9+H9&lt;0,0,(B9+C9+H9)*0.25)</f>
        <v>-31.663417384565172</v>
      </c>
      <c r="K9" s="13">
        <f>SUM(F9:J9)</f>
        <v>-105.14508181688086</v>
      </c>
      <c r="L9" s="13">
        <f>E9+K9</f>
        <v>57.880947366158864</v>
      </c>
      <c r="M9" s="5">
        <f>IRR(L2:L9)</f>
        <v>-0.27841929910768892</v>
      </c>
    </row>
    <row r="10" spans="1:13" x14ac:dyDescent="0.25">
      <c r="A10" s="4">
        <f t="shared" si="0"/>
        <v>2026</v>
      </c>
      <c r="B10" s="13">
        <f t="shared" si="2"/>
        <v>98.136103235986866</v>
      </c>
      <c r="C10" s="13">
        <f>C9*1.15</f>
        <v>91.83881599999998</v>
      </c>
      <c r="D10" s="13">
        <v>0</v>
      </c>
      <c r="E10" s="13">
        <f>SUM(B10:D10)</f>
        <v>189.97491923598685</v>
      </c>
      <c r="F10" s="13">
        <v>0</v>
      </c>
      <c r="G10" s="13">
        <f t="shared" si="4"/>
        <v>-38.964770026913484</v>
      </c>
      <c r="H10" s="13">
        <f>-SUM($D$2:$D$4,I10)*AVERAGE('Interest Paid'!$B$4:$K$4)</f>
        <v>-29.097887715823223</v>
      </c>
      <c r="I10" s="13">
        <f>-SUM($D$2:$D$4)/5</f>
        <v>-82.6</v>
      </c>
      <c r="J10" s="13">
        <f>-IF(B10+C10+H10&lt;0,0,(B10+C10+H10)*0.25)</f>
        <v>-40.219257880040907</v>
      </c>
      <c r="K10" s="13">
        <f>SUM(F10:J10)</f>
        <v>-190.88191562277763</v>
      </c>
      <c r="L10" s="13">
        <f>E10+K10</f>
        <v>-0.90699638679078021</v>
      </c>
      <c r="M10" s="5">
        <f>IRR(L2:L10)</f>
        <v>-0.28109185839437645</v>
      </c>
    </row>
    <row r="11" spans="1:13" x14ac:dyDescent="0.25">
      <c r="A11" s="4">
        <f t="shared" si="0"/>
        <v>2027</v>
      </c>
      <c r="B11" s="13">
        <f t="shared" si="2"/>
        <v>115.8006018184645</v>
      </c>
      <c r="C11" s="13">
        <f t="shared" ref="C11:C21" si="5">C10*1.15</f>
        <v>105.61463839999998</v>
      </c>
      <c r="D11" s="13">
        <v>0</v>
      </c>
      <c r="E11" s="13">
        <f>SUM(B11:D11)</f>
        <v>221.41524021846448</v>
      </c>
      <c r="F11" s="13">
        <v>0</v>
      </c>
      <c r="G11" s="13">
        <f t="shared" si="4"/>
        <v>-40.913008528259162</v>
      </c>
      <c r="H11" s="13">
        <f>-SUM($D$2:$D$4,I10,I11)*AVERAGE('Interest Paid'!$B$4:$K$4)</f>
        <v>-21.823415786867418</v>
      </c>
      <c r="I11" s="13">
        <f t="shared" ref="I11:I15" si="6">-SUM($D$2:$D$4)/5</f>
        <v>-82.6</v>
      </c>
      <c r="J11" s="13">
        <f>-IF(B11+C11+H11&lt;0,0,(B11+C11+H11)*0.25)</f>
        <v>-49.897956107899262</v>
      </c>
      <c r="K11" s="13">
        <f>SUM(F11:J11)</f>
        <v>-195.23438042302584</v>
      </c>
      <c r="L11" s="13">
        <f>E11+K11</f>
        <v>26.180859795438636</v>
      </c>
      <c r="M11" s="5">
        <f>IRR(L2:L11)</f>
        <v>-0.21000524184284874</v>
      </c>
    </row>
    <row r="12" spans="1:13" x14ac:dyDescent="0.25">
      <c r="A12" s="4">
        <f t="shared" si="0"/>
        <v>2028</v>
      </c>
      <c r="B12" s="13">
        <f t="shared" si="2"/>
        <v>136.64471014578811</v>
      </c>
      <c r="C12" s="13">
        <f t="shared" si="5"/>
        <v>121.45683415999996</v>
      </c>
      <c r="D12" s="13">
        <v>0</v>
      </c>
      <c r="E12" s="13">
        <f>SUM(B12:D12)</f>
        <v>258.10154430578808</v>
      </c>
      <c r="F12" s="13">
        <v>0</v>
      </c>
      <c r="G12" s="13">
        <f t="shared" si="4"/>
        <v>-42.958658954672124</v>
      </c>
      <c r="H12" s="13">
        <f>-SUM($D$2:$D$4,I10,I11,I12)*AVERAGE('Interest Paid'!$B$4:$K$4)</f>
        <v>-14.548943857911611</v>
      </c>
      <c r="I12" s="13">
        <f t="shared" si="6"/>
        <v>-82.6</v>
      </c>
      <c r="J12" s="13">
        <f>-IF(B12+C12+H12&lt;0,0,(B12+C12+H12)*0.25)</f>
        <v>-60.888150111969118</v>
      </c>
      <c r="K12" s="13">
        <f>SUM(F12:J12)</f>
        <v>-200.99575292455285</v>
      </c>
      <c r="L12" s="13">
        <f>E12+K12</f>
        <v>57.105791381235235</v>
      </c>
      <c r="M12" s="5">
        <f>IRR(L2:L12)</f>
        <v>-0.12686525494198475</v>
      </c>
    </row>
    <row r="13" spans="1:13" x14ac:dyDescent="0.25">
      <c r="A13" s="4">
        <f t="shared" si="0"/>
        <v>2029</v>
      </c>
      <c r="B13" s="13">
        <f t="shared" si="2"/>
        <v>161.24075797202997</v>
      </c>
      <c r="C13" s="13">
        <f t="shared" si="5"/>
        <v>139.67535928399994</v>
      </c>
      <c r="D13" s="13">
        <v>0</v>
      </c>
      <c r="E13" s="13">
        <f>SUM(B13:D13)</f>
        <v>300.91611725602991</v>
      </c>
      <c r="F13" s="13">
        <v>0</v>
      </c>
      <c r="G13" s="13">
        <f t="shared" si="4"/>
        <v>-45.106591902405732</v>
      </c>
      <c r="H13" s="13">
        <f>-SUM($D$2:$D$4,I10,I11,I12,I13)*AVERAGE('Interest Paid'!$B$4:$K$4)</f>
        <v>-7.2744719289558057</v>
      </c>
      <c r="I13" s="13">
        <f t="shared" si="6"/>
        <v>-82.6</v>
      </c>
      <c r="J13" s="13">
        <f>-IF(B13+C13+H13&lt;0,0,(B13+C13+H13)*0.25)</f>
        <v>-73.410411331768529</v>
      </c>
      <c r="K13" s="13">
        <f>SUM(F13:J13)</f>
        <v>-208.39147516313005</v>
      </c>
      <c r="L13" s="13">
        <f>E13+K13</f>
        <v>92.524642092899853</v>
      </c>
      <c r="M13" s="5">
        <f>IRR(L2:L13)</f>
        <v>-5.9311363706614162E-2</v>
      </c>
    </row>
    <row r="14" spans="1:13" x14ac:dyDescent="0.25">
      <c r="A14" s="4">
        <f t="shared" si="0"/>
        <v>2030</v>
      </c>
      <c r="B14" s="13">
        <f t="shared" si="2"/>
        <v>190.26409440699535</v>
      </c>
      <c r="C14" s="13">
        <f t="shared" si="5"/>
        <v>160.62666317659992</v>
      </c>
      <c r="D14" s="13">
        <v>0</v>
      </c>
      <c r="E14" s="13">
        <f>SUM(B14:D14)</f>
        <v>350.89075758359525</v>
      </c>
      <c r="F14" s="13">
        <v>0</v>
      </c>
      <c r="G14" s="13">
        <f t="shared" si="4"/>
        <v>-47.361921497526019</v>
      </c>
      <c r="H14" s="13">
        <v>0</v>
      </c>
      <c r="I14" s="13">
        <f t="shared" si="6"/>
        <v>-82.6</v>
      </c>
      <c r="J14" s="13">
        <f>-IF(B14+C14+H14&lt;0,0,(B14+C14+H14)*0.25)</f>
        <v>-87.722689395898811</v>
      </c>
      <c r="K14" s="13">
        <f>SUM(F14:J14)</f>
        <v>-217.68461089342483</v>
      </c>
      <c r="L14" s="13">
        <f>E14+K14</f>
        <v>133.20614669017041</v>
      </c>
      <c r="M14" s="14">
        <f>IRR(L2:L14)</f>
        <v>-6.9706931356121604E-3</v>
      </c>
    </row>
    <row r="15" spans="1:13" x14ac:dyDescent="0.25">
      <c r="A15" s="4">
        <f t="shared" si="0"/>
        <v>2031</v>
      </c>
      <c r="B15" s="13">
        <f t="shared" si="2"/>
        <v>224.51163140025452</v>
      </c>
      <c r="C15" s="13">
        <f t="shared" si="5"/>
        <v>184.7206626530899</v>
      </c>
      <c r="D15" s="13">
        <v>0</v>
      </c>
      <c r="E15" s="13">
        <f>SUM(B15:D15)</f>
        <v>409.23229405334439</v>
      </c>
      <c r="F15" s="13">
        <v>0</v>
      </c>
      <c r="G15" s="13">
        <f t="shared" si="4"/>
        <v>-49.730017572402325</v>
      </c>
      <c r="H15" s="13">
        <v>0</v>
      </c>
      <c r="I15" s="13">
        <f t="shared" si="6"/>
        <v>-82.6</v>
      </c>
      <c r="J15" s="13">
        <f>-IF(B15+C15+H15&lt;0,0,(B15+C15+H15)*0.25)</f>
        <v>-102.3080735133361</v>
      </c>
      <c r="K15" s="13">
        <f>SUM(F15:J15)</f>
        <v>-234.63809108573841</v>
      </c>
      <c r="L15" s="13">
        <f>E15+K15</f>
        <v>174.59420296760598</v>
      </c>
      <c r="M15" s="14">
        <f>IRR(L2:L15)</f>
        <v>3.2810144312760858E-2</v>
      </c>
    </row>
    <row r="16" spans="1:13" x14ac:dyDescent="0.25">
      <c r="A16" s="4">
        <f t="shared" si="0"/>
        <v>2032</v>
      </c>
      <c r="B16" s="13">
        <f t="shared" si="2"/>
        <v>264.92372505230031</v>
      </c>
      <c r="C16" s="13">
        <f t="shared" si="5"/>
        <v>212.42876205105338</v>
      </c>
      <c r="D16" s="13">
        <v>0</v>
      </c>
      <c r="E16" s="13">
        <f>SUM(B16:D16)</f>
        <v>477.35248710335372</v>
      </c>
      <c r="F16" s="13">
        <v>0</v>
      </c>
      <c r="G16" s="13">
        <f t="shared" si="4"/>
        <v>-52.216518451022445</v>
      </c>
      <c r="H16" s="13">
        <v>0</v>
      </c>
      <c r="I16" s="13">
        <v>0</v>
      </c>
      <c r="J16" s="13">
        <f>-IF(B16+C16+H16&lt;0,0,(B16+C16+H16)*0.25)</f>
        <v>-119.33812177583843</v>
      </c>
      <c r="K16" s="13">
        <f>SUM(F16:J16)</f>
        <v>-171.55464022686087</v>
      </c>
      <c r="L16" s="13">
        <f>E16+K16</f>
        <v>305.79784687649283</v>
      </c>
      <c r="M16" s="14">
        <f>IRR(L2:L16)</f>
        <v>7.3023445899464301E-2</v>
      </c>
    </row>
    <row r="17" spans="1:13" x14ac:dyDescent="0.25">
      <c r="A17" s="4">
        <f t="shared" si="0"/>
        <v>2033</v>
      </c>
      <c r="B17" s="13">
        <f t="shared" si="2"/>
        <v>312.60999556171436</v>
      </c>
      <c r="C17" s="13">
        <f t="shared" si="5"/>
        <v>244.29307635871137</v>
      </c>
      <c r="D17" s="13">
        <v>0</v>
      </c>
      <c r="E17" s="13">
        <f>SUM(B17:D17)</f>
        <v>556.90307192042576</v>
      </c>
      <c r="F17" s="13">
        <v>0</v>
      </c>
      <c r="G17" s="13">
        <f t="shared" si="4"/>
        <v>-54.827344373573567</v>
      </c>
      <c r="H17" s="13">
        <v>0</v>
      </c>
      <c r="I17" s="13">
        <v>0</v>
      </c>
      <c r="J17" s="13">
        <f>-IF(B17+C17+H17&lt;0,0,(B17+C17+H17)*0.25)</f>
        <v>-139.22576798010644</v>
      </c>
      <c r="K17" s="13">
        <f>SUM(F17:J17)</f>
        <v>-194.05311235368001</v>
      </c>
      <c r="L17" s="13">
        <f>E17+K17</f>
        <v>362.84995956674572</v>
      </c>
      <c r="M17" s="14">
        <f>IRR(L2:L17)</f>
        <v>0.10122504720928394</v>
      </c>
    </row>
    <row r="18" spans="1:13" x14ac:dyDescent="0.25">
      <c r="A18" s="4">
        <f t="shared" si="0"/>
        <v>2034</v>
      </c>
      <c r="B18" s="13">
        <f t="shared" si="2"/>
        <v>368.87979476282294</v>
      </c>
      <c r="C18" s="13">
        <f t="shared" si="5"/>
        <v>280.93703781251804</v>
      </c>
      <c r="D18" s="13">
        <v>0</v>
      </c>
      <c r="E18" s="13">
        <f>SUM(B18:D18)</f>
        <v>649.81683257534098</v>
      </c>
      <c r="F18" s="13">
        <v>0</v>
      </c>
      <c r="G18" s="13">
        <f t="shared" si="4"/>
        <v>-57.568711592252249</v>
      </c>
      <c r="H18" s="13">
        <v>0</v>
      </c>
      <c r="I18" s="13">
        <v>0</v>
      </c>
      <c r="J18" s="13">
        <f>-IF(B18+C18+H18&lt;0,0,(B18+C18+H18)*0.25)</f>
        <v>-162.45420814383525</v>
      </c>
      <c r="K18" s="13">
        <f>SUM(F18:J18)</f>
        <v>-220.02291973608749</v>
      </c>
      <c r="L18" s="13">
        <f>E18+K18</f>
        <v>429.79391283925349</v>
      </c>
      <c r="M18" s="14">
        <f>IRR(L2:L18)</f>
        <v>0.12255641490633429</v>
      </c>
    </row>
    <row r="19" spans="1:13" x14ac:dyDescent="0.25">
      <c r="A19" s="4">
        <f t="shared" si="0"/>
        <v>2035</v>
      </c>
      <c r="B19" s="13">
        <f t="shared" si="2"/>
        <v>435.27815782013107</v>
      </c>
      <c r="C19" s="13">
        <f t="shared" si="5"/>
        <v>323.07759348439572</v>
      </c>
      <c r="D19" s="13">
        <v>0</v>
      </c>
      <c r="E19" s="13">
        <f>SUM(B19:D19)</f>
        <v>758.35575130452685</v>
      </c>
      <c r="F19" s="13">
        <v>0</v>
      </c>
      <c r="G19" s="13">
        <f t="shared" si="4"/>
        <v>-60.447147171864863</v>
      </c>
      <c r="H19" s="13">
        <v>0</v>
      </c>
      <c r="I19" s="13">
        <v>0</v>
      </c>
      <c r="J19" s="13">
        <f>-IF(B19+C19+H19&lt;0,0,(B19+C19+H19)*0.25)</f>
        <v>-189.58893782613171</v>
      </c>
      <c r="K19" s="13">
        <f>SUM(F19:J19)</f>
        <v>-250.03608499799657</v>
      </c>
      <c r="L19" s="13">
        <f>E19+K19</f>
        <v>508.31966630653028</v>
      </c>
      <c r="M19" s="14">
        <f>IRR(L2:L19)</f>
        <v>0.13937675378255809</v>
      </c>
    </row>
    <row r="20" spans="1:13" x14ac:dyDescent="0.25">
      <c r="A20" s="4">
        <f t="shared" si="0"/>
        <v>2036</v>
      </c>
      <c r="B20" s="13">
        <f t="shared" si="2"/>
        <v>513.62822622775468</v>
      </c>
      <c r="C20" s="13">
        <f t="shared" si="5"/>
        <v>371.53923250705503</v>
      </c>
      <c r="D20" s="13">
        <v>0</v>
      </c>
      <c r="E20" s="13">
        <f>SUM(B20:D20)</f>
        <v>885.16745873480977</v>
      </c>
      <c r="F20" s="13">
        <v>0</v>
      </c>
      <c r="G20" s="13">
        <f t="shared" si="4"/>
        <v>-63.46950453045811</v>
      </c>
      <c r="H20" s="13">
        <v>0</v>
      </c>
      <c r="I20" s="13">
        <v>0</v>
      </c>
      <c r="J20" s="13">
        <f>-IF(B20+C20+H20&lt;0,0,(B20+C20+H20)*0.25)</f>
        <v>-221.29186468370244</v>
      </c>
      <c r="K20" s="13">
        <f>SUM(F20:J20)</f>
        <v>-284.76136921416054</v>
      </c>
      <c r="L20" s="13">
        <f>E20+K20</f>
        <v>600.40608952064918</v>
      </c>
      <c r="M20" s="14">
        <f>IRR(L3:L20)</f>
        <v>0.18095531953651278</v>
      </c>
    </row>
    <row r="21" spans="1:13" x14ac:dyDescent="0.25">
      <c r="A21" s="4">
        <f t="shared" si="0"/>
        <v>2037</v>
      </c>
      <c r="B21" s="13">
        <f t="shared" si="2"/>
        <v>606.08130694875047</v>
      </c>
      <c r="C21" s="13">
        <f t="shared" si="5"/>
        <v>427.27011738311325</v>
      </c>
      <c r="D21" s="13">
        <v>0</v>
      </c>
      <c r="E21" s="13">
        <f>SUM(B21:D21)</f>
        <v>1033.3514243318637</v>
      </c>
      <c r="F21" s="13">
        <v>0</v>
      </c>
      <c r="G21" s="13">
        <f t="shared" si="4"/>
        <v>-66.642979756981021</v>
      </c>
      <c r="H21" s="13">
        <v>0</v>
      </c>
      <c r="I21" s="13">
        <v>0</v>
      </c>
      <c r="J21" s="13">
        <f>-IF(B21+C21+H21&lt;0,0,(B21+C21+H21)*0.25)</f>
        <v>-258.33785608296591</v>
      </c>
      <c r="K21" s="13">
        <f>SUM(F21:J21)</f>
        <v>-324.98083583994696</v>
      </c>
      <c r="L21" s="13">
        <f>E21+K21</f>
        <v>708.37058849191669</v>
      </c>
      <c r="M21" s="14">
        <f>IRR(L2:L21)</f>
        <v>0.1642504482490974</v>
      </c>
    </row>
    <row r="22" spans="1:13" x14ac:dyDescent="0.25">
      <c r="A22" s="4">
        <f t="shared" si="0"/>
        <v>2038</v>
      </c>
      <c r="B22" s="13">
        <f t="shared" si="2"/>
        <v>715.17594219952548</v>
      </c>
      <c r="C22" s="13">
        <f t="shared" ref="C22:C24" si="7">C21*1.15</f>
        <v>491.36063499058019</v>
      </c>
      <c r="D22" s="13">
        <v>0</v>
      </c>
      <c r="E22" s="13">
        <f>SUM(B22:D22)</f>
        <v>1206.5365771901056</v>
      </c>
      <c r="F22" s="13">
        <v>0</v>
      </c>
      <c r="G22" s="13">
        <f t="shared" ref="G22:G24" si="8">G21*1.05</f>
        <v>-69.975128744830073</v>
      </c>
      <c r="H22" s="13">
        <v>0</v>
      </c>
      <c r="I22" s="13">
        <v>0</v>
      </c>
      <c r="J22" s="13">
        <f>-IF(B22+C22+H22&lt;0,0,(B22+C22+H22)*0.25)</f>
        <v>-301.6341442975264</v>
      </c>
      <c r="K22" s="13">
        <f>SUM(F22:J22)</f>
        <v>-371.60927304235645</v>
      </c>
      <c r="L22" s="13">
        <f>E22+K22</f>
        <v>834.92730414774917</v>
      </c>
      <c r="M22" s="14">
        <f>IRR(L2:L22)</f>
        <v>0.17367399223931246</v>
      </c>
    </row>
    <row r="23" spans="1:13" x14ac:dyDescent="0.25">
      <c r="A23" s="4">
        <f t="shared" si="0"/>
        <v>2039</v>
      </c>
      <c r="B23" s="13">
        <f t="shared" si="2"/>
        <v>843.90761179544006</v>
      </c>
      <c r="C23" s="13">
        <f t="shared" si="7"/>
        <v>565.06473023916715</v>
      </c>
      <c r="D23" s="13">
        <v>0</v>
      </c>
      <c r="E23" s="13">
        <f>SUM(B23:D23)</f>
        <v>1408.9723420346072</v>
      </c>
      <c r="F23" s="13">
        <v>0</v>
      </c>
      <c r="G23" s="13">
        <f t="shared" si="8"/>
        <v>-73.473885182071584</v>
      </c>
      <c r="H23" s="13">
        <v>0</v>
      </c>
      <c r="I23" s="13">
        <v>0</v>
      </c>
      <c r="J23" s="13">
        <f>-IF(B23+C23+H23&lt;0,0,(B23+C23+H23)*0.25)</f>
        <v>-352.2430855086518</v>
      </c>
      <c r="K23" s="13">
        <f>SUM(F23:J23)</f>
        <v>-425.71697069072337</v>
      </c>
      <c r="L23" s="13">
        <f>E23+K23</f>
        <v>983.25537134388378</v>
      </c>
      <c r="M23" s="14">
        <f>IRR(L2:L23)</f>
        <v>0.18165976599607991</v>
      </c>
    </row>
    <row r="24" spans="1:13" x14ac:dyDescent="0.25">
      <c r="A24" s="4">
        <f t="shared" si="0"/>
        <v>2040</v>
      </c>
      <c r="B24" s="13">
        <f t="shared" si="2"/>
        <v>995.81098191861918</v>
      </c>
      <c r="C24" s="13">
        <f t="shared" si="7"/>
        <v>649.82443977504215</v>
      </c>
      <c r="D24" s="13">
        <v>0</v>
      </c>
      <c r="E24" s="13">
        <f>SUM(B24:D24)</f>
        <v>1645.6354216936613</v>
      </c>
      <c r="F24" s="13">
        <v>0</v>
      </c>
      <c r="G24" s="13">
        <f t="shared" si="8"/>
        <v>-77.147579441175168</v>
      </c>
      <c r="H24" s="13">
        <v>0</v>
      </c>
      <c r="I24" s="13">
        <v>0</v>
      </c>
      <c r="J24" s="13">
        <f>-IF(B24+C24+H24&lt;0,0,(B24+C24+H24)*0.25)</f>
        <v>-411.40885542341533</v>
      </c>
      <c r="K24" s="13">
        <f>SUM(F24:J24)</f>
        <v>-488.55643486459053</v>
      </c>
      <c r="L24" s="13">
        <f>E24+K24</f>
        <v>1157.0789868290708</v>
      </c>
      <c r="M24" s="14">
        <f>IRR(L2:L24)</f>
        <v>0.18849150675630222</v>
      </c>
    </row>
  </sheetData>
  <conditionalFormatting sqref="M2:M2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12B3F-2F05-402B-867C-C0898EB97918}">
  <dimension ref="A1:D13"/>
  <sheetViews>
    <sheetView workbookViewId="0"/>
  </sheetViews>
  <sheetFormatPr defaultRowHeight="15" x14ac:dyDescent="0.25"/>
  <cols>
    <col min="1" max="1" width="5" style="1" bestFit="1" customWidth="1"/>
    <col min="2" max="2" width="12.42578125" style="1" bestFit="1" customWidth="1"/>
    <col min="3" max="3" width="11.140625" style="1" bestFit="1" customWidth="1"/>
    <col min="4" max="4" width="14.5703125" style="1" bestFit="1" customWidth="1"/>
    <col min="5" max="16384" width="9.140625" style="1"/>
  </cols>
  <sheetData>
    <row r="1" spans="1:4" x14ac:dyDescent="0.25">
      <c r="A1" s="3" t="s">
        <v>0</v>
      </c>
      <c r="B1" s="3" t="s">
        <v>7</v>
      </c>
      <c r="C1" s="3" t="s">
        <v>8</v>
      </c>
      <c r="D1" s="3" t="s">
        <v>9</v>
      </c>
    </row>
    <row r="2" spans="1:4" x14ac:dyDescent="0.25">
      <c r="A2" s="4">
        <v>2008</v>
      </c>
      <c r="B2" s="6">
        <v>4</v>
      </c>
      <c r="C2" s="6">
        <v>85</v>
      </c>
      <c r="D2" s="5">
        <f>B2/C2</f>
        <v>4.7058823529411764E-2</v>
      </c>
    </row>
    <row r="3" spans="1:4" x14ac:dyDescent="0.25">
      <c r="A3" s="4">
        <f>A2+1</f>
        <v>2009</v>
      </c>
      <c r="B3" s="6">
        <v>4</v>
      </c>
      <c r="C3" s="6">
        <v>97</v>
      </c>
      <c r="D3" s="5">
        <f t="shared" ref="D3:D13" si="0">B3/C3</f>
        <v>4.1237113402061855E-2</v>
      </c>
    </row>
    <row r="4" spans="1:4" x14ac:dyDescent="0.25">
      <c r="A4" s="4">
        <f t="shared" ref="A4:A13" si="1">A3+1</f>
        <v>2010</v>
      </c>
      <c r="B4" s="4">
        <v>4.6900000000000004</v>
      </c>
      <c r="C4" s="6">
        <v>139</v>
      </c>
      <c r="D4" s="5">
        <f t="shared" si="0"/>
        <v>3.374100719424461E-2</v>
      </c>
    </row>
    <row r="5" spans="1:4" x14ac:dyDescent="0.25">
      <c r="A5" s="4">
        <f t="shared" si="1"/>
        <v>2011</v>
      </c>
      <c r="B5" s="4">
        <v>6.63</v>
      </c>
      <c r="C5" s="6">
        <v>233</v>
      </c>
      <c r="D5" s="5">
        <f t="shared" si="0"/>
        <v>2.8454935622317597E-2</v>
      </c>
    </row>
    <row r="6" spans="1:4" x14ac:dyDescent="0.25">
      <c r="A6" s="4">
        <f t="shared" si="1"/>
        <v>2012</v>
      </c>
      <c r="B6" s="4">
        <v>12.13</v>
      </c>
      <c r="C6" s="6">
        <v>348</v>
      </c>
      <c r="D6" s="5">
        <f t="shared" si="0"/>
        <v>3.4856321839080461E-2</v>
      </c>
    </row>
    <row r="7" spans="1:4" x14ac:dyDescent="0.25">
      <c r="A7" s="4">
        <f t="shared" si="1"/>
        <v>2013</v>
      </c>
      <c r="B7" s="4">
        <v>14.51</v>
      </c>
      <c r="C7" s="6">
        <v>349</v>
      </c>
      <c r="D7" s="5">
        <f t="shared" si="0"/>
        <v>4.157593123209169E-2</v>
      </c>
    </row>
    <row r="8" spans="1:4" x14ac:dyDescent="0.25">
      <c r="A8" s="4">
        <f t="shared" si="1"/>
        <v>2014</v>
      </c>
      <c r="B8" s="4">
        <v>16.3</v>
      </c>
      <c r="C8" s="6">
        <v>361</v>
      </c>
      <c r="D8" s="5">
        <f t="shared" si="0"/>
        <v>4.515235457063712E-2</v>
      </c>
    </row>
    <row r="9" spans="1:4" x14ac:dyDescent="0.25">
      <c r="A9" s="4">
        <f t="shared" si="1"/>
        <v>2015</v>
      </c>
      <c r="B9" s="4">
        <v>21.2</v>
      </c>
      <c r="C9" s="6">
        <v>378</v>
      </c>
      <c r="D9" s="5">
        <f t="shared" si="0"/>
        <v>5.6084656084656084E-2</v>
      </c>
    </row>
    <row r="10" spans="1:4" x14ac:dyDescent="0.25">
      <c r="A10" s="4">
        <f t="shared" si="1"/>
        <v>2016</v>
      </c>
      <c r="B10" s="4">
        <v>20.64</v>
      </c>
      <c r="C10" s="6">
        <v>453</v>
      </c>
      <c r="D10" s="5">
        <f t="shared" si="0"/>
        <v>4.5562913907284772E-2</v>
      </c>
    </row>
    <row r="11" spans="1:4" x14ac:dyDescent="0.25">
      <c r="A11" s="4">
        <f t="shared" si="1"/>
        <v>2017</v>
      </c>
      <c r="B11" s="4">
        <v>23.81</v>
      </c>
      <c r="C11" s="6">
        <v>377</v>
      </c>
      <c r="D11" s="5">
        <f t="shared" si="0"/>
        <v>6.3156498673740055E-2</v>
      </c>
    </row>
    <row r="12" spans="1:4" x14ac:dyDescent="0.25">
      <c r="A12" s="4">
        <f t="shared" si="1"/>
        <v>2018</v>
      </c>
      <c r="B12" s="4">
        <v>34.33</v>
      </c>
      <c r="C12" s="6">
        <v>486</v>
      </c>
      <c r="D12" s="5">
        <f t="shared" si="0"/>
        <v>7.0637860082304521E-2</v>
      </c>
    </row>
    <row r="13" spans="1:4" x14ac:dyDescent="0.25">
      <c r="A13" s="4">
        <f t="shared" si="1"/>
        <v>2019</v>
      </c>
      <c r="B13" s="4">
        <v>35.53</v>
      </c>
      <c r="C13" s="6">
        <v>548</v>
      </c>
      <c r="D13" s="5">
        <f t="shared" si="0"/>
        <v>6.4835766423357671E-2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B3165-D4AC-4FB1-B7C7-3B17A15F2A50}">
  <dimension ref="A1:K4"/>
  <sheetViews>
    <sheetView workbookViewId="0"/>
  </sheetViews>
  <sheetFormatPr defaultRowHeight="15" x14ac:dyDescent="0.25"/>
  <cols>
    <col min="1" max="1" width="15.42578125" style="1" bestFit="1" customWidth="1"/>
    <col min="2" max="11" width="7.42578125" style="1" bestFit="1" customWidth="1"/>
    <col min="12" max="16384" width="9.140625" style="1"/>
  </cols>
  <sheetData>
    <row r="1" spans="1:11" x14ac:dyDescent="0.25">
      <c r="A1" s="7" t="s">
        <v>10</v>
      </c>
      <c r="B1" s="8">
        <v>40268</v>
      </c>
      <c r="C1" s="8">
        <v>40633</v>
      </c>
      <c r="D1" s="8">
        <v>40999</v>
      </c>
      <c r="E1" s="8">
        <v>41364</v>
      </c>
      <c r="F1" s="8">
        <v>41729</v>
      </c>
      <c r="G1" s="8">
        <v>42094</v>
      </c>
      <c r="H1" s="8">
        <v>42460</v>
      </c>
      <c r="I1" s="8">
        <v>42825</v>
      </c>
      <c r="J1" s="8">
        <v>43190</v>
      </c>
      <c r="K1" s="8">
        <v>43555</v>
      </c>
    </row>
    <row r="2" spans="1:11" x14ac:dyDescent="0.25">
      <c r="A2" s="9" t="s">
        <v>11</v>
      </c>
      <c r="B2" s="10">
        <v>130.07</v>
      </c>
      <c r="C2" s="10">
        <v>174.72</v>
      </c>
      <c r="D2" s="10">
        <v>222.37</v>
      </c>
      <c r="E2" s="10">
        <v>297.13</v>
      </c>
      <c r="F2" s="10">
        <v>334.06</v>
      </c>
      <c r="G2" s="10">
        <v>401.62</v>
      </c>
      <c r="H2" s="10">
        <v>465.3</v>
      </c>
      <c r="I2" s="10">
        <v>531.07000000000005</v>
      </c>
      <c r="J2" s="10">
        <v>588.33000000000004</v>
      </c>
      <c r="K2" s="10">
        <v>627.65</v>
      </c>
    </row>
    <row r="3" spans="1:11" x14ac:dyDescent="0.25">
      <c r="A3" s="9" t="s">
        <v>12</v>
      </c>
      <c r="B3" s="10">
        <v>24.889999999999986</v>
      </c>
      <c r="C3" s="10">
        <v>36.04000000000002</v>
      </c>
      <c r="D3" s="10">
        <v>43.390000000000015</v>
      </c>
      <c r="E3" s="10">
        <v>70.240000000000009</v>
      </c>
      <c r="F3" s="10">
        <v>72.860000000000014</v>
      </c>
      <c r="G3" s="10">
        <v>94.279999999999973</v>
      </c>
      <c r="H3" s="10">
        <v>91.70999999999998</v>
      </c>
      <c r="I3" s="10">
        <v>124.69000000000011</v>
      </c>
      <c r="J3" s="10">
        <v>129.49000000000007</v>
      </c>
      <c r="K3" s="10">
        <v>132.32</v>
      </c>
    </row>
    <row r="4" spans="1:11" x14ac:dyDescent="0.25">
      <c r="A4" s="1" t="s">
        <v>13</v>
      </c>
      <c r="B4" s="2">
        <f>B3/B2</f>
        <v>0.19135849926962395</v>
      </c>
      <c r="C4" s="2">
        <f t="shared" ref="C4:K4" si="0">C3/C2</f>
        <v>0.2062728937728939</v>
      </c>
      <c r="D4" s="2">
        <f t="shared" si="0"/>
        <v>0.19512524171426007</v>
      </c>
      <c r="E4" s="2">
        <f t="shared" si="0"/>
        <v>0.23639484400767344</v>
      </c>
      <c r="F4" s="2">
        <f t="shared" si="0"/>
        <v>0.21810453211997849</v>
      </c>
      <c r="G4" s="2">
        <f t="shared" si="0"/>
        <v>0.23474926547482688</v>
      </c>
      <c r="H4" s="2">
        <f t="shared" si="0"/>
        <v>0.19709864603481619</v>
      </c>
      <c r="I4" s="2">
        <f t="shared" si="0"/>
        <v>0.23479014065942361</v>
      </c>
      <c r="J4" s="2">
        <f t="shared" si="0"/>
        <v>0.22009756429214905</v>
      </c>
      <c r="K4" s="2">
        <f t="shared" si="0"/>
        <v>0.21081813112403408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ABA63-81FD-4229-9428-D44AFEF0F2BA}">
  <dimension ref="A1:K4"/>
  <sheetViews>
    <sheetView workbookViewId="0">
      <selection activeCell="A4" sqref="A4"/>
    </sheetView>
  </sheetViews>
  <sheetFormatPr defaultRowHeight="15" x14ac:dyDescent="0.25"/>
  <cols>
    <col min="1" max="1" width="11" style="1" bestFit="1" customWidth="1"/>
    <col min="2" max="11" width="7.42578125" style="1" bestFit="1" customWidth="1"/>
    <col min="12" max="16384" width="9.140625" style="1"/>
  </cols>
  <sheetData>
    <row r="1" spans="1:11" x14ac:dyDescent="0.25">
      <c r="A1" s="7" t="s">
        <v>10</v>
      </c>
      <c r="B1" s="8">
        <v>40268</v>
      </c>
      <c r="C1" s="8">
        <v>40633</v>
      </c>
      <c r="D1" s="8">
        <v>40999</v>
      </c>
      <c r="E1" s="8">
        <v>41364</v>
      </c>
      <c r="F1" s="8">
        <v>41729</v>
      </c>
      <c r="G1" s="8">
        <v>42094</v>
      </c>
      <c r="H1" s="8">
        <v>42460</v>
      </c>
      <c r="I1" s="8">
        <v>42825</v>
      </c>
      <c r="J1" s="8">
        <v>43190</v>
      </c>
      <c r="K1" s="8">
        <v>43555</v>
      </c>
    </row>
    <row r="2" spans="1:11" x14ac:dyDescent="0.25">
      <c r="A2" s="1" t="s">
        <v>15</v>
      </c>
      <c r="B2" s="10">
        <v>4.84</v>
      </c>
      <c r="C2" s="10">
        <v>11.11</v>
      </c>
      <c r="D2" s="10">
        <v>16.579999999999998</v>
      </c>
      <c r="E2" s="10">
        <v>27.46</v>
      </c>
      <c r="F2" s="10">
        <v>23.94</v>
      </c>
      <c r="G2" s="10">
        <v>20.38</v>
      </c>
      <c r="H2" s="10">
        <v>16.66</v>
      </c>
      <c r="I2" s="10">
        <v>14.72</v>
      </c>
      <c r="J2" s="10">
        <v>12.86</v>
      </c>
      <c r="K2" s="10">
        <v>12.18</v>
      </c>
    </row>
    <row r="3" spans="1:11" x14ac:dyDescent="0.25">
      <c r="A3" s="1" t="s">
        <v>16</v>
      </c>
      <c r="B3" s="11">
        <v>108.18</v>
      </c>
      <c r="C3" s="11">
        <v>192.25</v>
      </c>
      <c r="D3" s="11">
        <v>227.81</v>
      </c>
      <c r="E3" s="11">
        <v>209.34</v>
      </c>
      <c r="F3" s="11">
        <v>183.63</v>
      </c>
      <c r="G3" s="11">
        <v>162.66999999999999</v>
      </c>
      <c r="H3" s="11">
        <v>158.36000000000001</v>
      </c>
      <c r="I3" s="11">
        <v>125.48</v>
      </c>
      <c r="J3" s="11">
        <v>201.6</v>
      </c>
      <c r="K3" s="11">
        <v>377.73</v>
      </c>
    </row>
    <row r="4" spans="1:11" x14ac:dyDescent="0.25">
      <c r="A4" s="1" t="s">
        <v>17</v>
      </c>
      <c r="B4" s="2">
        <f>B2/B3</f>
        <v>4.4740247735256047E-2</v>
      </c>
      <c r="C4" s="2">
        <f t="shared" ref="C4:K4" si="0">C2/C3</f>
        <v>5.7789336801040307E-2</v>
      </c>
      <c r="D4" s="2">
        <f t="shared" si="0"/>
        <v>7.2779948202449402E-2</v>
      </c>
      <c r="E4" s="2">
        <f t="shared" si="0"/>
        <v>0.13117416642782076</v>
      </c>
      <c r="F4" s="2">
        <f t="shared" si="0"/>
        <v>0.13037085443554974</v>
      </c>
      <c r="G4" s="2">
        <f t="shared" si="0"/>
        <v>0.12528431794430442</v>
      </c>
      <c r="H4" s="2">
        <f t="shared" si="0"/>
        <v>0.10520333417529679</v>
      </c>
      <c r="I4" s="2">
        <f t="shared" si="0"/>
        <v>0.11730953139942621</v>
      </c>
      <c r="J4" s="2">
        <f t="shared" si="0"/>
        <v>6.3789682539682535E-2</v>
      </c>
      <c r="K4" s="2">
        <f t="shared" si="0"/>
        <v>3.2245254546898576E-2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IRR Chart</vt:lpstr>
      <vt:lpstr>IRR</vt:lpstr>
      <vt:lpstr>Maintanence Capex</vt:lpstr>
      <vt:lpstr>Operating Profit Margin</vt:lpstr>
      <vt:lpstr>Interest Paid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 Sairam</dc:creator>
  <cp:lastModifiedBy>Dinesh Sairam</cp:lastModifiedBy>
  <dcterms:created xsi:type="dcterms:W3CDTF">2015-06-05T18:17:20Z</dcterms:created>
  <dcterms:modified xsi:type="dcterms:W3CDTF">2020-07-26T21:35:11Z</dcterms:modified>
</cp:coreProperties>
</file>