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SEARCH\portfolio\Monitorables - company\"/>
    </mc:Choice>
  </mc:AlternateContent>
  <bookViews>
    <workbookView xWindow="0" yWindow="0" windowWidth="20400" windowHeight="76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G99" i="1"/>
  <c r="F99" i="1"/>
  <c r="E99" i="1"/>
  <c r="I98" i="1"/>
  <c r="H98" i="1"/>
  <c r="G98" i="1"/>
  <c r="F98" i="1"/>
  <c r="I97" i="1"/>
  <c r="H97" i="1"/>
  <c r="G97" i="1"/>
  <c r="F97" i="1"/>
  <c r="E97" i="1"/>
  <c r="I94" i="1"/>
  <c r="H94" i="1"/>
  <c r="G94" i="1"/>
  <c r="F94" i="1"/>
  <c r="E94" i="1"/>
  <c r="I93" i="1"/>
  <c r="H93" i="1"/>
  <c r="G93" i="1"/>
  <c r="F93" i="1"/>
  <c r="I85" i="1"/>
  <c r="H87" i="1"/>
  <c r="G87" i="1"/>
  <c r="F87" i="1"/>
  <c r="I87" i="1"/>
  <c r="H86" i="1"/>
  <c r="G86" i="1"/>
  <c r="F86" i="1"/>
  <c r="E86" i="1"/>
  <c r="I86" i="1"/>
  <c r="G148" i="1"/>
  <c r="F148" i="1"/>
  <c r="E148" i="1"/>
  <c r="I148" i="1"/>
  <c r="H148" i="1"/>
  <c r="I145" i="1"/>
  <c r="H145" i="1"/>
  <c r="G145" i="1"/>
  <c r="F145" i="1"/>
  <c r="F144" i="1" s="1"/>
  <c r="G144" i="1"/>
  <c r="E144" i="1"/>
  <c r="I135" i="1"/>
  <c r="H135" i="1"/>
  <c r="G135" i="1"/>
  <c r="F135" i="1"/>
  <c r="E135" i="1"/>
  <c r="I132" i="1"/>
  <c r="H132" i="1"/>
  <c r="G132" i="1"/>
  <c r="F132" i="1"/>
  <c r="F138" i="1" s="1"/>
  <c r="M128" i="1"/>
  <c r="M129" i="1" s="1"/>
  <c r="P129" i="1"/>
  <c r="O129" i="1"/>
  <c r="N129" i="1"/>
  <c r="Q129" i="1"/>
  <c r="I113" i="1"/>
  <c r="H113" i="1"/>
  <c r="G113" i="1"/>
  <c r="F113" i="1"/>
  <c r="E113" i="1"/>
  <c r="F103" i="1"/>
  <c r="E103" i="1"/>
  <c r="E140" i="1"/>
  <c r="E142" i="1" s="1"/>
  <c r="E132" i="1"/>
  <c r="E138" i="1" s="1"/>
  <c r="E128" i="1"/>
  <c r="F128" i="1"/>
  <c r="E121" i="1"/>
  <c r="E117" i="1"/>
  <c r="E109" i="1"/>
  <c r="E107" i="1"/>
  <c r="F104" i="1" s="1"/>
  <c r="F140" i="1"/>
  <c r="F142" i="1" s="1"/>
  <c r="F121" i="1"/>
  <c r="F117" i="1"/>
  <c r="F109" i="1"/>
  <c r="F107" i="1"/>
  <c r="I78" i="1"/>
  <c r="I134" i="1" s="1"/>
  <c r="H78" i="1"/>
  <c r="H134" i="1" s="1"/>
  <c r="G78" i="1"/>
  <c r="G103" i="1" s="1"/>
  <c r="F78" i="1"/>
  <c r="F134" i="1" s="1"/>
  <c r="E78" i="1"/>
  <c r="E134" i="1" s="1"/>
  <c r="I75" i="1"/>
  <c r="H75" i="1"/>
  <c r="G75" i="1"/>
  <c r="F75" i="1"/>
  <c r="E75" i="1"/>
  <c r="F67" i="1"/>
  <c r="E67" i="1"/>
  <c r="G65" i="1"/>
  <c r="F65" i="1"/>
  <c r="I64" i="1"/>
  <c r="I65" i="1" s="1"/>
  <c r="H64" i="1"/>
  <c r="H65" i="1" s="1"/>
  <c r="G64" i="1"/>
  <c r="F64" i="1"/>
  <c r="E64" i="1"/>
  <c r="E65" i="1" s="1"/>
  <c r="G62" i="1"/>
  <c r="F62" i="1"/>
  <c r="M25" i="1"/>
  <c r="M28" i="1" s="1"/>
  <c r="M29" i="1" s="1"/>
  <c r="L25" i="1"/>
  <c r="L28" i="1" s="1"/>
  <c r="L29" i="1" s="1"/>
  <c r="K25" i="1"/>
  <c r="K28" i="1" s="1"/>
  <c r="K29" i="1" s="1"/>
  <c r="J25" i="1"/>
  <c r="J28" i="1" s="1"/>
  <c r="J29" i="1" s="1"/>
  <c r="I25" i="1"/>
  <c r="I28" i="1" s="1"/>
  <c r="I29" i="1" s="1"/>
  <c r="G171" i="1"/>
  <c r="I170" i="1"/>
  <c r="I165" i="1"/>
  <c r="H165" i="1"/>
  <c r="H174" i="1" s="1"/>
  <c r="G165" i="1"/>
  <c r="G153" i="1"/>
  <c r="I151" i="1"/>
  <c r="G150" i="1"/>
  <c r="I140" i="1"/>
  <c r="H140" i="1"/>
  <c r="G140" i="1"/>
  <c r="G134" i="1"/>
  <c r="I138" i="1"/>
  <c r="H138" i="1"/>
  <c r="G138" i="1"/>
  <c r="I144" i="1"/>
  <c r="H144" i="1"/>
  <c r="I121" i="1"/>
  <c r="H121" i="1"/>
  <c r="G121" i="1"/>
  <c r="I117" i="1"/>
  <c r="H117" i="1"/>
  <c r="G117" i="1"/>
  <c r="G109" i="1"/>
  <c r="G107" i="1"/>
  <c r="H107" i="1"/>
  <c r="H67" i="1"/>
  <c r="G67" i="1"/>
  <c r="I67" i="1"/>
  <c r="I62" i="1"/>
  <c r="H62" i="1"/>
  <c r="G104" i="1" l="1"/>
  <c r="H103" i="1"/>
  <c r="H104" i="1"/>
  <c r="E104" i="1"/>
  <c r="H109" i="1"/>
  <c r="G128" i="1"/>
  <c r="I109" i="1"/>
  <c r="H142" i="1"/>
  <c r="G142" i="1"/>
  <c r="I103" i="1"/>
  <c r="I128" i="1"/>
  <c r="H128" i="1"/>
  <c r="I142" i="1"/>
  <c r="I107" i="1"/>
  <c r="I104" i="1" s="1"/>
  <c r="G174" i="1"/>
  <c r="I150" i="1"/>
  <c r="L37" i="1" l="1"/>
  <c r="M37" i="1"/>
  <c r="M36" i="1"/>
  <c r="L44" i="1"/>
  <c r="L45" i="1" s="1"/>
  <c r="K44" i="1"/>
  <c r="K45" i="1" s="1"/>
  <c r="J44" i="1"/>
  <c r="J45" i="1" s="1"/>
  <c r="I44" i="1"/>
  <c r="I45" i="1" s="1"/>
  <c r="H44" i="1"/>
  <c r="H45" i="1" s="1"/>
  <c r="H48" i="1" s="1"/>
  <c r="G44" i="1"/>
  <c r="G45" i="1" s="1"/>
  <c r="G48" i="1" s="1"/>
  <c r="F44" i="1"/>
  <c r="F45" i="1" s="1"/>
  <c r="F48" i="1" s="1"/>
  <c r="E44" i="1"/>
  <c r="E45" i="1" s="1"/>
  <c r="E48" i="1" s="1"/>
  <c r="D44" i="1"/>
  <c r="D45" i="1" s="1"/>
  <c r="C44" i="1"/>
  <c r="C45" i="1" s="1"/>
  <c r="M44" i="1"/>
  <c r="M45" i="1" s="1"/>
  <c r="K32" i="1"/>
  <c r="J32" i="1"/>
  <c r="I32" i="1"/>
  <c r="G32" i="1"/>
  <c r="F32" i="1"/>
  <c r="E32" i="1"/>
  <c r="M40" i="1"/>
  <c r="M41" i="1"/>
  <c r="L40" i="1"/>
  <c r="L41" i="1" s="1"/>
  <c r="H40" i="1"/>
  <c r="H41" i="1" s="1"/>
  <c r="D40" i="1"/>
  <c r="D41" i="1" s="1"/>
  <c r="M18" i="1"/>
  <c r="L18" i="1"/>
  <c r="K18" i="1"/>
  <c r="J18" i="1"/>
  <c r="I18" i="1"/>
  <c r="H18" i="1"/>
  <c r="G18" i="1"/>
  <c r="F18" i="1"/>
  <c r="E18" i="1"/>
  <c r="D18" i="1"/>
  <c r="C18" i="1"/>
  <c r="M13" i="1"/>
  <c r="L13" i="1"/>
  <c r="K13" i="1"/>
  <c r="J13" i="1"/>
  <c r="I13" i="1"/>
  <c r="H13" i="1"/>
  <c r="G13" i="1"/>
  <c r="F13" i="1"/>
  <c r="E13" i="1"/>
  <c r="D13" i="1"/>
  <c r="C13" i="1"/>
  <c r="B13" i="1"/>
  <c r="M11" i="1"/>
  <c r="L11" i="1"/>
  <c r="K11" i="1"/>
  <c r="J11" i="1"/>
  <c r="I11" i="1"/>
  <c r="H11" i="1"/>
  <c r="G11" i="1"/>
  <c r="F11" i="1"/>
  <c r="E11" i="1"/>
  <c r="D11" i="1"/>
  <c r="C11" i="1"/>
  <c r="B11" i="1"/>
  <c r="M9" i="1"/>
  <c r="L9" i="1"/>
  <c r="K9" i="1"/>
  <c r="J9" i="1"/>
  <c r="I9" i="1"/>
  <c r="H9" i="1"/>
  <c r="G9" i="1"/>
  <c r="F9" i="1"/>
  <c r="E9" i="1"/>
  <c r="D9" i="1"/>
  <c r="C9" i="1"/>
  <c r="B9" i="1"/>
  <c r="M6" i="1"/>
  <c r="L6" i="1"/>
  <c r="K6" i="1"/>
  <c r="J6" i="1"/>
  <c r="I6" i="1"/>
  <c r="H6" i="1"/>
  <c r="G6" i="1"/>
  <c r="F6" i="1"/>
  <c r="E6" i="1"/>
  <c r="D6" i="1"/>
  <c r="C6" i="1"/>
  <c r="B6" i="1"/>
  <c r="M7" i="1"/>
  <c r="L7" i="1"/>
  <c r="K7" i="1"/>
  <c r="J7" i="1"/>
  <c r="I7" i="1"/>
  <c r="H7" i="1"/>
  <c r="G7" i="1"/>
  <c r="F7" i="1"/>
  <c r="E7" i="1"/>
  <c r="D7" i="1"/>
  <c r="C7" i="1"/>
  <c r="B7" i="1"/>
  <c r="D48" i="1" l="1"/>
  <c r="H46" i="1"/>
  <c r="I48" i="1"/>
  <c r="I46" i="1"/>
  <c r="J48" i="1"/>
  <c r="J46" i="1"/>
  <c r="K48" i="1"/>
  <c r="K46" i="1"/>
  <c r="L48" i="1"/>
  <c r="L46" i="1"/>
  <c r="M46" i="1"/>
  <c r="M48" i="1"/>
  <c r="G46" i="1"/>
  <c r="C48" i="1"/>
</calcChain>
</file>

<file path=xl/sharedStrings.xml><?xml version="1.0" encoding="utf-8"?>
<sst xmlns="http://schemas.openxmlformats.org/spreadsheetml/2006/main" count="187" uniqueCount="147">
  <si>
    <t>DESCRIPTION</t>
  </si>
  <si>
    <t xml:space="preserve">     Employee Cost</t>
  </si>
  <si>
    <t>Interest</t>
  </si>
  <si>
    <t>Exceptional Items</t>
  </si>
  <si>
    <t>Depreciation</t>
  </si>
  <si>
    <t>PBT</t>
  </si>
  <si>
    <t>Tax</t>
  </si>
  <si>
    <t>Profit After Tax</t>
  </si>
  <si>
    <t>Minority Interest</t>
  </si>
  <si>
    <t>Consolidated Net Profit</t>
  </si>
  <si>
    <t xml:space="preserve">Net Sales </t>
  </si>
  <si>
    <t xml:space="preserve">     Gross Margin</t>
  </si>
  <si>
    <t xml:space="preserve">     % of revenue</t>
  </si>
  <si>
    <t>EBITDA (Ex OI) (Ind-AS 116)</t>
  </si>
  <si>
    <t>EBITDA Margin</t>
  </si>
  <si>
    <t>PBT before excep item</t>
  </si>
  <si>
    <t>EPS</t>
  </si>
  <si>
    <t xml:space="preserve">Total Nos of stores </t>
  </si>
  <si>
    <t xml:space="preserve">  Barbecue Nation</t>
  </si>
  <si>
    <t>Avg revenue per store</t>
  </si>
  <si>
    <t>Average Daily Sales (ADS)</t>
  </si>
  <si>
    <t xml:space="preserve">  New</t>
  </si>
  <si>
    <t>Q1FY22</t>
  </si>
  <si>
    <t>Q2FY22</t>
  </si>
  <si>
    <t>Q3FY22</t>
  </si>
  <si>
    <t>Q4FY22</t>
  </si>
  <si>
    <t>Q1FY23</t>
  </si>
  <si>
    <t>Q2FY23</t>
  </si>
  <si>
    <t>Q3FY23</t>
  </si>
  <si>
    <t>Q4FY23</t>
  </si>
  <si>
    <t>Q1FY24</t>
  </si>
  <si>
    <t>Q2FY21</t>
  </si>
  <si>
    <t>Q3FY21</t>
  </si>
  <si>
    <t>Q4FY21</t>
  </si>
  <si>
    <t>Barbeque-Nation Hospitality Ltd. -   Monitorables</t>
  </si>
  <si>
    <t>Avg Sales per store (annualized calcultd)</t>
  </si>
  <si>
    <t>Avg Sales per store (annualized Reported)</t>
  </si>
  <si>
    <t>Average Sales per outlet</t>
  </si>
  <si>
    <t>Store Network</t>
  </si>
  <si>
    <t xml:space="preserve">  Tier II &amp; IIII</t>
  </si>
  <si>
    <t xml:space="preserve">  Metro &amp; Tier I</t>
  </si>
  <si>
    <t>SSSG (Calculated)</t>
  </si>
  <si>
    <t xml:space="preserve">  Restaurant EBITDA Margin</t>
  </si>
  <si>
    <t>Nos of matured store</t>
  </si>
  <si>
    <t>Nos of New store</t>
  </si>
  <si>
    <t xml:space="preserve">  Matured (Open for &gt; 2 years)</t>
  </si>
  <si>
    <t xml:space="preserve">  Toscano (Italian restaurants- Pune, Blr &amp; Chennai))</t>
  </si>
  <si>
    <t xml:space="preserve">  Barbecue Int'l (Malaysia &amp; GCC)</t>
  </si>
  <si>
    <t xml:space="preserve">     Operating Expenses</t>
  </si>
  <si>
    <t xml:space="preserve">     Raw Material consumed</t>
  </si>
  <si>
    <t>Annual Monitorables (Consol)</t>
  </si>
  <si>
    <t>FY21</t>
  </si>
  <si>
    <t>FY22</t>
  </si>
  <si>
    <t>FY23</t>
  </si>
  <si>
    <t>Financials</t>
  </si>
  <si>
    <t>Revenue (Rs. Cr)</t>
  </si>
  <si>
    <t>Revenue Growth</t>
  </si>
  <si>
    <t>Gross margin</t>
  </si>
  <si>
    <t>EBITDA (after IND AS 116)</t>
  </si>
  <si>
    <t xml:space="preserve">EBITDA Margin </t>
  </si>
  <si>
    <t>Pre- Ind AS EBITDA (normalized)</t>
  </si>
  <si>
    <t>Pre- Ind AS EBITDA Margin</t>
  </si>
  <si>
    <t>PAT</t>
  </si>
  <si>
    <t>Minority Int</t>
  </si>
  <si>
    <t>Annual Financial Highlights</t>
  </si>
  <si>
    <t>RoE</t>
  </si>
  <si>
    <t>NM</t>
  </si>
  <si>
    <t>RoCE</t>
  </si>
  <si>
    <t>Net Worth</t>
  </si>
  <si>
    <t>Debt</t>
  </si>
  <si>
    <t>Capital Employed</t>
  </si>
  <si>
    <t>Cash</t>
  </si>
  <si>
    <t>Debt/Equity</t>
  </si>
  <si>
    <t xml:space="preserve">Debtor Days </t>
  </si>
  <si>
    <t>Inventory Days</t>
  </si>
  <si>
    <t>Creditor Days</t>
  </si>
  <si>
    <t>Net W/C Days</t>
  </si>
  <si>
    <t>Debtor (Rs. Cr)</t>
  </si>
  <si>
    <t>Inventory (Rs. Cr)</t>
  </si>
  <si>
    <t>Creditors (Rs. Cr)</t>
  </si>
  <si>
    <t>Net W/C (Rs. Cr)</t>
  </si>
  <si>
    <t>Core Interest Cost (Rs. Cr)</t>
  </si>
  <si>
    <t>Interest rate</t>
  </si>
  <si>
    <t>Other Income</t>
  </si>
  <si>
    <t>OI as % of PBT</t>
  </si>
  <si>
    <t>Gross Block (ex Lease assets)</t>
  </si>
  <si>
    <t>FA Turnover</t>
  </si>
  <si>
    <t xml:space="preserve">Operating Cash flow </t>
  </si>
  <si>
    <t>Less: Lease liabilities</t>
  </si>
  <si>
    <t>Net Operating Cash flow</t>
  </si>
  <si>
    <t>Break Up:</t>
  </si>
  <si>
    <t xml:space="preserve">   PAT</t>
  </si>
  <si>
    <t xml:space="preserve">   Add Depreciation</t>
  </si>
  <si>
    <t xml:space="preserve">   Changes in W/c</t>
  </si>
  <si>
    <t xml:space="preserve">Free Cashflow </t>
  </si>
  <si>
    <t>Free cashflow yield %</t>
  </si>
  <si>
    <t xml:space="preserve">   Core depreciation</t>
  </si>
  <si>
    <t xml:space="preserve">   Ind AS Depreciation</t>
  </si>
  <si>
    <t>Capex:</t>
  </si>
  <si>
    <t>Expansion</t>
  </si>
  <si>
    <t>Valuation Metrics</t>
  </si>
  <si>
    <t>EV/EBITDA</t>
  </si>
  <si>
    <t>P/E</t>
  </si>
  <si>
    <t>EV/Sales</t>
  </si>
  <si>
    <t>M.Cap/Sales</t>
  </si>
  <si>
    <t>Closing price</t>
  </si>
  <si>
    <t>Market Cap</t>
  </si>
  <si>
    <t>Credit Rating</t>
  </si>
  <si>
    <t>ICRA A/-</t>
  </si>
  <si>
    <t>Corporate Actions</t>
  </si>
  <si>
    <t>NA</t>
  </si>
  <si>
    <t>QIP &amp; Acquistn</t>
  </si>
  <si>
    <t>PL 100</t>
  </si>
  <si>
    <t>Revenue</t>
  </si>
  <si>
    <t>COGS</t>
  </si>
  <si>
    <t>Gross Margin</t>
  </si>
  <si>
    <t>Power</t>
  </si>
  <si>
    <t>Royalty</t>
  </si>
  <si>
    <t>Rent</t>
  </si>
  <si>
    <t>S&amp;D</t>
  </si>
  <si>
    <t>Employee Cost</t>
  </si>
  <si>
    <t>Online Delivery</t>
  </si>
  <si>
    <t>Other Admin Exp</t>
  </si>
  <si>
    <t>EBITDA</t>
  </si>
  <si>
    <t>EBITDA Margin (excl Ind AS 116)</t>
  </si>
  <si>
    <t>EBITDA (Rs. Cr) (excl Ind AS 116)</t>
  </si>
  <si>
    <t>Rent expense (derived)</t>
  </si>
  <si>
    <t>Rent as % of revenue</t>
  </si>
  <si>
    <t>RM Cost</t>
  </si>
  <si>
    <t xml:space="preserve">% of revenue </t>
  </si>
  <si>
    <t>FY19</t>
  </si>
  <si>
    <t>FY20</t>
  </si>
  <si>
    <t>CAGR</t>
  </si>
  <si>
    <t>PBT before excep</t>
  </si>
  <si>
    <t>Excep item</t>
  </si>
  <si>
    <r>
      <rPr>
        <b/>
        <sz val="10"/>
        <color theme="1"/>
        <rFont val="Calibri"/>
        <family val="2"/>
        <scheme val="minor"/>
      </rPr>
      <t xml:space="preserve">Excetional Item:
</t>
    </r>
    <r>
      <rPr>
        <sz val="10"/>
        <color theme="1"/>
        <rFont val="Calibri"/>
        <family val="2"/>
        <scheme val="minor"/>
      </rPr>
      <t>FY22 &amp; FY23 exceptional items are store closure related expenses</t>
    </r>
  </si>
  <si>
    <t>Tax Rate %</t>
  </si>
  <si>
    <t>9-10%</t>
  </si>
  <si>
    <t>Other Income:
FY21 &amp; FY22: Higher other income is due to reversal of rent expenses during Covid.</t>
  </si>
  <si>
    <t>Maintenance (5% of GB)</t>
  </si>
  <si>
    <t>Operating Metrics</t>
  </si>
  <si>
    <t>Nos of stores</t>
  </si>
  <si>
    <t>SSSG</t>
  </si>
  <si>
    <t>Dine-in revenue</t>
  </si>
  <si>
    <t>% of total revenue</t>
  </si>
  <si>
    <t>Growth</t>
  </si>
  <si>
    <t>Delivery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</si>
</sst>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5" fontId="0" fillId="0" borderId="1" xfId="1" applyNumberFormat="1" applyFont="1" applyBorder="1"/>
    <xf numFmtId="2" fontId="0" fillId="0" borderId="1" xfId="0" applyNumberFormat="1" applyBorder="1"/>
    <xf numFmtId="165" fontId="0" fillId="0" borderId="1" xfId="0" applyNumberFormat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1" applyNumberFormat="1" applyFont="1" applyBorder="1"/>
    <xf numFmtId="1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indent="2"/>
    </xf>
    <xf numFmtId="2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0" fontId="0" fillId="0" borderId="1" xfId="0" applyNumberFormat="1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10" fontId="0" fillId="0" borderId="8" xfId="0" applyNumberFormat="1" applyBorder="1" applyAlignment="1">
      <alignment horizontal="right" vertical="center" wrapText="1"/>
    </xf>
    <xf numFmtId="0" fontId="0" fillId="0" borderId="1" xfId="0" applyFont="1" applyBorder="1"/>
    <xf numFmtId="164" fontId="0" fillId="0" borderId="8" xfId="0" applyNumberFormat="1" applyBorder="1" applyAlignment="1">
      <alignment horizontal="right" vertical="center" wrapText="1"/>
    </xf>
    <xf numFmtId="165" fontId="0" fillId="0" borderId="8" xfId="0" applyNumberForma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" fontId="0" fillId="0" borderId="0" xfId="0" applyNumberFormat="1"/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ndividuals/Harsh%20Shah/Models%20-%20Harsh/Burger%20King%20Model%20Q2FY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India"/>
      <sheetName val="P&amp;L Consol"/>
      <sheetName val="P&amp;L Indon"/>
      <sheetName val="Assumption"/>
      <sheetName val="BS"/>
      <sheetName val="CF Indonesia"/>
      <sheetName val="Cash flow"/>
      <sheetName val="Sheet2"/>
      <sheetName val="Unit"/>
      <sheetName val="Delivery"/>
    </sheetNames>
    <sheetDataSet>
      <sheetData sheetId="0"/>
      <sheetData sheetId="1">
        <row r="3">
          <cell r="F3">
            <v>494.45400000000001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workbookViewId="0">
      <pane xSplit="1" ySplit="2" topLeftCell="B96" activePane="bottomRight" state="frozen"/>
      <selection pane="topRight" activeCell="B1" sqref="B1"/>
      <selection pane="bottomLeft" activeCell="A3" sqref="A3"/>
      <selection pane="bottomRight" activeCell="K96" sqref="K96"/>
    </sheetView>
  </sheetViews>
  <sheetFormatPr defaultRowHeight="15" x14ac:dyDescent="0.25"/>
  <cols>
    <col min="1" max="1" width="34" customWidth="1"/>
    <col min="2" max="12" width="9.28515625" bestFit="1" customWidth="1"/>
    <col min="13" max="13" width="9" customWidth="1"/>
  </cols>
  <sheetData>
    <row r="1" spans="1:16" x14ac:dyDescent="0.25">
      <c r="A1" s="16" t="s">
        <v>34</v>
      </c>
      <c r="B1" s="16"/>
      <c r="C1" s="16"/>
      <c r="D1" s="16"/>
      <c r="E1" s="16"/>
      <c r="F1" s="16"/>
      <c r="G1" s="16"/>
      <c r="H1" s="10"/>
      <c r="I1" s="10"/>
      <c r="J1" s="10"/>
      <c r="K1" s="10"/>
      <c r="L1" s="10"/>
      <c r="M1" s="10"/>
      <c r="N1" s="3"/>
      <c r="O1" s="3"/>
      <c r="P1" s="3"/>
    </row>
    <row r="2" spans="1:16" x14ac:dyDescent="0.25">
      <c r="A2" s="11" t="s">
        <v>0</v>
      </c>
      <c r="B2" s="9" t="s">
        <v>31</v>
      </c>
      <c r="C2" s="9" t="s">
        <v>32</v>
      </c>
      <c r="D2" s="9" t="s">
        <v>33</v>
      </c>
      <c r="E2" s="9" t="s">
        <v>22</v>
      </c>
      <c r="F2" s="9" t="s">
        <v>23</v>
      </c>
      <c r="G2" s="9" t="s">
        <v>24</v>
      </c>
      <c r="H2" s="9" t="s">
        <v>25</v>
      </c>
      <c r="I2" s="9" t="s">
        <v>26</v>
      </c>
      <c r="J2" s="9" t="s">
        <v>27</v>
      </c>
      <c r="K2" s="9" t="s">
        <v>28</v>
      </c>
      <c r="L2" s="9" t="s">
        <v>29</v>
      </c>
      <c r="M2" s="9" t="s">
        <v>30</v>
      </c>
      <c r="N2" s="3"/>
      <c r="O2" s="3"/>
      <c r="P2" s="3"/>
    </row>
    <row r="3" spans="1:16" x14ac:dyDescent="0.25">
      <c r="A3" s="4" t="s">
        <v>10</v>
      </c>
      <c r="B3" s="12">
        <v>76.09</v>
      </c>
      <c r="C3" s="13">
        <v>194.83</v>
      </c>
      <c r="D3" s="12">
        <v>226.35</v>
      </c>
      <c r="E3" s="13">
        <v>101.98</v>
      </c>
      <c r="F3" s="12">
        <v>220.89</v>
      </c>
      <c r="G3" s="13">
        <v>286.67</v>
      </c>
      <c r="H3" s="12">
        <v>251.02</v>
      </c>
      <c r="I3" s="13">
        <v>314.87</v>
      </c>
      <c r="J3" s="12">
        <v>310.5</v>
      </c>
      <c r="K3" s="13">
        <v>328.16</v>
      </c>
      <c r="L3" s="12">
        <v>280.23</v>
      </c>
      <c r="M3" s="13">
        <v>323.88</v>
      </c>
      <c r="N3" s="3"/>
      <c r="O3" s="3"/>
      <c r="P3" s="3"/>
    </row>
    <row r="4" spans="1:16" x14ac:dyDescent="0.25">
      <c r="A4" s="3"/>
      <c r="B4" s="7"/>
      <c r="C4" s="5"/>
      <c r="D4" s="7"/>
      <c r="E4" s="5"/>
      <c r="F4" s="7"/>
      <c r="G4" s="5"/>
      <c r="H4" s="7"/>
      <c r="I4" s="5"/>
      <c r="J4" s="7"/>
      <c r="K4" s="5"/>
      <c r="L4" s="7"/>
      <c r="M4" s="5"/>
      <c r="N4" s="3"/>
      <c r="O4" s="3"/>
      <c r="P4" s="3"/>
    </row>
    <row r="5" spans="1:16" x14ac:dyDescent="0.25">
      <c r="A5" s="3" t="s">
        <v>49</v>
      </c>
      <c r="B5" s="7">
        <v>28.8</v>
      </c>
      <c r="C5" s="5">
        <v>67</v>
      </c>
      <c r="D5" s="7">
        <v>75.59</v>
      </c>
      <c r="E5" s="5">
        <v>41.96</v>
      </c>
      <c r="F5" s="7">
        <v>75.900000000000006</v>
      </c>
      <c r="G5" s="5">
        <v>98.09</v>
      </c>
      <c r="H5" s="7">
        <v>88.79</v>
      </c>
      <c r="I5" s="5">
        <v>104.58</v>
      </c>
      <c r="J5" s="7">
        <v>105.36</v>
      </c>
      <c r="K5" s="5">
        <v>109.31</v>
      </c>
      <c r="L5" s="7">
        <v>95.93</v>
      </c>
      <c r="M5" s="5">
        <v>116.62</v>
      </c>
      <c r="N5" s="3"/>
      <c r="O5" s="3"/>
      <c r="P5" s="3"/>
    </row>
    <row r="6" spans="1:16" x14ac:dyDescent="0.25">
      <c r="A6" s="3" t="s">
        <v>12</v>
      </c>
      <c r="B6" s="6">
        <f>B5/B$3</f>
        <v>0.37849914574845578</v>
      </c>
      <c r="C6" s="6">
        <f t="shared" ref="C6:M6" si="0">C5/C$3</f>
        <v>0.34388954473130418</v>
      </c>
      <c r="D6" s="6">
        <f t="shared" si="0"/>
        <v>0.33395184448862386</v>
      </c>
      <c r="E6" s="6">
        <f t="shared" si="0"/>
        <v>0.41145322612276919</v>
      </c>
      <c r="F6" s="6">
        <f t="shared" si="0"/>
        <v>0.34360994159989139</v>
      </c>
      <c r="G6" s="6">
        <f t="shared" si="0"/>
        <v>0.34217043987860607</v>
      </c>
      <c r="H6" s="6">
        <f t="shared" si="0"/>
        <v>0.35371683531192732</v>
      </c>
      <c r="I6" s="6">
        <f t="shared" si="0"/>
        <v>0.33213707244259533</v>
      </c>
      <c r="J6" s="6">
        <f t="shared" si="0"/>
        <v>0.33932367149758452</v>
      </c>
      <c r="K6" s="6">
        <f t="shared" si="0"/>
        <v>0.33309970745977568</v>
      </c>
      <c r="L6" s="6">
        <f t="shared" si="0"/>
        <v>0.34232594654391035</v>
      </c>
      <c r="M6" s="6">
        <f t="shared" si="0"/>
        <v>0.36007163146844512</v>
      </c>
      <c r="N6" s="3"/>
      <c r="O6" s="3"/>
      <c r="P6" s="3"/>
    </row>
    <row r="7" spans="1:16" x14ac:dyDescent="0.25">
      <c r="A7" s="3" t="s">
        <v>11</v>
      </c>
      <c r="B7" s="6">
        <f>1-B5/B$3</f>
        <v>0.62150085425154422</v>
      </c>
      <c r="C7" s="6">
        <f t="shared" ref="C7:M7" si="1">1-C5/C$3</f>
        <v>0.65611045526869582</v>
      </c>
      <c r="D7" s="6">
        <f t="shared" si="1"/>
        <v>0.66604815551137619</v>
      </c>
      <c r="E7" s="6">
        <f t="shared" si="1"/>
        <v>0.58854677387723076</v>
      </c>
      <c r="F7" s="6">
        <f t="shared" si="1"/>
        <v>0.65639005840010856</v>
      </c>
      <c r="G7" s="6">
        <f t="shared" si="1"/>
        <v>0.65782956012139393</v>
      </c>
      <c r="H7" s="6">
        <f t="shared" si="1"/>
        <v>0.64628316468807268</v>
      </c>
      <c r="I7" s="6">
        <f t="shared" si="1"/>
        <v>0.66786292755740462</v>
      </c>
      <c r="J7" s="6">
        <f t="shared" si="1"/>
        <v>0.66067632850241553</v>
      </c>
      <c r="K7" s="6">
        <f t="shared" si="1"/>
        <v>0.66690029254022432</v>
      </c>
      <c r="L7" s="6">
        <f t="shared" si="1"/>
        <v>0.65767405345608965</v>
      </c>
      <c r="M7" s="6">
        <f t="shared" si="1"/>
        <v>0.63992836853155488</v>
      </c>
      <c r="N7" s="3"/>
      <c r="O7" s="3"/>
      <c r="P7" s="3"/>
    </row>
    <row r="8" spans="1:16" x14ac:dyDescent="0.25">
      <c r="A8" s="3" t="s">
        <v>48</v>
      </c>
      <c r="B8" s="7">
        <v>26.54</v>
      </c>
      <c r="C8" s="5">
        <v>46.07</v>
      </c>
      <c r="D8" s="7">
        <v>56.57</v>
      </c>
      <c r="E8" s="5">
        <v>44.17</v>
      </c>
      <c r="F8" s="7">
        <v>57.44</v>
      </c>
      <c r="G8" s="5">
        <v>67.150000000000006</v>
      </c>
      <c r="H8" s="7">
        <v>64.72</v>
      </c>
      <c r="I8" s="5">
        <v>75.8</v>
      </c>
      <c r="J8" s="7">
        <v>78.92</v>
      </c>
      <c r="K8" s="5">
        <v>88.14</v>
      </c>
      <c r="L8" s="7">
        <v>77.53</v>
      </c>
      <c r="M8" s="5">
        <v>88.8</v>
      </c>
      <c r="N8" s="3"/>
      <c r="O8" s="3"/>
      <c r="P8" s="3"/>
    </row>
    <row r="9" spans="1:16" x14ac:dyDescent="0.25">
      <c r="A9" s="3" t="s">
        <v>12</v>
      </c>
      <c r="B9" s="6">
        <f>B8/B$3</f>
        <v>0.34879747667236166</v>
      </c>
      <c r="C9" s="6">
        <f t="shared" ref="C9" si="2">C8/C$3</f>
        <v>0.23646255710106245</v>
      </c>
      <c r="D9" s="6">
        <f t="shared" ref="D9" si="3">D8/D$3</f>
        <v>0.24992268610558871</v>
      </c>
      <c r="E9" s="6">
        <f t="shared" ref="E9" si="4">E8/E$3</f>
        <v>0.4331241419886252</v>
      </c>
      <c r="F9" s="6">
        <f t="shared" ref="F9" si="5">F8/F$3</f>
        <v>0.26003893340576756</v>
      </c>
      <c r="G9" s="6">
        <f t="shared" ref="G9" si="6">G8/G$3</f>
        <v>0.23424146230857781</v>
      </c>
      <c r="H9" s="6">
        <f t="shared" ref="H9" si="7">H8/H$3</f>
        <v>0.25782806150904308</v>
      </c>
      <c r="I9" s="6">
        <f t="shared" ref="I9" si="8">I8/I$3</f>
        <v>0.24073427128656269</v>
      </c>
      <c r="J9" s="6">
        <f t="shared" ref="J9" si="9">J8/J$3</f>
        <v>0.25417069243156198</v>
      </c>
      <c r="K9" s="6">
        <f t="shared" ref="K9" si="10">K8/K$3</f>
        <v>0.26858849341784491</v>
      </c>
      <c r="L9" s="6">
        <f t="shared" ref="L9" si="11">L8/L$3</f>
        <v>0.27666559611747493</v>
      </c>
      <c r="M9" s="6">
        <f t="shared" ref="M9" si="12">M8/M$3</f>
        <v>0.27417562060022233</v>
      </c>
      <c r="N9" s="3"/>
      <c r="O9" s="3"/>
      <c r="P9" s="3"/>
    </row>
    <row r="10" spans="1:16" x14ac:dyDescent="0.25">
      <c r="A10" s="3" t="s">
        <v>1</v>
      </c>
      <c r="B10" s="7">
        <v>24.96</v>
      </c>
      <c r="C10" s="5">
        <v>40.6</v>
      </c>
      <c r="D10" s="7">
        <v>48.67</v>
      </c>
      <c r="E10" s="5">
        <v>33.67</v>
      </c>
      <c r="F10" s="7">
        <v>46.24</v>
      </c>
      <c r="G10" s="5">
        <v>55.73</v>
      </c>
      <c r="H10" s="7">
        <v>52.96</v>
      </c>
      <c r="I10" s="5">
        <v>64.040000000000006</v>
      </c>
      <c r="J10" s="7">
        <v>67.92</v>
      </c>
      <c r="K10" s="5">
        <v>68.75</v>
      </c>
      <c r="L10" s="7">
        <v>66.900000000000006</v>
      </c>
      <c r="M10" s="5">
        <v>71.7</v>
      </c>
      <c r="N10" s="3"/>
      <c r="O10" s="3"/>
      <c r="P10" s="3"/>
    </row>
    <row r="11" spans="1:16" x14ac:dyDescent="0.25">
      <c r="A11" s="3" t="s">
        <v>12</v>
      </c>
      <c r="B11" s="6">
        <f>B10/B$3</f>
        <v>0.328032592981995</v>
      </c>
      <c r="C11" s="6">
        <f t="shared" ref="C11" si="13">C10/C$3</f>
        <v>0.20838679874762614</v>
      </c>
      <c r="D11" s="6">
        <f t="shared" ref="D11" si="14">D10/D$3</f>
        <v>0.21502098519991164</v>
      </c>
      <c r="E11" s="6">
        <f t="shared" ref="E11" si="15">E10/E$3</f>
        <v>0.33016277701510099</v>
      </c>
      <c r="F11" s="6">
        <f t="shared" ref="F11" si="16">F10/F$3</f>
        <v>0.20933496310380734</v>
      </c>
      <c r="G11" s="6">
        <f t="shared" ref="G11" si="17">G10/G$3</f>
        <v>0.19440471622422992</v>
      </c>
      <c r="H11" s="6">
        <f t="shared" ref="H11" si="18">H10/H$3</f>
        <v>0.21097920484423552</v>
      </c>
      <c r="I11" s="6">
        <f t="shared" ref="I11" si="19">I10/I$3</f>
        <v>0.20338552418458414</v>
      </c>
      <c r="J11" s="6">
        <f t="shared" ref="J11" si="20">J10/J$3</f>
        <v>0.218743961352657</v>
      </c>
      <c r="K11" s="6">
        <f t="shared" ref="K11" si="21">K10/K$3</f>
        <v>0.20950146270112138</v>
      </c>
      <c r="L11" s="6">
        <f t="shared" ref="L11" si="22">L10/L$3</f>
        <v>0.23873246975698534</v>
      </c>
      <c r="M11" s="6">
        <f t="shared" ref="M11" si="23">M10/M$3</f>
        <v>0.22137828825490924</v>
      </c>
      <c r="N11" s="3"/>
      <c r="O11" s="3"/>
      <c r="P11" s="3"/>
    </row>
    <row r="12" spans="1:16" x14ac:dyDescent="0.25">
      <c r="A12" s="4" t="s">
        <v>13</v>
      </c>
      <c r="B12" s="12">
        <v>-4.22</v>
      </c>
      <c r="C12" s="13">
        <v>41.16</v>
      </c>
      <c r="D12" s="12">
        <v>45.52</v>
      </c>
      <c r="E12" s="13">
        <v>-17.82</v>
      </c>
      <c r="F12" s="12">
        <v>41.31</v>
      </c>
      <c r="G12" s="13">
        <v>65.69</v>
      </c>
      <c r="H12" s="12">
        <v>44.55</v>
      </c>
      <c r="I12" s="13">
        <v>70.45</v>
      </c>
      <c r="J12" s="12">
        <v>58.3</v>
      </c>
      <c r="K12" s="13">
        <v>61.96</v>
      </c>
      <c r="L12" s="12">
        <v>39.869999999999997</v>
      </c>
      <c r="M12" s="13">
        <v>46.76</v>
      </c>
      <c r="N12" s="3"/>
      <c r="O12" s="3"/>
      <c r="P12" s="3"/>
    </row>
    <row r="13" spans="1:16" x14ac:dyDescent="0.25">
      <c r="A13" s="4" t="s">
        <v>14</v>
      </c>
      <c r="B13" s="14">
        <f>B12/B3</f>
        <v>-5.5460638717308441E-2</v>
      </c>
      <c r="C13" s="14">
        <f t="shared" ref="C13:M13" si="24">C12/C3</f>
        <v>0.21126109942000715</v>
      </c>
      <c r="D13" s="14">
        <f t="shared" si="24"/>
        <v>0.20110448420587587</v>
      </c>
      <c r="E13" s="14">
        <f t="shared" si="24"/>
        <v>-0.17474014512649538</v>
      </c>
      <c r="F13" s="14">
        <f t="shared" si="24"/>
        <v>0.18701616189053377</v>
      </c>
      <c r="G13" s="14">
        <f t="shared" si="24"/>
        <v>0.22914849827327588</v>
      </c>
      <c r="H13" s="14">
        <f t="shared" si="24"/>
        <v>0.17747589833479402</v>
      </c>
      <c r="I13" s="14">
        <f t="shared" si="24"/>
        <v>0.22374313208625782</v>
      </c>
      <c r="J13" s="14">
        <f t="shared" si="24"/>
        <v>0.18776167471819644</v>
      </c>
      <c r="K13" s="14">
        <f t="shared" si="24"/>
        <v>0.18881033642125791</v>
      </c>
      <c r="L13" s="14">
        <f t="shared" si="24"/>
        <v>0.14227598758162935</v>
      </c>
      <c r="M13" s="14">
        <f t="shared" si="24"/>
        <v>0.14437445967642337</v>
      </c>
      <c r="N13" s="3"/>
      <c r="O13" s="3"/>
      <c r="P13" s="3"/>
    </row>
    <row r="14" spans="1:16" x14ac:dyDescent="0.25">
      <c r="A14" s="3" t="s">
        <v>4</v>
      </c>
      <c r="B14" s="7">
        <v>30.14</v>
      </c>
      <c r="C14" s="5">
        <v>31.3</v>
      </c>
      <c r="D14" s="7">
        <v>29.14</v>
      </c>
      <c r="E14" s="5">
        <v>28.9</v>
      </c>
      <c r="F14" s="7">
        <v>30.4</v>
      </c>
      <c r="G14" s="5">
        <v>33.99</v>
      </c>
      <c r="H14" s="7">
        <v>33.96</v>
      </c>
      <c r="I14" s="5">
        <v>35.159999999999997</v>
      </c>
      <c r="J14" s="7">
        <v>35</v>
      </c>
      <c r="K14" s="5">
        <v>38.19</v>
      </c>
      <c r="L14" s="7">
        <v>36.65</v>
      </c>
      <c r="M14" s="5">
        <v>37.49</v>
      </c>
      <c r="N14" s="3"/>
      <c r="O14" s="3"/>
      <c r="P14" s="3"/>
    </row>
    <row r="15" spans="1:16" x14ac:dyDescent="0.25">
      <c r="A15" s="3" t="s">
        <v>2</v>
      </c>
      <c r="B15" s="7">
        <v>22.41</v>
      </c>
      <c r="C15" s="5">
        <v>21.68</v>
      </c>
      <c r="D15" s="7">
        <v>18.61</v>
      </c>
      <c r="E15" s="5">
        <v>16.57</v>
      </c>
      <c r="F15" s="7">
        <v>15.32</v>
      </c>
      <c r="G15" s="5">
        <v>17.16</v>
      </c>
      <c r="H15" s="7">
        <v>16.25</v>
      </c>
      <c r="I15" s="5">
        <v>17.45</v>
      </c>
      <c r="J15" s="7">
        <v>17.98</v>
      </c>
      <c r="K15" s="5">
        <v>18.29</v>
      </c>
      <c r="L15" s="7">
        <v>17.98</v>
      </c>
      <c r="M15" s="5">
        <v>18.75</v>
      </c>
      <c r="N15" s="3"/>
      <c r="O15" s="3"/>
      <c r="P15" s="3"/>
    </row>
    <row r="16" spans="1:16" x14ac:dyDescent="0.25">
      <c r="A16" s="4" t="s">
        <v>15</v>
      </c>
      <c r="B16" s="7">
        <v>-45.1</v>
      </c>
      <c r="C16" s="7">
        <v>-3.25</v>
      </c>
      <c r="D16" s="7">
        <v>8.32</v>
      </c>
      <c r="E16" s="7">
        <v>-55.9</v>
      </c>
      <c r="F16" s="7">
        <v>4.08</v>
      </c>
      <c r="G16" s="7">
        <v>19.03</v>
      </c>
      <c r="H16" s="7">
        <v>0.23</v>
      </c>
      <c r="I16" s="7">
        <v>20.84</v>
      </c>
      <c r="J16" s="7">
        <v>6.92</v>
      </c>
      <c r="K16" s="7">
        <v>6.67</v>
      </c>
      <c r="L16" s="7">
        <v>-12.51</v>
      </c>
      <c r="M16" s="7">
        <v>-8.59</v>
      </c>
      <c r="N16" s="3"/>
      <c r="O16" s="3"/>
      <c r="P16" s="3"/>
    </row>
    <row r="17" spans="1:16" x14ac:dyDescent="0.25">
      <c r="A17" s="3" t="s">
        <v>3</v>
      </c>
      <c r="B17" s="7"/>
      <c r="C17" s="5">
        <v>2.0699999999999998</v>
      </c>
      <c r="D17" s="7"/>
      <c r="E17" s="5"/>
      <c r="F17" s="7">
        <v>0.28000000000000003</v>
      </c>
      <c r="G17" s="5">
        <v>0.22</v>
      </c>
      <c r="H17" s="7">
        <v>0</v>
      </c>
      <c r="I17" s="5">
        <v>0</v>
      </c>
      <c r="J17" s="7">
        <v>3.26</v>
      </c>
      <c r="K17" s="5">
        <v>2.2400000000000002</v>
      </c>
      <c r="L17" s="7">
        <v>-1.68</v>
      </c>
      <c r="M17" s="5">
        <v>3.11</v>
      </c>
      <c r="N17" s="3"/>
      <c r="O17" s="3"/>
      <c r="P17" s="3"/>
    </row>
    <row r="18" spans="1:16" x14ac:dyDescent="0.25">
      <c r="A18" s="3" t="s">
        <v>5</v>
      </c>
      <c r="B18" s="5">
        <v>-45.1</v>
      </c>
      <c r="C18" s="5">
        <f>C16+C17</f>
        <v>-1.1800000000000002</v>
      </c>
      <c r="D18" s="5">
        <f t="shared" ref="D18:M18" si="25">D16+D17</f>
        <v>8.32</v>
      </c>
      <c r="E18" s="5">
        <f t="shared" si="25"/>
        <v>-55.9</v>
      </c>
      <c r="F18" s="5">
        <f t="shared" si="25"/>
        <v>4.3600000000000003</v>
      </c>
      <c r="G18" s="5">
        <f t="shared" si="25"/>
        <v>19.25</v>
      </c>
      <c r="H18" s="5">
        <f t="shared" si="25"/>
        <v>0.23</v>
      </c>
      <c r="I18" s="5">
        <f t="shared" si="25"/>
        <v>20.84</v>
      </c>
      <c r="J18" s="5">
        <f t="shared" si="25"/>
        <v>10.18</v>
      </c>
      <c r="K18" s="5">
        <f t="shared" si="25"/>
        <v>8.91</v>
      </c>
      <c r="L18" s="5">
        <f t="shared" si="25"/>
        <v>-14.19</v>
      </c>
      <c r="M18" s="5">
        <f t="shared" si="25"/>
        <v>-5.48</v>
      </c>
      <c r="N18" s="3"/>
      <c r="O18" s="3"/>
      <c r="P18" s="3"/>
    </row>
    <row r="19" spans="1:16" x14ac:dyDescent="0.25">
      <c r="A19" s="3" t="s">
        <v>6</v>
      </c>
      <c r="B19" s="7">
        <v>-8.61</v>
      </c>
      <c r="C19" s="5">
        <v>0.18</v>
      </c>
      <c r="D19" s="7">
        <v>1.92</v>
      </c>
      <c r="E19" s="5">
        <v>-12.05</v>
      </c>
      <c r="F19" s="7">
        <v>1.02</v>
      </c>
      <c r="G19" s="5">
        <v>4.42</v>
      </c>
      <c r="H19" s="7">
        <v>-0.25</v>
      </c>
      <c r="I19" s="5">
        <v>4.8099999999999996</v>
      </c>
      <c r="J19" s="7">
        <v>2.65</v>
      </c>
      <c r="K19" s="5">
        <v>1.72</v>
      </c>
      <c r="L19" s="7">
        <v>-2.59</v>
      </c>
      <c r="M19" s="5">
        <v>-1.43</v>
      </c>
      <c r="N19" s="3"/>
      <c r="O19" s="3"/>
      <c r="P19" s="3"/>
    </row>
    <row r="20" spans="1:16" x14ac:dyDescent="0.25">
      <c r="A20" s="3" t="s">
        <v>7</v>
      </c>
      <c r="B20" s="5">
        <v>-36.49</v>
      </c>
      <c r="C20" s="5">
        <v>-1.35</v>
      </c>
      <c r="D20" s="5">
        <v>6.41</v>
      </c>
      <c r="E20" s="5">
        <v>-43.86</v>
      </c>
      <c r="F20" s="5">
        <v>3.35</v>
      </c>
      <c r="G20" s="5">
        <v>14.83</v>
      </c>
      <c r="H20" s="5">
        <v>0.49</v>
      </c>
      <c r="I20" s="5">
        <v>16.02</v>
      </c>
      <c r="J20" s="5">
        <v>7.53</v>
      </c>
      <c r="K20" s="5">
        <v>7.19</v>
      </c>
      <c r="L20" s="5">
        <v>-11.6</v>
      </c>
      <c r="M20" s="5">
        <v>-4.05</v>
      </c>
      <c r="N20" s="3"/>
      <c r="O20" s="3"/>
      <c r="P20" s="3"/>
    </row>
    <row r="21" spans="1:16" x14ac:dyDescent="0.25">
      <c r="A21" s="3" t="s">
        <v>8</v>
      </c>
      <c r="B21" s="5">
        <v>0.3</v>
      </c>
      <c r="C21" s="5">
        <v>0.45</v>
      </c>
      <c r="D21" s="5">
        <v>-0.22</v>
      </c>
      <c r="E21" s="5">
        <v>1.22</v>
      </c>
      <c r="F21" s="5">
        <v>-0.42</v>
      </c>
      <c r="G21" s="5">
        <v>-0.67</v>
      </c>
      <c r="H21" s="5">
        <v>-0.54</v>
      </c>
      <c r="I21" s="5">
        <v>-0.85</v>
      </c>
      <c r="J21" s="5">
        <v>-0.44</v>
      </c>
      <c r="K21" s="5">
        <v>-0.62</v>
      </c>
      <c r="L21" s="5">
        <v>-0.22</v>
      </c>
      <c r="M21" s="5">
        <v>-0.26</v>
      </c>
      <c r="N21" s="3"/>
      <c r="O21" s="3"/>
      <c r="P21" s="3"/>
    </row>
    <row r="22" spans="1:16" x14ac:dyDescent="0.25">
      <c r="A22" s="3" t="s">
        <v>9</v>
      </c>
      <c r="B22" s="5">
        <v>-36.18</v>
      </c>
      <c r="C22" s="5">
        <v>-0.9</v>
      </c>
      <c r="D22" s="5">
        <v>6.19</v>
      </c>
      <c r="E22" s="5">
        <v>-42.63</v>
      </c>
      <c r="F22" s="5">
        <v>2.92</v>
      </c>
      <c r="G22" s="5">
        <v>14.16</v>
      </c>
      <c r="H22" s="5">
        <v>-0.06</v>
      </c>
      <c r="I22" s="5">
        <v>15.18</v>
      </c>
      <c r="J22" s="5">
        <v>7.09</v>
      </c>
      <c r="K22" s="5">
        <v>6.57</v>
      </c>
      <c r="L22" s="5">
        <v>-11.82</v>
      </c>
      <c r="M22" s="5">
        <v>-4.3099999999999996</v>
      </c>
      <c r="N22" s="3"/>
      <c r="O22" s="3"/>
      <c r="P22" s="3"/>
    </row>
    <row r="23" spans="1:16" x14ac:dyDescent="0.25">
      <c r="A23" s="4" t="s">
        <v>16</v>
      </c>
      <c r="B23" s="13">
        <v>-12.93</v>
      </c>
      <c r="C23" s="13">
        <v>-0.32</v>
      </c>
      <c r="D23" s="13">
        <v>1.89</v>
      </c>
      <c r="E23" s="13">
        <v>-11.4</v>
      </c>
      <c r="F23" s="13">
        <v>-2.91</v>
      </c>
      <c r="G23" s="13">
        <v>3.97</v>
      </c>
      <c r="H23" s="13">
        <v>-0.02</v>
      </c>
      <c r="I23" s="13">
        <v>3.9</v>
      </c>
      <c r="J23" s="13">
        <v>1.82</v>
      </c>
      <c r="K23" s="13">
        <v>1.69</v>
      </c>
      <c r="L23" s="13">
        <v>-3.04</v>
      </c>
      <c r="M23" s="13">
        <v>-1.1100000000000001</v>
      </c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18"/>
      <c r="G24" s="18"/>
      <c r="H24" s="18"/>
      <c r="I24" s="18"/>
      <c r="J24" s="18"/>
      <c r="K24" s="18"/>
      <c r="L24" s="18"/>
      <c r="M24" s="18"/>
      <c r="N24" s="39"/>
      <c r="O24" s="3"/>
      <c r="P24" s="3"/>
    </row>
    <row r="25" spans="1:16" s="2" customFormat="1" x14ac:dyDescent="0.25">
      <c r="A25" s="4" t="s">
        <v>125</v>
      </c>
      <c r="B25" s="3"/>
      <c r="C25" s="3"/>
      <c r="D25" s="3"/>
      <c r="E25" s="3"/>
      <c r="F25" s="18"/>
      <c r="G25" s="18"/>
      <c r="H25" s="18"/>
      <c r="I25" s="20">
        <f>I26*I3</f>
        <v>45.971019999999996</v>
      </c>
      <c r="J25" s="20">
        <f t="shared" ref="J25:M25" si="26">J26*J3</f>
        <v>32.602499999999999</v>
      </c>
      <c r="K25" s="20">
        <f t="shared" si="26"/>
        <v>35.113120000000002</v>
      </c>
      <c r="L25" s="20">
        <f t="shared" si="26"/>
        <v>12.89058</v>
      </c>
      <c r="M25" s="20">
        <f t="shared" si="26"/>
        <v>18.785040000000002</v>
      </c>
      <c r="N25" s="39"/>
      <c r="O25" s="3"/>
      <c r="P25" s="3"/>
    </row>
    <row r="26" spans="1:16" s="2" customFormat="1" x14ac:dyDescent="0.25">
      <c r="A26" s="4" t="s">
        <v>124</v>
      </c>
      <c r="B26" s="3"/>
      <c r="C26" s="3"/>
      <c r="D26" s="3"/>
      <c r="E26" s="3"/>
      <c r="F26" s="18"/>
      <c r="G26" s="18"/>
      <c r="H26" s="18"/>
      <c r="I26" s="41">
        <v>0.14599999999999999</v>
      </c>
      <c r="J26" s="41">
        <v>0.105</v>
      </c>
      <c r="K26" s="41">
        <v>0.107</v>
      </c>
      <c r="L26" s="41">
        <v>4.5999999999999999E-2</v>
      </c>
      <c r="M26" s="41">
        <v>5.8000000000000003E-2</v>
      </c>
      <c r="N26" s="39"/>
      <c r="O26" s="3"/>
      <c r="P26" s="3"/>
    </row>
    <row r="27" spans="1:16" s="2" customFormat="1" x14ac:dyDescent="0.25">
      <c r="A27" s="4"/>
      <c r="B27" s="3"/>
      <c r="C27" s="3"/>
      <c r="D27" s="3"/>
      <c r="E27" s="3"/>
      <c r="F27" s="42"/>
      <c r="G27" s="42"/>
      <c r="H27" s="42"/>
      <c r="I27" s="43"/>
      <c r="J27" s="43"/>
      <c r="K27" s="43"/>
      <c r="L27" s="43"/>
      <c r="M27" s="43"/>
      <c r="N27" s="39"/>
      <c r="O27" s="3"/>
      <c r="P27" s="3"/>
    </row>
    <row r="28" spans="1:16" s="2" customFormat="1" x14ac:dyDescent="0.25">
      <c r="A28" s="44" t="s">
        <v>126</v>
      </c>
      <c r="B28" s="3"/>
      <c r="C28" s="3"/>
      <c r="D28" s="3"/>
      <c r="E28" s="3"/>
      <c r="F28" s="42"/>
      <c r="G28" s="42"/>
      <c r="H28" s="42"/>
      <c r="I28" s="45">
        <f>I12-I25</f>
        <v>24.478980000000007</v>
      </c>
      <c r="J28" s="45">
        <f t="shared" ref="J28:M28" si="27">J12-J25</f>
        <v>25.697499999999998</v>
      </c>
      <c r="K28" s="45">
        <f t="shared" si="27"/>
        <v>26.846879999999999</v>
      </c>
      <c r="L28" s="45">
        <f t="shared" si="27"/>
        <v>26.979419999999998</v>
      </c>
      <c r="M28" s="45">
        <f t="shared" si="27"/>
        <v>27.974959999999996</v>
      </c>
      <c r="N28" s="39"/>
      <c r="O28" s="3"/>
      <c r="P28" s="3"/>
    </row>
    <row r="29" spans="1:16" s="2" customFormat="1" x14ac:dyDescent="0.25">
      <c r="A29" s="44" t="s">
        <v>127</v>
      </c>
      <c r="B29" s="3"/>
      <c r="C29" s="3"/>
      <c r="D29" s="3"/>
      <c r="E29" s="3"/>
      <c r="F29" s="42"/>
      <c r="G29" s="42"/>
      <c r="H29" s="42"/>
      <c r="I29" s="46">
        <f>I28/I3</f>
        <v>7.7743132086257841E-2</v>
      </c>
      <c r="J29" s="46">
        <f t="shared" ref="J29:M29" si="28">J28/J3</f>
        <v>8.2761674718196454E-2</v>
      </c>
      <c r="K29" s="46">
        <f t="shared" si="28"/>
        <v>8.1810336421257915E-2</v>
      </c>
      <c r="L29" s="46">
        <f t="shared" si="28"/>
        <v>9.6275987581629363E-2</v>
      </c>
      <c r="M29" s="46">
        <f t="shared" si="28"/>
        <v>8.6374459676423349E-2</v>
      </c>
      <c r="N29" s="39"/>
      <c r="O29" s="3"/>
      <c r="P29" s="3"/>
    </row>
    <row r="30" spans="1:16" x14ac:dyDescent="0.25">
      <c r="A30" s="3"/>
      <c r="B30" s="3"/>
      <c r="C30" s="3"/>
      <c r="D30" s="3"/>
      <c r="E30" s="3"/>
      <c r="F30" s="40"/>
      <c r="G30" s="40"/>
      <c r="H30" s="40"/>
      <c r="I30" s="40"/>
      <c r="J30" s="40"/>
      <c r="K30" s="40"/>
      <c r="L30" s="40"/>
      <c r="M30" s="40"/>
      <c r="N30" s="3"/>
      <c r="O30" s="3"/>
      <c r="P30" s="3"/>
    </row>
    <row r="31" spans="1:16" s="1" customFormat="1" x14ac:dyDescent="0.25">
      <c r="A31" s="4" t="s">
        <v>17</v>
      </c>
      <c r="B31" s="4">
        <v>162</v>
      </c>
      <c r="C31" s="4">
        <v>163</v>
      </c>
      <c r="D31" s="4">
        <v>164</v>
      </c>
      <c r="E31" s="4">
        <v>166</v>
      </c>
      <c r="F31" s="4">
        <v>167</v>
      </c>
      <c r="G31" s="4">
        <v>174</v>
      </c>
      <c r="H31" s="4">
        <v>185</v>
      </c>
      <c r="I31" s="4">
        <v>195</v>
      </c>
      <c r="J31" s="4">
        <v>205</v>
      </c>
      <c r="K31" s="4">
        <v>212</v>
      </c>
      <c r="L31" s="4">
        <v>216</v>
      </c>
      <c r="M31" s="4">
        <v>212</v>
      </c>
      <c r="N31" s="4"/>
      <c r="O31" s="4"/>
      <c r="P31" s="4"/>
    </row>
    <row r="32" spans="1:16" x14ac:dyDescent="0.25">
      <c r="A32" s="3" t="s">
        <v>18</v>
      </c>
      <c r="B32" s="3"/>
      <c r="C32" s="3"/>
      <c r="D32" s="3">
        <v>147</v>
      </c>
      <c r="E32" s="3">
        <f>E31-E33-E34</f>
        <v>149</v>
      </c>
      <c r="F32" s="3">
        <f t="shared" ref="F32:G32" si="29">F31-F33-F34</f>
        <v>150</v>
      </c>
      <c r="G32" s="3">
        <f t="shared" si="29"/>
        <v>157</v>
      </c>
      <c r="H32" s="3">
        <v>168</v>
      </c>
      <c r="I32" s="3">
        <f t="shared" ref="I32" si="30">I31-I33-I34</f>
        <v>178</v>
      </c>
      <c r="J32" s="3">
        <f t="shared" ref="J32" si="31">J31-J33-J34</f>
        <v>187</v>
      </c>
      <c r="K32" s="3">
        <f t="shared" ref="K32" si="32">K31-K33-K34</f>
        <v>193</v>
      </c>
      <c r="L32" s="3">
        <v>196</v>
      </c>
      <c r="M32" s="3">
        <v>190</v>
      </c>
      <c r="N32" s="3"/>
      <c r="O32" s="3"/>
      <c r="P32" s="3"/>
    </row>
    <row r="33" spans="1:16" x14ac:dyDescent="0.25">
      <c r="A33" s="3" t="s">
        <v>46</v>
      </c>
      <c r="B33" s="3"/>
      <c r="C33" s="3"/>
      <c r="D33" s="3">
        <v>11</v>
      </c>
      <c r="E33" s="3">
        <v>11</v>
      </c>
      <c r="F33" s="3">
        <v>11</v>
      </c>
      <c r="G33" s="3">
        <v>11</v>
      </c>
      <c r="H33" s="3">
        <v>11</v>
      </c>
      <c r="I33" s="3">
        <v>11</v>
      </c>
      <c r="J33" s="3">
        <v>12</v>
      </c>
      <c r="K33" s="3">
        <v>13</v>
      </c>
      <c r="L33" s="3">
        <v>14</v>
      </c>
      <c r="M33" s="3">
        <v>15</v>
      </c>
      <c r="N33" s="3"/>
      <c r="O33" s="3"/>
      <c r="P33" s="3"/>
    </row>
    <row r="34" spans="1:16" x14ac:dyDescent="0.25">
      <c r="A34" s="3" t="s">
        <v>47</v>
      </c>
      <c r="B34" s="3"/>
      <c r="C34" s="3"/>
      <c r="D34" s="3">
        <v>6</v>
      </c>
      <c r="E34" s="3">
        <v>6</v>
      </c>
      <c r="F34" s="3">
        <v>6</v>
      </c>
      <c r="G34" s="3">
        <v>6</v>
      </c>
      <c r="H34" s="3">
        <v>6</v>
      </c>
      <c r="I34" s="3">
        <v>6</v>
      </c>
      <c r="J34" s="3">
        <v>6</v>
      </c>
      <c r="K34" s="3">
        <v>6</v>
      </c>
      <c r="L34" s="3">
        <v>6</v>
      </c>
      <c r="M34" s="3">
        <v>7</v>
      </c>
      <c r="N34" s="3"/>
      <c r="O34" s="3"/>
      <c r="P34" s="3"/>
    </row>
    <row r="35" spans="1:16" s="2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2" customFormat="1" x14ac:dyDescent="0.25">
      <c r="A36" s="3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>
        <v>154</v>
      </c>
      <c r="M36" s="3">
        <f>M31-M37</f>
        <v>164</v>
      </c>
      <c r="N36" s="3"/>
      <c r="O36" s="3"/>
      <c r="P36" s="3"/>
    </row>
    <row r="37" spans="1:16" s="2" customFormat="1" x14ac:dyDescent="0.25">
      <c r="A37" s="3" t="s">
        <v>44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>
        <f>L31-L36</f>
        <v>62</v>
      </c>
      <c r="M37" s="3">
        <f>M31-D31</f>
        <v>48</v>
      </c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s="2" customFormat="1" x14ac:dyDescent="0.25">
      <c r="A39" s="3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2" customFormat="1" x14ac:dyDescent="0.25">
      <c r="A40" s="3" t="s">
        <v>40</v>
      </c>
      <c r="B40" s="3"/>
      <c r="C40" s="3"/>
      <c r="D40" s="6">
        <f>114/D31</f>
        <v>0.69512195121951215</v>
      </c>
      <c r="E40" s="3"/>
      <c r="F40" s="3"/>
      <c r="G40" s="3"/>
      <c r="H40" s="6">
        <f>131/H31</f>
        <v>0.70810810810810809</v>
      </c>
      <c r="I40" s="3"/>
      <c r="J40" s="3"/>
      <c r="K40" s="3"/>
      <c r="L40" s="6">
        <f>162/L31</f>
        <v>0.75</v>
      </c>
      <c r="M40" s="6">
        <f>161/M31</f>
        <v>0.75943396226415094</v>
      </c>
      <c r="N40" s="3"/>
      <c r="O40" s="3"/>
      <c r="P40" s="3"/>
    </row>
    <row r="41" spans="1:16" s="2" customFormat="1" x14ac:dyDescent="0.25">
      <c r="A41" s="3" t="s">
        <v>39</v>
      </c>
      <c r="B41" s="3"/>
      <c r="C41" s="3"/>
      <c r="D41" s="8">
        <f>1-D40</f>
        <v>0.30487804878048785</v>
      </c>
      <c r="E41" s="3"/>
      <c r="F41" s="3"/>
      <c r="G41" s="3"/>
      <c r="H41" s="8">
        <f>1-H40</f>
        <v>0.29189189189189191</v>
      </c>
      <c r="I41" s="3"/>
      <c r="J41" s="3"/>
      <c r="K41" s="3"/>
      <c r="L41" s="8">
        <f>1-L40</f>
        <v>0.25</v>
      </c>
      <c r="M41" s="8">
        <f>1-M40</f>
        <v>0.24056603773584906</v>
      </c>
      <c r="N41" s="3"/>
      <c r="O41" s="3"/>
      <c r="P41" s="3"/>
    </row>
    <row r="42" spans="1:16" s="2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 t="s">
        <v>19</v>
      </c>
      <c r="B44" s="3"/>
      <c r="C44" s="5">
        <f t="shared" ref="C44:M44" si="33">C3/AVERAGE(B31:C31)</f>
        <v>1.1989538461538463</v>
      </c>
      <c r="D44" s="5">
        <f t="shared" si="33"/>
        <v>1.3844036697247706</v>
      </c>
      <c r="E44" s="5">
        <f t="shared" si="33"/>
        <v>0.61806060606060609</v>
      </c>
      <c r="F44" s="5">
        <f t="shared" si="33"/>
        <v>1.3266666666666667</v>
      </c>
      <c r="G44" s="5">
        <f t="shared" si="33"/>
        <v>1.6813489736070382</v>
      </c>
      <c r="H44" s="5">
        <f t="shared" si="33"/>
        <v>1.3984401114206129</v>
      </c>
      <c r="I44" s="5">
        <f t="shared" si="33"/>
        <v>1.6572105263157895</v>
      </c>
      <c r="J44" s="5">
        <f t="shared" si="33"/>
        <v>1.5525</v>
      </c>
      <c r="K44" s="5">
        <f t="shared" si="33"/>
        <v>1.5739088729016788</v>
      </c>
      <c r="L44" s="5">
        <f t="shared" si="33"/>
        <v>1.3094859813084112</v>
      </c>
      <c r="M44" s="5">
        <f t="shared" si="33"/>
        <v>1.5134579439252336</v>
      </c>
      <c r="N44" s="3"/>
      <c r="O44" s="3"/>
      <c r="P44" s="3"/>
    </row>
    <row r="45" spans="1:16" x14ac:dyDescent="0.25">
      <c r="A45" s="3" t="s">
        <v>35</v>
      </c>
      <c r="B45" s="3"/>
      <c r="C45" s="5">
        <f t="shared" ref="C45:L45" si="34">C44*4</f>
        <v>4.795815384615385</v>
      </c>
      <c r="D45" s="5">
        <f t="shared" si="34"/>
        <v>5.5376146788990823</v>
      </c>
      <c r="E45" s="5">
        <f t="shared" si="34"/>
        <v>2.4722424242424244</v>
      </c>
      <c r="F45" s="5">
        <f t="shared" si="34"/>
        <v>5.3066666666666666</v>
      </c>
      <c r="G45" s="5">
        <f t="shared" si="34"/>
        <v>6.7253958944281527</v>
      </c>
      <c r="H45" s="5">
        <f t="shared" si="34"/>
        <v>5.5937604456824515</v>
      </c>
      <c r="I45" s="5">
        <f t="shared" si="34"/>
        <v>6.6288421052631579</v>
      </c>
      <c r="J45" s="5">
        <f t="shared" si="34"/>
        <v>6.21</v>
      </c>
      <c r="K45" s="5">
        <f t="shared" si="34"/>
        <v>6.2956354916067152</v>
      </c>
      <c r="L45" s="5">
        <f t="shared" si="34"/>
        <v>5.2379439252336448</v>
      </c>
      <c r="M45" s="5">
        <f>M44*4</f>
        <v>6.0538317757009343</v>
      </c>
      <c r="N45" s="3"/>
      <c r="O45" s="3"/>
      <c r="P45" s="3"/>
    </row>
    <row r="46" spans="1:16" s="2" customFormat="1" x14ac:dyDescent="0.25">
      <c r="A46" s="3" t="s">
        <v>41</v>
      </c>
      <c r="B46" s="3"/>
      <c r="C46" s="5"/>
      <c r="D46" s="5"/>
      <c r="E46" s="5"/>
      <c r="F46" s="5"/>
      <c r="G46" s="6">
        <f t="shared" ref="G46:L46" si="35">G45/C45-1</f>
        <v>0.40234670333697942</v>
      </c>
      <c r="H46" s="6">
        <f t="shared" si="35"/>
        <v>1.0138980416479759E-2</v>
      </c>
      <c r="I46" s="6">
        <f t="shared" si="35"/>
        <v>1.6813074803108967</v>
      </c>
      <c r="J46" s="6">
        <f t="shared" si="35"/>
        <v>0.17022613065326642</v>
      </c>
      <c r="K46" s="6">
        <f t="shared" si="35"/>
        <v>-6.390113081335258E-2</v>
      </c>
      <c r="L46" s="6">
        <f t="shared" si="35"/>
        <v>-6.3609538503466623E-2</v>
      </c>
      <c r="M46" s="6">
        <f>M45/I45-1</f>
        <v>-8.674370582845492E-2</v>
      </c>
      <c r="N46" s="3"/>
      <c r="O46" s="3"/>
      <c r="P46" s="3"/>
    </row>
    <row r="47" spans="1:16" s="2" customFormat="1" x14ac:dyDescent="0.25">
      <c r="A47" s="3" t="s">
        <v>36</v>
      </c>
      <c r="B47" s="3"/>
      <c r="C47" s="3"/>
      <c r="D47" s="3"/>
      <c r="E47" s="3"/>
      <c r="F47" s="3"/>
      <c r="G47" s="3"/>
      <c r="H47" s="3"/>
      <c r="I47" s="3">
        <v>6.6</v>
      </c>
      <c r="J47" s="3">
        <v>6.2</v>
      </c>
      <c r="K47" s="3">
        <v>6.3</v>
      </c>
      <c r="L47" s="3">
        <v>5.2</v>
      </c>
      <c r="M47" s="3">
        <v>6.1</v>
      </c>
      <c r="N47" s="3"/>
      <c r="O47" s="3"/>
      <c r="P47" s="3"/>
    </row>
    <row r="48" spans="1:16" x14ac:dyDescent="0.25">
      <c r="A48" s="3" t="s">
        <v>20</v>
      </c>
      <c r="B48" s="3"/>
      <c r="C48" s="15">
        <f t="shared" ref="C48:L48" si="36">C45*10000000/365</f>
        <v>131392.20231822971</v>
      </c>
      <c r="D48" s="15">
        <f t="shared" si="36"/>
        <v>151715.47065476939</v>
      </c>
      <c r="E48" s="15">
        <f t="shared" si="36"/>
        <v>67732.669157326687</v>
      </c>
      <c r="F48" s="15">
        <f t="shared" si="36"/>
        <v>145388.12785388128</v>
      </c>
      <c r="G48" s="15">
        <f t="shared" si="36"/>
        <v>184257.4217651549</v>
      </c>
      <c r="H48" s="15">
        <f t="shared" si="36"/>
        <v>153253.71084061509</v>
      </c>
      <c r="I48" s="15">
        <f t="shared" si="36"/>
        <v>181612.11247296323</v>
      </c>
      <c r="J48" s="15">
        <f t="shared" si="36"/>
        <v>170136.98630136985</v>
      </c>
      <c r="K48" s="15">
        <f t="shared" si="36"/>
        <v>172483.16415360864</v>
      </c>
      <c r="L48" s="15">
        <f t="shared" si="36"/>
        <v>143505.31302009986</v>
      </c>
      <c r="M48" s="15">
        <f>M45*10000000/365</f>
        <v>165858.40481372422</v>
      </c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 t="s">
        <v>37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 t="s">
        <v>45</v>
      </c>
      <c r="B51" s="3"/>
      <c r="C51" s="3"/>
      <c r="D51" s="3"/>
      <c r="E51" s="3"/>
      <c r="F51" s="3"/>
      <c r="G51" s="3"/>
      <c r="H51" s="3"/>
      <c r="I51" s="5">
        <v>7</v>
      </c>
      <c r="J51" s="5">
        <v>6.7</v>
      </c>
      <c r="K51" s="5">
        <v>6.8</v>
      </c>
      <c r="L51" s="5">
        <v>5.7</v>
      </c>
      <c r="M51" s="5">
        <v>6.5</v>
      </c>
      <c r="N51" s="3"/>
      <c r="O51" s="3"/>
      <c r="P51" s="3"/>
    </row>
    <row r="52" spans="1:16" x14ac:dyDescent="0.25">
      <c r="A52" s="3" t="s">
        <v>42</v>
      </c>
      <c r="B52" s="3"/>
      <c r="C52" s="3"/>
      <c r="D52" s="3"/>
      <c r="E52" s="3"/>
      <c r="F52" s="3"/>
      <c r="G52" s="3"/>
      <c r="H52" s="3"/>
      <c r="I52" s="6">
        <v>0.215</v>
      </c>
      <c r="J52" s="6">
        <v>0.192</v>
      </c>
      <c r="K52" s="6">
        <v>0.192</v>
      </c>
      <c r="L52" s="6">
        <v>0.14499999999999999</v>
      </c>
      <c r="M52" s="6">
        <v>0.14299999999999999</v>
      </c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 t="s">
        <v>21</v>
      </c>
      <c r="B54" s="3"/>
      <c r="C54" s="3"/>
      <c r="D54" s="3"/>
      <c r="E54" s="3"/>
      <c r="F54" s="3"/>
      <c r="G54" s="3"/>
      <c r="H54" s="3"/>
      <c r="I54" s="5">
        <v>4.0999999999999996</v>
      </c>
      <c r="J54" s="5">
        <v>4.0999999999999996</v>
      </c>
      <c r="K54" s="5">
        <v>4.5</v>
      </c>
      <c r="L54" s="5">
        <v>3.9</v>
      </c>
      <c r="M54" s="5">
        <v>5.2</v>
      </c>
      <c r="N54" s="3"/>
      <c r="O54" s="3"/>
      <c r="P54" s="3"/>
    </row>
    <row r="55" spans="1:16" x14ac:dyDescent="0.25">
      <c r="A55" s="3" t="s">
        <v>42</v>
      </c>
      <c r="B55" s="3"/>
      <c r="C55" s="3"/>
      <c r="D55" s="3"/>
      <c r="E55" s="3"/>
      <c r="F55" s="3"/>
      <c r="G55" s="3"/>
      <c r="H55" s="3"/>
      <c r="I55" s="6">
        <v>6.2E-2</v>
      </c>
      <c r="J55" s="6">
        <v>2.3E-2</v>
      </c>
      <c r="K55" s="6">
        <v>5.2999999999999999E-2</v>
      </c>
      <c r="L55" s="6">
        <v>-1.2E-2</v>
      </c>
      <c r="M55" s="6">
        <v>4.2999999999999997E-2</v>
      </c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4" t="s">
        <v>50</v>
      </c>
      <c r="B58" s="3"/>
      <c r="C58" s="18"/>
      <c r="D58" s="18"/>
      <c r="E58" s="17" t="s">
        <v>130</v>
      </c>
      <c r="F58" s="17" t="s">
        <v>131</v>
      </c>
      <c r="G58" s="17" t="s">
        <v>51</v>
      </c>
      <c r="H58" s="17" t="s">
        <v>52</v>
      </c>
      <c r="I58" s="17" t="s">
        <v>53</v>
      </c>
      <c r="J58" s="17" t="s">
        <v>132</v>
      </c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18"/>
      <c r="D59" s="18"/>
      <c r="E59" s="3"/>
      <c r="F59" s="18"/>
      <c r="G59" s="18"/>
      <c r="H59" s="18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4" t="s">
        <v>54</v>
      </c>
      <c r="B60" s="3"/>
      <c r="C60" s="18"/>
      <c r="D60" s="18"/>
      <c r="E60" s="3"/>
      <c r="F60" s="18"/>
      <c r="G60" s="18"/>
      <c r="H60" s="18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19" t="s">
        <v>55</v>
      </c>
      <c r="B61" s="3"/>
      <c r="C61" s="18"/>
      <c r="D61" s="18"/>
      <c r="E61" s="48">
        <v>743.1</v>
      </c>
      <c r="F61" s="49">
        <v>847</v>
      </c>
      <c r="G61" s="49">
        <v>507.1</v>
      </c>
      <c r="H61" s="49">
        <v>860.6</v>
      </c>
      <c r="I61" s="48">
        <v>1233.8</v>
      </c>
      <c r="J61" s="3"/>
      <c r="K61" s="3"/>
      <c r="L61" s="3"/>
      <c r="M61" s="3"/>
      <c r="N61" s="3"/>
      <c r="O61" s="3"/>
      <c r="P61" s="3"/>
    </row>
    <row r="62" spans="1:16" x14ac:dyDescent="0.25">
      <c r="A62" s="19" t="s">
        <v>56</v>
      </c>
      <c r="B62" s="3"/>
      <c r="C62" s="18"/>
      <c r="D62" s="18"/>
      <c r="E62" s="48"/>
      <c r="F62" s="21">
        <f t="shared" ref="F62:G62" si="37">+F61/E61-1</f>
        <v>0.13981967433723597</v>
      </c>
      <c r="G62" s="21">
        <f t="shared" si="37"/>
        <v>-0.40129870129870127</v>
      </c>
      <c r="H62" s="21">
        <f>+H61/G61-1</f>
        <v>0.69710116347860374</v>
      </c>
      <c r="I62" s="6">
        <f>+I61/H61-1</f>
        <v>0.4336509412038112</v>
      </c>
      <c r="J62" s="3"/>
      <c r="K62" s="3"/>
      <c r="L62" s="3"/>
      <c r="M62" s="3"/>
      <c r="N62" s="3"/>
      <c r="O62" s="3"/>
      <c r="P62" s="3"/>
    </row>
    <row r="63" spans="1:16" s="2" customFormat="1" x14ac:dyDescent="0.25">
      <c r="A63" s="19" t="s">
        <v>128</v>
      </c>
      <c r="B63" s="3"/>
      <c r="C63" s="18"/>
      <c r="D63" s="18"/>
      <c r="E63" s="48">
        <v>248.8</v>
      </c>
      <c r="F63" s="49">
        <v>292.2</v>
      </c>
      <c r="G63" s="49">
        <v>178.2</v>
      </c>
      <c r="H63" s="49">
        <v>304.7</v>
      </c>
      <c r="I63" s="48">
        <v>415.2</v>
      </c>
      <c r="J63" s="3"/>
      <c r="K63" s="3"/>
      <c r="L63" s="3"/>
      <c r="M63" s="3"/>
      <c r="N63" s="3"/>
      <c r="O63" s="3"/>
      <c r="P63" s="3"/>
    </row>
    <row r="64" spans="1:16" s="2" customFormat="1" x14ac:dyDescent="0.25">
      <c r="A64" s="19" t="s">
        <v>129</v>
      </c>
      <c r="B64" s="3"/>
      <c r="C64" s="18"/>
      <c r="D64" s="18"/>
      <c r="E64" s="6">
        <f>E63/E$61</f>
        <v>0.3348136186246804</v>
      </c>
      <c r="F64" s="6">
        <f t="shared" ref="F64:I64" si="38">F63/F$61</f>
        <v>0.34498229043683587</v>
      </c>
      <c r="G64" s="6">
        <f t="shared" si="38"/>
        <v>0.35140997830802601</v>
      </c>
      <c r="H64" s="6">
        <f t="shared" si="38"/>
        <v>0.35405531024866371</v>
      </c>
      <c r="I64" s="6">
        <f t="shared" si="38"/>
        <v>0.3365213162587129</v>
      </c>
      <c r="J64" s="3"/>
      <c r="K64" s="3"/>
      <c r="L64" s="3"/>
      <c r="M64" s="3"/>
      <c r="N64" s="3"/>
      <c r="O64" s="3"/>
      <c r="P64" s="3"/>
    </row>
    <row r="65" spans="1:16" x14ac:dyDescent="0.25">
      <c r="A65" s="19" t="s">
        <v>57</v>
      </c>
      <c r="B65" s="3"/>
      <c r="C65" s="18"/>
      <c r="D65" s="18"/>
      <c r="E65" s="6">
        <f>1-E64</f>
        <v>0.6651863813753196</v>
      </c>
      <c r="F65" s="6">
        <f t="shared" ref="F65:G65" si="39">1-F64</f>
        <v>0.65501770956316419</v>
      </c>
      <c r="G65" s="6">
        <f t="shared" si="39"/>
        <v>0.64859002169197399</v>
      </c>
      <c r="H65" s="6">
        <f t="shared" ref="H65" si="40">1-H64</f>
        <v>0.64594468975133634</v>
      </c>
      <c r="I65" s="6">
        <f t="shared" ref="I65" si="41">1-I64</f>
        <v>0.66347868374128716</v>
      </c>
      <c r="J65" s="3"/>
      <c r="K65" s="3"/>
      <c r="L65" s="3"/>
      <c r="M65" s="3"/>
      <c r="N65" s="3"/>
      <c r="O65" s="3"/>
      <c r="P65" s="3"/>
    </row>
    <row r="66" spans="1:16" x14ac:dyDescent="0.25">
      <c r="A66" s="19" t="s">
        <v>58</v>
      </c>
      <c r="B66" s="3"/>
      <c r="C66" s="18"/>
      <c r="D66" s="18"/>
      <c r="E66" s="48">
        <v>136.80000000000001</v>
      </c>
      <c r="F66" s="49">
        <v>164.2</v>
      </c>
      <c r="G66" s="49">
        <v>46.4</v>
      </c>
      <c r="H66" s="49">
        <v>133.69999999999999</v>
      </c>
      <c r="I66" s="48">
        <v>230.6</v>
      </c>
      <c r="J66" s="3"/>
      <c r="K66" s="3"/>
      <c r="L66" s="3"/>
      <c r="M66" s="3"/>
      <c r="N66" s="3"/>
      <c r="O66" s="3"/>
      <c r="P66" s="3"/>
    </row>
    <row r="67" spans="1:16" x14ac:dyDescent="0.25">
      <c r="A67" s="19" t="s">
        <v>59</v>
      </c>
      <c r="B67" s="3"/>
      <c r="C67" s="18"/>
      <c r="D67" s="18"/>
      <c r="E67" s="21">
        <f t="shared" ref="E67:F67" si="42">+E66/E61</f>
        <v>0.18409366168752525</v>
      </c>
      <c r="F67" s="21">
        <f t="shared" si="42"/>
        <v>0.19386068476977567</v>
      </c>
      <c r="G67" s="21">
        <f>+G66/G61</f>
        <v>9.1500690199171758E-2</v>
      </c>
      <c r="H67" s="21">
        <f>+H66/H61</f>
        <v>0.15535672786428073</v>
      </c>
      <c r="I67" s="6">
        <f>+I66/I61</f>
        <v>0.18690225320149134</v>
      </c>
      <c r="J67" s="3"/>
      <c r="K67" s="3"/>
      <c r="L67" s="3"/>
      <c r="M67" s="3"/>
      <c r="N67" s="3"/>
      <c r="O67" s="3"/>
      <c r="P67" s="3"/>
    </row>
    <row r="68" spans="1:16" x14ac:dyDescent="0.25">
      <c r="A68" s="19" t="s">
        <v>60</v>
      </c>
      <c r="B68" s="3"/>
      <c r="C68" s="18"/>
      <c r="D68" s="18"/>
      <c r="E68" s="48"/>
      <c r="F68" s="49"/>
      <c r="G68" s="49"/>
      <c r="H68" s="49"/>
      <c r="I68" s="48"/>
      <c r="J68" s="3"/>
      <c r="K68" s="3"/>
      <c r="L68" s="3"/>
      <c r="M68" s="3"/>
      <c r="N68" s="3"/>
      <c r="O68" s="3"/>
      <c r="P68" s="3"/>
    </row>
    <row r="69" spans="1:16" x14ac:dyDescent="0.25">
      <c r="A69" s="19" t="s">
        <v>61</v>
      </c>
      <c r="B69" s="3"/>
      <c r="C69" s="18"/>
      <c r="D69" s="18"/>
      <c r="E69" s="48"/>
      <c r="F69" s="49"/>
      <c r="G69" s="49"/>
      <c r="H69" s="49"/>
      <c r="I69" s="48"/>
      <c r="J69" s="3"/>
      <c r="K69" s="3"/>
      <c r="L69" s="3"/>
      <c r="M69" s="3"/>
      <c r="N69" s="3"/>
      <c r="O69" s="3"/>
      <c r="P69" s="3"/>
    </row>
    <row r="70" spans="1:16" x14ac:dyDescent="0.25">
      <c r="A70" s="19" t="s">
        <v>4</v>
      </c>
      <c r="B70" s="3"/>
      <c r="C70" s="18"/>
      <c r="D70" s="18"/>
      <c r="E70" s="48">
        <v>102.2</v>
      </c>
      <c r="F70" s="49">
        <v>134</v>
      </c>
      <c r="G70" s="49">
        <v>121.2</v>
      </c>
      <c r="H70" s="49">
        <v>127.3</v>
      </c>
      <c r="I70" s="48">
        <v>145</v>
      </c>
      <c r="J70" s="3"/>
      <c r="K70" s="3"/>
      <c r="L70" s="3"/>
      <c r="M70" s="3"/>
      <c r="N70" s="3"/>
      <c r="O70" s="3"/>
      <c r="P70" s="3"/>
    </row>
    <row r="71" spans="1:16" x14ac:dyDescent="0.25">
      <c r="A71" s="19" t="s">
        <v>2</v>
      </c>
      <c r="B71" s="3"/>
      <c r="C71" s="18"/>
      <c r="D71" s="18"/>
      <c r="E71" s="48">
        <v>57.4</v>
      </c>
      <c r="F71" s="49">
        <v>75.599999999999994</v>
      </c>
      <c r="G71" s="49">
        <v>84.9</v>
      </c>
      <c r="H71" s="49">
        <v>65.3</v>
      </c>
      <c r="I71" s="48">
        <v>71.7</v>
      </c>
      <c r="J71" s="3"/>
      <c r="K71" s="3"/>
      <c r="L71" s="3"/>
      <c r="M71" s="3"/>
      <c r="N71" s="3"/>
      <c r="O71" s="3"/>
      <c r="P71" s="3"/>
    </row>
    <row r="72" spans="1:16" x14ac:dyDescent="0.25">
      <c r="A72" s="19" t="s">
        <v>133</v>
      </c>
      <c r="B72" s="3"/>
      <c r="C72" s="18"/>
      <c r="D72" s="18"/>
      <c r="E72" s="48">
        <v>-19.2</v>
      </c>
      <c r="F72" s="49">
        <v>-41.5</v>
      </c>
      <c r="G72" s="49">
        <v>-113.6</v>
      </c>
      <c r="H72" s="49">
        <v>-32.6</v>
      </c>
      <c r="I72" s="48">
        <v>21.9</v>
      </c>
      <c r="J72" s="3"/>
      <c r="K72" s="3"/>
      <c r="L72" s="3"/>
      <c r="M72" s="3"/>
      <c r="N72" s="3"/>
      <c r="O72" s="3"/>
      <c r="P72" s="3"/>
    </row>
    <row r="73" spans="1:16" s="2" customFormat="1" x14ac:dyDescent="0.25">
      <c r="A73" s="19" t="s">
        <v>134</v>
      </c>
      <c r="B73" s="3"/>
      <c r="C73" s="18"/>
      <c r="D73" s="18"/>
      <c r="E73" s="48">
        <v>-10.3</v>
      </c>
      <c r="F73" s="49">
        <v>16.399999999999999</v>
      </c>
      <c r="G73" s="49">
        <v>2.1</v>
      </c>
      <c r="H73" s="49">
        <v>0.5</v>
      </c>
      <c r="I73" s="48">
        <v>3.8</v>
      </c>
      <c r="J73" s="3"/>
      <c r="K73" s="3"/>
      <c r="L73" s="3"/>
      <c r="M73" s="3"/>
      <c r="N73" s="3"/>
      <c r="O73" s="3"/>
      <c r="P73" s="3"/>
    </row>
    <row r="74" spans="1:16" s="2" customFormat="1" x14ac:dyDescent="0.25">
      <c r="A74" s="19" t="s">
        <v>5</v>
      </c>
      <c r="B74" s="3"/>
      <c r="C74" s="18"/>
      <c r="D74" s="18"/>
      <c r="E74" s="48">
        <v>-29.5</v>
      </c>
      <c r="F74" s="49">
        <v>-25.1</v>
      </c>
      <c r="G74" s="49">
        <v>-111.5</v>
      </c>
      <c r="H74" s="49">
        <v>-32.1</v>
      </c>
      <c r="I74" s="48">
        <v>25.7</v>
      </c>
      <c r="J74" s="3"/>
      <c r="K74" s="3"/>
      <c r="L74" s="3"/>
      <c r="M74" s="3"/>
      <c r="N74" s="3"/>
      <c r="O74" s="3"/>
      <c r="P74" s="3"/>
    </row>
    <row r="75" spans="1:16" s="2" customFormat="1" x14ac:dyDescent="0.25">
      <c r="A75" s="19" t="s">
        <v>136</v>
      </c>
      <c r="B75" s="3"/>
      <c r="C75" s="18"/>
      <c r="D75" s="18"/>
      <c r="E75" s="6">
        <f>(E74-E76)/E74</f>
        <v>-0.30169491525423725</v>
      </c>
      <c r="F75" s="6">
        <f t="shared" ref="F75:I75" si="43">(F74-F76)/F74</f>
        <v>-0.31075697211155368</v>
      </c>
      <c r="G75" s="6">
        <f t="shared" si="43"/>
        <v>0.17578475336322866</v>
      </c>
      <c r="H75" s="6">
        <f t="shared" si="43"/>
        <v>0.21495327102803743</v>
      </c>
      <c r="I75" s="6">
        <f t="shared" si="43"/>
        <v>0.2568093385214007</v>
      </c>
      <c r="J75" s="3"/>
      <c r="K75" s="3"/>
      <c r="L75" s="3"/>
      <c r="M75" s="3"/>
      <c r="N75" s="3"/>
      <c r="O75" s="3"/>
      <c r="P75" s="3"/>
    </row>
    <row r="76" spans="1:16" x14ac:dyDescent="0.25">
      <c r="A76" s="19" t="s">
        <v>62</v>
      </c>
      <c r="B76" s="3"/>
      <c r="C76" s="18"/>
      <c r="D76" s="18"/>
      <c r="E76" s="48">
        <v>-38.4</v>
      </c>
      <c r="F76" s="49">
        <v>-32.9</v>
      </c>
      <c r="G76" s="49">
        <v>-91.9</v>
      </c>
      <c r="H76" s="49">
        <v>-25.2</v>
      </c>
      <c r="I76" s="48">
        <v>19.100000000000001</v>
      </c>
      <c r="J76" s="3"/>
      <c r="K76" s="3"/>
      <c r="L76" s="3"/>
      <c r="M76" s="3"/>
      <c r="N76" s="3"/>
      <c r="O76" s="3"/>
      <c r="P76" s="3"/>
    </row>
    <row r="77" spans="1:16" x14ac:dyDescent="0.25">
      <c r="A77" s="19" t="s">
        <v>63</v>
      </c>
      <c r="B77" s="3"/>
      <c r="C77" s="18"/>
      <c r="D77" s="18"/>
      <c r="E77" s="48"/>
      <c r="F77" s="49">
        <v>0.5</v>
      </c>
      <c r="G77" s="49">
        <v>1.4</v>
      </c>
      <c r="H77" s="49">
        <v>-0.4</v>
      </c>
      <c r="I77" s="48">
        <v>-2.1</v>
      </c>
      <c r="J77" s="3"/>
      <c r="K77" s="3"/>
      <c r="L77" s="3"/>
      <c r="M77" s="3"/>
      <c r="N77" s="3"/>
      <c r="O77" s="3"/>
      <c r="P77" s="3"/>
    </row>
    <row r="78" spans="1:16" x14ac:dyDescent="0.25">
      <c r="A78" s="19" t="s">
        <v>62</v>
      </c>
      <c r="B78" s="3"/>
      <c r="C78" s="18"/>
      <c r="D78" s="18"/>
      <c r="E78" s="48">
        <f>E76+E77</f>
        <v>-38.4</v>
      </c>
      <c r="F78" s="48">
        <f t="shared" ref="F78:I78" si="44">F76+F77</f>
        <v>-32.4</v>
      </c>
      <c r="G78" s="48">
        <f t="shared" si="44"/>
        <v>-90.5</v>
      </c>
      <c r="H78" s="48">
        <f t="shared" si="44"/>
        <v>-25.599999999999998</v>
      </c>
      <c r="I78" s="48">
        <f t="shared" si="44"/>
        <v>17</v>
      </c>
      <c r="J78" s="3"/>
      <c r="K78" s="3"/>
      <c r="L78" s="3"/>
      <c r="M78" s="3"/>
      <c r="N78" s="3"/>
      <c r="O78" s="3"/>
      <c r="P78" s="3"/>
    </row>
    <row r="79" spans="1:16" x14ac:dyDescent="0.25">
      <c r="A79" s="19" t="s">
        <v>16</v>
      </c>
      <c r="B79" s="5"/>
      <c r="C79" s="18"/>
      <c r="D79" s="18"/>
      <c r="E79" s="48">
        <v>-13.7</v>
      </c>
      <c r="F79" s="49">
        <v>-11.6</v>
      </c>
      <c r="G79" s="49">
        <v>-26.7</v>
      </c>
      <c r="H79" s="49">
        <v>-6.6</v>
      </c>
      <c r="I79" s="48">
        <v>4.4000000000000004</v>
      </c>
      <c r="J79" s="3"/>
      <c r="K79" s="3"/>
      <c r="L79" s="3"/>
      <c r="M79" s="3"/>
      <c r="N79" s="3"/>
      <c r="O79" s="3"/>
      <c r="P79" s="3"/>
    </row>
    <row r="80" spans="1:16" x14ac:dyDescent="0.25">
      <c r="A80" s="23"/>
      <c r="B80" s="23"/>
      <c r="C80" s="23"/>
      <c r="D80" s="23"/>
      <c r="E80" s="2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2" customFormat="1" x14ac:dyDescent="0.25">
      <c r="A81" s="50" t="s">
        <v>135</v>
      </c>
      <c r="B81" s="51"/>
      <c r="C81" s="51"/>
      <c r="D81" s="51"/>
      <c r="E81" s="51"/>
      <c r="F81" s="52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2" customFormat="1" x14ac:dyDescent="0.25">
      <c r="A82" s="34"/>
      <c r="B82" s="35"/>
      <c r="C82" s="35"/>
      <c r="D82" s="35"/>
      <c r="E82" s="35"/>
      <c r="F82" s="36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2" customFormat="1" x14ac:dyDescent="0.25">
      <c r="A83" s="23"/>
      <c r="B83" s="23"/>
      <c r="C83" s="23"/>
      <c r="D83" s="23"/>
      <c r="E83" s="2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2" customFormat="1" x14ac:dyDescent="0.25">
      <c r="A84" s="62" t="s">
        <v>140</v>
      </c>
      <c r="B84" s="23"/>
      <c r="C84" s="23"/>
      <c r="D84" s="23"/>
      <c r="E84" s="2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2" customFormat="1" x14ac:dyDescent="0.25">
      <c r="A85" s="63" t="s">
        <v>141</v>
      </c>
      <c r="B85" s="48"/>
      <c r="C85" s="48"/>
      <c r="D85" s="48">
        <v>105</v>
      </c>
      <c r="E85" s="48">
        <v>131</v>
      </c>
      <c r="F85" s="48">
        <v>164</v>
      </c>
      <c r="G85" s="48">
        <v>164</v>
      </c>
      <c r="H85" s="48">
        <v>185</v>
      </c>
      <c r="I85" s="48">
        <f>L31</f>
        <v>216</v>
      </c>
      <c r="J85" s="3"/>
      <c r="K85" s="3"/>
      <c r="L85" s="3"/>
      <c r="M85" s="3"/>
      <c r="N85" s="3"/>
      <c r="O85" s="3"/>
      <c r="P85" s="3"/>
    </row>
    <row r="86" spans="1:16" s="2" customFormat="1" x14ac:dyDescent="0.25">
      <c r="A86" s="63" t="s">
        <v>19</v>
      </c>
      <c r="B86" s="23"/>
      <c r="C86" s="23"/>
      <c r="D86" s="23"/>
      <c r="E86" s="5">
        <f t="shared" ref="E86:H86" si="45">E61/AVERAGE(D85:E85)</f>
        <v>6.2974576271186447</v>
      </c>
      <c r="F86" s="5">
        <f t="shared" si="45"/>
        <v>5.7423728813559318</v>
      </c>
      <c r="G86" s="5">
        <f t="shared" si="45"/>
        <v>3.0920731707317075</v>
      </c>
      <c r="H86" s="5">
        <f t="shared" si="45"/>
        <v>4.9318051575931232</v>
      </c>
      <c r="I86" s="5">
        <f>I61/AVERAGE(H85:I85)</f>
        <v>6.1536159600997502</v>
      </c>
      <c r="J86" s="3"/>
      <c r="K86" s="3"/>
      <c r="L86" s="3"/>
      <c r="M86" s="3"/>
      <c r="N86" s="3"/>
      <c r="O86" s="3"/>
      <c r="P86" s="3"/>
    </row>
    <row r="87" spans="1:16" s="2" customFormat="1" x14ac:dyDescent="0.25">
      <c r="A87" s="63" t="s">
        <v>142</v>
      </c>
      <c r="B87" s="23"/>
      <c r="C87" s="23"/>
      <c r="D87" s="23"/>
      <c r="E87" s="6"/>
      <c r="F87" s="6">
        <f t="shared" ref="F87:H87" si="46">F86/E86-1</f>
        <v>-8.8144260530211405E-2</v>
      </c>
      <c r="G87" s="6">
        <f t="shared" si="46"/>
        <v>-0.46153389293633185</v>
      </c>
      <c r="H87" s="6">
        <f t="shared" si="46"/>
        <v>0.59498332842688262</v>
      </c>
      <c r="I87" s="6">
        <f>I86/H86-1</f>
        <v>0.24774109346665862</v>
      </c>
      <c r="J87" s="3"/>
      <c r="K87" s="3"/>
      <c r="L87" s="3"/>
      <c r="M87" s="3"/>
      <c r="N87" s="3"/>
      <c r="O87" s="3"/>
      <c r="P87" s="3"/>
    </row>
    <row r="88" spans="1:16" s="2" customFormat="1" x14ac:dyDescent="0.25">
      <c r="A88" s="63"/>
      <c r="B88" s="48"/>
      <c r="C88" s="48"/>
      <c r="D88" s="48"/>
      <c r="E88" s="48"/>
      <c r="F88" s="48"/>
      <c r="G88" s="48"/>
      <c r="H88" s="48"/>
      <c r="I88" s="48"/>
      <c r="J88" s="3"/>
      <c r="K88" s="3"/>
      <c r="L88" s="3"/>
      <c r="M88" s="3"/>
      <c r="N88" s="3"/>
      <c r="O88" s="3"/>
      <c r="P88" s="3"/>
    </row>
    <row r="89" spans="1:16" s="2" customFormat="1" x14ac:dyDescent="0.25">
      <c r="A89" s="63"/>
      <c r="B89" s="48"/>
      <c r="C89" s="48"/>
      <c r="D89" s="48"/>
      <c r="E89" s="48"/>
      <c r="F89" s="48"/>
      <c r="G89" s="48"/>
      <c r="H89" s="48"/>
      <c r="I89" s="48"/>
      <c r="J89" s="3"/>
      <c r="K89" s="3"/>
      <c r="L89" s="3"/>
      <c r="M89" s="3"/>
      <c r="N89" s="3"/>
      <c r="O89" s="3"/>
      <c r="P89" s="3"/>
    </row>
    <row r="90" spans="1:16" s="2" customFormat="1" x14ac:dyDescent="0.25">
      <c r="A90" s="63"/>
      <c r="B90" s="48"/>
      <c r="C90" s="48"/>
      <c r="D90" s="48"/>
      <c r="E90" s="48"/>
      <c r="F90" s="48"/>
      <c r="G90" s="48"/>
      <c r="H90" s="48"/>
      <c r="I90" s="48"/>
      <c r="J90" s="3"/>
      <c r="K90" s="3"/>
      <c r="L90" s="3"/>
      <c r="M90" s="3"/>
      <c r="N90" s="3"/>
      <c r="O90" s="3"/>
      <c r="P90" s="3"/>
    </row>
    <row r="91" spans="1:16" s="2" customFormat="1" x14ac:dyDescent="0.25">
      <c r="A91" s="63"/>
      <c r="B91" s="48"/>
      <c r="C91" s="48"/>
      <c r="D91" s="48"/>
      <c r="E91" s="48"/>
      <c r="F91" s="48"/>
      <c r="G91" s="48"/>
      <c r="H91" s="48"/>
      <c r="I91" s="48"/>
      <c r="J91" s="3"/>
      <c r="K91" s="3"/>
      <c r="L91" s="3"/>
      <c r="M91" s="3"/>
      <c r="N91" s="3"/>
      <c r="O91" s="3"/>
      <c r="P91" s="3"/>
    </row>
    <row r="92" spans="1:16" s="2" customFormat="1" x14ac:dyDescent="0.25">
      <c r="A92" s="63" t="s">
        <v>143</v>
      </c>
      <c r="B92" s="48"/>
      <c r="C92" s="48"/>
      <c r="D92" s="48"/>
      <c r="E92" s="48">
        <v>733</v>
      </c>
      <c r="F92" s="48">
        <v>819.2</v>
      </c>
      <c r="G92" s="48">
        <v>428.7</v>
      </c>
      <c r="H92" s="48">
        <v>659.6</v>
      </c>
      <c r="I92" s="48">
        <v>1066</v>
      </c>
      <c r="J92" s="3"/>
      <c r="K92" s="3"/>
      <c r="L92" s="3"/>
      <c r="M92" s="3"/>
      <c r="N92" s="3"/>
      <c r="O92" s="3"/>
      <c r="P92" s="3"/>
    </row>
    <row r="93" spans="1:16" s="2" customFormat="1" x14ac:dyDescent="0.25">
      <c r="A93" s="63" t="s">
        <v>145</v>
      </c>
      <c r="B93" s="48"/>
      <c r="C93" s="48"/>
      <c r="D93" s="48"/>
      <c r="E93" s="48"/>
      <c r="F93" s="6">
        <f>F92/E92-1</f>
        <v>0.11759890859481592</v>
      </c>
      <c r="G93" s="6">
        <f t="shared" ref="G93:I93" si="47">G92/F92-1</f>
        <v>-0.4766845703125</v>
      </c>
      <c r="H93" s="6">
        <f t="shared" si="47"/>
        <v>0.53860508514112437</v>
      </c>
      <c r="I93" s="6">
        <f t="shared" si="47"/>
        <v>0.6161309884778654</v>
      </c>
      <c r="J93" s="3"/>
      <c r="K93" s="3"/>
      <c r="L93" s="3"/>
      <c r="M93" s="3"/>
      <c r="N93" s="3"/>
      <c r="O93" s="3"/>
      <c r="P93" s="3"/>
    </row>
    <row r="94" spans="1:16" s="2" customFormat="1" x14ac:dyDescent="0.25">
      <c r="A94" s="63" t="s">
        <v>144</v>
      </c>
      <c r="B94" s="48"/>
      <c r="C94" s="48"/>
      <c r="D94" s="48"/>
      <c r="E94" s="6">
        <f>E92/E$61</f>
        <v>0.98640828959763149</v>
      </c>
      <c r="F94" s="6">
        <f t="shared" ref="F94:I94" si="48">F92/F$61</f>
        <v>0.9671782762691854</v>
      </c>
      <c r="G94" s="6">
        <f t="shared" si="48"/>
        <v>0.84539538552553728</v>
      </c>
      <c r="H94" s="6">
        <f t="shared" si="48"/>
        <v>0.7664420171973042</v>
      </c>
      <c r="I94" s="6">
        <f t="shared" si="48"/>
        <v>0.86399740638677258</v>
      </c>
      <c r="J94" s="3"/>
      <c r="K94" s="3"/>
      <c r="L94" s="3"/>
      <c r="M94" s="3"/>
      <c r="N94" s="3"/>
      <c r="O94" s="3"/>
      <c r="P94" s="3"/>
    </row>
    <row r="95" spans="1:16" s="2" customFormat="1" x14ac:dyDescent="0.25">
      <c r="A95" s="63"/>
      <c r="B95" s="48"/>
      <c r="C95" s="48"/>
      <c r="D95" s="48"/>
      <c r="E95" s="48"/>
      <c r="F95" s="48"/>
      <c r="G95" s="48"/>
      <c r="H95" s="48"/>
      <c r="I95" s="48"/>
      <c r="J95" s="3"/>
      <c r="K95" s="3"/>
      <c r="L95" s="3"/>
      <c r="M95" s="3"/>
      <c r="N95" s="3"/>
      <c r="O95" s="3"/>
      <c r="P95" s="3"/>
    </row>
    <row r="96" spans="1:16" s="2" customFormat="1" x14ac:dyDescent="0.25">
      <c r="A96" s="63"/>
      <c r="B96" s="48"/>
      <c r="C96" s="48"/>
      <c r="D96" s="48"/>
      <c r="E96" s="48"/>
      <c r="F96" s="48"/>
      <c r="G96" s="48"/>
      <c r="H96" s="48"/>
      <c r="I96" s="48"/>
      <c r="J96" s="3"/>
      <c r="K96" s="3"/>
      <c r="L96" s="3"/>
      <c r="M96" s="3"/>
      <c r="N96" s="3"/>
      <c r="O96" s="3"/>
      <c r="P96" s="3"/>
    </row>
    <row r="97" spans="1:16" s="2" customFormat="1" x14ac:dyDescent="0.25">
      <c r="A97" s="63" t="s">
        <v>146</v>
      </c>
      <c r="B97" s="48"/>
      <c r="C97" s="48"/>
      <c r="D97" s="48"/>
      <c r="E97" s="48">
        <f>E61-E92</f>
        <v>10.100000000000023</v>
      </c>
      <c r="F97" s="48">
        <f t="shared" ref="F97:I97" si="49">F61-F92</f>
        <v>27.799999999999955</v>
      </c>
      <c r="G97" s="48">
        <f t="shared" si="49"/>
        <v>78.400000000000034</v>
      </c>
      <c r="H97" s="48">
        <f t="shared" si="49"/>
        <v>201</v>
      </c>
      <c r="I97" s="48">
        <f t="shared" si="49"/>
        <v>167.79999999999995</v>
      </c>
      <c r="J97" s="3"/>
      <c r="K97" s="3"/>
      <c r="L97" s="3"/>
      <c r="M97" s="3"/>
      <c r="N97" s="3"/>
      <c r="O97" s="3"/>
      <c r="P97" s="3"/>
    </row>
    <row r="98" spans="1:16" s="2" customFormat="1" x14ac:dyDescent="0.25">
      <c r="A98" s="63" t="s">
        <v>145</v>
      </c>
      <c r="B98" s="48"/>
      <c r="C98" s="48"/>
      <c r="D98" s="48"/>
      <c r="E98" s="48"/>
      <c r="F98" s="6">
        <f>F97/E97-1</f>
        <v>1.7524752475247416</v>
      </c>
      <c r="G98" s="6">
        <f t="shared" ref="G98" si="50">G97/F97-1</f>
        <v>1.8201438848920923</v>
      </c>
      <c r="H98" s="6">
        <f t="shared" ref="H98" si="51">H97/G97-1</f>
        <v>1.5637755102040805</v>
      </c>
      <c r="I98" s="6">
        <f t="shared" ref="I98" si="52">I97/H97-1</f>
        <v>-0.16517412935323406</v>
      </c>
      <c r="J98" s="3"/>
      <c r="K98" s="3"/>
      <c r="L98" s="3"/>
      <c r="M98" s="3"/>
      <c r="N98" s="3"/>
      <c r="O98" s="3"/>
      <c r="P98" s="3"/>
    </row>
    <row r="99" spans="1:16" s="2" customFormat="1" x14ac:dyDescent="0.25">
      <c r="A99" s="63" t="s">
        <v>144</v>
      </c>
      <c r="B99" s="48"/>
      <c r="C99" s="48"/>
      <c r="D99" s="48"/>
      <c r="E99" s="6">
        <f>E97/E$61</f>
        <v>1.3591710402368487E-2</v>
      </c>
      <c r="F99" s="6">
        <f t="shared" ref="F99:I99" si="53">F97/F$61</f>
        <v>3.2821723730814586E-2</v>
      </c>
      <c r="G99" s="6">
        <f t="shared" si="53"/>
        <v>0.15460461447446269</v>
      </c>
      <c r="H99" s="6">
        <f t="shared" si="53"/>
        <v>0.2335579828026958</v>
      </c>
      <c r="I99" s="6">
        <f t="shared" si="53"/>
        <v>0.13600259361322739</v>
      </c>
      <c r="J99" s="3"/>
      <c r="K99" s="3"/>
      <c r="L99" s="3"/>
      <c r="M99" s="3"/>
      <c r="N99" s="3"/>
      <c r="O99" s="3"/>
      <c r="P99" s="3"/>
    </row>
    <row r="100" spans="1:16" s="2" customFormat="1" x14ac:dyDescent="0.25">
      <c r="A100" s="23"/>
      <c r="B100" s="48"/>
      <c r="C100" s="48"/>
      <c r="D100" s="48"/>
      <c r="E100" s="48"/>
      <c r="F100" s="48"/>
      <c r="G100" s="48"/>
      <c r="H100" s="48"/>
      <c r="I100" s="48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18"/>
      <c r="D101" s="18"/>
      <c r="E101" s="3"/>
      <c r="F101" s="18"/>
      <c r="G101" s="18"/>
      <c r="H101" s="18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25" t="s">
        <v>64</v>
      </c>
      <c r="B102" s="3"/>
      <c r="C102" s="18"/>
      <c r="D102" s="18"/>
      <c r="E102" s="17" t="s">
        <v>130</v>
      </c>
      <c r="F102" s="17" t="s">
        <v>131</v>
      </c>
      <c r="G102" s="17" t="s">
        <v>51</v>
      </c>
      <c r="H102" s="17" t="s">
        <v>52</v>
      </c>
      <c r="I102" s="17" t="s">
        <v>53</v>
      </c>
      <c r="J102" s="3"/>
      <c r="K102" s="3"/>
      <c r="L102" s="3"/>
      <c r="M102" s="3"/>
      <c r="N102" s="3"/>
      <c r="O102" s="3"/>
      <c r="P102" s="3"/>
    </row>
    <row r="103" spans="1:16" x14ac:dyDescent="0.25">
      <c r="A103" s="19" t="s">
        <v>65</v>
      </c>
      <c r="B103" s="3"/>
      <c r="C103" s="18"/>
      <c r="D103" s="18"/>
      <c r="E103" s="21">
        <f t="shared" ref="E103:H103" si="54">E78/AVERAGE(D105:E105)</f>
        <v>-0.2917933130699088</v>
      </c>
      <c r="F103" s="21">
        <f t="shared" si="54"/>
        <v>-0.47127272727272723</v>
      </c>
      <c r="G103" s="21">
        <f t="shared" si="54"/>
        <v>-0.7245796637309847</v>
      </c>
      <c r="H103" s="21">
        <f t="shared" si="54"/>
        <v>-8.1282743292586127E-2</v>
      </c>
      <c r="I103" s="21">
        <f>I78/AVERAGE(H105:I105)</f>
        <v>4.3196544276457881E-2</v>
      </c>
      <c r="J103" s="3"/>
    </row>
    <row r="104" spans="1:16" x14ac:dyDescent="0.25">
      <c r="A104" s="19" t="s">
        <v>67</v>
      </c>
      <c r="B104" s="3"/>
      <c r="C104" s="18"/>
      <c r="D104" s="18"/>
      <c r="E104" s="21">
        <f t="shared" ref="E104:H104" si="55">E72/AVERAGE(D107:E107)</f>
        <v>-6.6321243523316059E-2</v>
      </c>
      <c r="F104" s="21">
        <f t="shared" si="55"/>
        <v>-0.15358993338267951</v>
      </c>
      <c r="G104" s="21">
        <f t="shared" si="55"/>
        <v>-0.35083384805435452</v>
      </c>
      <c r="H104" s="21">
        <f t="shared" si="55"/>
        <v>-8.1044126786824114E-2</v>
      </c>
      <c r="I104" s="21">
        <f>I72/AVERAGE(H107:I107)</f>
        <v>5.2866626433313212E-2</v>
      </c>
      <c r="J104" s="3"/>
    </row>
    <row r="105" spans="1:16" x14ac:dyDescent="0.25">
      <c r="A105" s="19" t="s">
        <v>68</v>
      </c>
      <c r="B105" s="3"/>
      <c r="C105" s="18"/>
      <c r="D105" s="18"/>
      <c r="E105" s="20">
        <v>131.6</v>
      </c>
      <c r="F105" s="20">
        <v>5.9</v>
      </c>
      <c r="G105" s="20">
        <v>243.9</v>
      </c>
      <c r="H105" s="22">
        <v>386</v>
      </c>
      <c r="I105" s="3">
        <v>401.1</v>
      </c>
      <c r="J105" s="3"/>
    </row>
    <row r="106" spans="1:16" x14ac:dyDescent="0.25">
      <c r="A106" s="19" t="s">
        <v>69</v>
      </c>
      <c r="B106" s="3"/>
      <c r="C106" s="18"/>
      <c r="D106" s="18"/>
      <c r="E106" s="20">
        <v>157.9</v>
      </c>
      <c r="F106" s="20">
        <v>245</v>
      </c>
      <c r="G106" s="20">
        <v>152.80000000000001</v>
      </c>
      <c r="H106" s="20">
        <v>21.8</v>
      </c>
      <c r="I106" s="3">
        <v>19.600000000000001</v>
      </c>
      <c r="J106" s="3"/>
    </row>
    <row r="107" spans="1:16" x14ac:dyDescent="0.25">
      <c r="A107" s="19" t="s">
        <v>70</v>
      </c>
      <c r="B107" s="3"/>
      <c r="C107" s="18"/>
      <c r="D107" s="18"/>
      <c r="E107" s="20">
        <f>E106+E105</f>
        <v>289.5</v>
      </c>
      <c r="F107" s="20">
        <f>F106+F105</f>
        <v>250.9</v>
      </c>
      <c r="G107" s="20">
        <f>G106+G105</f>
        <v>396.70000000000005</v>
      </c>
      <c r="H107" s="20">
        <f t="shared" ref="H107:I107" si="56">H106+H105</f>
        <v>407.8</v>
      </c>
      <c r="I107" s="20">
        <f t="shared" si="56"/>
        <v>420.70000000000005</v>
      </c>
      <c r="J107" s="3"/>
    </row>
    <row r="108" spans="1:16" x14ac:dyDescent="0.25">
      <c r="A108" s="19" t="s">
        <v>71</v>
      </c>
      <c r="B108" s="3"/>
      <c r="C108" s="18"/>
      <c r="D108" s="18"/>
      <c r="E108" s="20">
        <v>12</v>
      </c>
      <c r="F108" s="20">
        <v>14.7</v>
      </c>
      <c r="G108" s="20">
        <v>245.5</v>
      </c>
      <c r="H108" s="20">
        <v>85.3</v>
      </c>
      <c r="I108" s="20">
        <v>42.6</v>
      </c>
      <c r="J108" s="3"/>
    </row>
    <row r="109" spans="1:16" x14ac:dyDescent="0.25">
      <c r="A109" s="19" t="s">
        <v>72</v>
      </c>
      <c r="B109" s="3"/>
      <c r="C109" s="18"/>
      <c r="D109" s="18"/>
      <c r="E109" s="20">
        <f>+E106/E105</f>
        <v>1.1998480243161096</v>
      </c>
      <c r="F109" s="20">
        <f>+F106/F105</f>
        <v>41.525423728813557</v>
      </c>
      <c r="G109" s="20">
        <f>+G106/G105</f>
        <v>0.62648626486264869</v>
      </c>
      <c r="H109" s="20">
        <f>+H106/H105</f>
        <v>5.6476683937823839E-2</v>
      </c>
      <c r="I109" s="20">
        <f>+I106/I105</f>
        <v>4.8865619546247817E-2</v>
      </c>
      <c r="J109" s="3"/>
    </row>
    <row r="110" spans="1:16" x14ac:dyDescent="0.25">
      <c r="A110" s="19" t="s">
        <v>73</v>
      </c>
      <c r="B110" s="3"/>
      <c r="C110" s="18"/>
      <c r="D110" s="18"/>
      <c r="E110" s="24">
        <v>1</v>
      </c>
      <c r="F110" s="24">
        <v>1</v>
      </c>
      <c r="G110" s="24">
        <v>1</v>
      </c>
      <c r="H110" s="24">
        <v>1</v>
      </c>
      <c r="I110" s="24">
        <v>1</v>
      </c>
      <c r="J110" s="3"/>
    </row>
    <row r="111" spans="1:16" x14ac:dyDescent="0.25">
      <c r="A111" s="19" t="s">
        <v>74</v>
      </c>
      <c r="B111" s="3"/>
      <c r="C111" s="18"/>
      <c r="D111" s="18"/>
      <c r="E111" s="24">
        <v>9</v>
      </c>
      <c r="F111" s="24">
        <v>7</v>
      </c>
      <c r="G111" s="24">
        <v>12</v>
      </c>
      <c r="H111" s="24">
        <v>12</v>
      </c>
      <c r="I111" s="24">
        <v>11</v>
      </c>
      <c r="J111" s="3"/>
    </row>
    <row r="112" spans="1:16" x14ac:dyDescent="0.25">
      <c r="A112" s="19" t="s">
        <v>75</v>
      </c>
      <c r="B112" s="3"/>
      <c r="C112" s="18"/>
      <c r="D112" s="18"/>
      <c r="E112" s="24">
        <v>35.389799488628718</v>
      </c>
      <c r="F112" s="24">
        <v>40.811404958677677</v>
      </c>
      <c r="G112" s="24">
        <v>93.299349240780899</v>
      </c>
      <c r="H112" s="24">
        <v>52.081536137578425</v>
      </c>
      <c r="I112" s="24">
        <v>32.878132598476249</v>
      </c>
      <c r="J112" s="3"/>
      <c r="K112" s="2">
        <v>105.7</v>
      </c>
      <c r="L112" s="2">
        <v>118.3</v>
      </c>
      <c r="M112" s="2">
        <v>265.5</v>
      </c>
      <c r="N112" s="2">
        <v>147.1</v>
      </c>
      <c r="O112" s="2">
        <v>97.7</v>
      </c>
    </row>
    <row r="113" spans="1:17" x14ac:dyDescent="0.25">
      <c r="A113" s="19" t="s">
        <v>76</v>
      </c>
      <c r="B113" s="3"/>
      <c r="C113" s="18"/>
      <c r="D113" s="18"/>
      <c r="E113" s="24">
        <f>E110+E111-E112</f>
        <v>-25.389799488628718</v>
      </c>
      <c r="F113" s="24">
        <f t="shared" ref="F113:I113" si="57">F110+F111-F112</f>
        <v>-32.811404958677677</v>
      </c>
      <c r="G113" s="24">
        <f t="shared" si="57"/>
        <v>-80.299349240780899</v>
      </c>
      <c r="H113" s="24">
        <f t="shared" si="57"/>
        <v>-39.081536137578425</v>
      </c>
      <c r="I113" s="24">
        <f t="shared" si="57"/>
        <v>-20.878132598476249</v>
      </c>
      <c r="J113" s="3"/>
    </row>
    <row r="114" spans="1:17" x14ac:dyDescent="0.25">
      <c r="A114" s="19" t="s">
        <v>77</v>
      </c>
      <c r="B114" s="3"/>
      <c r="C114" s="18"/>
      <c r="D114" s="18"/>
      <c r="E114" s="20">
        <v>4.9000000000000004</v>
      </c>
      <c r="F114" s="20">
        <v>2.2000000000000002</v>
      </c>
      <c r="G114" s="20">
        <v>2.6</v>
      </c>
      <c r="H114" s="20">
        <v>5.7</v>
      </c>
      <c r="I114" s="3">
        <v>7.4</v>
      </c>
      <c r="J114" s="3"/>
    </row>
    <row r="115" spans="1:17" x14ac:dyDescent="0.25">
      <c r="A115" s="19" t="s">
        <v>78</v>
      </c>
      <c r="B115" s="3"/>
      <c r="C115" s="18"/>
      <c r="D115" s="18"/>
      <c r="E115" s="20">
        <v>19.3</v>
      </c>
      <c r="F115" s="20">
        <v>14.9</v>
      </c>
      <c r="G115" s="20">
        <v>20.2</v>
      </c>
      <c r="H115" s="20">
        <v>35.799999999999997</v>
      </c>
      <c r="I115" s="3">
        <v>42.1</v>
      </c>
      <c r="J115" s="3"/>
    </row>
    <row r="116" spans="1:17" x14ac:dyDescent="0.25">
      <c r="A116" s="19" t="s">
        <v>79</v>
      </c>
      <c r="B116" s="3"/>
      <c r="C116" s="18"/>
      <c r="D116" s="18"/>
      <c r="E116" s="20">
        <v>76.8</v>
      </c>
      <c r="F116" s="20">
        <v>112.5</v>
      </c>
      <c r="G116" s="20">
        <v>146.80000000000001</v>
      </c>
      <c r="H116" s="20">
        <v>98.8</v>
      </c>
      <c r="I116" s="3">
        <v>123.5</v>
      </c>
      <c r="J116" s="3"/>
    </row>
    <row r="117" spans="1:17" x14ac:dyDescent="0.25">
      <c r="A117" s="19" t="s">
        <v>80</v>
      </c>
      <c r="B117" s="3"/>
      <c r="C117" s="18"/>
      <c r="D117" s="18"/>
      <c r="E117" s="20">
        <f>+E114+E115-E116</f>
        <v>-52.599999999999994</v>
      </c>
      <c r="F117" s="20">
        <f>+F114+F115-F116</f>
        <v>-95.4</v>
      </c>
      <c r="G117" s="20">
        <f>+G114+G115-G116</f>
        <v>-124.00000000000001</v>
      </c>
      <c r="H117" s="20">
        <f>+H114+H115-H116</f>
        <v>-57.3</v>
      </c>
      <c r="I117" s="20">
        <f>+I114+I115-I116</f>
        <v>-74</v>
      </c>
      <c r="J117" s="3"/>
    </row>
    <row r="118" spans="1:17" x14ac:dyDescent="0.25">
      <c r="A118" s="19" t="s">
        <v>81</v>
      </c>
      <c r="B118" s="3"/>
      <c r="C118" s="18"/>
      <c r="D118" s="18"/>
      <c r="E118" s="20">
        <v>11.1</v>
      </c>
      <c r="F118" s="20">
        <v>17.3</v>
      </c>
      <c r="G118" s="20">
        <v>28.1</v>
      </c>
      <c r="H118" s="20">
        <v>14</v>
      </c>
      <c r="I118" s="3">
        <v>11.6</v>
      </c>
      <c r="J118" s="3"/>
    </row>
    <row r="119" spans="1:17" x14ac:dyDescent="0.25">
      <c r="A119" s="19" t="s">
        <v>82</v>
      </c>
      <c r="B119" s="3"/>
      <c r="C119" s="18"/>
      <c r="D119" s="18"/>
      <c r="E119" s="6"/>
      <c r="F119" s="6"/>
      <c r="G119" s="6">
        <v>0.1</v>
      </c>
      <c r="H119" s="21" t="s">
        <v>137</v>
      </c>
      <c r="I119" s="21" t="s">
        <v>137</v>
      </c>
      <c r="J119" s="3"/>
    </row>
    <row r="120" spans="1:17" x14ac:dyDescent="0.25">
      <c r="A120" s="19" t="s">
        <v>83</v>
      </c>
      <c r="B120" s="3"/>
      <c r="C120" s="18"/>
      <c r="D120" s="18"/>
      <c r="E120" s="22">
        <v>3.5</v>
      </c>
      <c r="F120" s="22">
        <v>3.8</v>
      </c>
      <c r="G120" s="22">
        <v>46</v>
      </c>
      <c r="H120" s="22">
        <v>26.3</v>
      </c>
      <c r="I120" s="5">
        <v>8</v>
      </c>
      <c r="J120" s="3"/>
    </row>
    <row r="121" spans="1:17" x14ac:dyDescent="0.25">
      <c r="A121" s="19" t="s">
        <v>5</v>
      </c>
      <c r="B121" s="3"/>
      <c r="C121" s="18"/>
      <c r="D121" s="18"/>
      <c r="E121" s="22">
        <f>+E72</f>
        <v>-19.2</v>
      </c>
      <c r="F121" s="22">
        <f>+F72</f>
        <v>-41.5</v>
      </c>
      <c r="G121" s="22">
        <f>+G72</f>
        <v>-113.6</v>
      </c>
      <c r="H121" s="22">
        <f>+H72</f>
        <v>-32.6</v>
      </c>
      <c r="I121" s="22">
        <f>+I72</f>
        <v>21.9</v>
      </c>
      <c r="J121" s="3"/>
    </row>
    <row r="122" spans="1:17" x14ac:dyDescent="0.25">
      <c r="A122" s="19" t="s">
        <v>84</v>
      </c>
      <c r="B122" s="3"/>
      <c r="C122" s="18"/>
      <c r="D122" s="18"/>
      <c r="E122" s="22" t="s">
        <v>66</v>
      </c>
      <c r="F122" s="22" t="s">
        <v>66</v>
      </c>
      <c r="G122" s="22" t="s">
        <v>66</v>
      </c>
      <c r="H122" s="22" t="s">
        <v>66</v>
      </c>
      <c r="I122" s="22" t="s">
        <v>66</v>
      </c>
      <c r="J122" s="3"/>
    </row>
    <row r="123" spans="1:17" s="2" customFormat="1" x14ac:dyDescent="0.25">
      <c r="A123" s="50" t="s">
        <v>138</v>
      </c>
      <c r="B123" s="53"/>
      <c r="C123" s="53"/>
      <c r="D123" s="53"/>
      <c r="E123" s="54"/>
      <c r="F123" s="22"/>
      <c r="G123" s="22"/>
      <c r="H123" s="22"/>
      <c r="I123" s="22"/>
      <c r="J123" s="3"/>
    </row>
    <row r="124" spans="1:17" s="2" customFormat="1" x14ac:dyDescent="0.25">
      <c r="A124" s="55"/>
      <c r="B124" s="56"/>
      <c r="C124" s="56"/>
      <c r="D124" s="56"/>
      <c r="E124" s="57"/>
      <c r="F124" s="22"/>
      <c r="G124" s="22"/>
      <c r="H124" s="22"/>
      <c r="I124" s="22"/>
      <c r="J124" s="3"/>
    </row>
    <row r="125" spans="1:17" s="2" customFormat="1" x14ac:dyDescent="0.25">
      <c r="A125" s="58"/>
      <c r="B125" s="59"/>
      <c r="C125" s="59"/>
      <c r="D125" s="59"/>
      <c r="E125" s="60"/>
      <c r="F125" s="22"/>
      <c r="G125" s="22"/>
      <c r="H125" s="22"/>
      <c r="I125" s="22"/>
      <c r="J125" s="3"/>
    </row>
    <row r="126" spans="1:17" x14ac:dyDescent="0.25">
      <c r="A126" s="19"/>
      <c r="B126" s="3"/>
      <c r="C126" s="18"/>
      <c r="D126" s="18"/>
      <c r="E126" s="22"/>
      <c r="F126" s="22"/>
      <c r="G126" s="22"/>
      <c r="H126" s="22"/>
      <c r="I126" s="3"/>
      <c r="J126" s="3"/>
    </row>
    <row r="127" spans="1:17" x14ac:dyDescent="0.25">
      <c r="A127" s="19" t="s">
        <v>85</v>
      </c>
      <c r="B127" s="3"/>
      <c r="C127" s="18"/>
      <c r="D127" s="18"/>
      <c r="E127" s="22">
        <v>449.86</v>
      </c>
      <c r="F127" s="22">
        <v>599.20000000000005</v>
      </c>
      <c r="G127" s="22">
        <v>613.40000000000009</v>
      </c>
      <c r="H127" s="22">
        <v>675.3</v>
      </c>
      <c r="I127" s="5">
        <v>819.2</v>
      </c>
      <c r="J127" s="3"/>
      <c r="M127" s="2">
        <v>980.9</v>
      </c>
      <c r="N127" s="61">
        <v>1263</v>
      </c>
      <c r="O127" s="61">
        <v>1277.2</v>
      </c>
      <c r="P127" s="61">
        <v>1513.3</v>
      </c>
      <c r="Q127" s="61">
        <v>1747.2</v>
      </c>
    </row>
    <row r="128" spans="1:17" x14ac:dyDescent="0.25">
      <c r="A128" s="19" t="s">
        <v>86</v>
      </c>
      <c r="B128" s="3"/>
      <c r="C128" s="18"/>
      <c r="D128" s="18"/>
      <c r="E128" s="5">
        <f>E61/AVERAGE(D127:E127)</f>
        <v>1.65184724136398</v>
      </c>
      <c r="F128" s="5">
        <f>F61/AVERAGE(E127:F127)</f>
        <v>1.6147789449602503</v>
      </c>
      <c r="G128" s="5">
        <f>G61/AVERAGE(F127:G127)</f>
        <v>0.8363846280719115</v>
      </c>
      <c r="H128" s="5">
        <f>H61/AVERAGE(G127:H127)</f>
        <v>1.3356095289826957</v>
      </c>
      <c r="I128" s="5">
        <f>I61/AVERAGE(H127:I127)</f>
        <v>1.6511207761793241</v>
      </c>
      <c r="J128" s="3"/>
      <c r="M128">
        <f>N128/1.25</f>
        <v>531.04</v>
      </c>
      <c r="N128" s="2">
        <v>663.8</v>
      </c>
      <c r="O128" s="2">
        <v>663.8</v>
      </c>
      <c r="P128" s="2">
        <v>838</v>
      </c>
      <c r="Q128" s="2">
        <v>928</v>
      </c>
    </row>
    <row r="129" spans="1:17" x14ac:dyDescent="0.25">
      <c r="A129" s="19" t="s">
        <v>87</v>
      </c>
      <c r="B129" s="3"/>
      <c r="C129" s="18"/>
      <c r="D129" s="18"/>
      <c r="E129" s="20">
        <v>122.3</v>
      </c>
      <c r="F129" s="20">
        <v>181.1</v>
      </c>
      <c r="G129" s="20">
        <v>67.900000000000006</v>
      </c>
      <c r="H129" s="20">
        <v>59.8</v>
      </c>
      <c r="I129" s="3">
        <v>227.6</v>
      </c>
      <c r="J129" s="3"/>
      <c r="M129" s="61">
        <f t="shared" ref="M129:P129" si="58">M127-M128</f>
        <v>449.86</v>
      </c>
      <c r="N129" s="61">
        <f t="shared" si="58"/>
        <v>599.20000000000005</v>
      </c>
      <c r="O129" s="61">
        <f t="shared" si="58"/>
        <v>613.40000000000009</v>
      </c>
      <c r="P129" s="61">
        <f t="shared" si="58"/>
        <v>675.3</v>
      </c>
      <c r="Q129" s="61">
        <f>Q127-Q128</f>
        <v>819.2</v>
      </c>
    </row>
    <row r="130" spans="1:17" hidden="1" x14ac:dyDescent="0.25">
      <c r="A130" s="19"/>
      <c r="B130" s="3"/>
      <c r="C130" s="18"/>
      <c r="D130" s="18"/>
      <c r="E130" s="20"/>
      <c r="F130" s="20"/>
      <c r="G130" s="20"/>
      <c r="H130" s="20"/>
      <c r="I130" s="3"/>
      <c r="J130" s="3"/>
    </row>
    <row r="131" spans="1:17" x14ac:dyDescent="0.25">
      <c r="A131" s="19" t="s">
        <v>88</v>
      </c>
      <c r="B131" s="3"/>
      <c r="C131" s="18"/>
      <c r="D131" s="18"/>
      <c r="E131" s="20">
        <v>-28.9</v>
      </c>
      <c r="F131" s="20">
        <v>-87.5</v>
      </c>
      <c r="G131" s="20">
        <v>-54.2</v>
      </c>
      <c r="H131" s="20">
        <v>-83.8</v>
      </c>
      <c r="I131" s="3">
        <v>-116.3</v>
      </c>
      <c r="J131" s="3"/>
    </row>
    <row r="132" spans="1:17" x14ac:dyDescent="0.25">
      <c r="A132" s="19" t="s">
        <v>89</v>
      </c>
      <c r="B132" s="3"/>
      <c r="C132" s="18"/>
      <c r="D132" s="18"/>
      <c r="E132" s="20">
        <f>E129+E130+E131</f>
        <v>93.4</v>
      </c>
      <c r="F132" s="20">
        <f t="shared" ref="F132:I132" si="59">F129+F130+F131</f>
        <v>93.6</v>
      </c>
      <c r="G132" s="20">
        <f t="shared" si="59"/>
        <v>13.700000000000003</v>
      </c>
      <c r="H132" s="20">
        <f t="shared" si="59"/>
        <v>-24</v>
      </c>
      <c r="I132" s="20">
        <f t="shared" si="59"/>
        <v>111.3</v>
      </c>
      <c r="J132" s="3"/>
    </row>
    <row r="133" spans="1:17" x14ac:dyDescent="0.25">
      <c r="A133" s="19" t="s">
        <v>90</v>
      </c>
      <c r="B133" s="3"/>
      <c r="C133" s="18"/>
      <c r="D133" s="18"/>
      <c r="E133" s="20"/>
      <c r="F133" s="20"/>
      <c r="G133" s="20"/>
      <c r="H133" s="20"/>
      <c r="I133" s="20"/>
      <c r="J133" s="3"/>
    </row>
    <row r="134" spans="1:17" x14ac:dyDescent="0.25">
      <c r="A134" s="19" t="s">
        <v>91</v>
      </c>
      <c r="B134" s="3"/>
      <c r="C134" s="18"/>
      <c r="D134" s="18"/>
      <c r="E134" s="20">
        <f>E78</f>
        <v>-38.4</v>
      </c>
      <c r="F134" s="20">
        <f>F78</f>
        <v>-32.4</v>
      </c>
      <c r="G134" s="20">
        <f>G78</f>
        <v>-90.5</v>
      </c>
      <c r="H134" s="20">
        <f>H78</f>
        <v>-25.599999999999998</v>
      </c>
      <c r="I134" s="20">
        <f>I78</f>
        <v>17</v>
      </c>
      <c r="J134" s="3"/>
    </row>
    <row r="135" spans="1:17" x14ac:dyDescent="0.25">
      <c r="A135" s="19" t="s">
        <v>92</v>
      </c>
      <c r="B135" s="3"/>
      <c r="C135" s="18"/>
      <c r="D135" s="18"/>
      <c r="E135" s="20">
        <f>E70</f>
        <v>102.2</v>
      </c>
      <c r="F135" s="20">
        <f t="shared" ref="F135:I135" si="60">F70</f>
        <v>134</v>
      </c>
      <c r="G135" s="20">
        <f t="shared" si="60"/>
        <v>121.2</v>
      </c>
      <c r="H135" s="20">
        <f t="shared" si="60"/>
        <v>127.3</v>
      </c>
      <c r="I135" s="20">
        <f t="shared" si="60"/>
        <v>145</v>
      </c>
      <c r="J135" s="3"/>
    </row>
    <row r="136" spans="1:17" x14ac:dyDescent="0.25">
      <c r="A136" s="19" t="s">
        <v>93</v>
      </c>
      <c r="B136" s="3"/>
      <c r="C136" s="18"/>
      <c r="D136" s="18"/>
      <c r="E136" s="20">
        <v>-5.7</v>
      </c>
      <c r="F136" s="20">
        <v>29.1</v>
      </c>
      <c r="G136" s="20">
        <v>24.4</v>
      </c>
      <c r="H136" s="20">
        <v>-68.599999999999994</v>
      </c>
      <c r="I136" s="20">
        <v>3.8</v>
      </c>
      <c r="J136" s="3"/>
    </row>
    <row r="137" spans="1:17" x14ac:dyDescent="0.25">
      <c r="A137" s="19"/>
      <c r="B137" s="3"/>
      <c r="C137" s="18"/>
      <c r="D137" s="18"/>
      <c r="E137" s="20"/>
      <c r="F137" s="20"/>
      <c r="G137" s="20"/>
      <c r="H137" s="20"/>
      <c r="I137" s="20"/>
      <c r="J137" s="3"/>
    </row>
    <row r="138" spans="1:17" x14ac:dyDescent="0.25">
      <c r="A138" s="19" t="s">
        <v>94</v>
      </c>
      <c r="B138" s="3"/>
      <c r="C138" s="18"/>
      <c r="D138" s="18"/>
      <c r="E138" s="20">
        <f>+E132+E143</f>
        <v>-36.599999999999994</v>
      </c>
      <c r="F138" s="20">
        <f>+F132+F143</f>
        <v>9.5</v>
      </c>
      <c r="G138" s="20">
        <f>+G132+G143</f>
        <v>-0.59999999999999787</v>
      </c>
      <c r="H138" s="20">
        <f>+H132+H143</f>
        <v>-117.3</v>
      </c>
      <c r="I138" s="20">
        <f>+I132+I143</f>
        <v>-34.700000000000003</v>
      </c>
      <c r="J138" s="3"/>
    </row>
    <row r="139" spans="1:17" x14ac:dyDescent="0.25">
      <c r="A139" s="19" t="s">
        <v>95</v>
      </c>
      <c r="B139" s="3"/>
      <c r="C139" s="18"/>
      <c r="D139" s="18"/>
      <c r="E139" s="20" t="s">
        <v>66</v>
      </c>
      <c r="F139" s="20" t="s">
        <v>66</v>
      </c>
      <c r="G139" s="20" t="s">
        <v>66</v>
      </c>
      <c r="H139" s="20" t="s">
        <v>66</v>
      </c>
      <c r="I139" s="20" t="s">
        <v>66</v>
      </c>
      <c r="J139" s="3"/>
    </row>
    <row r="140" spans="1:17" x14ac:dyDescent="0.25">
      <c r="A140" s="19" t="s">
        <v>4</v>
      </c>
      <c r="B140" s="3"/>
      <c r="C140" s="18"/>
      <c r="D140" s="18"/>
      <c r="E140" s="20">
        <f>+E70</f>
        <v>102.2</v>
      </c>
      <c r="F140" s="20">
        <f>+F70</f>
        <v>134</v>
      </c>
      <c r="G140" s="20">
        <f>+G70</f>
        <v>121.2</v>
      </c>
      <c r="H140" s="20">
        <f>+H70</f>
        <v>127.3</v>
      </c>
      <c r="I140" s="20">
        <f>+I70</f>
        <v>145</v>
      </c>
      <c r="J140" s="3"/>
    </row>
    <row r="141" spans="1:17" x14ac:dyDescent="0.25">
      <c r="A141" s="19" t="s">
        <v>96</v>
      </c>
      <c r="B141" s="3"/>
      <c r="C141" s="18"/>
      <c r="D141" s="18"/>
      <c r="E141" s="20">
        <v>50.3</v>
      </c>
      <c r="F141" s="20">
        <v>60.2</v>
      </c>
      <c r="G141" s="20">
        <v>61.6</v>
      </c>
      <c r="H141" s="20">
        <v>59.6</v>
      </c>
      <c r="I141" s="20">
        <v>67</v>
      </c>
      <c r="J141" s="3"/>
    </row>
    <row r="142" spans="1:17" x14ac:dyDescent="0.25">
      <c r="A142" s="19" t="s">
        <v>97</v>
      </c>
      <c r="B142" s="3"/>
      <c r="C142" s="18"/>
      <c r="D142" s="18"/>
      <c r="E142" s="20">
        <f>E140-E141</f>
        <v>51.900000000000006</v>
      </c>
      <c r="F142" s="20">
        <f>F140-F141</f>
        <v>73.8</v>
      </c>
      <c r="G142" s="20">
        <f>G140-G141</f>
        <v>59.6</v>
      </c>
      <c r="H142" s="20">
        <f t="shared" ref="H142:I142" si="61">H140-H141</f>
        <v>67.699999999999989</v>
      </c>
      <c r="I142" s="20">
        <f t="shared" si="61"/>
        <v>78</v>
      </c>
      <c r="J142" s="3"/>
    </row>
    <row r="143" spans="1:17" x14ac:dyDescent="0.25">
      <c r="A143" s="19" t="s">
        <v>98</v>
      </c>
      <c r="B143" s="3"/>
      <c r="C143" s="18"/>
      <c r="D143" s="18"/>
      <c r="E143" s="20">
        <v>-130</v>
      </c>
      <c r="F143" s="20">
        <v>-84.1</v>
      </c>
      <c r="G143" s="20">
        <v>-14.3</v>
      </c>
      <c r="H143" s="20">
        <v>-93.3</v>
      </c>
      <c r="I143" s="20">
        <v>-146</v>
      </c>
      <c r="J143" s="3"/>
    </row>
    <row r="144" spans="1:17" x14ac:dyDescent="0.25">
      <c r="A144" s="26" t="s">
        <v>99</v>
      </c>
      <c r="B144" s="3"/>
      <c r="C144" s="18"/>
      <c r="D144" s="18"/>
      <c r="E144" s="20">
        <f t="shared" ref="E144:G144" si="62">E143-E145</f>
        <v>-130</v>
      </c>
      <c r="F144" s="20">
        <f t="shared" si="62"/>
        <v>-61.606999999999992</v>
      </c>
      <c r="G144" s="20">
        <f t="shared" si="62"/>
        <v>15.660000000000004</v>
      </c>
      <c r="H144" s="20">
        <f>H143-H145</f>
        <v>-62.629999999999995</v>
      </c>
      <c r="I144" s="20">
        <f>I143-I145</f>
        <v>-112.235</v>
      </c>
      <c r="J144" s="3"/>
    </row>
    <row r="145" spans="1:10" x14ac:dyDescent="0.25">
      <c r="A145" s="26" t="s">
        <v>139</v>
      </c>
      <c r="B145" s="5"/>
      <c r="C145" s="20"/>
      <c r="D145" s="20"/>
      <c r="E145" s="5"/>
      <c r="F145" s="5">
        <f>E127*-0.05</f>
        <v>-22.493000000000002</v>
      </c>
      <c r="G145" s="5">
        <f t="shared" ref="G145:I145" si="63">F127*-0.05</f>
        <v>-29.960000000000004</v>
      </c>
      <c r="H145" s="5">
        <f t="shared" si="63"/>
        <v>-30.670000000000005</v>
      </c>
      <c r="I145" s="5">
        <f t="shared" si="63"/>
        <v>-33.765000000000001</v>
      </c>
      <c r="J145" s="3"/>
    </row>
    <row r="146" spans="1:10" x14ac:dyDescent="0.25">
      <c r="A146" s="3"/>
      <c r="B146" s="3"/>
      <c r="C146" s="18"/>
      <c r="D146" s="18"/>
      <c r="E146" s="18"/>
      <c r="F146" s="3"/>
      <c r="G146" s="3"/>
      <c r="H146" s="3"/>
      <c r="I146" s="3"/>
      <c r="J146" s="3"/>
    </row>
    <row r="147" spans="1:10" x14ac:dyDescent="0.25">
      <c r="A147" s="19" t="s">
        <v>100</v>
      </c>
      <c r="B147" s="3"/>
      <c r="C147" s="18"/>
      <c r="D147" s="18"/>
      <c r="E147" s="47" t="s">
        <v>130</v>
      </c>
      <c r="F147" s="47" t="s">
        <v>131</v>
      </c>
      <c r="G147" s="17" t="s">
        <v>51</v>
      </c>
      <c r="H147" s="17" t="s">
        <v>52</v>
      </c>
      <c r="I147" s="17" t="s">
        <v>53</v>
      </c>
      <c r="J147" s="3"/>
    </row>
    <row r="148" spans="1:10" x14ac:dyDescent="0.25">
      <c r="A148" s="26" t="s">
        <v>101</v>
      </c>
      <c r="B148" s="3"/>
      <c r="C148" s="18"/>
      <c r="D148" s="18"/>
      <c r="E148" s="20">
        <f t="shared" ref="E148:G148" si="64">(E153+E106)/E66</f>
        <v>1.1542397660818713</v>
      </c>
      <c r="F148" s="20">
        <f t="shared" si="64"/>
        <v>1.4920828258221681</v>
      </c>
      <c r="G148" s="20">
        <f t="shared" si="64"/>
        <v>111.42456896551724</v>
      </c>
      <c r="H148" s="20">
        <f>(H153+H106)/H66</f>
        <v>38.001495886312647</v>
      </c>
      <c r="I148" s="20">
        <f>(I153+I106)/I66</f>
        <v>26.372940156114485</v>
      </c>
      <c r="J148" s="3"/>
    </row>
    <row r="149" spans="1:10" x14ac:dyDescent="0.25">
      <c r="A149" s="26" t="s">
        <v>102</v>
      </c>
      <c r="B149" s="3"/>
      <c r="C149" s="18"/>
      <c r="D149" s="18"/>
      <c r="E149" s="18"/>
      <c r="F149" s="18"/>
      <c r="G149" s="18" t="s">
        <v>66</v>
      </c>
      <c r="H149" s="18" t="s">
        <v>66</v>
      </c>
      <c r="I149" s="3"/>
      <c r="J149" s="3"/>
    </row>
    <row r="150" spans="1:10" x14ac:dyDescent="0.25">
      <c r="A150" s="26" t="s">
        <v>103</v>
      </c>
      <c r="B150" s="3"/>
      <c r="C150" s="18"/>
      <c r="D150" s="18"/>
      <c r="E150" s="7"/>
      <c r="F150" s="27"/>
      <c r="G150" s="27">
        <f>+(1050+1243-12)/3866</f>
        <v>0.59001551991722712</v>
      </c>
      <c r="H150" s="20">
        <v>0.6</v>
      </c>
      <c r="I150" s="5">
        <f>(I153+I106)/I61</f>
        <v>4.9291619387258878</v>
      </c>
      <c r="J150" s="3"/>
    </row>
    <row r="151" spans="1:10" x14ac:dyDescent="0.25">
      <c r="A151" s="26" t="s">
        <v>104</v>
      </c>
      <c r="B151" s="3"/>
      <c r="C151" s="18"/>
      <c r="D151" s="18"/>
      <c r="E151" s="7"/>
      <c r="F151" s="27"/>
      <c r="G151" s="18">
        <v>0.22</v>
      </c>
      <c r="H151" s="20">
        <v>0.65879145842798725</v>
      </c>
      <c r="I151" s="5">
        <f>I153/I61</f>
        <v>4.9132760577078942</v>
      </c>
      <c r="J151" s="3"/>
    </row>
    <row r="152" spans="1:10" x14ac:dyDescent="0.25">
      <c r="A152" s="26" t="s">
        <v>105</v>
      </c>
      <c r="B152" s="3"/>
      <c r="C152" s="18"/>
      <c r="D152" s="18"/>
      <c r="E152" s="7"/>
      <c r="F152" s="28"/>
      <c r="G152" s="29">
        <v>131</v>
      </c>
      <c r="H152" s="29">
        <v>103</v>
      </c>
      <c r="I152" s="3">
        <v>122</v>
      </c>
      <c r="J152" s="3"/>
    </row>
    <row r="153" spans="1:10" x14ac:dyDescent="0.25">
      <c r="A153" s="26" t="s">
        <v>106</v>
      </c>
      <c r="B153" s="3"/>
      <c r="C153" s="18"/>
      <c r="D153" s="18"/>
      <c r="E153" s="7"/>
      <c r="F153" s="28"/>
      <c r="G153" s="30">
        <f>38.3*G152</f>
        <v>5017.2999999999993</v>
      </c>
      <c r="H153" s="29">
        <v>5059</v>
      </c>
      <c r="I153" s="3">
        <v>6062</v>
      </c>
      <c r="J153" s="3"/>
    </row>
    <row r="154" spans="1:10" x14ac:dyDescent="0.25">
      <c r="A154" s="26"/>
      <c r="B154" s="3"/>
      <c r="C154" s="18"/>
      <c r="D154" s="18"/>
      <c r="E154" s="7"/>
      <c r="F154" s="27"/>
      <c r="G154" s="18"/>
      <c r="H154" s="18"/>
      <c r="I154" s="3"/>
      <c r="J154" s="3"/>
    </row>
    <row r="155" spans="1:10" x14ac:dyDescent="0.25">
      <c r="A155" s="19" t="s">
        <v>107</v>
      </c>
      <c r="B155" s="3"/>
      <c r="C155" s="18"/>
      <c r="D155" s="18"/>
      <c r="E155" s="7"/>
      <c r="F155" s="27"/>
      <c r="G155" s="31" t="s">
        <v>108</v>
      </c>
      <c r="H155" s="31" t="s">
        <v>108</v>
      </c>
      <c r="I155" s="3"/>
      <c r="J155" s="3"/>
    </row>
    <row r="156" spans="1:10" x14ac:dyDescent="0.25">
      <c r="A156" s="26"/>
      <c r="B156" s="3"/>
      <c r="C156" s="18"/>
      <c r="D156" s="18"/>
      <c r="E156" s="7"/>
      <c r="F156" s="27"/>
      <c r="G156" s="18"/>
      <c r="H156" s="18"/>
      <c r="I156" s="3"/>
      <c r="J156" s="3"/>
    </row>
    <row r="157" spans="1:10" ht="26.25" x14ac:dyDescent="0.25">
      <c r="A157" s="19" t="s">
        <v>109</v>
      </c>
      <c r="B157" s="3"/>
      <c r="C157" s="18"/>
      <c r="D157" s="18"/>
      <c r="E157" s="7"/>
      <c r="F157" s="32" t="s">
        <v>110</v>
      </c>
      <c r="G157" s="32" t="s">
        <v>110</v>
      </c>
      <c r="H157" s="33" t="s">
        <v>111</v>
      </c>
      <c r="I157" s="18"/>
      <c r="J157" s="3"/>
    </row>
    <row r="158" spans="1:10" x14ac:dyDescent="0.25">
      <c r="A158" s="19"/>
      <c r="B158" s="3"/>
      <c r="C158" s="18"/>
      <c r="D158" s="18"/>
      <c r="E158" s="7"/>
      <c r="F158" s="18"/>
      <c r="G158" s="18"/>
      <c r="H158" s="18"/>
      <c r="I158" s="18"/>
      <c r="J158" s="3"/>
    </row>
    <row r="159" spans="1:10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</row>
    <row r="160" spans="1:10" x14ac:dyDescent="0.25">
      <c r="A160" s="25" t="s">
        <v>112</v>
      </c>
      <c r="B160" s="37"/>
      <c r="C160" s="37"/>
      <c r="D160" s="37"/>
      <c r="E160" s="37"/>
      <c r="F160" s="37"/>
      <c r="G160" s="17" t="s">
        <v>51</v>
      </c>
      <c r="H160" s="17" t="s">
        <v>52</v>
      </c>
      <c r="I160" s="17" t="s">
        <v>53</v>
      </c>
      <c r="J160" s="37"/>
    </row>
    <row r="161" spans="1:10" x14ac:dyDescent="0.25">
      <c r="A161" s="19"/>
      <c r="B161" s="37"/>
      <c r="C161" s="37"/>
      <c r="D161" s="37"/>
      <c r="E161" s="37"/>
      <c r="F161" s="18"/>
      <c r="G161" s="18"/>
      <c r="H161" s="18"/>
      <c r="I161" s="18"/>
      <c r="J161" s="37"/>
    </row>
    <row r="162" spans="1:10" x14ac:dyDescent="0.25">
      <c r="A162" s="19" t="s">
        <v>113</v>
      </c>
      <c r="B162" s="37"/>
      <c r="C162" s="37"/>
      <c r="D162" s="37"/>
      <c r="E162" s="37"/>
      <c r="F162" s="18"/>
      <c r="G162" s="18">
        <v>100</v>
      </c>
      <c r="H162" s="18">
        <v>100</v>
      </c>
      <c r="I162" s="18">
        <v>100</v>
      </c>
      <c r="J162" s="37"/>
    </row>
    <row r="163" spans="1:10" x14ac:dyDescent="0.25">
      <c r="A163" s="19"/>
      <c r="B163" s="37"/>
      <c r="C163" s="37"/>
      <c r="D163" s="37"/>
      <c r="E163" s="37"/>
      <c r="F163" s="18"/>
      <c r="G163" s="18"/>
      <c r="H163" s="18"/>
      <c r="I163" s="18"/>
      <c r="J163" s="37"/>
    </row>
    <row r="164" spans="1:10" x14ac:dyDescent="0.25">
      <c r="A164" s="19" t="s">
        <v>114</v>
      </c>
      <c r="B164" s="37"/>
      <c r="C164" s="37"/>
      <c r="D164" s="37"/>
      <c r="E164" s="37"/>
      <c r="F164" s="18"/>
      <c r="G164" s="18">
        <v>35.5</v>
      </c>
      <c r="H164" s="18">
        <v>36.9</v>
      </c>
      <c r="I164" s="18">
        <v>35.799999999999997</v>
      </c>
      <c r="J164" s="37"/>
    </row>
    <row r="165" spans="1:10" x14ac:dyDescent="0.25">
      <c r="A165" s="25" t="s">
        <v>115</v>
      </c>
      <c r="B165" s="38"/>
      <c r="C165" s="38"/>
      <c r="D165" s="38"/>
      <c r="E165" s="38"/>
      <c r="F165" s="17"/>
      <c r="G165" s="17">
        <f>G162-G164</f>
        <v>64.5</v>
      </c>
      <c r="H165" s="17">
        <f t="shared" ref="H165:I165" si="65">H162-H164</f>
        <v>63.1</v>
      </c>
      <c r="I165" s="17">
        <f t="shared" si="65"/>
        <v>64.2</v>
      </c>
      <c r="J165" s="38"/>
    </row>
    <row r="166" spans="1:10" x14ac:dyDescent="0.25">
      <c r="A166" s="19" t="s">
        <v>116</v>
      </c>
      <c r="B166" s="37"/>
      <c r="C166" s="37"/>
      <c r="D166" s="37"/>
      <c r="E166" s="37"/>
      <c r="F166" s="18"/>
      <c r="G166" s="20">
        <v>10.5</v>
      </c>
      <c r="H166" s="20">
        <v>9</v>
      </c>
      <c r="I166" s="20"/>
      <c r="J166" s="37"/>
    </row>
    <row r="167" spans="1:10" x14ac:dyDescent="0.25">
      <c r="A167" s="19" t="s">
        <v>117</v>
      </c>
      <c r="B167" s="37"/>
      <c r="C167" s="37"/>
      <c r="D167" s="37"/>
      <c r="E167" s="37"/>
      <c r="F167" s="18"/>
      <c r="G167" s="20">
        <v>3.8</v>
      </c>
      <c r="H167" s="20">
        <v>4</v>
      </c>
      <c r="I167" s="20">
        <v>4</v>
      </c>
      <c r="J167" s="37"/>
    </row>
    <row r="168" spans="1:10" x14ac:dyDescent="0.25">
      <c r="A168" s="19" t="s">
        <v>118</v>
      </c>
      <c r="B168" s="37"/>
      <c r="C168" s="37"/>
      <c r="D168" s="37"/>
      <c r="E168" s="37"/>
      <c r="F168" s="18"/>
      <c r="G168" s="20">
        <v>8.1</v>
      </c>
      <c r="H168" s="20">
        <v>7.9</v>
      </c>
      <c r="I168" s="20"/>
      <c r="J168" s="37"/>
    </row>
    <row r="169" spans="1:10" x14ac:dyDescent="0.25">
      <c r="A169" s="19" t="s">
        <v>119</v>
      </c>
      <c r="B169" s="37"/>
      <c r="C169" s="37"/>
      <c r="D169" s="37"/>
      <c r="E169" s="37"/>
      <c r="F169" s="18"/>
      <c r="G169" s="20">
        <v>7.4</v>
      </c>
      <c r="H169" s="20">
        <v>6.5</v>
      </c>
      <c r="I169" s="20"/>
      <c r="J169" s="37"/>
    </row>
    <row r="170" spans="1:10" x14ac:dyDescent="0.25">
      <c r="A170" s="19" t="s">
        <v>120</v>
      </c>
      <c r="B170" s="37"/>
      <c r="C170" s="37"/>
      <c r="D170" s="37"/>
      <c r="E170" s="37"/>
      <c r="F170" s="18"/>
      <c r="G170" s="20">
        <v>21.9</v>
      </c>
      <c r="H170" s="20">
        <v>17.899999999999999</v>
      </c>
      <c r="I170" s="20">
        <f>366.9/2054.3*100</f>
        <v>17.860098330331496</v>
      </c>
      <c r="J170" s="37"/>
    </row>
    <row r="171" spans="1:10" x14ac:dyDescent="0.25">
      <c r="A171" s="19" t="s">
        <v>121</v>
      </c>
      <c r="B171" s="37"/>
      <c r="C171" s="37"/>
      <c r="D171" s="37"/>
      <c r="E171" s="37"/>
      <c r="F171" s="18"/>
      <c r="G171" s="20">
        <f>45/'[1]P&amp;L Consol'!$F$3*100</f>
        <v>9.1009477120217461</v>
      </c>
      <c r="H171" s="20">
        <v>9.8000000000000007</v>
      </c>
      <c r="I171" s="20"/>
      <c r="J171" s="37"/>
    </row>
    <row r="172" spans="1:10" x14ac:dyDescent="0.25">
      <c r="A172" s="19" t="s">
        <v>122</v>
      </c>
      <c r="B172" s="37"/>
      <c r="C172" s="37"/>
      <c r="D172" s="37"/>
      <c r="E172" s="37"/>
      <c r="F172" s="18"/>
      <c r="G172" s="20">
        <v>9.3000000000000007</v>
      </c>
      <c r="H172" s="20">
        <v>9.4</v>
      </c>
      <c r="I172" s="20"/>
      <c r="J172" s="37"/>
    </row>
    <row r="173" spans="1:10" x14ac:dyDescent="0.25">
      <c r="A173" s="19"/>
      <c r="B173" s="37"/>
      <c r="C173" s="37"/>
      <c r="D173" s="37"/>
      <c r="E173" s="37"/>
      <c r="F173" s="18"/>
      <c r="G173" s="20"/>
      <c r="H173" s="20"/>
      <c r="I173" s="20"/>
      <c r="J173" s="37"/>
    </row>
    <row r="174" spans="1:10" x14ac:dyDescent="0.25">
      <c r="A174" s="19" t="s">
        <v>123</v>
      </c>
      <c r="B174" s="37"/>
      <c r="C174" s="37"/>
      <c r="D174" s="37"/>
      <c r="E174" s="37"/>
      <c r="F174" s="18"/>
      <c r="G174" s="20">
        <f>G165-SUM(G166:G172)</f>
        <v>-5.6009477120217355</v>
      </c>
      <c r="H174" s="20">
        <f>H165-SUM(H166:H172)</f>
        <v>-1.3999999999999986</v>
      </c>
      <c r="I174" s="20">
        <v>2.5</v>
      </c>
      <c r="J174" s="37"/>
    </row>
    <row r="175" spans="1:10" x14ac:dyDescent="0.25">
      <c r="A175" s="19"/>
      <c r="B175" s="37"/>
      <c r="C175" s="37"/>
      <c r="D175" s="37"/>
      <c r="E175" s="37"/>
      <c r="F175" s="18"/>
      <c r="G175" s="20"/>
      <c r="H175" s="20"/>
      <c r="I175" s="20"/>
      <c r="J175" s="37"/>
    </row>
    <row r="176" spans="1:10" x14ac:dyDescent="0.25">
      <c r="A176" s="19"/>
      <c r="B176" s="37"/>
      <c r="C176" s="37"/>
      <c r="D176" s="37"/>
      <c r="E176" s="37"/>
      <c r="F176" s="18"/>
      <c r="G176" s="20"/>
      <c r="H176" s="20"/>
      <c r="I176" s="20"/>
      <c r="J176" s="37"/>
    </row>
    <row r="177" spans="1:10" x14ac:dyDescent="0.25">
      <c r="A177" s="37"/>
      <c r="B177" s="37"/>
      <c r="C177" s="37"/>
      <c r="D177" s="37"/>
      <c r="E177" s="37"/>
      <c r="F177" s="18"/>
      <c r="G177" s="18"/>
      <c r="H177" s="18"/>
      <c r="I177" s="18"/>
      <c r="J177" s="37"/>
    </row>
  </sheetData>
  <mergeCells count="3">
    <mergeCell ref="A1:G1"/>
    <mergeCell ref="A81:F82"/>
    <mergeCell ref="A123:E125"/>
  </mergeCells>
  <pageMargins left="0.7" right="0.7" top="0.75" bottom="0.75" header="0.3" footer="0.3"/>
  <pageSetup paperSize="9" orientation="portrait" verticalDpi="0" r:id="rId1"/>
  <ignoredErrors>
    <ignoredError sqref="C44:M44 E86:I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Shah</dc:creator>
  <cp:lastModifiedBy>Harsh Shah</cp:lastModifiedBy>
  <cp:lastPrinted>2023-10-19T12:17:07Z</cp:lastPrinted>
  <dcterms:created xsi:type="dcterms:W3CDTF">2023-10-18T10:35:02Z</dcterms:created>
  <dcterms:modified xsi:type="dcterms:W3CDTF">2023-10-19T13:31:12Z</dcterms:modified>
</cp:coreProperties>
</file>