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charts/chart23.xml" ContentType="application/vnd.openxmlformats-officedocument.drawingml.chart+xml"/>
  <Override PartName="/xl/theme/themeOverride21.xml" ContentType="application/vnd.openxmlformats-officedocument.themeOverride+xml"/>
  <Override PartName="/xl/charts/chart24.xml" ContentType="application/vnd.openxmlformats-officedocument.drawingml.chart+xml"/>
  <Override PartName="/xl/theme/themeOverride22.xml" ContentType="application/vnd.openxmlformats-officedocument.themeOverride+xml"/>
  <Override PartName="/xl/charts/chart25.xml" ContentType="application/vnd.openxmlformats-officedocument.drawingml.chart+xml"/>
  <Override PartName="/xl/theme/themeOverride23.xml" ContentType="application/vnd.openxmlformats-officedocument.themeOverride+xml"/>
  <Override PartName="/xl/charts/chart26.xml" ContentType="application/vnd.openxmlformats-officedocument.drawingml.chart+xml"/>
  <Override PartName="/xl/theme/themeOverride24.xml" ContentType="application/vnd.openxmlformats-officedocument.themeOverride+xml"/>
  <Override PartName="/xl/charts/chart27.xml" ContentType="application/vnd.openxmlformats-officedocument.drawingml.chart+xml"/>
  <Override PartName="/xl/theme/themeOverride25.xml" ContentType="application/vnd.openxmlformats-officedocument.themeOverride+xml"/>
  <Override PartName="/xl/charts/chart28.xml" ContentType="application/vnd.openxmlformats-officedocument.drawingml.chart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theme/themeOverride27.xml" ContentType="application/vnd.openxmlformats-officedocument.themeOverride+xml"/>
  <Override PartName="/xl/charts/chart30.xml" ContentType="application/vnd.openxmlformats-officedocument.drawingml.chart+xml"/>
  <Override PartName="/xl/theme/themeOverride28.xml" ContentType="application/vnd.openxmlformats-officedocument.themeOverride+xml"/>
  <Override PartName="/xl/charts/chart31.xml" ContentType="application/vnd.openxmlformats-officedocument.drawingml.chart+xml"/>
  <Override PartName="/xl/theme/themeOverride29.xml" ContentType="application/vnd.openxmlformats-officedocument.themeOverride+xml"/>
  <Override PartName="/xl/charts/chart32.xml" ContentType="application/vnd.openxmlformats-officedocument.drawingml.chart+xml"/>
  <Override PartName="/xl/theme/themeOverride30.xml" ContentType="application/vnd.openxmlformats-officedocument.themeOverride+xml"/>
  <Override PartName="/xl/charts/chart33.xml" ContentType="application/vnd.openxmlformats-officedocument.drawingml.chart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theme/themeOverride32.xml" ContentType="application/vnd.openxmlformats-officedocument.themeOverride+xml"/>
  <Override PartName="/xl/charts/chart35.xml" ContentType="application/vnd.openxmlformats-officedocument.drawingml.chart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theme/themeOverride34.xml" ContentType="application/vnd.openxmlformats-officedocument.themeOverride+xml"/>
  <Override PartName="/xl/charts/chart37.xml" ContentType="application/vnd.openxmlformats-officedocument.drawingml.chart+xml"/>
  <Override PartName="/xl/theme/themeOverride35.xml" ContentType="application/vnd.openxmlformats-officedocument.themeOverride+xml"/>
  <Override PartName="/xl/charts/chart38.xml" ContentType="application/vnd.openxmlformats-officedocument.drawingml.chart+xml"/>
  <Override PartName="/xl/theme/themeOverride36.xml" ContentType="application/vnd.openxmlformats-officedocument.themeOverride+xml"/>
  <Override PartName="/xl/charts/chart39.xml" ContentType="application/vnd.openxmlformats-officedocument.drawingml.chart+xml"/>
  <Override PartName="/xl/theme/themeOverride37.xml" ContentType="application/vnd.openxmlformats-officedocument.themeOverride+xml"/>
  <Override PartName="/xl/charts/chart40.xml" ContentType="application/vnd.openxmlformats-officedocument.drawingml.chart+xml"/>
  <Override PartName="/xl/theme/themeOverride38.xml" ContentType="application/vnd.openxmlformats-officedocument.themeOverride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hiraj\Investment\Inv Idea\FY22\GFL\"/>
    </mc:Choice>
  </mc:AlternateContent>
  <bookViews>
    <workbookView xWindow="0" yWindow="0" windowWidth="20490" windowHeight="7755" tabRatio="575"/>
  </bookViews>
  <sheets>
    <sheet name="Working" sheetId="22" r:id="rId1"/>
    <sheet name="Monthly price" sheetId="21" r:id="rId2"/>
    <sheet name="How-To-Use" sheetId="5" r:id="rId3"/>
    <sheet name="Overview" sheetId="20" r:id="rId4"/>
    <sheet name="Data Sheet Cons" sheetId="6" r:id="rId5"/>
    <sheet name="Profit &amp; Loss Cons" sheetId="1" r:id="rId6"/>
    <sheet name="Balance Sheet Cons" sheetId="2" r:id="rId7"/>
    <sheet name="Quarters Cons" sheetId="3" r:id="rId8"/>
    <sheet name="Cash Flow Cons" sheetId="4" r:id="rId9"/>
    <sheet name="Data Sheet SC" sheetId="23" r:id="rId10"/>
    <sheet name="Profit &amp; Loss SC" sheetId="24" r:id="rId11"/>
    <sheet name="Balance Sheet SC" sheetId="25" r:id="rId12"/>
    <sheet name="Quarters SC" sheetId="26" r:id="rId13"/>
    <sheet name="Cash Flow SC" sheetId="27" r:id="rId14"/>
  </sheets>
  <externalReferences>
    <externalReference r:id="rId1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URRENTYEAR">#REF!</definedName>
    <definedName name="LOOKUPMTH">#REF!</definedName>
    <definedName name="Mont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PDATE" localSheetId="11">'[1]Data Sheet'!$E$1</definedName>
    <definedName name="UPDATE" localSheetId="13">'[1]Data Sheet'!$E$1</definedName>
    <definedName name="UPDATE" localSheetId="9">'Data Sheet SC'!$E$1</definedName>
    <definedName name="UPDATE" localSheetId="3">'Data Sheet Cons'!$E$1</definedName>
    <definedName name="UPDATE" localSheetId="10">'[1]Data Sheet'!$E$1</definedName>
    <definedName name="UPDATE" localSheetId="12">'[1]Data Sheet'!$E$1</definedName>
    <definedName name="UPDATE">'Data Sheet Cons'!$E$1</definedName>
  </definedNames>
  <calcPr calcId="152511"/>
</workbook>
</file>

<file path=xl/calcChain.xml><?xml version="1.0" encoding="utf-8"?>
<calcChain xmlns="http://schemas.openxmlformats.org/spreadsheetml/2006/main">
  <c r="T23" i="22" l="1"/>
  <c r="F69" i="22"/>
  <c r="F68" i="22"/>
  <c r="F67" i="22"/>
  <c r="F66" i="22"/>
  <c r="F65" i="22"/>
  <c r="F64" i="22"/>
  <c r="F63" i="22"/>
  <c r="F62" i="22"/>
  <c r="F53" i="22"/>
  <c r="F54" i="22"/>
  <c r="F55" i="22"/>
  <c r="F56" i="22"/>
  <c r="F57" i="22"/>
  <c r="F58" i="22"/>
  <c r="F59" i="22"/>
  <c r="F60" i="22"/>
  <c r="F61" i="22"/>
  <c r="F52" i="22"/>
  <c r="W39" i="22" l="1"/>
  <c r="C24" i="22" l="1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U24" i="22"/>
  <c r="D24" i="22"/>
  <c r="T24" i="22"/>
  <c r="U16" i="22"/>
  <c r="T16" i="22"/>
  <c r="S16" i="22"/>
  <c r="R16" i="22"/>
  <c r="Q16" i="22"/>
  <c r="P16" i="22"/>
  <c r="O16" i="22" l="1"/>
  <c r="N16" i="22"/>
  <c r="M16" i="22"/>
  <c r="L16" i="22"/>
  <c r="F16" i="22"/>
  <c r="E16" i="22"/>
  <c r="D16" i="22"/>
  <c r="C16" i="22"/>
  <c r="K10" i="22"/>
  <c r="K16" i="22" s="1"/>
  <c r="K3" i="22"/>
  <c r="G16" i="22"/>
  <c r="H16" i="22"/>
  <c r="J10" i="22"/>
  <c r="J16" i="22" s="1"/>
  <c r="J3" i="22"/>
  <c r="I10" i="22"/>
  <c r="I16" i="22" s="1"/>
  <c r="I3" i="22"/>
  <c r="K13" i="27" l="1"/>
  <c r="K14" i="27" s="1"/>
  <c r="J13" i="27"/>
  <c r="I13" i="27"/>
  <c r="H13" i="27"/>
  <c r="G13" i="27"/>
  <c r="G14" i="27" s="1"/>
  <c r="F13" i="27"/>
  <c r="E13" i="27"/>
  <c r="D13" i="27"/>
  <c r="C13" i="27"/>
  <c r="C14" i="27" s="1"/>
  <c r="B13" i="27"/>
  <c r="K10" i="27"/>
  <c r="J10" i="27"/>
  <c r="I10" i="27"/>
  <c r="H10" i="27"/>
  <c r="G10" i="27"/>
  <c r="F10" i="27"/>
  <c r="E10" i="27"/>
  <c r="D10" i="27"/>
  <c r="C10" i="27"/>
  <c r="K9" i="27"/>
  <c r="J9" i="27"/>
  <c r="I9" i="27"/>
  <c r="H9" i="27"/>
  <c r="G9" i="27"/>
  <c r="F9" i="27"/>
  <c r="E9" i="27"/>
  <c r="D9" i="27"/>
  <c r="C9" i="27"/>
  <c r="K7" i="27"/>
  <c r="J7" i="27"/>
  <c r="I7" i="27"/>
  <c r="H7" i="27"/>
  <c r="G7" i="27"/>
  <c r="F7" i="27"/>
  <c r="E7" i="27"/>
  <c r="D7" i="27"/>
  <c r="C7" i="27"/>
  <c r="B7" i="27"/>
  <c r="K6" i="27"/>
  <c r="J6" i="27"/>
  <c r="I6" i="27"/>
  <c r="H6" i="27"/>
  <c r="G6" i="27"/>
  <c r="F6" i="27"/>
  <c r="E6" i="27"/>
  <c r="D6" i="27"/>
  <c r="C6" i="27"/>
  <c r="B6" i="27"/>
  <c r="K5" i="27"/>
  <c r="J5" i="27"/>
  <c r="I5" i="27"/>
  <c r="H5" i="27"/>
  <c r="G5" i="27"/>
  <c r="F5" i="27"/>
  <c r="E5" i="27"/>
  <c r="D5" i="27"/>
  <c r="C5" i="27"/>
  <c r="B5" i="27"/>
  <c r="K4" i="27"/>
  <c r="K11" i="27" s="1"/>
  <c r="J4" i="27"/>
  <c r="I4" i="27"/>
  <c r="H4" i="27"/>
  <c r="H14" i="27" s="1"/>
  <c r="G4" i="27"/>
  <c r="G11" i="27" s="1"/>
  <c r="F4" i="27"/>
  <c r="E4" i="27"/>
  <c r="D4" i="27"/>
  <c r="D14" i="27" s="1"/>
  <c r="C4" i="27"/>
  <c r="C11" i="27" s="1"/>
  <c r="B4" i="27"/>
  <c r="K3" i="27"/>
  <c r="J3" i="27"/>
  <c r="I3" i="27"/>
  <c r="H3" i="27"/>
  <c r="G3" i="27"/>
  <c r="F3" i="27"/>
  <c r="E3" i="27"/>
  <c r="D3" i="27"/>
  <c r="C3" i="27"/>
  <c r="B3" i="27"/>
  <c r="E1" i="27"/>
  <c r="A1" i="27"/>
  <c r="I19" i="26"/>
  <c r="H19" i="26"/>
  <c r="I14" i="26"/>
  <c r="H14" i="26"/>
  <c r="K12" i="26"/>
  <c r="K19" i="26" s="1"/>
  <c r="J12" i="26"/>
  <c r="J19" i="26" s="1"/>
  <c r="I12" i="26"/>
  <c r="H12" i="26"/>
  <c r="G12" i="26"/>
  <c r="G19" i="26" s="1"/>
  <c r="F12" i="26"/>
  <c r="F19" i="26" s="1"/>
  <c r="E12" i="26"/>
  <c r="D12" i="26"/>
  <c r="C12" i="26"/>
  <c r="C19" i="26" s="1"/>
  <c r="B12" i="26"/>
  <c r="B19" i="26" s="1"/>
  <c r="K11" i="26"/>
  <c r="J11" i="26"/>
  <c r="I11" i="26"/>
  <c r="H11" i="26"/>
  <c r="G11" i="26"/>
  <c r="F11" i="26"/>
  <c r="E11" i="26"/>
  <c r="D11" i="26"/>
  <c r="C11" i="26"/>
  <c r="B11" i="26"/>
  <c r="K10" i="26"/>
  <c r="J10" i="26"/>
  <c r="I10" i="26"/>
  <c r="H10" i="26"/>
  <c r="G10" i="26"/>
  <c r="F10" i="26"/>
  <c r="E10" i="26"/>
  <c r="D10" i="26"/>
  <c r="C10" i="26"/>
  <c r="B10" i="26"/>
  <c r="K9" i="26"/>
  <c r="J9" i="26"/>
  <c r="I9" i="26"/>
  <c r="H9" i="26"/>
  <c r="G9" i="26"/>
  <c r="F9" i="26"/>
  <c r="E9" i="26"/>
  <c r="D9" i="26"/>
  <c r="C9" i="26"/>
  <c r="B9" i="26"/>
  <c r="K8" i="26"/>
  <c r="J8" i="26"/>
  <c r="I8" i="26"/>
  <c r="H8" i="26"/>
  <c r="G8" i="26"/>
  <c r="F8" i="26"/>
  <c r="E8" i="26"/>
  <c r="D8" i="26"/>
  <c r="C8" i="26"/>
  <c r="B8" i="26"/>
  <c r="K7" i="26"/>
  <c r="J7" i="26"/>
  <c r="I7" i="26"/>
  <c r="H7" i="26"/>
  <c r="G7" i="26"/>
  <c r="F7" i="26"/>
  <c r="E7" i="26"/>
  <c r="D7" i="26"/>
  <c r="C7" i="26"/>
  <c r="B7" i="26"/>
  <c r="K6" i="26"/>
  <c r="K16" i="26" s="1"/>
  <c r="J6" i="26"/>
  <c r="J16" i="26" s="1"/>
  <c r="I6" i="26"/>
  <c r="H6" i="26"/>
  <c r="G6" i="26"/>
  <c r="G16" i="26" s="1"/>
  <c r="F6" i="26"/>
  <c r="F16" i="26" s="1"/>
  <c r="E6" i="26"/>
  <c r="D6" i="26"/>
  <c r="C6" i="26"/>
  <c r="C16" i="26" s="1"/>
  <c r="B6" i="26"/>
  <c r="B16" i="26" s="1"/>
  <c r="K5" i="26"/>
  <c r="J5" i="26"/>
  <c r="I5" i="26"/>
  <c r="H5" i="26"/>
  <c r="G5" i="26"/>
  <c r="F5" i="26"/>
  <c r="E5" i="26"/>
  <c r="D5" i="26"/>
  <c r="C5" i="26"/>
  <c r="B5" i="26"/>
  <c r="K4" i="26"/>
  <c r="K14" i="26" s="1"/>
  <c r="J4" i="26"/>
  <c r="J14" i="26" s="1"/>
  <c r="I4" i="26"/>
  <c r="H4" i="26"/>
  <c r="G4" i="26"/>
  <c r="G14" i="26" s="1"/>
  <c r="F4" i="26"/>
  <c r="F14" i="26" s="1"/>
  <c r="E4" i="26"/>
  <c r="E14" i="26" s="1"/>
  <c r="D4" i="26"/>
  <c r="D14" i="26" s="1"/>
  <c r="C4" i="26"/>
  <c r="C14" i="26" s="1"/>
  <c r="B4" i="26"/>
  <c r="B14" i="26" s="1"/>
  <c r="K3" i="26"/>
  <c r="J3" i="26"/>
  <c r="I3" i="26"/>
  <c r="H3" i="26"/>
  <c r="G3" i="26"/>
  <c r="F3" i="26"/>
  <c r="E3" i="26"/>
  <c r="D3" i="26"/>
  <c r="C3" i="26"/>
  <c r="B3" i="26"/>
  <c r="E1" i="26"/>
  <c r="A1" i="26"/>
  <c r="I64" i="25"/>
  <c r="H53" i="25"/>
  <c r="K48" i="25"/>
  <c r="J48" i="25"/>
  <c r="I53" i="25" s="1"/>
  <c r="I48" i="25"/>
  <c r="H48" i="25"/>
  <c r="G48" i="25"/>
  <c r="F48" i="25"/>
  <c r="E48" i="25"/>
  <c r="D48" i="25"/>
  <c r="C48" i="25"/>
  <c r="B48" i="25"/>
  <c r="K46" i="25"/>
  <c r="J46" i="25"/>
  <c r="I46" i="25"/>
  <c r="H46" i="25"/>
  <c r="G46" i="25"/>
  <c r="F46" i="25"/>
  <c r="E46" i="25"/>
  <c r="D46" i="25"/>
  <c r="C46" i="25"/>
  <c r="B46" i="25"/>
  <c r="K40" i="25"/>
  <c r="I40" i="25"/>
  <c r="I41" i="25" s="1"/>
  <c r="G40" i="25"/>
  <c r="G41" i="25" s="1"/>
  <c r="C40" i="25"/>
  <c r="C41" i="25" s="1"/>
  <c r="K39" i="25"/>
  <c r="J39" i="25"/>
  <c r="I39" i="25"/>
  <c r="H39" i="25"/>
  <c r="G39" i="25"/>
  <c r="F39" i="25"/>
  <c r="E39" i="25"/>
  <c r="E40" i="25" s="1"/>
  <c r="E41" i="25" s="1"/>
  <c r="D39" i="25"/>
  <c r="C39" i="25"/>
  <c r="B39" i="25"/>
  <c r="K35" i="25"/>
  <c r="J35" i="25"/>
  <c r="I35" i="25"/>
  <c r="H35" i="25"/>
  <c r="G35" i="25"/>
  <c r="F35" i="25"/>
  <c r="E35" i="25"/>
  <c r="D35" i="25"/>
  <c r="C35" i="25"/>
  <c r="B35" i="25"/>
  <c r="K34" i="25"/>
  <c r="J34" i="25"/>
  <c r="I34" i="25"/>
  <c r="H34" i="25"/>
  <c r="G34" i="25"/>
  <c r="F34" i="25"/>
  <c r="E34" i="25"/>
  <c r="D34" i="25"/>
  <c r="C34" i="25"/>
  <c r="B34" i="25"/>
  <c r="K31" i="25"/>
  <c r="J31" i="25"/>
  <c r="I31" i="25"/>
  <c r="H31" i="25"/>
  <c r="G31" i="25"/>
  <c r="F31" i="25"/>
  <c r="E31" i="25"/>
  <c r="D31" i="25"/>
  <c r="C31" i="25"/>
  <c r="B31" i="25"/>
  <c r="K29" i="25"/>
  <c r="J29" i="25"/>
  <c r="I29" i="25"/>
  <c r="I42" i="25" s="1"/>
  <c r="H29" i="25"/>
  <c r="H63" i="25" s="1"/>
  <c r="G29" i="25"/>
  <c r="F29" i="25"/>
  <c r="E29" i="25"/>
  <c r="D29" i="25"/>
  <c r="D63" i="25" s="1"/>
  <c r="C29" i="25"/>
  <c r="B29" i="25"/>
  <c r="B45" i="25" s="1"/>
  <c r="B47" i="25" s="1"/>
  <c r="K27" i="25"/>
  <c r="J27" i="25"/>
  <c r="I27" i="25"/>
  <c r="H27" i="25"/>
  <c r="G27" i="25"/>
  <c r="F27" i="25"/>
  <c r="E27" i="25"/>
  <c r="D27" i="25"/>
  <c r="C27" i="25"/>
  <c r="B27" i="25"/>
  <c r="F26" i="25"/>
  <c r="H22" i="25"/>
  <c r="H21" i="25" s="1"/>
  <c r="D22" i="25"/>
  <c r="D21" i="25" s="1"/>
  <c r="K20" i="25"/>
  <c r="J20" i="25"/>
  <c r="I20" i="25"/>
  <c r="G20" i="25"/>
  <c r="F20" i="25"/>
  <c r="D20" i="25"/>
  <c r="C20" i="25"/>
  <c r="K18" i="25"/>
  <c r="J18" i="25"/>
  <c r="J22" i="25" s="1"/>
  <c r="J21" i="25" s="1"/>
  <c r="I18" i="25"/>
  <c r="I22" i="25" s="1"/>
  <c r="I21" i="25" s="1"/>
  <c r="H18" i="25"/>
  <c r="G18" i="25"/>
  <c r="G22" i="25" s="1"/>
  <c r="G21" i="25" s="1"/>
  <c r="F18" i="25"/>
  <c r="F22" i="25" s="1"/>
  <c r="F21" i="25" s="1"/>
  <c r="E18" i="25"/>
  <c r="E22" i="25" s="1"/>
  <c r="E21" i="25" s="1"/>
  <c r="D18" i="25"/>
  <c r="C18" i="25"/>
  <c r="C22" i="25" s="1"/>
  <c r="C21" i="25" s="1"/>
  <c r="B18" i="25"/>
  <c r="B22" i="25" s="1"/>
  <c r="B21" i="25" s="1"/>
  <c r="K17" i="25"/>
  <c r="J17" i="25"/>
  <c r="I17" i="25"/>
  <c r="H17" i="25"/>
  <c r="H20" i="25" s="1"/>
  <c r="G17" i="25"/>
  <c r="F17" i="25"/>
  <c r="E17" i="25"/>
  <c r="E20" i="25" s="1"/>
  <c r="D17" i="25"/>
  <c r="C17" i="25"/>
  <c r="B17" i="25"/>
  <c r="K14" i="25"/>
  <c r="K64" i="25" s="1"/>
  <c r="J14" i="25"/>
  <c r="J64" i="25" s="1"/>
  <c r="I14" i="25"/>
  <c r="I33" i="25" s="1"/>
  <c r="H14" i="25"/>
  <c r="H64" i="25" s="1"/>
  <c r="G14" i="25"/>
  <c r="G64" i="25" s="1"/>
  <c r="F14" i="25"/>
  <c r="F64" i="25" s="1"/>
  <c r="E14" i="25"/>
  <c r="E33" i="25" s="1"/>
  <c r="D14" i="25"/>
  <c r="D33" i="25" s="1"/>
  <c r="C14" i="25"/>
  <c r="C64" i="25" s="1"/>
  <c r="B14" i="25"/>
  <c r="B64" i="25" s="1"/>
  <c r="K13" i="25"/>
  <c r="J13" i="25"/>
  <c r="J16" i="25" s="1"/>
  <c r="I13" i="25"/>
  <c r="H13" i="25"/>
  <c r="G13" i="25"/>
  <c r="F13" i="25"/>
  <c r="F16" i="25" s="1"/>
  <c r="E13" i="25"/>
  <c r="D13" i="25"/>
  <c r="C13" i="25"/>
  <c r="B13" i="25"/>
  <c r="B16" i="25" s="1"/>
  <c r="K12" i="25"/>
  <c r="J12" i="25"/>
  <c r="I12" i="25"/>
  <c r="H12" i="25"/>
  <c r="G12" i="25"/>
  <c r="F12" i="25"/>
  <c r="E12" i="25"/>
  <c r="D12" i="25"/>
  <c r="C12" i="25"/>
  <c r="B12" i="25"/>
  <c r="K11" i="25"/>
  <c r="J11" i="25"/>
  <c r="I11" i="25"/>
  <c r="H11" i="25"/>
  <c r="G11" i="25"/>
  <c r="F11" i="25"/>
  <c r="E11" i="25"/>
  <c r="D11" i="25"/>
  <c r="C11" i="25"/>
  <c r="B11" i="25"/>
  <c r="K10" i="25"/>
  <c r="L10" i="25" s="1"/>
  <c r="J10" i="25"/>
  <c r="J26" i="25" s="1"/>
  <c r="I10" i="25"/>
  <c r="I26" i="25" s="1"/>
  <c r="H10" i="25"/>
  <c r="H26" i="25" s="1"/>
  <c r="G10" i="25"/>
  <c r="F10" i="25"/>
  <c r="E10" i="25"/>
  <c r="E26" i="25" s="1"/>
  <c r="D10" i="25"/>
  <c r="C10" i="25"/>
  <c r="C26" i="25" s="1"/>
  <c r="B10" i="25"/>
  <c r="B26" i="25" s="1"/>
  <c r="K8" i="25"/>
  <c r="J8" i="25"/>
  <c r="I8" i="25"/>
  <c r="H8" i="25"/>
  <c r="G8" i="25"/>
  <c r="F8" i="25"/>
  <c r="E8" i="25"/>
  <c r="E62" i="25" s="1"/>
  <c r="D8" i="25"/>
  <c r="C8" i="25"/>
  <c r="B8" i="25"/>
  <c r="K7" i="25"/>
  <c r="J7" i="25"/>
  <c r="I7" i="25"/>
  <c r="H7" i="25"/>
  <c r="G7" i="25"/>
  <c r="G16" i="25" s="1"/>
  <c r="G60" i="25" s="1"/>
  <c r="F7" i="25"/>
  <c r="E7" i="25"/>
  <c r="D7" i="25"/>
  <c r="C7" i="25"/>
  <c r="B7" i="25"/>
  <c r="K6" i="25"/>
  <c r="J6" i="25"/>
  <c r="I6" i="25"/>
  <c r="J36" i="25" s="1"/>
  <c r="J37" i="25" s="1"/>
  <c r="H6" i="25"/>
  <c r="G6" i="25"/>
  <c r="F6" i="25"/>
  <c r="E6" i="25"/>
  <c r="E42" i="25" s="1"/>
  <c r="D6" i="25"/>
  <c r="C6" i="25"/>
  <c r="B6" i="25"/>
  <c r="K5" i="25"/>
  <c r="J5" i="25"/>
  <c r="J32" i="25" s="1"/>
  <c r="I5" i="25"/>
  <c r="I61" i="25" s="1"/>
  <c r="H5" i="25"/>
  <c r="G5" i="25"/>
  <c r="F5" i="25"/>
  <c r="E5" i="25"/>
  <c r="E61" i="25" s="1"/>
  <c r="D5" i="25"/>
  <c r="C5" i="25"/>
  <c r="B5" i="25"/>
  <c r="K4" i="25"/>
  <c r="J4" i="25"/>
  <c r="I4" i="25"/>
  <c r="H4" i="25"/>
  <c r="H28" i="25" s="1"/>
  <c r="G4" i="25"/>
  <c r="F4" i="25"/>
  <c r="E4" i="25"/>
  <c r="D4" i="25"/>
  <c r="D28" i="25" s="1"/>
  <c r="C4" i="25"/>
  <c r="B4" i="25"/>
  <c r="K3" i="25"/>
  <c r="L2" i="25" s="1"/>
  <c r="L11" i="25" s="1"/>
  <c r="J3" i="25"/>
  <c r="I3" i="25"/>
  <c r="H3" i="25"/>
  <c r="G3" i="25"/>
  <c r="F3" i="25"/>
  <c r="E3" i="25"/>
  <c r="D3" i="25"/>
  <c r="C3" i="25"/>
  <c r="B3" i="25"/>
  <c r="E1" i="25"/>
  <c r="A1" i="25"/>
  <c r="K38" i="24"/>
  <c r="J38" i="24"/>
  <c r="I38" i="24"/>
  <c r="H38" i="24"/>
  <c r="G38" i="24"/>
  <c r="F38" i="24"/>
  <c r="E38" i="24"/>
  <c r="D38" i="24"/>
  <c r="C38" i="24"/>
  <c r="B38" i="24"/>
  <c r="K36" i="24"/>
  <c r="J36" i="24"/>
  <c r="I36" i="24"/>
  <c r="H36" i="24"/>
  <c r="G36" i="24"/>
  <c r="F36" i="24"/>
  <c r="E36" i="24"/>
  <c r="D36" i="24"/>
  <c r="C36" i="24"/>
  <c r="B36" i="24"/>
  <c r="K35" i="24"/>
  <c r="J35" i="24"/>
  <c r="I35" i="24"/>
  <c r="H35" i="24"/>
  <c r="G35" i="24"/>
  <c r="F35" i="24"/>
  <c r="E35" i="24"/>
  <c r="D35" i="24"/>
  <c r="C35" i="24"/>
  <c r="B35" i="24"/>
  <c r="H31" i="24"/>
  <c r="D31" i="24"/>
  <c r="K18" i="24"/>
  <c r="J18" i="24"/>
  <c r="I18" i="24"/>
  <c r="H18" i="24"/>
  <c r="G18" i="24"/>
  <c r="F18" i="24"/>
  <c r="E18" i="24"/>
  <c r="D18" i="24"/>
  <c r="C18" i="24"/>
  <c r="B18" i="24"/>
  <c r="L15" i="24"/>
  <c r="K15" i="24"/>
  <c r="J15" i="24"/>
  <c r="I15" i="24"/>
  <c r="H15" i="24"/>
  <c r="G15" i="24"/>
  <c r="F15" i="24"/>
  <c r="E15" i="24"/>
  <c r="D15" i="24"/>
  <c r="C15" i="24"/>
  <c r="B15" i="24"/>
  <c r="N13" i="24"/>
  <c r="M13" i="24"/>
  <c r="L13" i="24"/>
  <c r="L14" i="24" s="1"/>
  <c r="L25" i="24" s="1"/>
  <c r="D13" i="24"/>
  <c r="L12" i="24"/>
  <c r="K12" i="24"/>
  <c r="J12" i="24"/>
  <c r="I12" i="24"/>
  <c r="I30" i="24" s="1"/>
  <c r="H12" i="24"/>
  <c r="H13" i="24" s="1"/>
  <c r="G12" i="24"/>
  <c r="G30" i="24" s="1"/>
  <c r="F12" i="24"/>
  <c r="E12" i="24"/>
  <c r="E30" i="24" s="1"/>
  <c r="D12" i="24"/>
  <c r="C12" i="24"/>
  <c r="B12" i="24"/>
  <c r="L11" i="24"/>
  <c r="K11" i="24"/>
  <c r="J11" i="24"/>
  <c r="J37" i="24" s="1"/>
  <c r="I11" i="24"/>
  <c r="H11" i="24"/>
  <c r="G11" i="24"/>
  <c r="F11" i="24"/>
  <c r="F37" i="24" s="1"/>
  <c r="E11" i="24"/>
  <c r="D11" i="24"/>
  <c r="C11" i="24"/>
  <c r="B11" i="24"/>
  <c r="B37" i="24" s="1"/>
  <c r="L10" i="24"/>
  <c r="N11" i="24" s="1"/>
  <c r="K10" i="24"/>
  <c r="J10" i="24"/>
  <c r="I10" i="24"/>
  <c r="H10" i="24"/>
  <c r="G10" i="24"/>
  <c r="F10" i="24"/>
  <c r="E10" i="24"/>
  <c r="D10" i="24"/>
  <c r="C10" i="24"/>
  <c r="B10" i="24"/>
  <c r="L9" i="24"/>
  <c r="N9" i="24" s="1"/>
  <c r="K9" i="24"/>
  <c r="J9" i="24"/>
  <c r="I9" i="24"/>
  <c r="H9" i="24"/>
  <c r="G9" i="24"/>
  <c r="F9" i="24"/>
  <c r="E9" i="24"/>
  <c r="D9" i="24"/>
  <c r="C9" i="24"/>
  <c r="B9" i="24"/>
  <c r="L8" i="24"/>
  <c r="M8" i="24" s="1"/>
  <c r="K8" i="24"/>
  <c r="J8" i="24"/>
  <c r="I8" i="24"/>
  <c r="H8" i="24"/>
  <c r="G8" i="24"/>
  <c r="F8" i="24"/>
  <c r="E8" i="24"/>
  <c r="D8" i="24"/>
  <c r="C8" i="24"/>
  <c r="B8" i="24"/>
  <c r="L7" i="24"/>
  <c r="K7" i="24"/>
  <c r="J7" i="24"/>
  <c r="I7" i="24"/>
  <c r="H7" i="24"/>
  <c r="H30" i="24" s="1"/>
  <c r="G7" i="24"/>
  <c r="F7" i="24"/>
  <c r="E7" i="24"/>
  <c r="D7" i="24"/>
  <c r="D30" i="24" s="1"/>
  <c r="C7" i="24"/>
  <c r="B7" i="24"/>
  <c r="L6" i="24"/>
  <c r="L19" i="24" s="1"/>
  <c r="L24" i="24" s="1"/>
  <c r="L5" i="24"/>
  <c r="K5" i="24"/>
  <c r="J5" i="24"/>
  <c r="I5" i="24"/>
  <c r="H5" i="24"/>
  <c r="G5" i="24"/>
  <c r="F5" i="24"/>
  <c r="E5" i="24"/>
  <c r="D5" i="24"/>
  <c r="C5" i="24"/>
  <c r="B5" i="24"/>
  <c r="L4" i="24"/>
  <c r="K4" i="24"/>
  <c r="K31" i="24" s="1"/>
  <c r="J4" i="24"/>
  <c r="I4" i="24"/>
  <c r="I6" i="24" s="1"/>
  <c r="H4" i="24"/>
  <c r="H32" i="24" s="1"/>
  <c r="G4" i="24"/>
  <c r="G31" i="24" s="1"/>
  <c r="F4" i="24"/>
  <c r="E4" i="24"/>
  <c r="E32" i="24" s="1"/>
  <c r="D4" i="24"/>
  <c r="D32" i="24" s="1"/>
  <c r="C4" i="24"/>
  <c r="C31" i="24" s="1"/>
  <c r="B4" i="24"/>
  <c r="K3" i="24"/>
  <c r="O2" i="24" s="1"/>
  <c r="O11" i="24" s="1"/>
  <c r="J3" i="24"/>
  <c r="I3" i="24"/>
  <c r="H3" i="24"/>
  <c r="G3" i="24"/>
  <c r="F3" i="24"/>
  <c r="E3" i="24"/>
  <c r="D3" i="24"/>
  <c r="C3" i="24"/>
  <c r="B3" i="24"/>
  <c r="H1" i="24"/>
  <c r="A1" i="24"/>
  <c r="B6" i="23"/>
  <c r="E1" i="23"/>
  <c r="C17" i="26" l="1"/>
  <c r="G17" i="26"/>
  <c r="K17" i="26"/>
  <c r="J33" i="25"/>
  <c r="B6" i="24"/>
  <c r="F6" i="24"/>
  <c r="F33" i="24" s="1"/>
  <c r="F34" i="24" s="1"/>
  <c r="J6" i="24"/>
  <c r="C30" i="24"/>
  <c r="K30" i="24"/>
  <c r="C37" i="24"/>
  <c r="G37" i="24"/>
  <c r="K37" i="24"/>
  <c r="H14" i="24"/>
  <c r="E31" i="24"/>
  <c r="I32" i="24"/>
  <c r="D24" i="25"/>
  <c r="H61" i="25"/>
  <c r="D16" i="25"/>
  <c r="D60" i="25" s="1"/>
  <c r="H16" i="25"/>
  <c r="H60" i="25" s="1"/>
  <c r="F63" i="25"/>
  <c r="J62" i="25"/>
  <c r="C63" i="25"/>
  <c r="G45" i="25"/>
  <c r="G47" i="25" s="1"/>
  <c r="F36" i="25"/>
  <c r="F37" i="25" s="1"/>
  <c r="I62" i="25"/>
  <c r="E64" i="25"/>
  <c r="D18" i="26"/>
  <c r="H18" i="26"/>
  <c r="D19" i="26"/>
  <c r="F11" i="27"/>
  <c r="J11" i="27"/>
  <c r="C32" i="25"/>
  <c r="L6" i="25"/>
  <c r="L34" i="25"/>
  <c r="E16" i="26"/>
  <c r="E17" i="26" s="1"/>
  <c r="I16" i="26"/>
  <c r="I17" i="26" s="1"/>
  <c r="E18" i="26"/>
  <c r="I18" i="26"/>
  <c r="E19" i="26"/>
  <c r="E14" i="27"/>
  <c r="I14" i="27"/>
  <c r="E37" i="24"/>
  <c r="I37" i="24"/>
  <c r="B30" i="24"/>
  <c r="F30" i="24"/>
  <c r="J30" i="24"/>
  <c r="I31" i="24"/>
  <c r="D30" i="25"/>
  <c r="H30" i="25"/>
  <c r="F61" i="25"/>
  <c r="C16" i="25"/>
  <c r="E63" i="25"/>
  <c r="I63" i="25"/>
  <c r="C62" i="25"/>
  <c r="G62" i="25"/>
  <c r="K62" i="25"/>
  <c r="M13" i="27"/>
  <c r="F14" i="27"/>
  <c r="J14" i="27"/>
  <c r="D38" i="25"/>
  <c r="D25" i="25" s="1"/>
  <c r="B17" i="26"/>
  <c r="F17" i="26"/>
  <c r="J17" i="26"/>
  <c r="C29" i="24"/>
  <c r="K29" i="24"/>
  <c r="B32" i="24"/>
  <c r="I16" i="25"/>
  <c r="I38" i="25" s="1"/>
  <c r="I25" i="25" s="1"/>
  <c r="L31" i="25"/>
  <c r="G63" i="25"/>
  <c r="L2" i="27"/>
  <c r="L5" i="27" s="1"/>
  <c r="E11" i="27"/>
  <c r="I11" i="27"/>
  <c r="N8" i="24"/>
  <c r="D29" i="24"/>
  <c r="H29" i="24"/>
  <c r="K33" i="25"/>
  <c r="K53" i="25"/>
  <c r="D16" i="26"/>
  <c r="D17" i="26" s="1"/>
  <c r="H16" i="26"/>
  <c r="H17" i="26" s="1"/>
  <c r="B14" i="27"/>
  <c r="L14" i="27" s="1"/>
  <c r="C33" i="25"/>
  <c r="G29" i="24"/>
  <c r="G13" i="24"/>
  <c r="G14" i="24" s="1"/>
  <c r="D14" i="24"/>
  <c r="J32" i="24"/>
  <c r="E24" i="25"/>
  <c r="D37" i="24"/>
  <c r="H37" i="24"/>
  <c r="C13" i="24"/>
  <c r="C14" i="24" s="1"/>
  <c r="K13" i="24"/>
  <c r="K14" i="24" s="1"/>
  <c r="F32" i="24"/>
  <c r="L12" i="25"/>
  <c r="L35" i="25"/>
  <c r="C42" i="25"/>
  <c r="C43" i="25" s="1"/>
  <c r="L9" i="27"/>
  <c r="L4" i="27"/>
  <c r="L6" i="27"/>
  <c r="D11" i="27"/>
  <c r="H11" i="27"/>
  <c r="M4" i="27"/>
  <c r="M14" i="27" s="1"/>
  <c r="B18" i="26"/>
  <c r="F18" i="26"/>
  <c r="J18" i="26"/>
  <c r="C18" i="26"/>
  <c r="G18" i="26"/>
  <c r="K18" i="26"/>
  <c r="C60" i="25"/>
  <c r="C38" i="25"/>
  <c r="C25" i="25" s="1"/>
  <c r="C44" i="25"/>
  <c r="E36" i="25"/>
  <c r="E37" i="25" s="1"/>
  <c r="D32" i="25"/>
  <c r="D45" i="25"/>
  <c r="D47" i="25" s="1"/>
  <c r="D42" i="25"/>
  <c r="I36" i="25"/>
  <c r="I37" i="25" s="1"/>
  <c r="H32" i="25"/>
  <c r="H45" i="25"/>
  <c r="H47" i="25" s="1"/>
  <c r="F28" i="25"/>
  <c r="F30" i="25" s="1"/>
  <c r="I44" i="25"/>
  <c r="I43" i="25"/>
  <c r="I60" i="25"/>
  <c r="I59" i="25" s="1"/>
  <c r="E28" i="25"/>
  <c r="E30" i="25" s="1"/>
  <c r="E32" i="25"/>
  <c r="C61" i="25"/>
  <c r="C28" i="25"/>
  <c r="C30" i="25" s="1"/>
  <c r="B32" i="25"/>
  <c r="F32" i="25"/>
  <c r="J28" i="25"/>
  <c r="J30" i="25" s="1"/>
  <c r="B60" i="25"/>
  <c r="F60" i="25"/>
  <c r="J60" i="25"/>
  <c r="L14" i="25"/>
  <c r="L18" i="25"/>
  <c r="J24" i="25"/>
  <c r="H38" i="25"/>
  <c r="H25" i="25" s="1"/>
  <c r="J61" i="25"/>
  <c r="D36" i="25"/>
  <c r="D37" i="25" s="1"/>
  <c r="C36" i="25"/>
  <c r="C37" i="25" s="1"/>
  <c r="C45" i="25"/>
  <c r="C47" i="25" s="1"/>
  <c r="G32" i="25"/>
  <c r="H36" i="25"/>
  <c r="H37" i="25" s="1"/>
  <c r="G36" i="25"/>
  <c r="G37" i="25" s="1"/>
  <c r="K32" i="25"/>
  <c r="L7" i="25"/>
  <c r="G38" i="25"/>
  <c r="G26" i="25"/>
  <c r="K26" i="25"/>
  <c r="L13" i="25"/>
  <c r="K16" i="25"/>
  <c r="K38" i="25" s="1"/>
  <c r="L17" i="25"/>
  <c r="B20" i="25"/>
  <c r="K22" i="25"/>
  <c r="K21" i="25" s="1"/>
  <c r="D26" i="25"/>
  <c r="G42" i="25"/>
  <c r="H33" i="25"/>
  <c r="K36" i="25"/>
  <c r="K37" i="25" s="1"/>
  <c r="B40" i="25"/>
  <c r="B41" i="25" s="1"/>
  <c r="B62" i="25"/>
  <c r="L39" i="25"/>
  <c r="F40" i="25"/>
  <c r="F41" i="25" s="1"/>
  <c r="F62" i="25"/>
  <c r="H55" i="25"/>
  <c r="J40" i="25"/>
  <c r="J41" i="25" s="1"/>
  <c r="G43" i="25"/>
  <c r="L46" i="25"/>
  <c r="J53" i="25"/>
  <c r="J55" i="25"/>
  <c r="D64" i="25"/>
  <c r="B61" i="25"/>
  <c r="B28" i="25"/>
  <c r="B30" i="25" s="1"/>
  <c r="I24" i="25"/>
  <c r="I28" i="25"/>
  <c r="I30" i="25" s="1"/>
  <c r="G61" i="25"/>
  <c r="G59" i="25" s="1"/>
  <c r="G28" i="25"/>
  <c r="L5" i="25"/>
  <c r="K61" i="25"/>
  <c r="E16" i="25"/>
  <c r="F24" i="25"/>
  <c r="K28" i="25"/>
  <c r="I32" i="25"/>
  <c r="H42" i="25"/>
  <c r="D61" i="25"/>
  <c r="B42" i="25"/>
  <c r="F42" i="25"/>
  <c r="J42" i="25"/>
  <c r="L48" i="25"/>
  <c r="H52" i="25"/>
  <c r="H54" i="25" s="1"/>
  <c r="B63" i="25"/>
  <c r="L8" i="25"/>
  <c r="B24" i="25"/>
  <c r="H24" i="25"/>
  <c r="K52" i="25"/>
  <c r="K54" i="25" s="1"/>
  <c r="F33" i="25"/>
  <c r="D40" i="25"/>
  <c r="D41" i="25" s="1"/>
  <c r="H40" i="25"/>
  <c r="H41" i="25" s="1"/>
  <c r="K41" i="25"/>
  <c r="K42" i="25"/>
  <c r="E43" i="25"/>
  <c r="J45" i="25"/>
  <c r="J47" i="25" s="1"/>
  <c r="I52" i="25"/>
  <c r="I54" i="25" s="1"/>
  <c r="H62" i="25"/>
  <c r="H59" i="25" s="1"/>
  <c r="J63" i="25"/>
  <c r="C24" i="25"/>
  <c r="G24" i="25"/>
  <c r="K24" i="25"/>
  <c r="L4" i="25"/>
  <c r="B38" i="25"/>
  <c r="B25" i="25" s="1"/>
  <c r="F38" i="25"/>
  <c r="F25" i="25" s="1"/>
  <c r="J38" i="25"/>
  <c r="J25" i="25" s="1"/>
  <c r="L29" i="25"/>
  <c r="G30" i="25"/>
  <c r="B33" i="25"/>
  <c r="G33" i="25"/>
  <c r="F45" i="25"/>
  <c r="F47" i="25" s="1"/>
  <c r="K45" i="25"/>
  <c r="J52" i="25"/>
  <c r="I55" i="25"/>
  <c r="D62" i="25"/>
  <c r="K63" i="25"/>
  <c r="E45" i="25"/>
  <c r="E47" i="25" s="1"/>
  <c r="I45" i="25"/>
  <c r="I47" i="25" s="1"/>
  <c r="K55" i="25"/>
  <c r="I33" i="24"/>
  <c r="I34" i="24" s="1"/>
  <c r="I19" i="24"/>
  <c r="J33" i="24"/>
  <c r="J34" i="24" s="1"/>
  <c r="J19" i="24"/>
  <c r="O30" i="24"/>
  <c r="B33" i="24"/>
  <c r="B34" i="24" s="1"/>
  <c r="B19" i="24"/>
  <c r="F19" i="24"/>
  <c r="O4" i="24"/>
  <c r="G6" i="24"/>
  <c r="O9" i="24"/>
  <c r="O15" i="24"/>
  <c r="J23" i="24"/>
  <c r="C28" i="24"/>
  <c r="G28" i="24"/>
  <c r="E29" i="24"/>
  <c r="I29" i="24"/>
  <c r="D6" i="24"/>
  <c r="D28" i="24"/>
  <c r="B29" i="24"/>
  <c r="F29" i="24"/>
  <c r="O5" i="24"/>
  <c r="E6" i="24"/>
  <c r="O8" i="24"/>
  <c r="M9" i="24"/>
  <c r="O10" i="24"/>
  <c r="M11" i="24"/>
  <c r="O12" i="24"/>
  <c r="E13" i="24"/>
  <c r="E14" i="24" s="1"/>
  <c r="I13" i="24"/>
  <c r="I14" i="24" s="1"/>
  <c r="H23" i="24"/>
  <c r="L23" i="24"/>
  <c r="E28" i="24"/>
  <c r="I28" i="24"/>
  <c r="B31" i="24"/>
  <c r="O31" i="24" s="1"/>
  <c r="F31" i="24"/>
  <c r="J31" i="24"/>
  <c r="C32" i="24"/>
  <c r="G32" i="24"/>
  <c r="K32" i="24"/>
  <c r="C6" i="24"/>
  <c r="K6" i="24"/>
  <c r="O7" i="24"/>
  <c r="K28" i="24"/>
  <c r="H6" i="24"/>
  <c r="K23" i="24"/>
  <c r="H28" i="24"/>
  <c r="J29" i="24"/>
  <c r="B13" i="24"/>
  <c r="B14" i="24" s="1"/>
  <c r="F13" i="24"/>
  <c r="F14" i="24" s="1"/>
  <c r="J13" i="24"/>
  <c r="J14" i="24" s="1"/>
  <c r="I23" i="24"/>
  <c r="B28" i="24"/>
  <c r="F28" i="24"/>
  <c r="J28" i="24"/>
  <c r="L28" i="25" l="1"/>
  <c r="C59" i="25"/>
  <c r="L11" i="27"/>
  <c r="L7" i="27"/>
  <c r="L26" i="25"/>
  <c r="L10" i="27"/>
  <c r="O13" i="24"/>
  <c r="J54" i="25"/>
  <c r="L33" i="25"/>
  <c r="D59" i="25"/>
  <c r="L40" i="25"/>
  <c r="K43" i="25"/>
  <c r="K44" i="25"/>
  <c r="L41" i="25"/>
  <c r="K56" i="25"/>
  <c r="K57" i="25" s="1"/>
  <c r="J56" i="25"/>
  <c r="J57" i="25" s="1"/>
  <c r="L38" i="25"/>
  <c r="I56" i="25"/>
  <c r="I57" i="25" s="1"/>
  <c r="H56" i="25"/>
  <c r="H57" i="25" s="1"/>
  <c r="K25" i="25"/>
  <c r="B59" i="25"/>
  <c r="K51" i="25"/>
  <c r="K47" i="25"/>
  <c r="L47" i="25" s="1"/>
  <c r="I51" i="25"/>
  <c r="H51" i="25"/>
  <c r="L45" i="25"/>
  <c r="J51" i="25"/>
  <c r="D44" i="25"/>
  <c r="D43" i="25"/>
  <c r="J44" i="25"/>
  <c r="J43" i="25"/>
  <c r="F44" i="25"/>
  <c r="F43" i="25"/>
  <c r="B44" i="25"/>
  <c r="B43" i="25"/>
  <c r="K60" i="25"/>
  <c r="K59" i="25" s="1"/>
  <c r="L16" i="25"/>
  <c r="L24" i="25"/>
  <c r="E38" i="25"/>
  <c r="E60" i="25"/>
  <c r="E59" i="25" s="1"/>
  <c r="G25" i="25"/>
  <c r="G44" i="25"/>
  <c r="J59" i="25"/>
  <c r="L42" i="25"/>
  <c r="H44" i="25"/>
  <c r="H43" i="25"/>
  <c r="K30" i="25"/>
  <c r="L30" i="25" s="1"/>
  <c r="F59" i="25"/>
  <c r="L32" i="25"/>
  <c r="N23" i="24"/>
  <c r="N4" i="24" s="1"/>
  <c r="H33" i="24"/>
  <c r="H34" i="24" s="1"/>
  <c r="H19" i="24"/>
  <c r="C19" i="24"/>
  <c r="C33" i="24"/>
  <c r="C34" i="24" s="1"/>
  <c r="K25" i="24"/>
  <c r="M25" i="24" s="1"/>
  <c r="M14" i="24" s="1"/>
  <c r="M15" i="24" s="1"/>
  <c r="G33" i="24"/>
  <c r="G34" i="24" s="1"/>
  <c r="G19" i="24"/>
  <c r="I25" i="24"/>
  <c r="D19" i="24"/>
  <c r="D33" i="24"/>
  <c r="D34" i="24" s="1"/>
  <c r="H25" i="24"/>
  <c r="M23" i="24"/>
  <c r="M4" i="24" s="1"/>
  <c r="K19" i="24"/>
  <c r="K24" i="24" s="1"/>
  <c r="M24" i="24" s="1"/>
  <c r="K33" i="24"/>
  <c r="O14" i="24"/>
  <c r="E33" i="24"/>
  <c r="E34" i="24" s="1"/>
  <c r="E19" i="24"/>
  <c r="O6" i="24"/>
  <c r="J25" i="24"/>
  <c r="H24" i="24" l="1"/>
  <c r="E25" i="25"/>
  <c r="L25" i="25" s="1"/>
  <c r="E44" i="25"/>
  <c r="L44" i="25" s="1"/>
  <c r="L43" i="25"/>
  <c r="K34" i="24"/>
  <c r="O33" i="24"/>
  <c r="M6" i="24"/>
  <c r="M10" i="24" s="1"/>
  <c r="M12" i="24" s="1"/>
  <c r="I24" i="24"/>
  <c r="N25" i="24"/>
  <c r="N14" i="24" s="1"/>
  <c r="N15" i="24" s="1"/>
  <c r="J24" i="24"/>
  <c r="N24" i="24" l="1"/>
  <c r="N6" i="24" s="1"/>
  <c r="N5" i="24" s="1"/>
  <c r="N10" i="24"/>
  <c r="N12" i="24" s="1"/>
  <c r="M5" i="24"/>
  <c r="C73" i="6" l="1"/>
  <c r="D73" i="6"/>
  <c r="E73" i="6"/>
  <c r="F73" i="6"/>
  <c r="G73" i="6"/>
  <c r="H73" i="6"/>
  <c r="I73" i="6"/>
  <c r="J73" i="6"/>
  <c r="K73" i="6"/>
  <c r="B73" i="6"/>
  <c r="K38" i="1" l="1"/>
  <c r="J38" i="1"/>
  <c r="I38" i="1"/>
  <c r="H38" i="1"/>
  <c r="G38" i="1"/>
  <c r="F38" i="1"/>
  <c r="E38" i="1"/>
  <c r="D38" i="1"/>
  <c r="C38" i="1"/>
  <c r="B38" i="1"/>
  <c r="K34" i="2" l="1"/>
  <c r="J34" i="2"/>
  <c r="I34" i="2"/>
  <c r="H34" i="2"/>
  <c r="G34" i="2"/>
  <c r="F34" i="2"/>
  <c r="E34" i="2"/>
  <c r="D34" i="2"/>
  <c r="C34" i="2"/>
  <c r="B34" i="2"/>
  <c r="C36" i="1"/>
  <c r="D36" i="1"/>
  <c r="E36" i="1"/>
  <c r="F36" i="1"/>
  <c r="G36" i="1"/>
  <c r="H36" i="1"/>
  <c r="I36" i="1"/>
  <c r="J36" i="1"/>
  <c r="K36" i="1"/>
  <c r="B36" i="1"/>
  <c r="C35" i="1"/>
  <c r="D35" i="1"/>
  <c r="E35" i="1"/>
  <c r="F35" i="1"/>
  <c r="G35" i="1"/>
  <c r="H35" i="1"/>
  <c r="I35" i="1"/>
  <c r="J35" i="1"/>
  <c r="K35" i="1"/>
  <c r="B35" i="1"/>
  <c r="C29" i="2"/>
  <c r="D29" i="2"/>
  <c r="E29" i="2"/>
  <c r="F29" i="2"/>
  <c r="G29" i="2"/>
  <c r="H29" i="2"/>
  <c r="I29" i="2"/>
  <c r="J29" i="2"/>
  <c r="K29" i="2"/>
  <c r="B29" i="2"/>
  <c r="L34" i="2" l="1"/>
  <c r="H52" i="2"/>
  <c r="J52" i="2"/>
  <c r="I52" i="2"/>
  <c r="K52" i="2"/>
  <c r="G1" i="20"/>
  <c r="A1" i="20"/>
  <c r="C6" i="3" l="1"/>
  <c r="D6" i="3"/>
  <c r="E6" i="3"/>
  <c r="F6" i="3"/>
  <c r="G6" i="3"/>
  <c r="H6" i="3"/>
  <c r="I6" i="3"/>
  <c r="J6" i="3"/>
  <c r="K6" i="3"/>
  <c r="B6" i="3"/>
  <c r="C5" i="1"/>
  <c r="D5" i="1"/>
  <c r="E5" i="1"/>
  <c r="F5" i="1"/>
  <c r="G5" i="1"/>
  <c r="H5" i="1"/>
  <c r="I5" i="1"/>
  <c r="J5" i="1"/>
  <c r="K5" i="1"/>
  <c r="B5" i="1"/>
  <c r="B6" i="6" l="1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B17" i="2"/>
  <c r="C4" i="2"/>
  <c r="D4" i="2"/>
  <c r="E4" i="2"/>
  <c r="F4" i="2"/>
  <c r="G4" i="2"/>
  <c r="H4" i="2"/>
  <c r="I4" i="2"/>
  <c r="J4" i="2"/>
  <c r="K4" i="2"/>
  <c r="C5" i="2"/>
  <c r="D5" i="2"/>
  <c r="E5" i="2"/>
  <c r="F5" i="2"/>
  <c r="G5" i="2"/>
  <c r="H5" i="2"/>
  <c r="I5" i="2"/>
  <c r="J5" i="2"/>
  <c r="K5" i="2"/>
  <c r="C6" i="2"/>
  <c r="D6" i="2"/>
  <c r="D45" i="2" s="1"/>
  <c r="E6" i="2"/>
  <c r="E45" i="2" s="1"/>
  <c r="F6" i="2"/>
  <c r="G6" i="2"/>
  <c r="H6" i="2"/>
  <c r="H45" i="2" s="1"/>
  <c r="I6" i="2"/>
  <c r="I45" i="2" s="1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C64" i="2" s="1"/>
  <c r="D14" i="2"/>
  <c r="E14" i="2"/>
  <c r="F14" i="2"/>
  <c r="G14" i="2"/>
  <c r="G64" i="2" s="1"/>
  <c r="H14" i="2"/>
  <c r="I14" i="2"/>
  <c r="J14" i="2"/>
  <c r="K14" i="2"/>
  <c r="B14" i="2"/>
  <c r="B5" i="2"/>
  <c r="B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7" i="3"/>
  <c r="C16" i="3" s="1"/>
  <c r="D7" i="3"/>
  <c r="D16" i="3" s="1"/>
  <c r="E7" i="3"/>
  <c r="E16" i="3" s="1"/>
  <c r="F7" i="3"/>
  <c r="F16" i="3" s="1"/>
  <c r="G7" i="3"/>
  <c r="G16" i="3" s="1"/>
  <c r="H7" i="3"/>
  <c r="H16" i="3" s="1"/>
  <c r="I7" i="3"/>
  <c r="I16" i="3" s="1"/>
  <c r="J7" i="3"/>
  <c r="J16" i="3" s="1"/>
  <c r="K7" i="3"/>
  <c r="K16" i="3" s="1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B5" i="3"/>
  <c r="C18" i="1"/>
  <c r="D18" i="1"/>
  <c r="E18" i="1"/>
  <c r="F18" i="1"/>
  <c r="G18" i="1"/>
  <c r="H18" i="1"/>
  <c r="I18" i="1"/>
  <c r="J18" i="1"/>
  <c r="K18" i="1"/>
  <c r="B18" i="1"/>
  <c r="C4" i="1"/>
  <c r="C35" i="2" s="1"/>
  <c r="D4" i="1"/>
  <c r="D35" i="2" s="1"/>
  <c r="E4" i="1"/>
  <c r="E35" i="2" s="1"/>
  <c r="F4" i="1"/>
  <c r="F35" i="2" s="1"/>
  <c r="G4" i="1"/>
  <c r="G35" i="2" s="1"/>
  <c r="H4" i="1"/>
  <c r="H35" i="2" s="1"/>
  <c r="I4" i="1"/>
  <c r="I35" i="2" s="1"/>
  <c r="J4" i="1"/>
  <c r="J35" i="2" s="1"/>
  <c r="K4" i="1"/>
  <c r="K35" i="2" s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D39" i="2" s="1"/>
  <c r="D40" i="2" s="1"/>
  <c r="E10" i="1"/>
  <c r="F10" i="1"/>
  <c r="G10" i="1"/>
  <c r="H10" i="1"/>
  <c r="H39" i="2" s="1"/>
  <c r="H40" i="2" s="1"/>
  <c r="I10" i="1"/>
  <c r="J10" i="1"/>
  <c r="K10" i="1"/>
  <c r="C11" i="1"/>
  <c r="C37" i="1" s="1"/>
  <c r="D11" i="1"/>
  <c r="E11" i="1"/>
  <c r="F11" i="1"/>
  <c r="G11" i="1"/>
  <c r="G37" i="1" s="1"/>
  <c r="H11" i="1"/>
  <c r="I11" i="1"/>
  <c r="J11" i="1"/>
  <c r="K11" i="1"/>
  <c r="K37" i="1" s="1"/>
  <c r="C12" i="1"/>
  <c r="D12" i="1"/>
  <c r="E12" i="1"/>
  <c r="F12" i="1"/>
  <c r="G12" i="1"/>
  <c r="H12" i="1"/>
  <c r="I12" i="1"/>
  <c r="J12" i="1"/>
  <c r="K12" i="1"/>
  <c r="C15" i="1"/>
  <c r="D15" i="1"/>
  <c r="E15" i="1"/>
  <c r="F15" i="1"/>
  <c r="G15" i="1"/>
  <c r="H15" i="1"/>
  <c r="I15" i="1"/>
  <c r="J15" i="1"/>
  <c r="K15" i="1"/>
  <c r="B15" i="1"/>
  <c r="B7" i="1"/>
  <c r="B4" i="1"/>
  <c r="B35" i="2" s="1"/>
  <c r="A1" i="1"/>
  <c r="E1" i="6"/>
  <c r="L35" i="2" l="1"/>
  <c r="H37" i="1"/>
  <c r="D37" i="1"/>
  <c r="I39" i="2"/>
  <c r="I40" i="2" s="1"/>
  <c r="I41" i="2" s="1"/>
  <c r="E39" i="2"/>
  <c r="E40" i="2" s="1"/>
  <c r="H64" i="2"/>
  <c r="D64" i="2"/>
  <c r="J37" i="1"/>
  <c r="F37" i="1"/>
  <c r="K39" i="2"/>
  <c r="G39" i="2"/>
  <c r="G40" i="2" s="1"/>
  <c r="C39" i="2"/>
  <c r="C40" i="2" s="1"/>
  <c r="C41" i="2" s="1"/>
  <c r="G13" i="4"/>
  <c r="G14" i="4" s="1"/>
  <c r="G48" i="2"/>
  <c r="B64" i="2"/>
  <c r="J13" i="4"/>
  <c r="J14" i="4" s="1"/>
  <c r="J48" i="2"/>
  <c r="F13" i="4"/>
  <c r="F14" i="4" s="1"/>
  <c r="F48" i="2"/>
  <c r="H41" i="2"/>
  <c r="E13" i="4"/>
  <c r="E14" i="4" s="1"/>
  <c r="E48" i="2"/>
  <c r="H13" i="4"/>
  <c r="H14" i="4" s="1"/>
  <c r="H48" i="2"/>
  <c r="D13" i="4"/>
  <c r="D14" i="4" s="1"/>
  <c r="D48" i="2"/>
  <c r="I37" i="1"/>
  <c r="E37" i="1"/>
  <c r="E41" i="2" s="1"/>
  <c r="J39" i="2"/>
  <c r="J40" i="2" s="1"/>
  <c r="F39" i="2"/>
  <c r="F40" i="2" s="1"/>
  <c r="I64" i="2"/>
  <c r="E64" i="2"/>
  <c r="K13" i="4"/>
  <c r="K14" i="4" s="1"/>
  <c r="K48" i="2"/>
  <c r="C13" i="4"/>
  <c r="C14" i="4" s="1"/>
  <c r="C48" i="2"/>
  <c r="D41" i="2"/>
  <c r="K64" i="2"/>
  <c r="I13" i="4"/>
  <c r="I14" i="4" s="1"/>
  <c r="I48" i="2"/>
  <c r="I53" i="2" s="1"/>
  <c r="I54" i="2" s="1"/>
  <c r="J55" i="2"/>
  <c r="K40" i="2"/>
  <c r="I55" i="2"/>
  <c r="G41" i="2"/>
  <c r="J64" i="2"/>
  <c r="F64" i="2"/>
  <c r="H61" i="2"/>
  <c r="H62" i="2"/>
  <c r="H63" i="2"/>
  <c r="D62" i="2"/>
  <c r="D63" i="2"/>
  <c r="K61" i="2"/>
  <c r="G61" i="2"/>
  <c r="C61" i="2"/>
  <c r="G62" i="2"/>
  <c r="G63" i="2"/>
  <c r="B61" i="2"/>
  <c r="J62" i="2"/>
  <c r="J63" i="2"/>
  <c r="F62" i="2"/>
  <c r="F63" i="2"/>
  <c r="I61" i="2"/>
  <c r="E61" i="2"/>
  <c r="I63" i="2"/>
  <c r="E63" i="2"/>
  <c r="D61" i="2"/>
  <c r="K62" i="2"/>
  <c r="K63" i="2"/>
  <c r="C62" i="2"/>
  <c r="C63" i="2"/>
  <c r="J61" i="2"/>
  <c r="F61" i="2"/>
  <c r="K42" i="2"/>
  <c r="K45" i="2"/>
  <c r="C42" i="2"/>
  <c r="C45" i="2"/>
  <c r="J42" i="2"/>
  <c r="J45" i="2"/>
  <c r="F42" i="2"/>
  <c r="F45" i="2"/>
  <c r="G42" i="2"/>
  <c r="G45" i="2"/>
  <c r="I36" i="2"/>
  <c r="I37" i="2" s="1"/>
  <c r="H42" i="2"/>
  <c r="E36" i="2"/>
  <c r="E37" i="2" s="1"/>
  <c r="D42" i="2"/>
  <c r="D43" i="2" s="1"/>
  <c r="J36" i="2"/>
  <c r="J37" i="2" s="1"/>
  <c r="I42" i="2"/>
  <c r="F36" i="2"/>
  <c r="F37" i="2" s="1"/>
  <c r="E42" i="2"/>
  <c r="H36" i="2"/>
  <c r="H37" i="2" s="1"/>
  <c r="D36" i="2"/>
  <c r="D37" i="2" s="1"/>
  <c r="J30" i="1"/>
  <c r="F30" i="1"/>
  <c r="K36" i="2"/>
  <c r="K37" i="2" s="1"/>
  <c r="G36" i="2"/>
  <c r="G37" i="2" s="1"/>
  <c r="J17" i="3"/>
  <c r="F17" i="3"/>
  <c r="J10" i="4"/>
  <c r="F10" i="4"/>
  <c r="I17" i="3"/>
  <c r="E17" i="3"/>
  <c r="J32" i="2"/>
  <c r="F32" i="2"/>
  <c r="H28" i="2"/>
  <c r="H30" i="2" s="1"/>
  <c r="D28" i="2"/>
  <c r="D30" i="2" s="1"/>
  <c r="I30" i="1"/>
  <c r="E30" i="1"/>
  <c r="K27" i="2"/>
  <c r="G27" i="2"/>
  <c r="C27" i="2"/>
  <c r="I10" i="4"/>
  <c r="E10" i="4"/>
  <c r="H17" i="3"/>
  <c r="D17" i="3"/>
  <c r="B28" i="2"/>
  <c r="B30" i="2" s="1"/>
  <c r="I32" i="2"/>
  <c r="E32" i="2"/>
  <c r="H30" i="1"/>
  <c r="D30" i="1"/>
  <c r="G17" i="3"/>
  <c r="C17" i="3"/>
  <c r="D32" i="1"/>
  <c r="D31" i="1"/>
  <c r="D19" i="3"/>
  <c r="D18" i="3"/>
  <c r="K32" i="1"/>
  <c r="K31" i="1"/>
  <c r="G32" i="1"/>
  <c r="G31" i="1"/>
  <c r="C32" i="1"/>
  <c r="C31" i="1"/>
  <c r="K19" i="3"/>
  <c r="K18" i="3"/>
  <c r="G19" i="3"/>
  <c r="G18" i="3"/>
  <c r="C19" i="3"/>
  <c r="C18" i="3"/>
  <c r="K28" i="2"/>
  <c r="G28" i="2"/>
  <c r="G30" i="2" s="1"/>
  <c r="C28" i="2"/>
  <c r="C30" i="2" s="1"/>
  <c r="H31" i="1"/>
  <c r="H32" i="1"/>
  <c r="K17" i="3"/>
  <c r="J27" i="2"/>
  <c r="H10" i="4"/>
  <c r="J31" i="1"/>
  <c r="J32" i="1"/>
  <c r="F32" i="1"/>
  <c r="F31" i="1"/>
  <c r="J19" i="3"/>
  <c r="J18" i="3"/>
  <c r="F18" i="3"/>
  <c r="F19" i="3"/>
  <c r="H32" i="2"/>
  <c r="D32" i="2"/>
  <c r="J28" i="2"/>
  <c r="J30" i="2" s="1"/>
  <c r="F28" i="2"/>
  <c r="F30" i="2" s="1"/>
  <c r="H19" i="3"/>
  <c r="H18" i="3"/>
  <c r="F27" i="2"/>
  <c r="D10" i="4"/>
  <c r="B32" i="1"/>
  <c r="B31" i="1"/>
  <c r="K30" i="1"/>
  <c r="G30" i="1"/>
  <c r="C30" i="1"/>
  <c r="K10" i="4"/>
  <c r="G10" i="4"/>
  <c r="I31" i="1"/>
  <c r="I32" i="1"/>
  <c r="E31" i="1"/>
  <c r="E32" i="1"/>
  <c r="I18" i="3"/>
  <c r="I19" i="3"/>
  <c r="E18" i="3"/>
  <c r="E19" i="3"/>
  <c r="K32" i="2"/>
  <c r="G32" i="2"/>
  <c r="C32" i="2"/>
  <c r="I28" i="2"/>
  <c r="I30" i="2" s="1"/>
  <c r="E28" i="2"/>
  <c r="E30" i="2" s="1"/>
  <c r="I13" i="1"/>
  <c r="I14" i="1" s="1"/>
  <c r="I31" i="2" s="1"/>
  <c r="I29" i="1"/>
  <c r="I33" i="2"/>
  <c r="I28" i="1"/>
  <c r="E29" i="1"/>
  <c r="E33" i="2"/>
  <c r="E28" i="1"/>
  <c r="K26" i="2"/>
  <c r="G26" i="2"/>
  <c r="C26" i="2"/>
  <c r="H13" i="1"/>
  <c r="H14" i="1" s="1"/>
  <c r="H31" i="2" s="1"/>
  <c r="H33" i="2"/>
  <c r="H28" i="1"/>
  <c r="H29" i="1"/>
  <c r="D33" i="2"/>
  <c r="D28" i="1"/>
  <c r="D29" i="1"/>
  <c r="J26" i="2"/>
  <c r="F26" i="2"/>
  <c r="K28" i="1"/>
  <c r="K29" i="1"/>
  <c r="K33" i="2"/>
  <c r="G28" i="1"/>
  <c r="G29" i="1"/>
  <c r="G33" i="2"/>
  <c r="C28" i="1"/>
  <c r="C29" i="1"/>
  <c r="C33" i="2"/>
  <c r="I27" i="2"/>
  <c r="E27" i="2"/>
  <c r="I26" i="2"/>
  <c r="E26" i="2"/>
  <c r="J28" i="1"/>
  <c r="J29" i="1"/>
  <c r="J33" i="2"/>
  <c r="F28" i="1"/>
  <c r="F29" i="1"/>
  <c r="F33" i="2"/>
  <c r="H27" i="2"/>
  <c r="D27" i="2"/>
  <c r="H26" i="2"/>
  <c r="D26" i="2"/>
  <c r="K13" i="1"/>
  <c r="K14" i="1" s="1"/>
  <c r="K31" i="2" s="1"/>
  <c r="E13" i="1"/>
  <c r="E14" i="1" s="1"/>
  <c r="E31" i="2" s="1"/>
  <c r="J13" i="1"/>
  <c r="J14" i="1" s="1"/>
  <c r="J31" i="2" s="1"/>
  <c r="F13" i="1"/>
  <c r="F14" i="1" s="1"/>
  <c r="F31" i="2" s="1"/>
  <c r="D13" i="1"/>
  <c r="D14" i="1" s="1"/>
  <c r="D31" i="2" s="1"/>
  <c r="G13" i="1"/>
  <c r="G14" i="1" s="1"/>
  <c r="G31" i="2" s="1"/>
  <c r="C13" i="1"/>
  <c r="C14" i="1" s="1"/>
  <c r="C31" i="2" s="1"/>
  <c r="J24" i="2"/>
  <c r="I24" i="2"/>
  <c r="E24" i="2"/>
  <c r="E1" i="2"/>
  <c r="E1" i="4"/>
  <c r="E1" i="3"/>
  <c r="H16" i="2"/>
  <c r="D16" i="2"/>
  <c r="K24" i="2"/>
  <c r="G16" i="2"/>
  <c r="F24" i="2"/>
  <c r="C24" i="2"/>
  <c r="I16" i="2"/>
  <c r="E16" i="2"/>
  <c r="E60" i="2" s="1"/>
  <c r="K16" i="2"/>
  <c r="C16" i="2"/>
  <c r="G24" i="2"/>
  <c r="J16" i="2"/>
  <c r="F16" i="2"/>
  <c r="E6" i="1"/>
  <c r="E33" i="1" s="1"/>
  <c r="H24" i="2"/>
  <c r="D24" i="2"/>
  <c r="I6" i="1"/>
  <c r="I33" i="1" s="1"/>
  <c r="J6" i="1"/>
  <c r="J33" i="1" s="1"/>
  <c r="F6" i="1"/>
  <c r="F33" i="1" s="1"/>
  <c r="K6" i="1"/>
  <c r="K33" i="1" s="1"/>
  <c r="G6" i="1"/>
  <c r="G33" i="1" s="1"/>
  <c r="C6" i="1"/>
  <c r="C33" i="1" s="1"/>
  <c r="H6" i="1"/>
  <c r="H33" i="1" s="1"/>
  <c r="D6" i="1"/>
  <c r="D33" i="1" s="1"/>
  <c r="B6" i="1"/>
  <c r="B33" i="1" s="1"/>
  <c r="H1" i="1"/>
  <c r="I43" i="2" l="1"/>
  <c r="F43" i="2"/>
  <c r="F41" i="2"/>
  <c r="H43" i="2"/>
  <c r="E62" i="2"/>
  <c r="I62" i="2"/>
  <c r="J41" i="2"/>
  <c r="F34" i="1"/>
  <c r="F46" i="2"/>
  <c r="F47" i="2"/>
  <c r="C34" i="1"/>
  <c r="C46" i="2"/>
  <c r="E34" i="1"/>
  <c r="E46" i="2"/>
  <c r="E47" i="2" s="1"/>
  <c r="K30" i="2"/>
  <c r="C43" i="2"/>
  <c r="B34" i="1"/>
  <c r="B46" i="2"/>
  <c r="G34" i="1"/>
  <c r="G46" i="2"/>
  <c r="I34" i="1"/>
  <c r="I46" i="2"/>
  <c r="I47" i="2" s="1"/>
  <c r="E43" i="2"/>
  <c r="G47" i="2"/>
  <c r="H53" i="2"/>
  <c r="H54" i="2" s="1"/>
  <c r="J53" i="2"/>
  <c r="J54" i="2" s="1"/>
  <c r="H34" i="1"/>
  <c r="H46" i="2"/>
  <c r="H47" i="2" s="1"/>
  <c r="L30" i="2"/>
  <c r="C47" i="2"/>
  <c r="J34" i="1"/>
  <c r="J46" i="2"/>
  <c r="J47" i="2" s="1"/>
  <c r="H55" i="2"/>
  <c r="D34" i="1"/>
  <c r="D46" i="2"/>
  <c r="D47" i="2" s="1"/>
  <c r="K34" i="1"/>
  <c r="K46" i="2"/>
  <c r="G43" i="2"/>
  <c r="J43" i="2"/>
  <c r="K43" i="2"/>
  <c r="K41" i="2"/>
  <c r="E59" i="2"/>
  <c r="I38" i="2"/>
  <c r="I44" i="2" s="1"/>
  <c r="I60" i="2"/>
  <c r="I59" i="2" s="1"/>
  <c r="C38" i="2"/>
  <c r="C44" i="2" s="1"/>
  <c r="C60" i="2"/>
  <c r="C59" i="2" s="1"/>
  <c r="D38" i="2"/>
  <c r="D25" i="2" s="1"/>
  <c r="D60" i="2"/>
  <c r="D59" i="2" s="1"/>
  <c r="F38" i="2"/>
  <c r="F60" i="2"/>
  <c r="F59" i="2" s="1"/>
  <c r="K38" i="2"/>
  <c r="K60" i="2"/>
  <c r="K59" i="2" s="1"/>
  <c r="H38" i="2"/>
  <c r="H44" i="2" s="1"/>
  <c r="H60" i="2"/>
  <c r="H59" i="2" s="1"/>
  <c r="J38" i="2"/>
  <c r="J25" i="2" s="1"/>
  <c r="J60" i="2"/>
  <c r="J59" i="2" s="1"/>
  <c r="G38" i="2"/>
  <c r="G25" i="2" s="1"/>
  <c r="G60" i="2"/>
  <c r="G59" i="2" s="1"/>
  <c r="E9" i="4"/>
  <c r="E11" i="4" s="1"/>
  <c r="J51" i="2"/>
  <c r="I51" i="2"/>
  <c r="H51" i="2"/>
  <c r="H56" i="2"/>
  <c r="H57" i="2" s="1"/>
  <c r="J44" i="2"/>
  <c r="E38" i="2"/>
  <c r="G9" i="4"/>
  <c r="G11" i="4" s="1"/>
  <c r="I9" i="4"/>
  <c r="I11" i="4" s="1"/>
  <c r="J9" i="4"/>
  <c r="J11" i="4" s="1"/>
  <c r="D9" i="4"/>
  <c r="D11" i="4" s="1"/>
  <c r="F9" i="4"/>
  <c r="F11" i="4" s="1"/>
  <c r="K9" i="4"/>
  <c r="H9" i="4"/>
  <c r="H11" i="4" s="1"/>
  <c r="D19" i="1"/>
  <c r="K19" i="1"/>
  <c r="H19" i="1"/>
  <c r="G19" i="1"/>
  <c r="F19" i="1"/>
  <c r="I19" i="1"/>
  <c r="C19" i="1"/>
  <c r="J19" i="1"/>
  <c r="E19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D44" i="2" l="1"/>
  <c r="L2" i="4"/>
  <c r="I25" i="2"/>
  <c r="K47" i="2"/>
  <c r="K11" i="4"/>
  <c r="K44" i="2"/>
  <c r="J56" i="2"/>
  <c r="J57" i="2" s="1"/>
  <c r="C25" i="2"/>
  <c r="H25" i="2"/>
  <c r="I56" i="2"/>
  <c r="I57" i="2" s="1"/>
  <c r="F25" i="2"/>
  <c r="F44" i="2"/>
  <c r="G44" i="2"/>
  <c r="K25" i="2"/>
  <c r="E25" i="2"/>
  <c r="E44" i="2"/>
  <c r="B7" i="4"/>
  <c r="B6" i="4"/>
  <c r="B5" i="4"/>
  <c r="B4" i="4"/>
  <c r="B3" i="4"/>
  <c r="K22" i="2"/>
  <c r="K21" i="2" s="1"/>
  <c r="J22" i="2"/>
  <c r="J21" i="2" s="1"/>
  <c r="I22" i="2"/>
  <c r="I21" i="2" s="1"/>
  <c r="H22" i="2"/>
  <c r="H21" i="2" s="1"/>
  <c r="G22" i="2"/>
  <c r="G21" i="2" s="1"/>
  <c r="F22" i="2"/>
  <c r="F21" i="2" s="1"/>
  <c r="E22" i="2"/>
  <c r="E21" i="2" s="1"/>
  <c r="D22" i="2"/>
  <c r="D21" i="2" s="1"/>
  <c r="C22" i="2"/>
  <c r="C21" i="2" s="1"/>
  <c r="B18" i="2"/>
  <c r="B13" i="2"/>
  <c r="B12" i="2"/>
  <c r="B11" i="2"/>
  <c r="B10" i="2"/>
  <c r="B8" i="2"/>
  <c r="B7" i="2"/>
  <c r="B6" i="2"/>
  <c r="B3" i="2"/>
  <c r="L2" i="2" s="1"/>
  <c r="J14" i="3"/>
  <c r="H14" i="3"/>
  <c r="F14" i="3"/>
  <c r="D14" i="3"/>
  <c r="B12" i="3"/>
  <c r="B11" i="3"/>
  <c r="B10" i="3"/>
  <c r="B9" i="3"/>
  <c r="B8" i="3"/>
  <c r="B7" i="3"/>
  <c r="B16" i="3" s="1"/>
  <c r="B4" i="3"/>
  <c r="B3" i="3"/>
  <c r="L15" i="1"/>
  <c r="B12" i="1"/>
  <c r="B11" i="1"/>
  <c r="B10" i="1"/>
  <c r="B9" i="1"/>
  <c r="B8" i="1"/>
  <c r="B20" i="2"/>
  <c r="B3" i="1"/>
  <c r="O2" i="1" s="1"/>
  <c r="B39" i="2" l="1"/>
  <c r="L39" i="2" s="1"/>
  <c r="L5" i="4"/>
  <c r="L29" i="2"/>
  <c r="L17" i="2"/>
  <c r="L14" i="2"/>
  <c r="L4" i="2"/>
  <c r="L5" i="2"/>
  <c r="L28" i="2"/>
  <c r="L46" i="2"/>
  <c r="O10" i="1"/>
  <c r="O6" i="1"/>
  <c r="O12" i="1"/>
  <c r="O4" i="1"/>
  <c r="O11" i="1"/>
  <c r="O9" i="1"/>
  <c r="O5" i="1"/>
  <c r="O8" i="1"/>
  <c r="O15" i="1"/>
  <c r="O7" i="1"/>
  <c r="O33" i="1"/>
  <c r="O31" i="1"/>
  <c r="L10" i="2"/>
  <c r="L6" i="2"/>
  <c r="L11" i="2"/>
  <c r="B30" i="1"/>
  <c r="O30" i="1" s="1"/>
  <c r="B13" i="4"/>
  <c r="B48" i="2"/>
  <c r="L7" i="2"/>
  <c r="L12" i="2"/>
  <c r="L7" i="4"/>
  <c r="K55" i="2"/>
  <c r="L18" i="2"/>
  <c r="B37" i="1"/>
  <c r="L6" i="4"/>
  <c r="L8" i="2"/>
  <c r="L13" i="2"/>
  <c r="M4" i="4"/>
  <c r="L4" i="4"/>
  <c r="B62" i="2"/>
  <c r="B63" i="2"/>
  <c r="B42" i="2"/>
  <c r="B45" i="2"/>
  <c r="L45" i="2" s="1"/>
  <c r="B32" i="2"/>
  <c r="L32" i="2" s="1"/>
  <c r="C36" i="2"/>
  <c r="C37" i="2" s="1"/>
  <c r="B26" i="2"/>
  <c r="L26" i="2" s="1"/>
  <c r="C10" i="4"/>
  <c r="L10" i="4" s="1"/>
  <c r="B18" i="3"/>
  <c r="B19" i="3"/>
  <c r="B17" i="3"/>
  <c r="B33" i="2"/>
  <c r="L33" i="2" s="1"/>
  <c r="B28" i="1"/>
  <c r="B29" i="1"/>
  <c r="B27" i="2"/>
  <c r="B22" i="2"/>
  <c r="B21" i="2" s="1"/>
  <c r="B13" i="1"/>
  <c r="O13" i="1" s="1"/>
  <c r="B24" i="2"/>
  <c r="L24" i="2" s="1"/>
  <c r="B16" i="2"/>
  <c r="L16" i="2" s="1"/>
  <c r="B14" i="3"/>
  <c r="E14" i="3"/>
  <c r="I14" i="3"/>
  <c r="C14" i="3"/>
  <c r="G14" i="3"/>
  <c r="K14" i="3"/>
  <c r="K23" i="1"/>
  <c r="G20" i="2"/>
  <c r="I20" i="2"/>
  <c r="K20" i="2"/>
  <c r="D20" i="2"/>
  <c r="F20" i="2"/>
  <c r="H20" i="2"/>
  <c r="J20" i="2"/>
  <c r="C20" i="2"/>
  <c r="E20" i="2"/>
  <c r="L12" i="1"/>
  <c r="K24" i="1"/>
  <c r="L11" i="1"/>
  <c r="L10" i="1"/>
  <c r="L9" i="1"/>
  <c r="L8" i="1"/>
  <c r="M8" i="1" s="1"/>
  <c r="L7" i="1"/>
  <c r="L6" i="1"/>
  <c r="L4" i="1"/>
  <c r="A1" i="3"/>
  <c r="A1" i="2"/>
  <c r="A1" i="4" s="1"/>
  <c r="H23" i="1"/>
  <c r="I24" i="1"/>
  <c r="I23" i="1"/>
  <c r="J24" i="1"/>
  <c r="J23" i="1"/>
  <c r="B19" i="1"/>
  <c r="B40" i="2" l="1"/>
  <c r="L40" i="2" s="1"/>
  <c r="B41" i="2"/>
  <c r="L41" i="2" s="1"/>
  <c r="K53" i="2"/>
  <c r="K54" i="2" s="1"/>
  <c r="L48" i="2"/>
  <c r="M13" i="4"/>
  <c r="M14" i="4" s="1"/>
  <c r="B14" i="4"/>
  <c r="L14" i="4" s="1"/>
  <c r="B43" i="2"/>
  <c r="L43" i="2" s="1"/>
  <c r="L42" i="2"/>
  <c r="B38" i="2"/>
  <c r="B60" i="2"/>
  <c r="B59" i="2" s="1"/>
  <c r="B47" i="2"/>
  <c r="L47" i="2" s="1"/>
  <c r="K51" i="2"/>
  <c r="C9" i="4"/>
  <c r="H24" i="1"/>
  <c r="L23" i="1"/>
  <c r="N23" i="1" s="1"/>
  <c r="N4" i="1" s="1"/>
  <c r="M9" i="1"/>
  <c r="L13" i="1"/>
  <c r="B14" i="1"/>
  <c r="L19" i="1"/>
  <c r="L24" i="1" s="1"/>
  <c r="M24" i="1" s="1"/>
  <c r="L5" i="1"/>
  <c r="N11" i="1"/>
  <c r="M11" i="1"/>
  <c r="N9" i="1"/>
  <c r="N8" i="1"/>
  <c r="B31" i="2" l="1"/>
  <c r="L31" i="2" s="1"/>
  <c r="O14" i="1"/>
  <c r="C11" i="4"/>
  <c r="L11" i="4" s="1"/>
  <c r="L9" i="4"/>
  <c r="B44" i="2"/>
  <c r="L44" i="2" s="1"/>
  <c r="L38" i="2"/>
  <c r="B25" i="2"/>
  <c r="L25" i="2" s="1"/>
  <c r="K56" i="2"/>
  <c r="K57" i="2" s="1"/>
  <c r="M23" i="1"/>
  <c r="M4" i="1" s="1"/>
  <c r="M6" i="1" s="1"/>
  <c r="N24" i="1"/>
  <c r="N6" i="1" s="1"/>
  <c r="L14" i="1"/>
  <c r="L25" i="1" l="1"/>
  <c r="H25" i="1"/>
  <c r="K25" i="1"/>
  <c r="J25" i="1"/>
  <c r="I25" i="1"/>
  <c r="M10" i="1"/>
  <c r="M12" i="1" s="1"/>
  <c r="M13" i="1" s="1"/>
  <c r="N10" i="1"/>
  <c r="N12" i="1" s="1"/>
  <c r="N13" i="1" s="1"/>
  <c r="N5" i="1"/>
  <c r="M5" i="1"/>
  <c r="M25" i="1" l="1"/>
  <c r="M14" i="1" s="1"/>
  <c r="M15" i="1" s="1"/>
  <c r="N25" i="1"/>
  <c r="N14" i="1" s="1"/>
  <c r="N15" i="1" s="1"/>
</calcChain>
</file>

<file path=xl/comments1.xml><?xml version="1.0" encoding="utf-8"?>
<comments xmlns="http://schemas.openxmlformats.org/spreadsheetml/2006/main">
  <authors>
    <author>Dhiraj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Provision in Dimuntion in value of Investment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Provision in Dimuntion in value of Investment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Provision for dimution in value of investment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Provision for dimution in value of investment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Provision for dimution in value of investment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Provision for dimution in value of investment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Provision for dimution in value of investment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Tax for earlier years written back Rs 800 Cr+</t>
        </r>
      </text>
    </comment>
  </commentList>
</comments>
</file>

<file path=xl/comments2.xml><?xml version="1.0" encoding="utf-8"?>
<comments xmlns="http://schemas.openxmlformats.org/spreadsheetml/2006/main">
  <authors>
    <author>Dhiraj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&gt;1.8 Danger
1.8-3 Medium
&lt;3 High </t>
        </r>
      </text>
    </comment>
  </commentList>
</comments>
</file>

<file path=xl/comments3.xml><?xml version="1.0" encoding="utf-8"?>
<comments xmlns="http://schemas.openxmlformats.org/spreadsheetml/2006/main">
  <authors>
    <author>Dhiraj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&gt;1.8 Danger
1.8-3 Medium
&lt;3 High </t>
        </r>
      </text>
    </comment>
  </commentList>
</comments>
</file>

<file path=xl/sharedStrings.xml><?xml version="1.0" encoding="utf-8"?>
<sst xmlns="http://schemas.openxmlformats.org/spreadsheetml/2006/main" count="551" uniqueCount="192">
  <si>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</si>
  <si>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</si>
  <si>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</si>
  <si>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</si>
  <si>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</si>
  <si>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</si>
  <si>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</si>
  <si>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</si>
  <si>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</si>
  <si>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</si>
  <si>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</si>
  <si>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</si>
  <si>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</si>
  <si>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</si>
  <si>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</si>
  <si>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</si>
  <si>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</si>
  <si>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</si>
  <si>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</si>
  <si>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</si>
  <si>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</si>
  <si>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</si>
  <si>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</si>
  <si>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</si>
  <si>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</si>
  <si>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</si>
  <si>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</si>
  <si>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</si>
  <si>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</si>
  <si>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</si>
  <si>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</si>
  <si>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</si>
  <si>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</si>
  <si>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</si>
  <si>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</si>
  <si>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</si>
  <si>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</si>
  <si>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</si>
  <si>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</si>
  <si>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</si>
  <si>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</si>
  <si>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</si>
  <si>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</si>
  <si>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</si>
  <si>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</si>
  <si>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</si>
  <si>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</si>
  <si>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</si>
  <si>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You can customize this workbook as you want.</t>
  </si>
  <si>
    <t>Please don't edit the "Data Sheet" only.</t>
  </si>
  <si>
    <t>After customization, you can upload this back on Screener.</t>
  </si>
  <si>
    <t>Upload on:</t>
  </si>
  <si>
    <t>Download your customized workbooks now onwards.</t>
  </si>
  <si>
    <t>Now whenever you will "Export to excel" from Screener, it will export your customized file.</t>
  </si>
  <si>
    <t>TESTING:</t>
  </si>
  <si>
    <t>This is a testing feature currently.</t>
  </si>
  <si>
    <t>You can report any formula errors on the worksheet at:</t>
  </si>
  <si>
    <t>How to use it?</t>
  </si>
  <si>
    <t>EPS</t>
  </si>
  <si>
    <t>Price</t>
  </si>
  <si>
    <t>Return on Equity</t>
  </si>
  <si>
    <t>Return on Capital Emp</t>
  </si>
  <si>
    <t>LATEST VERSION</t>
  </si>
  <si>
    <t>CURRENT VERSION</t>
  </si>
  <si>
    <t>GFL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</si>
  <si>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</si>
  <si>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</si>
  <si>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</si>
  <si>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</si>
  <si>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</si>
  <si>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</si>
  <si>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</si>
  <si>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</si>
  <si>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</si>
  <si>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</si>
  <si>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</si>
  <si>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</si>
  <si>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</si>
  <si>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</si>
  <si>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</si>
  <si>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</si>
  <si>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</si>
  <si>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</si>
  <si>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</si>
  <si>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</si>
  <si>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</si>
  <si>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</si>
  <si>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</si>
  <si>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</si>
  <si>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</si>
  <si>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</si>
  <si>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You can add custom formating, add conditional formating, add your own formulas… do ANYTHING.</t>
  </si>
  <si>
    <t xml:space="preserve"> screener.feedback@dalal-street.in</t>
  </si>
  <si>
    <t>EBITDA</t>
  </si>
  <si>
    <t>RoA</t>
  </si>
  <si>
    <t>Capex</t>
  </si>
  <si>
    <t>Change in WC</t>
  </si>
  <si>
    <t>Fixed Assets Turnover</t>
  </si>
  <si>
    <t>Interest coverage ratio</t>
  </si>
  <si>
    <t>Net worth</t>
  </si>
  <si>
    <t>Cashflow to Equityholder</t>
  </si>
  <si>
    <t>NPM</t>
  </si>
  <si>
    <t>NPM (Net of OI)</t>
  </si>
  <si>
    <t>Gross profit margin</t>
  </si>
  <si>
    <t xml:space="preserve">Gross profit </t>
  </si>
  <si>
    <t>Market cap</t>
  </si>
  <si>
    <t>Debt Equity</t>
  </si>
  <si>
    <t>Net profit (Adj)</t>
  </si>
  <si>
    <t>EBITDA %</t>
  </si>
  <si>
    <t>EBITDA Q</t>
  </si>
  <si>
    <t>EBITDA Q %</t>
  </si>
  <si>
    <t>Net profit %</t>
  </si>
  <si>
    <t>Power cost %</t>
  </si>
  <si>
    <t>Employee cost %</t>
  </si>
  <si>
    <t>Cash/Current asset</t>
  </si>
  <si>
    <t>Debtor sales</t>
  </si>
  <si>
    <t>Average debt</t>
  </si>
  <si>
    <t>Interest/Average debt</t>
  </si>
  <si>
    <t>Capital Employed</t>
  </si>
  <si>
    <t>PBIT</t>
  </si>
  <si>
    <t>Tax Rate</t>
  </si>
  <si>
    <t>Operational PBIT</t>
  </si>
  <si>
    <t>NOPAT</t>
  </si>
  <si>
    <t>Operating Capital (Mkt Cap+ Debt)</t>
  </si>
  <si>
    <t>ROIC (Market Value)</t>
  </si>
  <si>
    <t>ROIC (Book Value)</t>
  </si>
  <si>
    <t>Price Book Value</t>
  </si>
  <si>
    <t>Enterprise value</t>
  </si>
  <si>
    <t>EV/EBITDA</t>
  </si>
  <si>
    <t>Change in EV</t>
  </si>
  <si>
    <t>Change in Market cap</t>
  </si>
  <si>
    <t>Retained profit</t>
  </si>
  <si>
    <t>MC Change/Retained profit</t>
  </si>
  <si>
    <t>Incremental in PBIT</t>
  </si>
  <si>
    <t>Incremental in Cap Emp</t>
  </si>
  <si>
    <t>Incremental ROCE</t>
  </si>
  <si>
    <t>10 years</t>
  </si>
  <si>
    <t>5 years</t>
  </si>
  <si>
    <t>3 years</t>
  </si>
  <si>
    <t>1 years</t>
  </si>
  <si>
    <t>Cummulative Retained profit</t>
  </si>
  <si>
    <t>Z score</t>
  </si>
  <si>
    <t>Working capital/Total Assets</t>
  </si>
  <si>
    <t>Retained Earing/Total Assets</t>
  </si>
  <si>
    <t>EBIT/Total Assets</t>
  </si>
  <si>
    <t>Mkt cap/Total Liabilities</t>
  </si>
  <si>
    <t>Sales/Total Assets</t>
  </si>
  <si>
    <t>Inventory Days</t>
  </si>
  <si>
    <t>CAGR</t>
  </si>
  <si>
    <t>Year Fraction</t>
  </si>
  <si>
    <t>Net profit/Cashflow from operation</t>
  </si>
  <si>
    <t>Diviend per share</t>
  </si>
  <si>
    <t>x`</t>
  </si>
  <si>
    <t>Chloromethane</t>
  </si>
  <si>
    <t>HCFC 22</t>
  </si>
  <si>
    <t>Unit</t>
  </si>
  <si>
    <t>MT</t>
  </si>
  <si>
    <t>PTFE</t>
  </si>
  <si>
    <t>Sales Value</t>
  </si>
  <si>
    <t>Sales volume</t>
  </si>
  <si>
    <t>Refrigerants</t>
  </si>
  <si>
    <t>Employee</t>
  </si>
  <si>
    <t>Contract Worker</t>
  </si>
  <si>
    <t>Caustic Soda</t>
  </si>
  <si>
    <t>Other</t>
  </si>
  <si>
    <t>Rs Cr</t>
  </si>
  <si>
    <t>Carbon Credit Sales</t>
  </si>
  <si>
    <t>n.a.</t>
  </si>
  <si>
    <t>with HCFC 22</t>
  </si>
  <si>
    <t>Adjusted net profit (Non Op+Excep)</t>
  </si>
  <si>
    <t>Exceptional item income/(Expense)</t>
  </si>
  <si>
    <t>Other income</t>
  </si>
  <si>
    <t>Not included above Power business sales, resulting in loss of Rs 356.68 being amount spent by the company on Wind mill</t>
  </si>
  <si>
    <t xml:space="preserve">IPO of Inox Wind </t>
  </si>
  <si>
    <t>Inox Wind OFS</t>
  </si>
  <si>
    <t>FV</t>
  </si>
  <si>
    <t>No of shares</t>
  </si>
  <si>
    <t>Value</t>
  </si>
  <si>
    <t>Industrial Oxygen Company Ltd</t>
  </si>
  <si>
    <t>Inox Leasing and Finance Ltd</t>
  </si>
  <si>
    <t>No</t>
  </si>
  <si>
    <t>Rs/Share</t>
  </si>
  <si>
    <t>Sale of Ind Oxy Shares to Prodair Corporation</t>
  </si>
  <si>
    <t>New name of company Inox Air Products Limited</t>
  </si>
  <si>
    <t>Profit from Sale of Long term investment</t>
  </si>
  <si>
    <t>Rs Lakhs</t>
  </si>
  <si>
    <t>Sold during FY03</t>
  </si>
  <si>
    <t>Provision in Dimuntion in value of Investment</t>
  </si>
  <si>
    <t>Tax for earlier years written back Rs 800 Cr+</t>
  </si>
  <si>
    <t>Year end</t>
  </si>
  <si>
    <t>Carbon credit</t>
  </si>
  <si>
    <t>Description of Exceptional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</si>
</sst>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0.0%"/>
    <numFmt numFmtId="167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9" fontId="11" fillId="0" borderId="0"/>
  </cellStyleXfs>
  <cellXfs count="77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9" fillId="0" borderId="0" xfId="1" applyNumberFormat="1" applyFont="1" applyFill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6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/>
    <xf numFmtId="0" fontId="0" fillId="0" borderId="0" xfId="0" applyFont="1" applyFill="1" applyBorder="1"/>
    <xf numFmtId="0" fontId="9" fillId="0" borderId="0" xfId="0" applyFont="1" applyFill="1" applyBorder="1"/>
    <xf numFmtId="164" fontId="0" fillId="0" borderId="0" xfId="1" applyNumberFormat="1" applyFont="1" applyBorder="1"/>
    <xf numFmtId="0" fontId="0" fillId="0" borderId="0" xfId="0" applyAlignment="1">
      <alignment horizontal="right" vertical="center"/>
    </xf>
    <xf numFmtId="0" fontId="1" fillId="0" borderId="0" xfId="0" applyFont="1"/>
    <xf numFmtId="43" fontId="0" fillId="0" borderId="0" xfId="0" applyNumberFormat="1" applyFont="1" applyBorder="1"/>
    <xf numFmtId="43" fontId="0" fillId="0" borderId="0" xfId="0" applyNumberFormat="1" applyFill="1" applyBorder="1"/>
    <xf numFmtId="43" fontId="0" fillId="0" borderId="0" xfId="0" applyNumberFormat="1" applyBorder="1"/>
    <xf numFmtId="9" fontId="0" fillId="0" borderId="0" xfId="0" applyNumberFormat="1" applyFont="1" applyBorder="1"/>
    <xf numFmtId="9" fontId="0" fillId="0" borderId="0" xfId="0" applyNumberFormat="1" applyBorder="1"/>
    <xf numFmtId="166" fontId="0" fillId="0" borderId="0" xfId="0" applyNumberFormat="1" applyBorder="1"/>
    <xf numFmtId="4" fontId="0" fillId="6" borderId="0" xfId="0" applyNumberFormat="1" applyFill="1" applyBorder="1"/>
    <xf numFmtId="9" fontId="0" fillId="6" borderId="0" xfId="0" applyNumberFormat="1" applyFill="1" applyBorder="1"/>
    <xf numFmtId="4" fontId="0" fillId="0" borderId="0" xfId="0" applyNumberFormat="1" applyBorder="1"/>
    <xf numFmtId="166" fontId="1" fillId="0" borderId="0" xfId="0" applyNumberFormat="1" applyFont="1" applyBorder="1"/>
    <xf numFmtId="166" fontId="0" fillId="0" borderId="0" xfId="6" applyNumberFormat="1" applyFont="1" applyBorder="1"/>
    <xf numFmtId="166" fontId="1" fillId="0" borderId="0" xfId="6" applyNumberFormat="1" applyFont="1" applyBorder="1"/>
    <xf numFmtId="166" fontId="0" fillId="0" borderId="0" xfId="0" applyNumberFormat="1" applyFont="1" applyBorder="1"/>
    <xf numFmtId="9" fontId="1" fillId="7" borderId="0" xfId="0" applyNumberFormat="1" applyFont="1" applyFill="1" applyBorder="1"/>
    <xf numFmtId="4" fontId="0" fillId="7" borderId="0" xfId="0" applyNumberFormat="1" applyFill="1" applyBorder="1"/>
    <xf numFmtId="4" fontId="1" fillId="7" borderId="0" xfId="0" applyNumberFormat="1" applyFont="1" applyFill="1" applyBorder="1"/>
    <xf numFmtId="9" fontId="0" fillId="7" borderId="0" xfId="0" applyNumberFormat="1" applyFont="1" applyFill="1" applyBorder="1"/>
    <xf numFmtId="43" fontId="1" fillId="0" borderId="0" xfId="0" applyNumberFormat="1" applyFont="1" applyBorder="1"/>
    <xf numFmtId="9" fontId="0" fillId="8" borderId="0" xfId="0" applyNumberFormat="1" applyFont="1" applyFill="1" applyBorder="1"/>
    <xf numFmtId="4" fontId="0" fillId="0" borderId="0" xfId="0" applyNumberFormat="1" applyFont="1" applyBorder="1"/>
    <xf numFmtId="167" fontId="0" fillId="0" borderId="0" xfId="1" applyNumberFormat="1" applyFont="1"/>
    <xf numFmtId="14" fontId="1" fillId="0" borderId="0" xfId="0" applyNumberFormat="1" applyFont="1"/>
    <xf numFmtId="4" fontId="0" fillId="0" borderId="0" xfId="0" applyNumberFormat="1"/>
    <xf numFmtId="43" fontId="0" fillId="0" borderId="0" xfId="1" applyFont="1"/>
    <xf numFmtId="43" fontId="0" fillId="0" borderId="0" xfId="1" applyNumberFormat="1" applyFont="1"/>
    <xf numFmtId="43" fontId="1" fillId="0" borderId="0" xfId="1" applyFont="1"/>
    <xf numFmtId="167" fontId="14" fillId="0" borderId="0" xfId="1" applyNumberFormat="1" applyFont="1"/>
    <xf numFmtId="167" fontId="3" fillId="0" borderId="0" xfId="1" applyNumberFormat="1" applyFont="1"/>
    <xf numFmtId="43" fontId="3" fillId="0" borderId="0" xfId="1" applyNumberFormat="1" applyFont="1"/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15" fontId="0" fillId="0" borderId="1" xfId="0" applyNumberFormat="1" applyBorder="1"/>
    <xf numFmtId="15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9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Normal 2" xfId="7"/>
    <cellStyle name="Percent" xfId="6" builtinId="5"/>
    <cellStyle name="Percent 2" xfId="8"/>
  </cellStyles>
  <dxfs count="72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  <color rgb="FFC2E8C7"/>
      <color rgb="FFB1C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Sales</c:v>
          </c:tx>
          <c:spPr>
            <a:solidFill>
              <a:srgbClr val="92D050"/>
            </a:solidFill>
          </c:spPr>
          <c:invertIfNegative val="1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 Cons'!$B$16:$K$16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Cons'!$B$17:$K$17</c:f>
              <c:numCache>
                <c:formatCode>General</c:formatCode>
                <c:ptCount val="10"/>
                <c:pt idx="0">
                  <c:v>2815.96</c:v>
                </c:pt>
                <c:pt idx="1">
                  <c:v>3146.94</c:v>
                </c:pt>
                <c:pt idx="2">
                  <c:v>3431.3</c:v>
                </c:pt>
                <c:pt idx="3">
                  <c:v>5310.31</c:v>
                </c:pt>
                <c:pt idx="4">
                  <c:v>6971.51</c:v>
                </c:pt>
                <c:pt idx="5">
                  <c:v>6288.4</c:v>
                </c:pt>
                <c:pt idx="6">
                  <c:v>3892.56</c:v>
                </c:pt>
                <c:pt idx="7">
                  <c:v>2968.84</c:v>
                </c:pt>
                <c:pt idx="8">
                  <c:v>2703.64</c:v>
                </c:pt>
                <c:pt idx="9">
                  <c:v>106.98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274794624"/>
        <c:axId val="274795016"/>
      </c:barChart>
      <c:catAx>
        <c:axId val="274794624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74795016"/>
        <c:crosses val="autoZero"/>
        <c:auto val="0"/>
        <c:lblAlgn val="ctr"/>
        <c:lblOffset val="100"/>
        <c:noMultiLvlLbl val="0"/>
      </c:catAx>
      <c:valAx>
        <c:axId val="27479501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crossAx val="27479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187743642148273E-3"/>
          <c:y val="1.1324365704286965E-2"/>
          <c:w val="0.19546184870643013"/>
          <c:h val="0.13699176807444524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00"/>
              <a:t>Fixed Asset Turn</a:t>
            </a:r>
          </a:p>
        </c:rich>
      </c:tx>
      <c:layout>
        <c:manualLayout>
          <c:xMode val="edge"/>
          <c:yMode val="edge"/>
          <c:x val="5.296996901299489E-3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EF5FA">
                <a:lumMod val="90000"/>
              </a:srgb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Cons'!$B$26:$K$26</c:f>
              <c:numCache>
                <c:formatCode>_(* #,##0.00_);_(* \(#,##0.00\);_(* "-"??_);_(@_)</c:formatCode>
                <c:ptCount val="10"/>
                <c:pt idx="0">
                  <c:v>1.0443212371822213</c:v>
                </c:pt>
                <c:pt idx="1">
                  <c:v>0.87242937539851961</c:v>
                </c:pt>
                <c:pt idx="2">
                  <c:v>0.9202699150883179</c:v>
                </c:pt>
                <c:pt idx="3">
                  <c:v>1.2551698871358508</c:v>
                </c:pt>
                <c:pt idx="4">
                  <c:v>1.5154303476909365</c:v>
                </c:pt>
                <c:pt idx="5">
                  <c:v>1.794291616614403</c:v>
                </c:pt>
                <c:pt idx="6">
                  <c:v>1.0207771160639127</c:v>
                </c:pt>
                <c:pt idx="7">
                  <c:v>1.446563434908446</c:v>
                </c:pt>
                <c:pt idx="8">
                  <c:v>0.59839668536167534</c:v>
                </c:pt>
                <c:pt idx="9">
                  <c:v>3.4694678398038574E-2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0126616"/>
        <c:axId val="400127008"/>
      </c:barChart>
      <c:catAx>
        <c:axId val="400126616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crossAx val="400127008"/>
        <c:crosses val="autoZero"/>
        <c:auto val="0"/>
        <c:lblAlgn val="ctr"/>
        <c:lblOffset val="100"/>
        <c:noMultiLvlLbl val="0"/>
      </c:catAx>
      <c:valAx>
        <c:axId val="4001270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0126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CFI</a:t>
            </a:r>
          </a:p>
        </c:rich>
      </c:tx>
      <c:layout>
        <c:manualLayout>
          <c:xMode val="edge"/>
          <c:yMode val="edge"/>
          <c:x val="4.9813948314956428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2.745844269466317E-2"/>
          <c:w val="0.9639871697662179"/>
          <c:h val="0.8488779527559055"/>
        </c:manualLayout>
      </c:layout>
      <c:barChart>
        <c:barDir val="col"/>
        <c:grouping val="clustered"/>
        <c:varyColors val="0"/>
        <c:ser>
          <c:idx val="0"/>
          <c:order val="0"/>
          <c:tx>
            <c:v>CFI</c:v>
          </c:tx>
          <c:spPr>
            <a:solidFill>
              <a:srgbClr val="92D050"/>
            </a:solidFill>
          </c:spPr>
          <c:invertIfNegative val="1"/>
          <c:dLbls>
            <c:numFmt formatCode="0_);\(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 Cons'!$B$81:$K$81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Cons'!$B$83:$K$83</c:f>
              <c:numCache>
                <c:formatCode>General</c:formatCode>
                <c:ptCount val="10"/>
                <c:pt idx="0">
                  <c:v>-928.98</c:v>
                </c:pt>
                <c:pt idx="1">
                  <c:v>-889.79</c:v>
                </c:pt>
                <c:pt idx="2">
                  <c:v>-471.17</c:v>
                </c:pt>
                <c:pt idx="3">
                  <c:v>248.34</c:v>
                </c:pt>
                <c:pt idx="4">
                  <c:v>-1469.94</c:v>
                </c:pt>
                <c:pt idx="5">
                  <c:v>-674.44</c:v>
                </c:pt>
                <c:pt idx="6">
                  <c:v>589.29</c:v>
                </c:pt>
                <c:pt idx="7">
                  <c:v>-955.73</c:v>
                </c:pt>
                <c:pt idx="8">
                  <c:v>-608.24</c:v>
                </c:pt>
                <c:pt idx="9">
                  <c:v>73.8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0127792"/>
        <c:axId val="400128184"/>
      </c:barChart>
      <c:catAx>
        <c:axId val="400127792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0128184"/>
        <c:crosses val="autoZero"/>
        <c:auto val="0"/>
        <c:lblAlgn val="ctr"/>
        <c:lblOffset val="100"/>
        <c:noMultiLvlLbl val="0"/>
      </c:catAx>
      <c:valAx>
        <c:axId val="40012818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crossAx val="40012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93713199912510936"/>
        </c:manualLayout>
      </c:layout>
      <c:barChart>
        <c:barDir val="col"/>
        <c:grouping val="clustered"/>
        <c:varyColors val="0"/>
        <c:ser>
          <c:idx val="0"/>
          <c:order val="0"/>
          <c:tx>
            <c:v>ROE</c:v>
          </c:tx>
          <c:spPr>
            <a:solidFill>
              <a:srgbClr val="B5E9F4"/>
            </a:solidFill>
          </c:spPr>
          <c:invertIfNegative val="1"/>
          <c:dLbls>
            <c:numFmt formatCode="0%;\(0%\)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Cons'!$B$24:$K$24</c:f>
              <c:numCache>
                <c:formatCode>0%</c:formatCode>
                <c:ptCount val="10"/>
                <c:pt idx="0">
                  <c:v>0.28698461051694391</c:v>
                </c:pt>
                <c:pt idx="1">
                  <c:v>0.1719945428704375</c:v>
                </c:pt>
                <c:pt idx="2">
                  <c:v>5.6445595666337077E-2</c:v>
                </c:pt>
                <c:pt idx="3">
                  <c:v>0.13818986319612017</c:v>
                </c:pt>
                <c:pt idx="4">
                  <c:v>8.9662496996804814E-2</c:v>
                </c:pt>
                <c:pt idx="5">
                  <c:v>1.9503083045243081E-2</c:v>
                </c:pt>
                <c:pt idx="6">
                  <c:v>5.3182428463539475E-2</c:v>
                </c:pt>
                <c:pt idx="7">
                  <c:v>0.21832476413081853</c:v>
                </c:pt>
                <c:pt idx="8">
                  <c:v>-5.6629060833325688E-2</c:v>
                </c:pt>
                <c:pt idx="9">
                  <c:v>-0.62191685230414118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ser>
          <c:idx val="1"/>
          <c:order val="1"/>
          <c:tx>
            <c:v>ROCE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Cons'!$B$25:$K$25</c:f>
              <c:numCache>
                <c:formatCode>0%</c:formatCode>
                <c:ptCount val="10"/>
                <c:pt idx="0">
                  <c:v>0.33118754746542128</c:v>
                </c:pt>
                <c:pt idx="1">
                  <c:v>0.19849454731277374</c:v>
                </c:pt>
                <c:pt idx="2">
                  <c:v>9.9196142558778302E-2</c:v>
                </c:pt>
                <c:pt idx="3">
                  <c:v>0.16742383923361528</c:v>
                </c:pt>
                <c:pt idx="4">
                  <c:v>0.15772645593821724</c:v>
                </c:pt>
                <c:pt idx="5">
                  <c:v>0.10691726823708209</c:v>
                </c:pt>
                <c:pt idx="6">
                  <c:v>0.10087343104734078</c:v>
                </c:pt>
                <c:pt idx="7">
                  <c:v>0.24134961484888925</c:v>
                </c:pt>
                <c:pt idx="8">
                  <c:v>2.94924602558858E-2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400128968"/>
        <c:axId val="400129360"/>
      </c:barChart>
      <c:catAx>
        <c:axId val="400128968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0129360"/>
        <c:crosses val="autoZero"/>
        <c:auto val="0"/>
        <c:lblAlgn val="ctr"/>
        <c:lblOffset val="100"/>
        <c:noMultiLvlLbl val="0"/>
      </c:catAx>
      <c:valAx>
        <c:axId val="40012936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0128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2.0583442694663168E-2"/>
          <c:w val="0.57129482023001477"/>
          <c:h val="9.8373797025371815E-2"/>
        </c:manualLayout>
      </c:layout>
      <c:overlay val="0"/>
      <c:spPr>
        <a:noFill/>
      </c:spPr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 w="3175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93221128608923898"/>
        </c:manualLayout>
      </c:layout>
      <c:barChart>
        <c:barDir val="col"/>
        <c:grouping val="clustered"/>
        <c:varyColors val="0"/>
        <c:ser>
          <c:idx val="9"/>
          <c:order val="0"/>
          <c:tx>
            <c:v>Operating Profit</c:v>
          </c:tx>
          <c:spPr>
            <a:solidFill>
              <a:srgbClr val="B1CFC4"/>
            </a:solidFill>
          </c:spPr>
          <c:invertIfNegative val="1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Cons'!$B$6:$K$6</c:f>
              <c:numCache>
                <c:formatCode>_(* #,##0.00_);_(* \(#,##0.00\);_(* "-"??_);_(@_)</c:formatCode>
                <c:ptCount val="10"/>
                <c:pt idx="0">
                  <c:v>1209.8800000000003</c:v>
                </c:pt>
                <c:pt idx="1">
                  <c:v>1017.3299999999995</c:v>
                </c:pt>
                <c:pt idx="2">
                  <c:v>598.15999999999985</c:v>
                </c:pt>
                <c:pt idx="3">
                  <c:v>1010.7600000000002</c:v>
                </c:pt>
                <c:pt idx="4">
                  <c:v>1303.1200000000008</c:v>
                </c:pt>
                <c:pt idx="5">
                  <c:v>1153.9199999999992</c:v>
                </c:pt>
                <c:pt idx="6">
                  <c:v>725.06</c:v>
                </c:pt>
                <c:pt idx="7">
                  <c:v>461.59999999999991</c:v>
                </c:pt>
                <c:pt idx="8">
                  <c:v>476.86999999999989</c:v>
                </c:pt>
                <c:pt idx="9">
                  <c:v>-46.55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0130144"/>
        <c:axId val="400130536"/>
      </c:barChart>
      <c:catAx>
        <c:axId val="400130144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0130536"/>
        <c:crosses val="autoZero"/>
        <c:auto val="0"/>
        <c:lblAlgn val="ctr"/>
        <c:lblOffset val="100"/>
        <c:noMultiLvlLbl val="0"/>
      </c:catAx>
      <c:valAx>
        <c:axId val="40013053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013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83410229524666"/>
          <c:y val="4.3799212598425209E-3"/>
          <c:w val="0.48740324067613966"/>
          <c:h val="0.13699176807444524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Operating Margin</c:v>
          </c:tx>
          <c:spPr>
            <a:solidFill>
              <a:srgbClr val="B1CFC4"/>
            </a:solidFill>
          </c:spPr>
          <c:invertIfNegative val="1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Cons'!$B$19:$K$19</c:f>
              <c:numCache>
                <c:formatCode>0.00%</c:formatCode>
                <c:ptCount val="10"/>
                <c:pt idx="0">
                  <c:v>0.42965098936064444</c:v>
                </c:pt>
                <c:pt idx="1">
                  <c:v>0.32327594425060519</c:v>
                </c:pt>
                <c:pt idx="2">
                  <c:v>0.17432460000582864</c:v>
                </c:pt>
                <c:pt idx="3">
                  <c:v>0.19033917040624751</c:v>
                </c:pt>
                <c:pt idx="4">
                  <c:v>0.18692076752382206</c:v>
                </c:pt>
                <c:pt idx="5">
                  <c:v>0.18349977736785181</c:v>
                </c:pt>
                <c:pt idx="6">
                  <c:v>0.18626816285426556</c:v>
                </c:pt>
                <c:pt idx="7">
                  <c:v>0.15548160224195304</c:v>
                </c:pt>
                <c:pt idx="8">
                  <c:v>0.17638073116243283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0131320"/>
        <c:axId val="400131712"/>
      </c:barChart>
      <c:catAx>
        <c:axId val="400131320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0131712"/>
        <c:crosses val="autoZero"/>
        <c:auto val="0"/>
        <c:lblAlgn val="ctr"/>
        <c:lblOffset val="100"/>
        <c:noMultiLvlLbl val="0"/>
      </c:catAx>
      <c:valAx>
        <c:axId val="40013171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0%" sourceLinked="1"/>
        <c:majorTickMark val="none"/>
        <c:minorTickMark val="none"/>
        <c:tickLblPos val="none"/>
        <c:crossAx val="400131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367974716488035"/>
          <c:y val="4.3799212598425209E-3"/>
          <c:w val="0.64712155930860848"/>
          <c:h val="0.13699176807444524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9"/>
          <c:order val="0"/>
          <c:tx>
            <c:v>Q - Operating Profit</c:v>
          </c:tx>
          <c:spPr>
            <a:solidFill>
              <a:srgbClr val="B1CFC4"/>
            </a:solidFill>
          </c:spPr>
          <c:invertIfNegative val="1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'Quarters Cons'!$B$3:$K$3</c:f>
              <c:numCache>
                <c:formatCode>[$-409]mmm\-yy;@</c:formatCode>
                <c:ptCount val="10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</c:numCache>
            </c:numRef>
          </c:cat>
          <c:val>
            <c:numRef>
              <c:f>'Quarters Cons'!$B$6:$K$6</c:f>
              <c:numCache>
                <c:formatCode>_(* #,##0.00_);_(* \(#,##0.00\);_(* "-"??_);_(@_)</c:formatCode>
                <c:ptCount val="10"/>
                <c:pt idx="0">
                  <c:v>144.34</c:v>
                </c:pt>
                <c:pt idx="1">
                  <c:v>78.040000000000006</c:v>
                </c:pt>
                <c:pt idx="2">
                  <c:v>192.24</c:v>
                </c:pt>
                <c:pt idx="3">
                  <c:v>165.62</c:v>
                </c:pt>
                <c:pt idx="4">
                  <c:v>141.21</c:v>
                </c:pt>
                <c:pt idx="5">
                  <c:v>-65.430000000000007</c:v>
                </c:pt>
                <c:pt idx="6">
                  <c:v>8.2200000000000006</c:v>
                </c:pt>
                <c:pt idx="7">
                  <c:v>39.770000000000003</c:v>
                </c:pt>
                <c:pt idx="8">
                  <c:v>-11.01</c:v>
                </c:pt>
                <c:pt idx="9">
                  <c:v>-13.47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0132496"/>
        <c:axId val="400132888"/>
      </c:barChart>
      <c:catAx>
        <c:axId val="400132496"/>
        <c:scaling>
          <c:orientation val="minMax"/>
        </c:scaling>
        <c:delete val="0"/>
        <c:axPos val="b"/>
        <c:numFmt formatCode="[$-409]mmmmm\-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0132888"/>
        <c:crosses val="autoZero"/>
        <c:auto val="0"/>
        <c:lblAlgn val="ctr"/>
        <c:lblOffset val="100"/>
        <c:noMultiLvlLbl val="0"/>
      </c:catAx>
      <c:valAx>
        <c:axId val="40013288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013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8170094821771E-2"/>
          <c:y val="3.9101979003010767E-2"/>
          <c:w val="0.56278698746854439"/>
          <c:h val="0.10458442694663167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Inventory Days</a:t>
            </a:r>
          </a:p>
        </c:rich>
      </c:tx>
      <c:layout>
        <c:manualLayout>
          <c:xMode val="edge"/>
          <c:yMode val="edge"/>
          <c:x val="5.7388397990246101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74B78">
                <a:lumMod val="40000"/>
                <a:lumOff val="6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Cons'!$B$21:$K$21</c:f>
              <c:numCache>
                <c:formatCode>_(* #,##0.00_);_(* \(#,##0.00\);_(* "-"??_);_(@_)</c:formatCode>
                <c:ptCount val="10"/>
                <c:pt idx="0">
                  <c:v>69</c:v>
                </c:pt>
                <c:pt idx="1">
                  <c:v>60</c:v>
                </c:pt>
                <c:pt idx="2">
                  <c:v>67</c:v>
                </c:pt>
                <c:pt idx="3">
                  <c:v>60</c:v>
                </c:pt>
                <c:pt idx="4">
                  <c:v>49</c:v>
                </c:pt>
                <c:pt idx="5">
                  <c:v>61</c:v>
                </c:pt>
                <c:pt idx="6">
                  <c:v>123</c:v>
                </c:pt>
                <c:pt idx="7">
                  <c:v>118</c:v>
                </c:pt>
                <c:pt idx="8">
                  <c:v>163</c:v>
                </c:pt>
                <c:pt idx="9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4033416"/>
        <c:axId val="404033808"/>
      </c:barChart>
      <c:catAx>
        <c:axId val="404033416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4033808"/>
        <c:crosses val="autoZero"/>
        <c:auto val="0"/>
        <c:lblAlgn val="ctr"/>
        <c:lblOffset val="100"/>
        <c:noMultiLvlLbl val="0"/>
      </c:catAx>
      <c:valAx>
        <c:axId val="4040338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4033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Recv Days</a:t>
            </a:r>
          </a:p>
        </c:rich>
      </c:tx>
      <c:layout>
        <c:manualLayout>
          <c:xMode val="edge"/>
          <c:yMode val="edge"/>
          <c:x val="1.511170948505345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Debtor Days</c:v>
          </c:tx>
          <c:spPr>
            <a:solidFill>
              <a:srgbClr val="EB641B">
                <a:lumMod val="40000"/>
                <a:lumOff val="6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Cons'!$B$20:$K$20</c:f>
              <c:numCache>
                <c:formatCode>_(* #,##0.00_);_(* \(#,##0.00\);_(* "-"??_);_(@_)</c:formatCode>
                <c:ptCount val="10"/>
                <c:pt idx="0">
                  <c:v>37.626901660534955</c:v>
                </c:pt>
                <c:pt idx="1">
                  <c:v>103.07532078781293</c:v>
                </c:pt>
                <c:pt idx="2">
                  <c:v>101.02095415731647</c:v>
                </c:pt>
                <c:pt idx="3">
                  <c:v>128.08758810690901</c:v>
                </c:pt>
                <c:pt idx="4">
                  <c:v>150.71444349932798</c:v>
                </c:pt>
                <c:pt idx="5">
                  <c:v>161.05239011513265</c:v>
                </c:pt>
                <c:pt idx="6">
                  <c:v>182.25713926053805</c:v>
                </c:pt>
                <c:pt idx="7">
                  <c:v>190.43970035434717</c:v>
                </c:pt>
                <c:pt idx="8">
                  <c:v>186.52579485434455</c:v>
                </c:pt>
                <c:pt idx="9">
                  <c:v>60.662740699196114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4034592"/>
        <c:axId val="404034984"/>
      </c:barChart>
      <c:catAx>
        <c:axId val="404034592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4034984"/>
        <c:crosses val="autoZero"/>
        <c:auto val="0"/>
        <c:lblAlgn val="ctr"/>
        <c:lblOffset val="100"/>
        <c:noMultiLvlLbl val="0"/>
      </c:catAx>
      <c:valAx>
        <c:axId val="40403498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403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CFF</a:t>
            </a:r>
          </a:p>
        </c:rich>
      </c:tx>
      <c:layout>
        <c:manualLayout>
          <c:xMode val="edge"/>
          <c:yMode val="edge"/>
          <c:x val="6.6054660231340946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EF5FA">
                <a:lumMod val="90000"/>
              </a:srgbClr>
            </a:solidFill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'Cash Flow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'Cash Flow Cons'!$B$6:$K$6</c:f>
              <c:numCache>
                <c:formatCode>_(* #,##0.00_);_(* \(#,##0.00\);_(* "-"??_);_(@_)</c:formatCode>
                <c:ptCount val="10"/>
                <c:pt idx="0">
                  <c:v>601.37</c:v>
                </c:pt>
                <c:pt idx="1">
                  <c:v>372.42</c:v>
                </c:pt>
                <c:pt idx="2">
                  <c:v>-93.46</c:v>
                </c:pt>
                <c:pt idx="3">
                  <c:v>658.7</c:v>
                </c:pt>
                <c:pt idx="4">
                  <c:v>135.52000000000001</c:v>
                </c:pt>
                <c:pt idx="5">
                  <c:v>53.2</c:v>
                </c:pt>
                <c:pt idx="6">
                  <c:v>-1668.06</c:v>
                </c:pt>
                <c:pt idx="7">
                  <c:v>-79.39</c:v>
                </c:pt>
                <c:pt idx="8">
                  <c:v>-629.23</c:v>
                </c:pt>
                <c:pt idx="9">
                  <c:v>56.01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4035768"/>
        <c:axId val="404036160"/>
      </c:barChart>
      <c:catAx>
        <c:axId val="404035768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4036160"/>
        <c:crosses val="autoZero"/>
        <c:auto val="0"/>
        <c:lblAlgn val="ctr"/>
        <c:lblOffset val="100"/>
        <c:noMultiLvlLbl val="0"/>
      </c:catAx>
      <c:valAx>
        <c:axId val="40403616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4035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CFF Equity</a:t>
            </a:r>
          </a:p>
        </c:rich>
      </c:tx>
      <c:layout>
        <c:manualLayout>
          <c:xMode val="edge"/>
          <c:yMode val="edge"/>
          <c:x val="1.2522748938382879E-2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326955344343E-2"/>
          <c:y val="4.134733158355205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CFF Equity</c:v>
          </c:tx>
          <c:spPr>
            <a:solidFill>
              <a:srgbClr val="00B0F0"/>
            </a:solidFill>
          </c:spPr>
          <c:invertIfNegative val="1"/>
          <c:dLbls>
            <c:numFmt formatCode="#,##0.0_);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'Cash Flow Cons'!$C$3:$K$3</c:f>
              <c:numCache>
                <c:formatCode>[$-409]mmm\-yy;@</c:formatCode>
                <c:ptCount val="9"/>
                <c:pt idx="0">
                  <c:v>41364</c:v>
                </c:pt>
                <c:pt idx="1">
                  <c:v>41729</c:v>
                </c:pt>
                <c:pt idx="2">
                  <c:v>42094</c:v>
                </c:pt>
                <c:pt idx="3">
                  <c:v>42460</c:v>
                </c:pt>
                <c:pt idx="4">
                  <c:v>42825</c:v>
                </c:pt>
                <c:pt idx="5">
                  <c:v>43190</c:v>
                </c:pt>
                <c:pt idx="6">
                  <c:v>43555</c:v>
                </c:pt>
                <c:pt idx="7">
                  <c:v>43921</c:v>
                </c:pt>
                <c:pt idx="8">
                  <c:v>44286</c:v>
                </c:pt>
              </c:numCache>
            </c:numRef>
          </c:cat>
          <c:val>
            <c:numRef>
              <c:f>'Cash Flow Cons'!$C$11:$K$11</c:f>
              <c:numCache>
                <c:formatCode>_(* #,##0.00_);_(* \(#,##0.00\);_(* "-"??_);_(@_)</c:formatCode>
                <c:ptCount val="9"/>
                <c:pt idx="0">
                  <c:v>-746.55000000000041</c:v>
                </c:pt>
                <c:pt idx="1">
                  <c:v>57.5300000000002</c:v>
                </c:pt>
                <c:pt idx="2">
                  <c:v>-1547.2999999999993</c:v>
                </c:pt>
                <c:pt idx="3">
                  <c:v>-325.74000000000035</c:v>
                </c:pt>
                <c:pt idx="4">
                  <c:v>257.04000000000042</c:v>
                </c:pt>
                <c:pt idx="5">
                  <c:v>1538.5000000000007</c:v>
                </c:pt>
                <c:pt idx="6">
                  <c:v>41.019999999998845</c:v>
                </c:pt>
                <c:pt idx="7">
                  <c:v>2086.900000000001</c:v>
                </c:pt>
                <c:pt idx="8">
                  <c:v>2223.5400000000004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B05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4036944"/>
        <c:axId val="404037336"/>
      </c:barChart>
      <c:catAx>
        <c:axId val="404036944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crossAx val="404037336"/>
        <c:crosses val="autoZero"/>
        <c:auto val="0"/>
        <c:lblAlgn val="ctr"/>
        <c:lblOffset val="100"/>
        <c:noMultiLvlLbl val="0"/>
      </c:catAx>
      <c:valAx>
        <c:axId val="40403733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403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3233306280654802E-2"/>
          <c:y val="0"/>
          <c:w val="0.97414342986344282"/>
          <c:h val="0.86075240594925639"/>
        </c:manualLayout>
      </c:layout>
      <c:barChart>
        <c:barDir val="col"/>
        <c:grouping val="clustered"/>
        <c:varyColors val="0"/>
        <c:ser>
          <c:idx val="0"/>
          <c:order val="0"/>
          <c:tx>
            <c:v>Other Income</c:v>
          </c:tx>
          <c:spPr>
            <a:solidFill>
              <a:srgbClr val="FF0000"/>
            </a:solidFill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 Cons'!$B$16:$K$16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Cons'!$B$25:$K$25</c:f>
              <c:numCache>
                <c:formatCode>General</c:formatCode>
                <c:ptCount val="10"/>
                <c:pt idx="0">
                  <c:v>46.81</c:v>
                </c:pt>
                <c:pt idx="1">
                  <c:v>31.19</c:v>
                </c:pt>
                <c:pt idx="2">
                  <c:v>45.41</c:v>
                </c:pt>
                <c:pt idx="3">
                  <c:v>318.39999999999998</c:v>
                </c:pt>
                <c:pt idx="4">
                  <c:v>91.39</c:v>
                </c:pt>
                <c:pt idx="5">
                  <c:v>-84.82</c:v>
                </c:pt>
                <c:pt idx="6">
                  <c:v>132.79</c:v>
                </c:pt>
                <c:pt idx="7">
                  <c:v>1282.1300000000001</c:v>
                </c:pt>
                <c:pt idx="8">
                  <c:v>44.55</c:v>
                </c:pt>
                <c:pt idx="9">
                  <c:v>43.96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74795800"/>
        <c:axId val="274796192"/>
      </c:barChart>
      <c:catAx>
        <c:axId val="274795800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74796192"/>
        <c:crosses val="autoZero"/>
        <c:auto val="0"/>
        <c:lblAlgn val="ctr"/>
        <c:lblOffset val="100"/>
        <c:noMultiLvlLbl val="0"/>
      </c:catAx>
      <c:valAx>
        <c:axId val="27479619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74795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875437619525528E-3"/>
          <c:y val="1.9753390201224848E-2"/>
          <c:w val="0.35095135707220504"/>
          <c:h val="9.2075313502478842E-2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RoA</a:t>
            </a:r>
          </a:p>
        </c:rich>
      </c:tx>
      <c:layout>
        <c:manualLayout>
          <c:xMode val="edge"/>
          <c:yMode val="edge"/>
          <c:x val="3.9636867231329087E-3"/>
          <c:y val="2.08333333333333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174978127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5E9F4"/>
            </a:solidFill>
          </c:spPr>
          <c:invertIfNegative val="1"/>
          <c:dLbls>
            <c:numFmt formatCode="0%;\(0%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Cons'!$B$33:$K$33</c:f>
              <c:numCache>
                <c:formatCode>0%</c:formatCode>
                <c:ptCount val="10"/>
                <c:pt idx="0">
                  <c:v>0.15047260802469134</c:v>
                </c:pt>
                <c:pt idx="1">
                  <c:v>8.5004794973803643E-2</c:v>
                </c:pt>
                <c:pt idx="2">
                  <c:v>2.627911213033084E-2</c:v>
                </c:pt>
                <c:pt idx="3">
                  <c:v>6.2505606889746115E-2</c:v>
                </c:pt>
                <c:pt idx="4">
                  <c:v>3.8105089584939654E-2</c:v>
                </c:pt>
                <c:pt idx="5">
                  <c:v>8.0616535355272651E-3</c:v>
                </c:pt>
                <c:pt idx="6">
                  <c:v>2.5993667433629044E-2</c:v>
                </c:pt>
                <c:pt idx="7">
                  <c:v>0.11316344954739477</c:v>
                </c:pt>
                <c:pt idx="8">
                  <c:v>-1.2877650835930503E-2</c:v>
                </c:pt>
                <c:pt idx="9">
                  <c:v>-5.9670130171115145E-2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4038120"/>
        <c:axId val="404038512"/>
      </c:barChart>
      <c:catAx>
        <c:axId val="404038120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4038512"/>
        <c:crosses val="autoZero"/>
        <c:auto val="0"/>
        <c:lblAlgn val="ctr"/>
        <c:lblOffset val="100"/>
        <c:noMultiLvlLbl val="0"/>
      </c:catAx>
      <c:valAx>
        <c:axId val="40403851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4038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Net Margin</a:t>
            </a:r>
          </a:p>
        </c:rich>
      </c:tx>
      <c:layout>
        <c:manualLayout>
          <c:xMode val="edge"/>
          <c:yMode val="edge"/>
          <c:x val="3.8119323919108584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9.0277777777777776E-2"/>
          <c:w val="0.96417626624523367"/>
          <c:h val="0.796237970253718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5E9F4"/>
            </a:solidFill>
          </c:spPr>
          <c:invertIfNegative val="1"/>
          <c:dLbls>
            <c:numFmt formatCode="0%;\(0%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Cons'!$B$28:$K$28</c:f>
              <c:numCache>
                <c:formatCode>0%</c:formatCode>
                <c:ptCount val="10"/>
                <c:pt idx="0">
                  <c:v>0.27701032685123367</c:v>
                </c:pt>
                <c:pt idx="1">
                  <c:v>0.17266296783542107</c:v>
                </c:pt>
                <c:pt idx="2">
                  <c:v>5.4236003846938476E-2</c:v>
                </c:pt>
                <c:pt idx="3">
                  <c:v>0.11021390464963438</c:v>
                </c:pt>
                <c:pt idx="4">
                  <c:v>5.7278839161099958E-2</c:v>
                </c:pt>
                <c:pt idx="5">
                  <c:v>1.4013103492144267E-2</c:v>
                </c:pt>
                <c:pt idx="6">
                  <c:v>6.5126806009412827E-2</c:v>
                </c:pt>
                <c:pt idx="7">
                  <c:v>0.43952857008124385</c:v>
                </c:pt>
                <c:pt idx="8">
                  <c:v>-4.5634773860425207E-2</c:v>
                </c:pt>
                <c:pt idx="9">
                  <c:v>-2.1660123387549075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4039296"/>
        <c:axId val="404039688"/>
      </c:barChart>
      <c:catAx>
        <c:axId val="404039296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4039688"/>
        <c:crosses val="autoZero"/>
        <c:auto val="0"/>
        <c:lblAlgn val="ctr"/>
        <c:lblOffset val="100"/>
        <c:noMultiLvlLbl val="0"/>
      </c:catAx>
      <c:valAx>
        <c:axId val="40403968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403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Asset Turn</a:t>
            </a:r>
          </a:p>
        </c:rich>
      </c:tx>
      <c:layout>
        <c:manualLayout>
          <c:xMode val="edge"/>
          <c:yMode val="edge"/>
          <c:x val="1.862997553856589E-3"/>
          <c:y val="3.47222222222222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5E9F4"/>
            </a:solidFill>
          </c:spPr>
          <c:invertIfNegative val="1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Cons'!$B$26:$K$26</c:f>
              <c:numCache>
                <c:formatCode>_(* #,##0.00_);_(* \(#,##0.00\);_(* "-"??_);_(@_)</c:formatCode>
                <c:ptCount val="10"/>
                <c:pt idx="0">
                  <c:v>1.0443212371822213</c:v>
                </c:pt>
                <c:pt idx="1">
                  <c:v>0.87242937539851961</c:v>
                </c:pt>
                <c:pt idx="2">
                  <c:v>0.9202699150883179</c:v>
                </c:pt>
                <c:pt idx="3">
                  <c:v>1.2551698871358508</c:v>
                </c:pt>
                <c:pt idx="4">
                  <c:v>1.5154303476909365</c:v>
                </c:pt>
                <c:pt idx="5">
                  <c:v>1.794291616614403</c:v>
                </c:pt>
                <c:pt idx="6">
                  <c:v>1.0207771160639127</c:v>
                </c:pt>
                <c:pt idx="7">
                  <c:v>1.446563434908446</c:v>
                </c:pt>
                <c:pt idx="8">
                  <c:v>0.59839668536167534</c:v>
                </c:pt>
                <c:pt idx="9">
                  <c:v>3.4694678398038574E-2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4040472"/>
        <c:axId val="404040864"/>
      </c:barChart>
      <c:catAx>
        <c:axId val="404040472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4040864"/>
        <c:crosses val="autoZero"/>
        <c:auto val="0"/>
        <c:lblAlgn val="ctr"/>
        <c:lblOffset val="100"/>
        <c:noMultiLvlLbl val="0"/>
      </c:catAx>
      <c:valAx>
        <c:axId val="40404086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404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1.7736617664688516E-2"/>
          <c:w val="0.9639871697662179"/>
          <c:h val="0.88651574803149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&amp; Loss Cons'!$A$33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Cons'!$B$33:$K$33</c:f>
              <c:numCache>
                <c:formatCode>_(* #,##0.00_);_(* \(#,##0.00\);_(* "-"??_);_(@_)</c:formatCode>
                <c:ptCount val="10"/>
                <c:pt idx="0">
                  <c:v>1256.6900000000003</c:v>
                </c:pt>
                <c:pt idx="1">
                  <c:v>1048.5199999999995</c:v>
                </c:pt>
                <c:pt idx="2">
                  <c:v>643.56999999999982</c:v>
                </c:pt>
                <c:pt idx="3">
                  <c:v>1329.1600000000003</c:v>
                </c:pt>
                <c:pt idx="4">
                  <c:v>1394.5100000000009</c:v>
                </c:pt>
                <c:pt idx="5">
                  <c:v>1069.0999999999992</c:v>
                </c:pt>
                <c:pt idx="6">
                  <c:v>857.84999999999991</c:v>
                </c:pt>
                <c:pt idx="7">
                  <c:v>1743.73</c:v>
                </c:pt>
                <c:pt idx="8">
                  <c:v>521.41999999999985</c:v>
                </c:pt>
                <c:pt idx="9">
                  <c:v>-2.5899999999999963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3869960"/>
        <c:axId val="403870352"/>
      </c:barChart>
      <c:catAx>
        <c:axId val="403869960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3870352"/>
        <c:crosses val="autoZero"/>
        <c:auto val="0"/>
        <c:lblAlgn val="ctr"/>
        <c:lblOffset val="100"/>
        <c:noMultiLvlLbl val="0"/>
      </c:catAx>
      <c:valAx>
        <c:axId val="40387035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3869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7691651838671413E-2"/>
          <c:y val="3.9101979003010767E-2"/>
          <c:w val="0.19889131547242492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4.0283122780928361E-2"/>
          <c:w val="0.9639871697662179"/>
          <c:h val="0.95563156167979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'Profit &amp; Loss Cons'!$A$34</c:f>
              <c:strCache>
                <c:ptCount val="1"/>
                <c:pt idx="0">
                  <c:v>EBITDA %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Cons'!$B$34:$K$34</c:f>
              <c:numCache>
                <c:formatCode>0%</c:formatCode>
                <c:ptCount val="10"/>
                <c:pt idx="0">
                  <c:v>0.44627409480248309</c:v>
                </c:pt>
                <c:pt idx="1">
                  <c:v>0.33318715958995071</c:v>
                </c:pt>
                <c:pt idx="2">
                  <c:v>0.18755865124005472</c:v>
                </c:pt>
                <c:pt idx="3">
                  <c:v>0.25029800520120299</c:v>
                </c:pt>
                <c:pt idx="4">
                  <c:v>0.20002983571708294</c:v>
                </c:pt>
                <c:pt idx="5">
                  <c:v>0.17001144965332982</c:v>
                </c:pt>
                <c:pt idx="6">
                  <c:v>0.22038195943029779</c:v>
                </c:pt>
                <c:pt idx="7">
                  <c:v>0.58734387841715952</c:v>
                </c:pt>
                <c:pt idx="8">
                  <c:v>0.19285851666642004</c:v>
                </c:pt>
                <c:pt idx="9">
                  <c:v>-2.4210132735090636E-2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3871136"/>
        <c:axId val="403871528"/>
      </c:barChart>
      <c:catAx>
        <c:axId val="403871136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3871528"/>
        <c:crosses val="autoZero"/>
        <c:auto val="0"/>
        <c:lblAlgn val="ctr"/>
        <c:lblOffset val="100"/>
        <c:noMultiLvlLbl val="0"/>
      </c:catAx>
      <c:valAx>
        <c:axId val="4038715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3871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2.4148915565336007E-2"/>
          <c:w val="0.61653460729391296"/>
          <c:h val="7.2177019539224258E-2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1744533225049212E-2"/>
          <c:y val="3.2523616090536986E-2"/>
          <c:w val="0.94977690166629436"/>
          <c:h val="0.8310854111986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'Quarters Cons'!$A$16</c:f>
              <c:strCache>
                <c:ptCount val="1"/>
                <c:pt idx="0">
                  <c:v>EBITDA Q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'Quarters Cons'!$B$3:$K$3</c:f>
              <c:numCache>
                <c:formatCode>[$-409]mmm\-yy;@</c:formatCode>
                <c:ptCount val="10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</c:numCache>
            </c:numRef>
          </c:cat>
          <c:val>
            <c:numRef>
              <c:f>'Quarters Cons'!$B$16:$K$16</c:f>
              <c:numCache>
                <c:formatCode>_(* #,##0.00_);_(* \(#,##0.00\);_(* "-"??_);_(@_)</c:formatCode>
                <c:ptCount val="10"/>
                <c:pt idx="0">
                  <c:v>265.32</c:v>
                </c:pt>
                <c:pt idx="1">
                  <c:v>658.06</c:v>
                </c:pt>
                <c:pt idx="2">
                  <c:v>201.29000000000002</c:v>
                </c:pt>
                <c:pt idx="3">
                  <c:v>175.83</c:v>
                </c:pt>
                <c:pt idx="4">
                  <c:v>146.71</c:v>
                </c:pt>
                <c:pt idx="5">
                  <c:v>-60.260000000000005</c:v>
                </c:pt>
                <c:pt idx="6">
                  <c:v>17.04</c:v>
                </c:pt>
                <c:pt idx="7">
                  <c:v>46.120000000000005</c:v>
                </c:pt>
                <c:pt idx="8">
                  <c:v>-2.6999999999999993</c:v>
                </c:pt>
                <c:pt idx="9">
                  <c:v>11.94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3872312"/>
        <c:axId val="403872704"/>
      </c:barChart>
      <c:catAx>
        <c:axId val="403872312"/>
        <c:scaling>
          <c:orientation val="minMax"/>
        </c:scaling>
        <c:delete val="0"/>
        <c:axPos val="b"/>
        <c:numFmt formatCode="[$-409]mmmmm\-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3872704"/>
        <c:crosses val="autoZero"/>
        <c:auto val="0"/>
        <c:lblAlgn val="ctr"/>
        <c:lblOffset val="100"/>
        <c:noMultiLvlLbl val="0"/>
      </c:catAx>
      <c:valAx>
        <c:axId val="4038727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3872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1.8739063867016623E-3"/>
          <c:w val="0.26534101617789424"/>
          <c:h val="8.838090551181102E-2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2.745844269466317E-2"/>
          <c:w val="0.9639871697662179"/>
          <c:h val="0.95998906386701666"/>
        </c:manualLayout>
      </c:layout>
      <c:barChart>
        <c:barDir val="col"/>
        <c:grouping val="clustered"/>
        <c:varyColors val="0"/>
        <c:ser>
          <c:idx val="0"/>
          <c:order val="0"/>
          <c:tx>
            <c:v>UnAdj EPS</c:v>
          </c:tx>
          <c:spPr>
            <a:solidFill>
              <a:srgbClr val="92D050"/>
            </a:solidFill>
          </c:spPr>
          <c:invertIfNegative val="1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Cons'!$B$13:$K$13</c:f>
              <c:numCache>
                <c:formatCode>_(* #,##0.00_);_(* \(#,##0.00\);_(* "-"??_);_(@_)</c:formatCode>
                <c:ptCount val="10"/>
                <c:pt idx="0">
                  <c:v>70.978161965423112</c:v>
                </c:pt>
                <c:pt idx="1">
                  <c:v>49.44131028207461</c:v>
                </c:pt>
                <c:pt idx="2">
                  <c:v>16.933575978161965</c:v>
                </c:pt>
                <c:pt idx="3">
                  <c:v>53.254777070063689</c:v>
                </c:pt>
                <c:pt idx="4">
                  <c:v>36.334849863512282</c:v>
                </c:pt>
                <c:pt idx="5">
                  <c:v>8.0181983621474071</c:v>
                </c:pt>
                <c:pt idx="6">
                  <c:v>23.067333939945403</c:v>
                </c:pt>
                <c:pt idx="7">
                  <c:v>118.73430391264787</c:v>
                </c:pt>
                <c:pt idx="8">
                  <c:v>-11.226569608735213</c:v>
                </c:pt>
                <c:pt idx="9">
                  <c:v>-21.08462238398544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3873488"/>
        <c:axId val="403873880"/>
      </c:barChart>
      <c:catAx>
        <c:axId val="403873488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3873880"/>
        <c:crosses val="autoZero"/>
        <c:auto val="0"/>
        <c:lblAlgn val="ctr"/>
        <c:lblOffset val="100"/>
        <c:noMultiLvlLbl val="0"/>
      </c:catAx>
      <c:valAx>
        <c:axId val="40387388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3873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8170094821771E-2"/>
          <c:y val="3.9101979003010767E-2"/>
          <c:w val="0.37426132078317798"/>
          <c:h val="0.13699176807444524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Emp Cost %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Cons'!$B$36:$K$36</c:f>
              <c:numCache>
                <c:formatCode>0%</c:formatCode>
                <c:ptCount val="10"/>
                <c:pt idx="0">
                  <c:v>4.9848009204676205E-2</c:v>
                </c:pt>
                <c:pt idx="1">
                  <c:v>4.9219241548933243E-2</c:v>
                </c:pt>
                <c:pt idx="2">
                  <c:v>4.9797452860431905E-2</c:v>
                </c:pt>
                <c:pt idx="3">
                  <c:v>4.2807293736147223E-2</c:v>
                </c:pt>
                <c:pt idx="4">
                  <c:v>4.0279652471272361E-2</c:v>
                </c:pt>
                <c:pt idx="5">
                  <c:v>5.3523948858215126E-2</c:v>
                </c:pt>
                <c:pt idx="6">
                  <c:v>9.0454610847360103E-2</c:v>
                </c:pt>
                <c:pt idx="7">
                  <c:v>7.2327912585386872E-2</c:v>
                </c:pt>
                <c:pt idx="8">
                  <c:v>8.8366054652246603E-2</c:v>
                </c:pt>
                <c:pt idx="9">
                  <c:v>0.83230510375771172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3874664"/>
        <c:axId val="403875056"/>
      </c:barChart>
      <c:catAx>
        <c:axId val="403874664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3875056"/>
        <c:crosses val="autoZero"/>
        <c:auto val="0"/>
        <c:lblAlgn val="ctr"/>
        <c:lblOffset val="100"/>
        <c:noMultiLvlLbl val="0"/>
      </c:catAx>
      <c:valAx>
        <c:axId val="40387505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3874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279794931305746E-2"/>
          <c:y val="4.3799212598425209E-3"/>
          <c:w val="0.27569369173345365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Liabilities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516339869281045E-2"/>
          <c:y val="3.6921478565179355E-2"/>
          <c:w val="0.91130718954248369"/>
          <c:h val="0.89871034639188618"/>
        </c:manualLayout>
      </c:layout>
      <c:areaChart>
        <c:grouping val="stacked"/>
        <c:varyColors val="0"/>
        <c:ser>
          <c:idx val="0"/>
          <c:order val="0"/>
          <c:tx>
            <c:v>Eq</c:v>
          </c:tx>
          <c:spPr>
            <a:solidFill>
              <a:srgbClr val="92D050"/>
            </a:solidFill>
          </c:spPr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Cons'!$B$57:$K$57</c:f>
              <c:numCache>
                <c:formatCode>General</c:formatCode>
                <c:ptCount val="10"/>
                <c:pt idx="0">
                  <c:v>10.99</c:v>
                </c:pt>
                <c:pt idx="1">
                  <c:v>10.99</c:v>
                </c:pt>
                <c:pt idx="2">
                  <c:v>10.99</c:v>
                </c:pt>
                <c:pt idx="3">
                  <c:v>10.99</c:v>
                </c:pt>
                <c:pt idx="4">
                  <c:v>10.99</c:v>
                </c:pt>
                <c:pt idx="5">
                  <c:v>10.99</c:v>
                </c:pt>
                <c:pt idx="6">
                  <c:v>10.99</c:v>
                </c:pt>
                <c:pt idx="7">
                  <c:v>10.99</c:v>
                </c:pt>
                <c:pt idx="8">
                  <c:v>10.99</c:v>
                </c:pt>
                <c:pt idx="9">
                  <c:v>10.99</c:v>
                </c:pt>
              </c:numCache>
            </c:numRef>
          </c:val>
        </c:ser>
        <c:ser>
          <c:idx val="1"/>
          <c:order val="1"/>
          <c:tx>
            <c:v>Rsrv</c:v>
          </c:tx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Cons'!$B$58:$K$58</c:f>
              <c:numCache>
                <c:formatCode>General</c:formatCode>
                <c:ptCount val="10"/>
                <c:pt idx="0">
                  <c:v>2707.1</c:v>
                </c:pt>
                <c:pt idx="1">
                  <c:v>3148.18</c:v>
                </c:pt>
                <c:pt idx="2">
                  <c:v>3285.99</c:v>
                </c:pt>
                <c:pt idx="3">
                  <c:v>4224.2700000000004</c:v>
                </c:pt>
                <c:pt idx="4">
                  <c:v>4442.6000000000004</c:v>
                </c:pt>
                <c:pt idx="5">
                  <c:v>4507.2700000000004</c:v>
                </c:pt>
                <c:pt idx="6">
                  <c:v>4755.8100000000004</c:v>
                </c:pt>
                <c:pt idx="7">
                  <c:v>5965.84</c:v>
                </c:pt>
                <c:pt idx="8">
                  <c:v>2167.75</c:v>
                </c:pt>
                <c:pt idx="9">
                  <c:v>361.6</c:v>
                </c:pt>
              </c:numCache>
            </c:numRef>
          </c:val>
        </c:ser>
        <c:ser>
          <c:idx val="2"/>
          <c:order val="2"/>
          <c:tx>
            <c:v>Borw</c:v>
          </c:tx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Cons'!$B$59:$K$59</c:f>
              <c:numCache>
                <c:formatCode>General</c:formatCode>
                <c:ptCount val="10"/>
                <c:pt idx="0">
                  <c:v>1551.7</c:v>
                </c:pt>
                <c:pt idx="1">
                  <c:v>2134.39</c:v>
                </c:pt>
                <c:pt idx="2">
                  <c:v>2302.31</c:v>
                </c:pt>
                <c:pt idx="3">
                  <c:v>2565.42</c:v>
                </c:pt>
                <c:pt idx="4">
                  <c:v>2972.77</c:v>
                </c:pt>
                <c:pt idx="5">
                  <c:v>3307.96</c:v>
                </c:pt>
                <c:pt idx="6">
                  <c:v>2019.49</c:v>
                </c:pt>
                <c:pt idx="7">
                  <c:v>1220.1600000000001</c:v>
                </c:pt>
                <c:pt idx="8">
                  <c:v>3764.73</c:v>
                </c:pt>
                <c:pt idx="9">
                  <c:v>2808.36</c:v>
                </c:pt>
              </c:numCache>
            </c:numRef>
          </c:val>
        </c:ser>
        <c:ser>
          <c:idx val="3"/>
          <c:order val="3"/>
          <c:tx>
            <c:v>Oth.L</c:v>
          </c:tx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Cons'!$B$60:$K$60</c:f>
              <c:numCache>
                <c:formatCode>General</c:formatCode>
                <c:ptCount val="10"/>
                <c:pt idx="0">
                  <c:v>914.21</c:v>
                </c:pt>
                <c:pt idx="1">
                  <c:v>1098.55</c:v>
                </c:pt>
                <c:pt idx="2">
                  <c:v>1482.38</c:v>
                </c:pt>
                <c:pt idx="3">
                  <c:v>2562.8000000000002</c:v>
                </c:pt>
                <c:pt idx="4">
                  <c:v>3053.08</c:v>
                </c:pt>
                <c:pt idx="5">
                  <c:v>3104.54</c:v>
                </c:pt>
                <c:pt idx="6">
                  <c:v>2966.47</c:v>
                </c:pt>
                <c:pt idx="7">
                  <c:v>4334.03</c:v>
                </c:pt>
                <c:pt idx="8">
                  <c:v>3637.47</c:v>
                </c:pt>
                <c:pt idx="9">
                  <c:v>702.4</c:v>
                </c:pt>
              </c:numCache>
            </c:numRef>
          </c:val>
        </c:ser>
        <c:ser>
          <c:idx val="4"/>
          <c:order val="4"/>
          <c:tx>
            <c:v>Total</c:v>
          </c:tx>
          <c:spPr>
            <a:solidFill>
              <a:srgbClr val="00B050"/>
            </a:solidFill>
          </c:spPr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Cons'!$B$61:$K$61</c:f>
              <c:numCache>
                <c:formatCode>General</c:formatCode>
                <c:ptCount val="10"/>
                <c:pt idx="0">
                  <c:v>5184</c:v>
                </c:pt>
                <c:pt idx="1">
                  <c:v>6392.11</c:v>
                </c:pt>
                <c:pt idx="2">
                  <c:v>7081.67</c:v>
                </c:pt>
                <c:pt idx="3">
                  <c:v>9363.48</c:v>
                </c:pt>
                <c:pt idx="4">
                  <c:v>10479.44</c:v>
                </c:pt>
                <c:pt idx="5">
                  <c:v>10930.76</c:v>
                </c:pt>
                <c:pt idx="6">
                  <c:v>9752.76</c:v>
                </c:pt>
                <c:pt idx="7">
                  <c:v>11531.02</c:v>
                </c:pt>
                <c:pt idx="8">
                  <c:v>9580.94</c:v>
                </c:pt>
                <c:pt idx="9">
                  <c:v>3883.35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75840"/>
        <c:axId val="403876232"/>
      </c:areaChart>
      <c:catAx>
        <c:axId val="403875840"/>
        <c:scaling>
          <c:orientation val="minMax"/>
        </c:scaling>
        <c:delete val="0"/>
        <c:axPos val="b"/>
        <c:numFmt formatCode="yy;@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3876232"/>
        <c:crosses val="autoZero"/>
        <c:auto val="0"/>
        <c:lblAlgn val="ctr"/>
        <c:lblOffset val="100"/>
        <c:noMultiLvlLbl val="0"/>
      </c:catAx>
      <c:valAx>
        <c:axId val="403876232"/>
        <c:scaling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3875840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919538414179709E-2"/>
          <c:y val="8.6516963157383109E-2"/>
          <c:w val="0.75491990970264522"/>
          <c:h val="2.0952280656275985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Assets</a:t>
            </a:r>
          </a:p>
        </c:rich>
      </c:tx>
      <c:layout>
        <c:manualLayout>
          <c:xMode val="edge"/>
          <c:yMode val="edge"/>
          <c:x val="0.36302607628591882"/>
          <c:y val="2.2153841859945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516339869281045E-2"/>
          <c:y val="1.674389466748755E-2"/>
          <c:w val="0.91130718954248369"/>
          <c:h val="0.92721449942214018"/>
        </c:manualLayout>
      </c:layout>
      <c:areaChart>
        <c:grouping val="stacked"/>
        <c:varyColors val="0"/>
        <c:ser>
          <c:idx val="0"/>
          <c:order val="0"/>
          <c:tx>
            <c:v>NetBlk</c:v>
          </c:tx>
          <c:spPr>
            <a:ln w="25400">
              <a:noFill/>
            </a:ln>
          </c:spPr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Cons'!$B$62:$K$62</c:f>
              <c:numCache>
                <c:formatCode>General</c:formatCode>
                <c:ptCount val="10"/>
                <c:pt idx="0">
                  <c:v>2696.45</c:v>
                </c:pt>
                <c:pt idx="1">
                  <c:v>3607.1</c:v>
                </c:pt>
                <c:pt idx="2">
                  <c:v>3728.58</c:v>
                </c:pt>
                <c:pt idx="3">
                  <c:v>4230.75</c:v>
                </c:pt>
                <c:pt idx="4">
                  <c:v>4600.3500000000004</c:v>
                </c:pt>
                <c:pt idx="5">
                  <c:v>3504.67</c:v>
                </c:pt>
                <c:pt idx="6">
                  <c:v>3813.33</c:v>
                </c:pt>
                <c:pt idx="7">
                  <c:v>2052.34</c:v>
                </c:pt>
                <c:pt idx="8">
                  <c:v>4518.1400000000003</c:v>
                </c:pt>
                <c:pt idx="9">
                  <c:v>3083.47</c:v>
                </c:pt>
              </c:numCache>
            </c:numRef>
          </c:val>
        </c:ser>
        <c:ser>
          <c:idx val="1"/>
          <c:order val="1"/>
          <c:tx>
            <c:v>CWIP</c:v>
          </c:tx>
          <c:spPr>
            <a:ln w="25400">
              <a:noFill/>
            </a:ln>
          </c:spPr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Cons'!$B$63:$K$63</c:f>
              <c:numCache>
                <c:formatCode>General</c:formatCode>
                <c:ptCount val="10"/>
                <c:pt idx="0">
                  <c:v>740.94</c:v>
                </c:pt>
                <c:pt idx="1">
                  <c:v>522.99</c:v>
                </c:pt>
                <c:pt idx="2">
                  <c:v>762.61</c:v>
                </c:pt>
                <c:pt idx="3">
                  <c:v>403.36</c:v>
                </c:pt>
                <c:pt idx="4">
                  <c:v>238.41</c:v>
                </c:pt>
                <c:pt idx="5">
                  <c:v>410.21</c:v>
                </c:pt>
                <c:pt idx="6">
                  <c:v>724.32</c:v>
                </c:pt>
                <c:pt idx="7">
                  <c:v>522.15</c:v>
                </c:pt>
                <c:pt idx="8">
                  <c:v>150.05000000000001</c:v>
                </c:pt>
                <c:pt idx="9">
                  <c:v>56.95</c:v>
                </c:pt>
              </c:numCache>
            </c:numRef>
          </c:val>
        </c:ser>
        <c:ser>
          <c:idx val="2"/>
          <c:order val="2"/>
          <c:tx>
            <c:v>Inv</c:v>
          </c:tx>
          <c:spPr>
            <a:ln w="25400">
              <a:noFill/>
            </a:ln>
          </c:spPr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Cons'!$B$64:$K$64</c:f>
              <c:numCache>
                <c:formatCode>General</c:formatCode>
                <c:ptCount val="10"/>
                <c:pt idx="0">
                  <c:v>184.31</c:v>
                </c:pt>
                <c:pt idx="1">
                  <c:v>347.98</c:v>
                </c:pt>
                <c:pt idx="2">
                  <c:v>369.47</c:v>
                </c:pt>
                <c:pt idx="3">
                  <c:v>159.19999999999999</c:v>
                </c:pt>
                <c:pt idx="4">
                  <c:v>404.18</c:v>
                </c:pt>
                <c:pt idx="5">
                  <c:v>678.09</c:v>
                </c:pt>
                <c:pt idx="6">
                  <c:v>524.04</c:v>
                </c:pt>
                <c:pt idx="7">
                  <c:v>148.83000000000001</c:v>
                </c:pt>
                <c:pt idx="8">
                  <c:v>122.14</c:v>
                </c:pt>
                <c:pt idx="9">
                  <c:v>22.13</c:v>
                </c:pt>
              </c:numCache>
            </c:numRef>
          </c:val>
        </c:ser>
        <c:ser>
          <c:idx val="3"/>
          <c:order val="3"/>
          <c:tx>
            <c:v>Oth.A</c:v>
          </c:tx>
          <c:spPr>
            <a:ln w="25400">
              <a:noFill/>
            </a:ln>
          </c:spPr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Cons'!$B$65:$K$65</c:f>
              <c:numCache>
                <c:formatCode>General</c:formatCode>
                <c:ptCount val="10"/>
                <c:pt idx="0">
                  <c:v>1562.3</c:v>
                </c:pt>
                <c:pt idx="1">
                  <c:v>1914.04</c:v>
                </c:pt>
                <c:pt idx="2">
                  <c:v>2221.0100000000002</c:v>
                </c:pt>
                <c:pt idx="3">
                  <c:v>4570.17</c:v>
                </c:pt>
                <c:pt idx="4">
                  <c:v>5236.5</c:v>
                </c:pt>
                <c:pt idx="5">
                  <c:v>6337.79</c:v>
                </c:pt>
                <c:pt idx="6">
                  <c:v>4691.07</c:v>
                </c:pt>
                <c:pt idx="7">
                  <c:v>8807.7000000000007</c:v>
                </c:pt>
                <c:pt idx="8">
                  <c:v>4790.6099999999997</c:v>
                </c:pt>
                <c:pt idx="9">
                  <c:v>720.8</c:v>
                </c:pt>
              </c:numCache>
            </c:numRef>
          </c:val>
        </c:ser>
        <c:ser>
          <c:idx val="4"/>
          <c:order val="4"/>
          <c:tx>
            <c:v>Total</c:v>
          </c:tx>
          <c:spPr>
            <a:solidFill>
              <a:srgbClr val="92D050"/>
            </a:solidFill>
            <a:ln w="25400">
              <a:noFill/>
            </a:ln>
          </c:spPr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Cons'!$B$66:$K$66</c:f>
              <c:numCache>
                <c:formatCode>General</c:formatCode>
                <c:ptCount val="10"/>
                <c:pt idx="0">
                  <c:v>5184</c:v>
                </c:pt>
                <c:pt idx="1">
                  <c:v>6392.11</c:v>
                </c:pt>
                <c:pt idx="2">
                  <c:v>7081.67</c:v>
                </c:pt>
                <c:pt idx="3">
                  <c:v>9363.48</c:v>
                </c:pt>
                <c:pt idx="4">
                  <c:v>10479.44</c:v>
                </c:pt>
                <c:pt idx="5">
                  <c:v>10930.76</c:v>
                </c:pt>
                <c:pt idx="6">
                  <c:v>9752.76</c:v>
                </c:pt>
                <c:pt idx="7">
                  <c:v>11531.02</c:v>
                </c:pt>
                <c:pt idx="8">
                  <c:v>9580.94</c:v>
                </c:pt>
                <c:pt idx="9">
                  <c:v>3883.35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77016"/>
        <c:axId val="401137712"/>
      </c:areaChart>
      <c:catAx>
        <c:axId val="403877016"/>
        <c:scaling>
          <c:orientation val="minMax"/>
        </c:scaling>
        <c:delete val="0"/>
        <c:axPos val="b"/>
        <c:numFmt formatCode="yy;@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1137712"/>
        <c:crosses val="autoZero"/>
        <c:auto val="0"/>
        <c:lblAlgn val="ctr"/>
        <c:lblOffset val="100"/>
        <c:noMultiLvlLbl val="0"/>
      </c:catAx>
      <c:valAx>
        <c:axId val="401137712"/>
        <c:scaling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3877016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026383065753139E-2"/>
          <c:y val="5.9892707955380653E-2"/>
          <c:w val="0.35994641578893555"/>
          <c:h val="0.2378383548708215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3066072552623842E-2"/>
          <c:y val="2.2422398927302207E-2"/>
          <c:w val="0.9654321507412732"/>
          <c:h val="0.83831747594050743"/>
        </c:manualLayout>
      </c:layout>
      <c:barChart>
        <c:barDir val="col"/>
        <c:grouping val="clustered"/>
        <c:varyColors val="0"/>
        <c:ser>
          <c:idx val="0"/>
          <c:order val="0"/>
          <c:tx>
            <c:v>Q Sales</c:v>
          </c:tx>
          <c:spPr>
            <a:solidFill>
              <a:srgbClr val="92D050"/>
            </a:solidFill>
          </c:spPr>
          <c:invertIfNegative val="1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'Quarters Cons'!$B$3:$K$3</c:f>
              <c:numCache>
                <c:formatCode>[$-409]mmm\-yy;@</c:formatCode>
                <c:ptCount val="10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</c:numCache>
            </c:numRef>
          </c:cat>
          <c:val>
            <c:numRef>
              <c:f>'Quarters Cons'!$B$4:$K$4</c:f>
              <c:numCache>
                <c:formatCode>_(* #,##0.00_);_(* \(#,##0.00\);_(* "-"??_);_(@_)</c:formatCode>
                <c:ptCount val="10"/>
                <c:pt idx="0">
                  <c:v>826.78</c:v>
                </c:pt>
                <c:pt idx="1">
                  <c:v>658.83</c:v>
                </c:pt>
                <c:pt idx="2">
                  <c:v>803.57</c:v>
                </c:pt>
                <c:pt idx="3">
                  <c:v>661.09</c:v>
                </c:pt>
                <c:pt idx="4">
                  <c:v>512.91999999999996</c:v>
                </c:pt>
                <c:pt idx="5">
                  <c:v>371.71</c:v>
                </c:pt>
                <c:pt idx="6">
                  <c:v>98.49</c:v>
                </c:pt>
                <c:pt idx="7">
                  <c:v>0.69</c:v>
                </c:pt>
                <c:pt idx="8">
                  <c:v>15.11</c:v>
                </c:pt>
                <c:pt idx="9">
                  <c:v>90.9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74796976"/>
        <c:axId val="423735408"/>
      </c:barChart>
      <c:catAx>
        <c:axId val="274796976"/>
        <c:scaling>
          <c:orientation val="minMax"/>
        </c:scaling>
        <c:delete val="0"/>
        <c:axPos val="b"/>
        <c:numFmt formatCode="[$-409]mmmmm\-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23735408"/>
        <c:crosses val="autoZero"/>
        <c:auto val="0"/>
        <c:lblAlgn val="ctr"/>
        <c:lblOffset val="100"/>
        <c:noMultiLvlLbl val="0"/>
      </c:catAx>
      <c:valAx>
        <c:axId val="4237354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27479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475135824071375E-3"/>
          <c:y val="3.1954286964129483E-2"/>
          <c:w val="0.25091762177534754"/>
          <c:h val="7.9756671041119873E-2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19131027544196E-2"/>
          <c:y val="7.6388888888888895E-2"/>
          <c:w val="0.91236410470728324"/>
          <c:h val="0.77540463692038497"/>
        </c:manualLayout>
      </c:layout>
      <c:barChart>
        <c:barDir val="col"/>
        <c:grouping val="clustered"/>
        <c:varyColors val="0"/>
        <c:ser>
          <c:idx val="0"/>
          <c:order val="0"/>
          <c:tx>
            <c:v>Change in WC</c:v>
          </c:tx>
          <c:spPr>
            <a:solidFill>
              <a:srgbClr val="92D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'Cash Flow Cons'!$C$3:$K$3</c:f>
              <c:numCache>
                <c:formatCode>[$-409]mmm\-yy;@</c:formatCode>
                <c:ptCount val="9"/>
                <c:pt idx="0">
                  <c:v>41364</c:v>
                </c:pt>
                <c:pt idx="1">
                  <c:v>41729</c:v>
                </c:pt>
                <c:pt idx="2">
                  <c:v>42094</c:v>
                </c:pt>
                <c:pt idx="3">
                  <c:v>42460</c:v>
                </c:pt>
                <c:pt idx="4">
                  <c:v>42825</c:v>
                </c:pt>
                <c:pt idx="5">
                  <c:v>43190</c:v>
                </c:pt>
                <c:pt idx="6">
                  <c:v>43555</c:v>
                </c:pt>
                <c:pt idx="7">
                  <c:v>43921</c:v>
                </c:pt>
                <c:pt idx="8">
                  <c:v>44286</c:v>
                </c:pt>
              </c:numCache>
            </c:numRef>
          </c:cat>
          <c:val>
            <c:numRef>
              <c:f>'Cash Flow Cons'!$C$9:$K$9</c:f>
              <c:numCache>
                <c:formatCode>_(* #,##0.00_);_(* \(#,##0.00\);_(* "-"??_);_(@_)</c:formatCode>
                <c:ptCount val="9"/>
                <c:pt idx="0">
                  <c:v>167.40000000000009</c:v>
                </c:pt>
                <c:pt idx="1">
                  <c:v>-76.8599999999999</c:v>
                </c:pt>
                <c:pt idx="2">
                  <c:v>1268.7399999999998</c:v>
                </c:pt>
                <c:pt idx="3">
                  <c:v>176.05000000000018</c:v>
                </c:pt>
                <c:pt idx="4">
                  <c:v>1049.83</c:v>
                </c:pt>
                <c:pt idx="5">
                  <c:v>-1508.65</c:v>
                </c:pt>
                <c:pt idx="6">
                  <c:v>2749.0700000000011</c:v>
                </c:pt>
                <c:pt idx="7">
                  <c:v>-3320.5300000000011</c:v>
                </c:pt>
                <c:pt idx="8">
                  <c:v>-1134.7399999999998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01138496"/>
        <c:axId val="401138888"/>
      </c:barChart>
      <c:catAx>
        <c:axId val="401138496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1138888"/>
        <c:crosses val="autoZero"/>
        <c:auto val="0"/>
        <c:lblAlgn val="ctr"/>
        <c:lblOffset val="100"/>
        <c:noMultiLvlLbl val="0"/>
      </c:catAx>
      <c:valAx>
        <c:axId val="401138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one"/>
        <c:crossAx val="4011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972270827257718E-2"/>
          <c:y val="2.7489610673665791E-2"/>
          <c:w val="0.31321898115270241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'Profit &amp; Loss Cons'!$A$12</c:f>
              <c:strCache>
                <c:ptCount val="1"/>
                <c:pt idx="0">
                  <c:v>Net profit</c:v>
                </c:pt>
              </c:strCache>
            </c:strRef>
          </c:tx>
          <c:spPr>
            <a:ln>
              <a:solidFill>
                <a:srgbClr val="2DA2BF"/>
              </a:solidFill>
            </a:ln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Cons'!$B$12:$K$12</c:f>
              <c:numCache>
                <c:formatCode>_(* #,##0.00_);_(* \(#,##0.00\);_(* "-"??_);_(@_)</c:formatCode>
                <c:ptCount val="10"/>
                <c:pt idx="0">
                  <c:v>780.05</c:v>
                </c:pt>
                <c:pt idx="1">
                  <c:v>543.36</c:v>
                </c:pt>
                <c:pt idx="2">
                  <c:v>186.1</c:v>
                </c:pt>
                <c:pt idx="3">
                  <c:v>585.27</c:v>
                </c:pt>
                <c:pt idx="4">
                  <c:v>399.32</c:v>
                </c:pt>
                <c:pt idx="5">
                  <c:v>88.12</c:v>
                </c:pt>
                <c:pt idx="6">
                  <c:v>253.51</c:v>
                </c:pt>
                <c:pt idx="7">
                  <c:v>1304.8900000000001</c:v>
                </c:pt>
                <c:pt idx="8">
                  <c:v>-123.38</c:v>
                </c:pt>
                <c:pt idx="9">
                  <c:v>-231.72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401139672"/>
        <c:axId val="401140064"/>
      </c:barChart>
      <c:catAx>
        <c:axId val="401139672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crossAx val="401140064"/>
        <c:crosses val="autoZero"/>
        <c:auto val="0"/>
        <c:lblAlgn val="ctr"/>
        <c:lblOffset val="100"/>
        <c:noMultiLvlLbl val="0"/>
      </c:catAx>
      <c:valAx>
        <c:axId val="40114006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1139672"/>
        <c:crosses val="autoZero"/>
        <c:crossBetween val="between"/>
      </c:valAx>
      <c:spPr>
        <a:noFill/>
        <a:ln w="25400">
          <a:solidFill>
            <a:srgbClr val="2DA2BF"/>
          </a:solidFill>
        </a:ln>
      </c:spPr>
    </c:plotArea>
    <c:legend>
      <c:legendPos val="r"/>
      <c:layout>
        <c:manualLayout>
          <c:xMode val="edge"/>
          <c:yMode val="edge"/>
          <c:x val="7.398170094821771E-2"/>
          <c:y val="3.9101979003010767E-2"/>
          <c:w val="0.50271363026186611"/>
          <c:h val="0.16743438320209975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94476377952755908"/>
        </c:manualLayout>
      </c:layout>
      <c:barChart>
        <c:barDir val="col"/>
        <c:grouping val="clustered"/>
        <c:varyColors val="0"/>
        <c:ser>
          <c:idx val="0"/>
          <c:order val="0"/>
          <c:tx>
            <c:v>NPM%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Cons'!$B$28:$K$28</c:f>
              <c:numCache>
                <c:formatCode>0%</c:formatCode>
                <c:ptCount val="10"/>
                <c:pt idx="0">
                  <c:v>0.27701032685123367</c:v>
                </c:pt>
                <c:pt idx="1">
                  <c:v>0.17266296783542107</c:v>
                </c:pt>
                <c:pt idx="2">
                  <c:v>5.4236003846938476E-2</c:v>
                </c:pt>
                <c:pt idx="3">
                  <c:v>0.11021390464963438</c:v>
                </c:pt>
                <c:pt idx="4">
                  <c:v>5.7278839161099958E-2</c:v>
                </c:pt>
                <c:pt idx="5">
                  <c:v>1.4013103492144267E-2</c:v>
                </c:pt>
                <c:pt idx="6">
                  <c:v>6.5126806009412827E-2</c:v>
                </c:pt>
                <c:pt idx="7">
                  <c:v>0.43952857008124385</c:v>
                </c:pt>
                <c:pt idx="8">
                  <c:v>-4.5634773860425207E-2</c:v>
                </c:pt>
                <c:pt idx="9">
                  <c:v>-2.1660123387549075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1140848"/>
        <c:axId val="401141240"/>
      </c:barChart>
      <c:catAx>
        <c:axId val="401140848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crossAx val="401141240"/>
        <c:crosses val="autoZero"/>
        <c:auto val="0"/>
        <c:lblAlgn val="ctr"/>
        <c:lblOffset val="100"/>
        <c:noMultiLvlLbl val="0"/>
      </c:catAx>
      <c:valAx>
        <c:axId val="40114124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1140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559770937723692"/>
          <c:y val="1.6485298888200698E-3"/>
          <c:w val="0.1889337045737518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Net profit Q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'Quarters Cons'!$B$3:$K$3</c:f>
              <c:numCache>
                <c:formatCode>[$-409]mmm\-yy;@</c:formatCode>
                <c:ptCount val="10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</c:numCache>
            </c:numRef>
          </c:cat>
          <c:val>
            <c:numRef>
              <c:f>'Quarters Cons'!$B$12:$K$12</c:f>
              <c:numCache>
                <c:formatCode>_(* #,##0.00_);_(* \(#,##0.00\);_(* "-"??_);_(@_)</c:formatCode>
                <c:ptCount val="10"/>
                <c:pt idx="0">
                  <c:v>137.68</c:v>
                </c:pt>
                <c:pt idx="1">
                  <c:v>579.54999999999995</c:v>
                </c:pt>
                <c:pt idx="2">
                  <c:v>12.64</c:v>
                </c:pt>
                <c:pt idx="3">
                  <c:v>-3.72</c:v>
                </c:pt>
                <c:pt idx="4">
                  <c:v>4.0999999999999996</c:v>
                </c:pt>
                <c:pt idx="5">
                  <c:v>-136.41</c:v>
                </c:pt>
                <c:pt idx="6">
                  <c:v>-73.03</c:v>
                </c:pt>
                <c:pt idx="7">
                  <c:v>-35.61</c:v>
                </c:pt>
                <c:pt idx="8">
                  <c:v>-50.57</c:v>
                </c:pt>
                <c:pt idx="9">
                  <c:v>-43.05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1142024"/>
        <c:axId val="401142416"/>
      </c:barChart>
      <c:catAx>
        <c:axId val="401142024"/>
        <c:scaling>
          <c:orientation val="minMax"/>
        </c:scaling>
        <c:delete val="0"/>
        <c:axPos val="b"/>
        <c:numFmt formatCode="[$-409]mmmmm\-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1142416"/>
        <c:crosses val="autoZero"/>
        <c:auto val="0"/>
        <c:lblAlgn val="ctr"/>
        <c:lblOffset val="100"/>
        <c:noMultiLvlLbl val="0"/>
      </c:catAx>
      <c:valAx>
        <c:axId val="40114241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1142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5088203798681181E-3"/>
          <c:y val="3.9102143482064741E-2"/>
          <c:w val="0.27974313489774694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Qty EPS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'Quarters Cons'!$B$3:$K$3</c:f>
              <c:numCache>
                <c:formatCode>[$-409]mmm\-yy;@</c:formatCode>
                <c:ptCount val="10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</c:numCache>
            </c:numRef>
          </c:cat>
          <c:val>
            <c:numRef>
              <c:f>'Quarters Cons'!$B$19:$K$19</c:f>
              <c:numCache>
                <c:formatCode>_(* #,##0.00_);_(* \(#,##0.00\);_(* "-"??_);_(@_)</c:formatCode>
                <c:ptCount val="10"/>
                <c:pt idx="0">
                  <c:v>12.53337436213042</c:v>
                </c:pt>
                <c:pt idx="1">
                  <c:v>52.757968561684223</c:v>
                </c:pt>
                <c:pt idx="2">
                  <c:v>1.1506526143036644</c:v>
                </c:pt>
                <c:pt idx="3">
                  <c:v>-0.33864143395645818</c:v>
                </c:pt>
                <c:pt idx="4">
                  <c:v>0.37323383850039737</c:v>
                </c:pt>
                <c:pt idx="5">
                  <c:v>-12.417762904838833</c:v>
                </c:pt>
                <c:pt idx="6">
                  <c:v>-6.6481139574839085</c:v>
                </c:pt>
                <c:pt idx="7">
                  <c:v>-3.2416724363412568</c:v>
                </c:pt>
                <c:pt idx="8">
                  <c:v>-4.6035207836500236</c:v>
                </c:pt>
                <c:pt idx="9">
                  <c:v>-3.9189553042541725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1143200"/>
        <c:axId val="401143592"/>
      </c:barChart>
      <c:catAx>
        <c:axId val="401143200"/>
        <c:scaling>
          <c:orientation val="minMax"/>
        </c:scaling>
        <c:delete val="0"/>
        <c:axPos val="b"/>
        <c:numFmt formatCode="[$-409]mmmmm\-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1143592"/>
        <c:crosses val="autoZero"/>
        <c:auto val="0"/>
        <c:lblAlgn val="ctr"/>
        <c:lblOffset val="100"/>
        <c:noMultiLvlLbl val="0"/>
      </c:catAx>
      <c:valAx>
        <c:axId val="40114359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114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6.6945538057742796E-3"/>
          <c:w val="0.20640701542953452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8.3013998250218726E-2"/>
          <c:w val="0.9639871697662179"/>
          <c:h val="0.79332239720035014"/>
        </c:manualLayout>
      </c:layout>
      <c:barChart>
        <c:barDir val="col"/>
        <c:grouping val="clustered"/>
        <c:varyColors val="0"/>
        <c:ser>
          <c:idx val="0"/>
          <c:order val="0"/>
          <c:tx>
            <c:v>Debt Equity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Cons'!$B$32:$K$32</c:f>
              <c:numCache>
                <c:formatCode>_(* #,##0.00_);_(* \(#,##0.00\);_(* "-"??_);_(@_)</c:formatCode>
                <c:ptCount val="10"/>
                <c:pt idx="0">
                  <c:v>0.57087881563892295</c:v>
                </c:pt>
                <c:pt idx="1">
                  <c:v>0.67561732986828826</c:v>
                </c:pt>
                <c:pt idx="2">
                  <c:v>0.6983087552851398</c:v>
                </c:pt>
                <c:pt idx="3">
                  <c:v>0.60572904615064949</c:v>
                </c:pt>
                <c:pt idx="4">
                  <c:v>0.66749970248720691</c:v>
                </c:pt>
                <c:pt idx="5">
                  <c:v>0.73213139571427932</c:v>
                </c:pt>
                <c:pt idx="6">
                  <c:v>0.42365738021314087</c:v>
                </c:pt>
                <c:pt idx="7">
                  <c:v>0.20414835288940794</c:v>
                </c:pt>
                <c:pt idx="8">
                  <c:v>1.7279390840577584</c:v>
                </c:pt>
                <c:pt idx="9">
                  <c:v>7.5374003596446491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1144376"/>
        <c:axId val="401144768"/>
      </c:barChart>
      <c:catAx>
        <c:axId val="401144376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1144768"/>
        <c:crosses val="autoZero"/>
        <c:auto val="0"/>
        <c:lblAlgn val="ctr"/>
        <c:lblOffset val="100"/>
        <c:noMultiLvlLbl val="0"/>
      </c:catAx>
      <c:valAx>
        <c:axId val="40114476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1144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149606299212615E-3"/>
          <c:y val="1.5953995333916594E-2"/>
          <c:w val="0.27863225084466209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Mkt Cap</a:t>
            </a:r>
          </a:p>
        </c:rich>
      </c:tx>
      <c:layout>
        <c:manualLayout>
          <c:xMode val="edge"/>
          <c:yMode val="edge"/>
          <c:x val="3.8119323919108584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555555555555552E-2"/>
          <c:w val="0.95122445513613929"/>
          <c:h val="0.830960192475940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5E9F4"/>
            </a:solidFill>
          </c:spPr>
          <c:invertIfNegative val="1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Cons'!$B$29:$K$29</c:f>
              <c:numCache>
                <c:formatCode>_(* #,##0.00_);_(* \(#,##0.00\);_(* "-"??_);_(@_)</c:formatCode>
                <c:ptCount val="10"/>
                <c:pt idx="0">
                  <c:v>808.60585000000003</c:v>
                </c:pt>
                <c:pt idx="1">
                  <c:v>473.45350000000002</c:v>
                </c:pt>
                <c:pt idx="2">
                  <c:v>505.96910000000003</c:v>
                </c:pt>
                <c:pt idx="3">
                  <c:v>1116.1858500000001</c:v>
                </c:pt>
                <c:pt idx="4">
                  <c:v>816.95445000000007</c:v>
                </c:pt>
                <c:pt idx="5">
                  <c:v>1201.9786999999999</c:v>
                </c:pt>
                <c:pt idx="6">
                  <c:v>1259.64995</c:v>
                </c:pt>
                <c:pt idx="7">
                  <c:v>1747.16425</c:v>
                </c:pt>
                <c:pt idx="8">
                  <c:v>837.82595000000003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1006624"/>
        <c:axId val="401007016"/>
      </c:barChart>
      <c:catAx>
        <c:axId val="401006624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1007016"/>
        <c:crosses val="autoZero"/>
        <c:auto val="0"/>
        <c:lblAlgn val="ctr"/>
        <c:lblOffset val="100"/>
        <c:noMultiLvlLbl val="0"/>
      </c:catAx>
      <c:valAx>
        <c:axId val="40100701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100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2.0513998250218726E-2"/>
          <c:w val="0.95384930999469963"/>
          <c:h val="0.84023840769903757"/>
        </c:manualLayout>
      </c:layout>
      <c:barChart>
        <c:barDir val="col"/>
        <c:grouping val="clustered"/>
        <c:varyColors val="0"/>
        <c:ser>
          <c:idx val="0"/>
          <c:order val="0"/>
          <c:tx>
            <c:v>Power Cost%</c:v>
          </c:tx>
          <c:spPr>
            <a:solidFill>
              <a:srgbClr val="C2E8C7"/>
            </a:solidFill>
          </c:spPr>
          <c:invertIfNegative val="1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Cons'!$B$35:$K$35</c:f>
              <c:numCache>
                <c:formatCode>0%</c:formatCode>
                <c:ptCount val="10"/>
                <c:pt idx="0">
                  <c:v>0.11179846304635009</c:v>
                </c:pt>
                <c:pt idx="1">
                  <c:v>0.10801286328941766</c:v>
                </c:pt>
                <c:pt idx="2">
                  <c:v>0.10336898551569375</c:v>
                </c:pt>
                <c:pt idx="3">
                  <c:v>7.8854153523993886E-2</c:v>
                </c:pt>
                <c:pt idx="4">
                  <c:v>6.033986898103854E-2</c:v>
                </c:pt>
                <c:pt idx="5">
                  <c:v>7.0905158704916996E-2</c:v>
                </c:pt>
                <c:pt idx="6">
                  <c:v>0.12986055449370082</c:v>
                </c:pt>
                <c:pt idx="7">
                  <c:v>3.6394686140041224E-2</c:v>
                </c:pt>
                <c:pt idx="8">
                  <c:v>4.4044325427941594E-2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1"/>
        <c:axId val="401007800"/>
        <c:axId val="401008192"/>
      </c:barChart>
      <c:catAx>
        <c:axId val="401007800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crossAx val="401008192"/>
        <c:crosses val="autoZero"/>
        <c:auto val="0"/>
        <c:lblAlgn val="ctr"/>
        <c:lblOffset val="100"/>
        <c:noMultiLvlLbl val="0"/>
      </c:catAx>
      <c:valAx>
        <c:axId val="40100819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1007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9.3197725284339464E-3"/>
          <c:w val="0.4392690638969769"/>
          <c:h val="0.1389609993691798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lineChart>
        <c:grouping val="standard"/>
        <c:varyColors val="0"/>
        <c:ser>
          <c:idx val="0"/>
          <c:order val="0"/>
          <c:tx>
            <c:v>Share price</c:v>
          </c:tx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 Cons'!$B$81:$K$81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Cons'!$B$90:$K$90</c:f>
              <c:numCache>
                <c:formatCode>General</c:formatCode>
                <c:ptCount val="10"/>
                <c:pt idx="0">
                  <c:v>73.61</c:v>
                </c:pt>
                <c:pt idx="1">
                  <c:v>43.1</c:v>
                </c:pt>
                <c:pt idx="2">
                  <c:v>46.06</c:v>
                </c:pt>
                <c:pt idx="3">
                  <c:v>101.61</c:v>
                </c:pt>
                <c:pt idx="4">
                  <c:v>74.37</c:v>
                </c:pt>
                <c:pt idx="5">
                  <c:v>109.42</c:v>
                </c:pt>
                <c:pt idx="6">
                  <c:v>114.67</c:v>
                </c:pt>
                <c:pt idx="7">
                  <c:v>159.05000000000001</c:v>
                </c:pt>
                <c:pt idx="8">
                  <c:v>76.27</c:v>
                </c:pt>
                <c:pt idx="9">
                  <c:v>72.95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008976"/>
        <c:axId val="401009368"/>
      </c:lineChart>
      <c:catAx>
        <c:axId val="401008976"/>
        <c:scaling>
          <c:orientation val="minMax"/>
        </c:scaling>
        <c:delete val="0"/>
        <c:axPos val="b"/>
        <c:numFmt formatCode="[$-409]mmmmm\-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1009368"/>
        <c:crosses val="autoZero"/>
        <c:auto val="0"/>
        <c:lblAlgn val="ctr"/>
        <c:lblOffset val="100"/>
        <c:noMultiLvlLbl val="0"/>
      </c:catAx>
      <c:valAx>
        <c:axId val="40100936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crossAx val="40100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6.6945538057742796E-3"/>
          <c:w val="0.32177645926048559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 baseline="0"/>
              <a:t>Cash/Current asset</a:t>
            </a:r>
          </a:p>
        </c:rich>
      </c:tx>
      <c:layout>
        <c:manualLayout>
          <c:xMode val="edge"/>
          <c:yMode val="edge"/>
          <c:x val="2.1433470507544582E-2"/>
          <c:y val="3.472222222222222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 Cons'!$A$34</c:f>
              <c:strCache>
                <c:ptCount val="1"/>
                <c:pt idx="0">
                  <c:v>Cash/Current asset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Cons'!$B$34:$K$34</c:f>
              <c:numCache>
                <c:formatCode>0%</c:formatCode>
                <c:ptCount val="10"/>
                <c:pt idx="0">
                  <c:v>0.26120896178589692</c:v>
                </c:pt>
                <c:pt idx="1">
                  <c:v>4.0445979684667732E-2</c:v>
                </c:pt>
                <c:pt idx="2">
                  <c:v>3.2318156749800847E-2</c:v>
                </c:pt>
                <c:pt idx="3">
                  <c:v>0.29011217282924806</c:v>
                </c:pt>
                <c:pt idx="4">
                  <c:v>0.1305891495126692</c:v>
                </c:pt>
                <c:pt idx="5">
                  <c:v>0.1146091499765557</c:v>
                </c:pt>
                <c:pt idx="6">
                  <c:v>5.6568856864834809E-2</c:v>
                </c:pt>
                <c:pt idx="7">
                  <c:v>6.1950216636645863E-2</c:v>
                </c:pt>
                <c:pt idx="8">
                  <c:v>7.472634291207593E-2</c:v>
                </c:pt>
                <c:pt idx="9">
                  <c:v>0.7398945518453427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01010152"/>
        <c:axId val="401010544"/>
      </c:barChart>
      <c:catAx>
        <c:axId val="401010152"/>
        <c:scaling>
          <c:orientation val="minMax"/>
        </c:scaling>
        <c:delete val="0"/>
        <c:axPos val="b"/>
        <c:numFmt formatCode="yy;@" sourceLinked="0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1010544"/>
        <c:crosses val="autoZero"/>
        <c:auto val="0"/>
        <c:lblAlgn val="ctr"/>
        <c:lblOffset val="100"/>
        <c:noMultiLvlLbl val="0"/>
      </c:catAx>
      <c:valAx>
        <c:axId val="401010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1010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11634982603093E-3"/>
          <c:y val="2.2422398927302207E-2"/>
          <c:w val="0.84486627640427103"/>
          <c:h val="0.85380796150481186"/>
        </c:manualLayout>
      </c:layout>
      <c:barChart>
        <c:barDir val="col"/>
        <c:grouping val="clustered"/>
        <c:varyColors val="0"/>
        <c:ser>
          <c:idx val="0"/>
          <c:order val="0"/>
          <c:tx>
            <c:v>P/BV</c:v>
          </c:tx>
          <c:invertIfNegative val="0"/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Cons'!$B$30:$K$30</c:f>
              <c:numCache>
                <c:formatCode>_(* #,##0.00_);_(* \(#,##0.00\);_(* "-"??_);_(@_)</c:formatCode>
                <c:ptCount val="10"/>
                <c:pt idx="0">
                  <c:v>0.29749046205239715</c:v>
                </c:pt>
                <c:pt idx="1">
                  <c:v>0.14986642061047684</c:v>
                </c:pt>
                <c:pt idx="2">
                  <c:v>0.15346441288694504</c:v>
                </c:pt>
                <c:pt idx="3">
                  <c:v>0.26354600425947877</c:v>
                </c:pt>
                <c:pt idx="4">
                  <c:v>0.18343728318053526</c:v>
                </c:pt>
                <c:pt idx="5">
                  <c:v>0.26602689973573895</c:v>
                </c:pt>
                <c:pt idx="6">
                  <c:v>0.26425483552907608</c:v>
                </c:pt>
                <c:pt idx="7">
                  <c:v>0.29232289524714605</c:v>
                </c:pt>
                <c:pt idx="8">
                  <c:v>0.38454609085985481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737368"/>
        <c:axId val="423736976"/>
      </c:barChart>
      <c:lineChart>
        <c:grouping val="standard"/>
        <c:varyColors val="0"/>
        <c:ser>
          <c:idx val="1"/>
          <c:order val="1"/>
          <c:tx>
            <c:v>PE</c:v>
          </c:tx>
          <c:marker>
            <c:symbol val="none"/>
          </c:marker>
          <c:cat>
            <c:numRef>
              <c:f>'Balance Sheet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'Balance Sheet Cons'!$B$31:$K$31</c:f>
              <c:numCache>
                <c:formatCode>_(* #,##0.00_);_(* \(#,##0.00\);_(* "-"??_);_(@_)</c:formatCode>
                <c:ptCount val="10"/>
                <c:pt idx="0">
                  <c:v>1.037079546182937</c:v>
                </c:pt>
                <c:pt idx="1">
                  <c:v>0.87174065076560669</c:v>
                </c:pt>
                <c:pt idx="2">
                  <c:v>2.7200397635679745</c:v>
                </c:pt>
                <c:pt idx="3">
                  <c:v>1.9079978471474706</c:v>
                </c:pt>
                <c:pt idx="4">
                  <c:v>2.0467953020134231</c:v>
                </c:pt>
                <c:pt idx="5">
                  <c:v>13.64645710394916</c:v>
                </c:pt>
                <c:pt idx="6">
                  <c:v>4.9710989704548147</c:v>
                </c:pt>
                <c:pt idx="7">
                  <c:v>1.3395454789292585</c:v>
                </c:pt>
                <c:pt idx="8">
                  <c:v>-6.7937048143945535</c:v>
                </c:pt>
                <c:pt idx="9">
                  <c:v>-3.4598675125151046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36192"/>
        <c:axId val="423736584"/>
      </c:lineChart>
      <c:catAx>
        <c:axId val="423736192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23736584"/>
        <c:crosses val="autoZero"/>
        <c:auto val="0"/>
        <c:lblAlgn val="ctr"/>
        <c:lblOffset val="100"/>
        <c:noMultiLvlLbl val="0"/>
      </c:catAx>
      <c:valAx>
        <c:axId val="423736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423736192"/>
        <c:crosses val="autoZero"/>
        <c:crossBetween val="between"/>
      </c:valAx>
      <c:valAx>
        <c:axId val="42373697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423737368"/>
        <c:crosses val="max"/>
        <c:crossBetween val="between"/>
      </c:valAx>
      <c:dateAx>
        <c:axId val="42373736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23736976"/>
        <c:crosses val="autoZero"/>
        <c:auto val="1"/>
        <c:lblOffset val="100"/>
        <c:baseTimeUnit val="years"/>
      </c:dateAx>
    </c:plotArea>
    <c:legend>
      <c:legendPos val="t"/>
      <c:layout>
        <c:manualLayout>
          <c:xMode val="edge"/>
          <c:yMode val="edge"/>
          <c:x val="8.9677303068597933E-2"/>
          <c:y val="2.0833333333333332E-2"/>
          <c:w val="0.39197564617694391"/>
          <c:h val="0.11718832020997376"/>
        </c:manualLayout>
      </c:layout>
      <c:overlay val="0"/>
      <c:spPr>
        <a:noFill/>
      </c:spPr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 Flow Cons'!$A$10</c:f>
              <c:strCache>
                <c:ptCount val="1"/>
                <c:pt idx="0">
                  <c:v>Capex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'Cash Flow Cons'!$C$3:$K$3</c:f>
              <c:numCache>
                <c:formatCode>[$-409]mmm\-yy;@</c:formatCode>
                <c:ptCount val="9"/>
                <c:pt idx="0">
                  <c:v>41364</c:v>
                </c:pt>
                <c:pt idx="1">
                  <c:v>41729</c:v>
                </c:pt>
                <c:pt idx="2">
                  <c:v>42094</c:v>
                </c:pt>
                <c:pt idx="3">
                  <c:v>42460</c:v>
                </c:pt>
                <c:pt idx="4">
                  <c:v>42825</c:v>
                </c:pt>
                <c:pt idx="5">
                  <c:v>43190</c:v>
                </c:pt>
                <c:pt idx="6">
                  <c:v>43555</c:v>
                </c:pt>
                <c:pt idx="7">
                  <c:v>43921</c:v>
                </c:pt>
                <c:pt idx="8">
                  <c:v>44286</c:v>
                </c:pt>
              </c:numCache>
            </c:numRef>
          </c:cat>
          <c:val>
            <c:numRef>
              <c:f>'Cash Flow Cons'!$C$10:$K$10</c:f>
              <c:numCache>
                <c:formatCode>_(* #,##0.00_);_(* \(#,##0.00\);_(* "-"??_);_(@_)</c:formatCode>
                <c:ptCount val="9"/>
                <c:pt idx="0">
                  <c:v>863.36000000000024</c:v>
                </c:pt>
                <c:pt idx="1">
                  <c:v>561.53999999999974</c:v>
                </c:pt>
                <c:pt idx="2">
                  <c:v>427.66999999999973</c:v>
                </c:pt>
                <c:pt idx="3">
                  <c:v>529.18000000000018</c:v>
                </c:pt>
                <c:pt idx="4">
                  <c:v>-575.18000000000029</c:v>
                </c:pt>
                <c:pt idx="5">
                  <c:v>921.98999999999955</c:v>
                </c:pt>
                <c:pt idx="6">
                  <c:v>-1794.4799999999998</c:v>
                </c:pt>
                <c:pt idx="7">
                  <c:v>2447.86</c:v>
                </c:pt>
                <c:pt idx="8">
                  <c:v>-1244.5500000000006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401011328"/>
        <c:axId val="401011720"/>
      </c:barChart>
      <c:catAx>
        <c:axId val="401011328"/>
        <c:scaling>
          <c:orientation val="minMax"/>
        </c:scaling>
        <c:delete val="0"/>
        <c:axPos val="b"/>
        <c:numFmt formatCode="[$-409]mmmmm\-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1011720"/>
        <c:crosses val="autoZero"/>
        <c:auto val="0"/>
        <c:lblAlgn val="ctr"/>
        <c:lblOffset val="100"/>
        <c:noMultiLvlLbl val="0"/>
      </c:catAx>
      <c:valAx>
        <c:axId val="40101172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40101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6.6945538057742796E-3"/>
          <c:w val="0.17733625620554572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410745333191401E-2"/>
          <c:y val="5.1400554097404488E-2"/>
          <c:w val="0.88060898116166431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v>NFA</c:v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Cons'!$B$62:$K$62</c:f>
              <c:numCache>
                <c:formatCode>General</c:formatCode>
                <c:ptCount val="10"/>
                <c:pt idx="0">
                  <c:v>2696.45</c:v>
                </c:pt>
                <c:pt idx="1">
                  <c:v>3607.1</c:v>
                </c:pt>
                <c:pt idx="2">
                  <c:v>3728.58</c:v>
                </c:pt>
                <c:pt idx="3">
                  <c:v>4230.75</c:v>
                </c:pt>
                <c:pt idx="4">
                  <c:v>4600.3500000000004</c:v>
                </c:pt>
                <c:pt idx="5">
                  <c:v>3504.67</c:v>
                </c:pt>
                <c:pt idx="6">
                  <c:v>3813.33</c:v>
                </c:pt>
                <c:pt idx="7">
                  <c:v>2052.34</c:v>
                </c:pt>
                <c:pt idx="8">
                  <c:v>4518.1400000000003</c:v>
                </c:pt>
                <c:pt idx="9">
                  <c:v>3083.47</c:v>
                </c:pt>
              </c:numCache>
            </c:numRef>
          </c:val>
        </c:ser>
        <c:ser>
          <c:idx val="1"/>
          <c:order val="1"/>
          <c:tx>
            <c:v>Cap WIP</c:v>
          </c:tx>
          <c:spPr>
            <a:solidFill>
              <a:srgbClr val="FF0000"/>
            </a:solidFill>
          </c:spPr>
          <c:invertIfNegative val="0"/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Cons'!$B$63:$K$63</c:f>
              <c:numCache>
                <c:formatCode>General</c:formatCode>
                <c:ptCount val="10"/>
                <c:pt idx="0">
                  <c:v>740.94</c:v>
                </c:pt>
                <c:pt idx="1">
                  <c:v>522.99</c:v>
                </c:pt>
                <c:pt idx="2">
                  <c:v>762.61</c:v>
                </c:pt>
                <c:pt idx="3">
                  <c:v>403.36</c:v>
                </c:pt>
                <c:pt idx="4">
                  <c:v>238.41</c:v>
                </c:pt>
                <c:pt idx="5">
                  <c:v>410.21</c:v>
                </c:pt>
                <c:pt idx="6">
                  <c:v>724.32</c:v>
                </c:pt>
                <c:pt idx="7">
                  <c:v>522.15</c:v>
                </c:pt>
                <c:pt idx="8">
                  <c:v>150.05000000000001</c:v>
                </c:pt>
                <c:pt idx="9">
                  <c:v>56.95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23738152"/>
        <c:axId val="423738544"/>
      </c:barChart>
      <c:catAx>
        <c:axId val="423738152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23738544"/>
        <c:crosses val="autoZero"/>
        <c:auto val="0"/>
        <c:lblAlgn val="ctr"/>
        <c:lblOffset val="100"/>
        <c:noMultiLvlLbl val="0"/>
      </c:catAx>
      <c:valAx>
        <c:axId val="423738544"/>
        <c:scaling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237381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9.1678969816272934E-3"/>
          <c:y val="4.2459536307961499E-3"/>
          <c:w val="0.3737406570320686"/>
          <c:h val="0.1118788276465441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CFO</a:t>
            </a:r>
          </a:p>
        </c:rich>
      </c:tx>
      <c:layout>
        <c:manualLayout>
          <c:xMode val="edge"/>
          <c:yMode val="edge"/>
          <c:x val="6.033775099100267E-3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1980801415938405E-2"/>
          <c:y val="1.9840483286890805E-2"/>
          <c:w val="0.97978963963246657"/>
          <c:h val="0.84722549681289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numFmt formatCode="0_);\(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'Cash Flow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'Cash Flow Cons'!$B$4:$K$4</c:f>
              <c:numCache>
                <c:formatCode>_(* #,##0.00_);_(* \(#,##0.00\);_(* "-"??_);_(@_)</c:formatCode>
                <c:ptCount val="10"/>
                <c:pt idx="0">
                  <c:v>572.02</c:v>
                </c:pt>
                <c:pt idx="1">
                  <c:v>284.20999999999998</c:v>
                </c:pt>
                <c:pt idx="2">
                  <c:v>542.21</c:v>
                </c:pt>
                <c:pt idx="3">
                  <c:v>149.11000000000001</c:v>
                </c:pt>
                <c:pt idx="4">
                  <c:v>379.49</c:v>
                </c:pt>
                <c:pt idx="5">
                  <c:v>731.69</c:v>
                </c:pt>
                <c:pt idx="6">
                  <c:v>951.84</c:v>
                </c:pt>
                <c:pt idx="7">
                  <c:v>995.61</c:v>
                </c:pt>
                <c:pt idx="8">
                  <c:v>1214.23</c:v>
                </c:pt>
                <c:pt idx="9">
                  <c:v>-155.75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400310160"/>
        <c:axId val="400310552"/>
      </c:barChart>
      <c:catAx>
        <c:axId val="400310160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00310552"/>
        <c:crosses val="autoZero"/>
        <c:auto val="0"/>
        <c:lblAlgn val="ctr"/>
        <c:lblOffset val="100"/>
        <c:noMultiLvlLbl val="0"/>
      </c:catAx>
      <c:valAx>
        <c:axId val="40031055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400310160"/>
        <c:crosses val="autoZero"/>
        <c:crossBetween val="between"/>
      </c:valAx>
    </c:plotArea>
    <c:plotVisOnly val="1"/>
    <c:dispBlanksAs val="gap"/>
    <c:showDLblsOverMax val="0"/>
  </c:chart>
  <c:spPr>
    <a:ln w="3175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0344504010509738E-2"/>
          <c:y val="2.2422398927302207E-2"/>
          <c:w val="0.97931099197898053"/>
          <c:h val="0.92698384528827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&amp; Loss Cons'!$A$31</c:f>
              <c:strCache>
                <c:ptCount val="1"/>
                <c:pt idx="0">
                  <c:v>Gross profit </c:v>
                </c:pt>
              </c:strCache>
            </c:strRef>
          </c:tx>
          <c:spPr>
            <a:solidFill>
              <a:srgbClr val="C2E8C7"/>
            </a:solidFill>
          </c:spPr>
          <c:invertIfNegative val="1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Cons'!$B$31:$K$31</c:f>
              <c:numCache>
                <c:formatCode>_(* #,##0.00_);_(* \(#,##0.00\);_(* "-"??_);_(@_)</c:formatCode>
                <c:ptCount val="10"/>
                <c:pt idx="0">
                  <c:v>2209.6799999999998</c:v>
                </c:pt>
                <c:pt idx="1">
                  <c:v>2282.2799999999997</c:v>
                </c:pt>
                <c:pt idx="2">
                  <c:v>2057.7600000000002</c:v>
                </c:pt>
                <c:pt idx="3">
                  <c:v>3189.6700000000005</c:v>
                </c:pt>
                <c:pt idx="4">
                  <c:v>3687.5700000000006</c:v>
                </c:pt>
                <c:pt idx="5">
                  <c:v>4060.6799999999994</c:v>
                </c:pt>
                <c:pt idx="6">
                  <c:v>3240.5</c:v>
                </c:pt>
                <c:pt idx="7">
                  <c:v>2131.09</c:v>
                </c:pt>
                <c:pt idx="8">
                  <c:v>2414.75</c:v>
                </c:pt>
                <c:pt idx="9">
                  <c:v>99.100000000000009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00311336"/>
        <c:axId val="400311728"/>
      </c:barChart>
      <c:catAx>
        <c:axId val="400311336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crossAx val="400311728"/>
        <c:crosses val="autoZero"/>
        <c:auto val="0"/>
        <c:lblAlgn val="ctr"/>
        <c:lblOffset val="100"/>
        <c:noMultiLvlLbl val="0"/>
      </c:catAx>
      <c:valAx>
        <c:axId val="4003117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400311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3532822124279945E-3"/>
          <c:y val="2.6173993875765529E-2"/>
          <c:w val="0.28621786249599923"/>
          <c:h val="0.125575787401574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787245656366472E-2"/>
          <c:y val="2.0513998250218726E-2"/>
          <c:w val="0.95384930999469963"/>
          <c:h val="0.84023840769903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&amp; Loss Cons'!$A$32</c:f>
              <c:strCache>
                <c:ptCount val="1"/>
                <c:pt idx="0">
                  <c:v>Gross profit margin</c:v>
                </c:pt>
              </c:strCache>
            </c:strRef>
          </c:tx>
          <c:spPr>
            <a:solidFill>
              <a:srgbClr val="C2E8C7"/>
            </a:solidFill>
          </c:spPr>
          <c:invertIfNegative val="1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'Profit &amp; Loss Cons'!$B$3:$K$3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'Profit &amp; Loss Cons'!$B$32:$K$32</c:f>
              <c:numCache>
                <c:formatCode>0%</c:formatCode>
                <c:ptCount val="10"/>
                <c:pt idx="0">
                  <c:v>0.74802554013551326</c:v>
                </c:pt>
                <c:pt idx="1">
                  <c:v>0.70087132261816232</c:v>
                </c:pt>
                <c:pt idx="2">
                  <c:v>0.5722758138314924</c:v>
                </c:pt>
                <c:pt idx="3">
                  <c:v>0.55699949720449471</c:v>
                </c:pt>
                <c:pt idx="4">
                  <c:v>0.54267583349948578</c:v>
                </c:pt>
                <c:pt idx="5">
                  <c:v>0.64195184784682902</c:v>
                </c:pt>
                <c:pt idx="6">
                  <c:v>0.86523521795425118</c:v>
                </c:pt>
                <c:pt idx="7">
                  <c:v>0.70242923161908355</c:v>
                </c:pt>
                <c:pt idx="8">
                  <c:v>0.9196638605731533</c:v>
                </c:pt>
                <c:pt idx="9">
                  <c:v>0.9263413722191064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1"/>
        <c:axId val="400312512"/>
        <c:axId val="400312904"/>
      </c:barChart>
      <c:catAx>
        <c:axId val="400312512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crossAx val="400312904"/>
        <c:crosses val="autoZero"/>
        <c:auto val="0"/>
        <c:lblAlgn val="ctr"/>
        <c:lblOffset val="100"/>
        <c:noMultiLvlLbl val="0"/>
      </c:catAx>
      <c:valAx>
        <c:axId val="4003129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crossAx val="40031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2.375328083989501E-3"/>
          <c:w val="0.4392690638969769"/>
          <c:h val="0.1389609993691798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00"/>
              <a:t>Total Debt</a:t>
            </a:r>
          </a:p>
        </c:rich>
      </c:tx>
      <c:layout>
        <c:manualLayout>
          <c:xMode val="edge"/>
          <c:yMode val="edge"/>
          <c:x val="1.1200973350902397E-2"/>
          <c:y val="3.47222222222222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2787245656366472E-2"/>
          <c:y val="5.523641634347945E-2"/>
          <c:w val="0.9639871697662179"/>
          <c:h val="0.82110001175226233"/>
        </c:manualLayout>
      </c:layout>
      <c:barChart>
        <c:barDir val="col"/>
        <c:grouping val="clustered"/>
        <c:varyColors val="0"/>
        <c:ser>
          <c:idx val="0"/>
          <c:order val="0"/>
          <c:tx>
            <c:v>Total Debt</c:v>
          </c:tx>
          <c:spPr>
            <a:solidFill>
              <a:srgbClr val="FF0000"/>
            </a:solidFill>
          </c:spPr>
          <c:invertIfNegative val="0"/>
          <c:dLbls>
            <c:numFmt formatCode="#,##0" sourceLinked="0"/>
            <c:spPr>
              <a:ln w="3175"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 Cons'!$B$56:$K$56</c:f>
              <c:numCache>
                <c:formatCode>[$-409]mmm\-yy;@</c:formatCode>
                <c:ptCount val="10"/>
                <c:pt idx="0">
                  <c:v>40999</c:v>
                </c:pt>
                <c:pt idx="1">
                  <c:v>41364</c:v>
                </c:pt>
                <c:pt idx="2">
                  <c:v>41729</c:v>
                </c:pt>
                <c:pt idx="3">
                  <c:v>42094</c:v>
                </c:pt>
                <c:pt idx="4">
                  <c:v>42460</c:v>
                </c:pt>
                <c:pt idx="5">
                  <c:v>42825</c:v>
                </c:pt>
                <c:pt idx="6">
                  <c:v>43190</c:v>
                </c:pt>
                <c:pt idx="7">
                  <c:v>43555</c:v>
                </c:pt>
                <c:pt idx="8">
                  <c:v>43921</c:v>
                </c:pt>
                <c:pt idx="9">
                  <c:v>44286</c:v>
                </c:pt>
              </c:numCache>
            </c:numRef>
          </c:cat>
          <c:val>
            <c:numRef>
              <c:f>'Data Sheet Cons'!$B$59:$K$59</c:f>
              <c:numCache>
                <c:formatCode>General</c:formatCode>
                <c:ptCount val="10"/>
                <c:pt idx="0">
                  <c:v>1551.7</c:v>
                </c:pt>
                <c:pt idx="1">
                  <c:v>2134.39</c:v>
                </c:pt>
                <c:pt idx="2">
                  <c:v>2302.31</c:v>
                </c:pt>
                <c:pt idx="3">
                  <c:v>2565.42</c:v>
                </c:pt>
                <c:pt idx="4">
                  <c:v>2972.77</c:v>
                </c:pt>
                <c:pt idx="5">
                  <c:v>3307.96</c:v>
                </c:pt>
                <c:pt idx="6">
                  <c:v>2019.49</c:v>
                </c:pt>
                <c:pt idx="7">
                  <c:v>1220.1600000000001</c:v>
                </c:pt>
                <c:pt idx="8">
                  <c:v>3764.73</c:v>
                </c:pt>
                <c:pt idx="9">
                  <c:v>2808.36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"/>
        <c:axId val="400313688"/>
        <c:axId val="400125832"/>
      </c:barChart>
      <c:catAx>
        <c:axId val="400313688"/>
        <c:scaling>
          <c:orientation val="minMax"/>
        </c:scaling>
        <c:delete val="0"/>
        <c:axPos val="b"/>
        <c:numFmt formatCode="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00125832"/>
        <c:crosses val="autoZero"/>
        <c:auto val="0"/>
        <c:lblAlgn val="ctr"/>
        <c:lblOffset val="100"/>
        <c:noMultiLvlLbl val="0"/>
      </c:catAx>
      <c:valAx>
        <c:axId val="40012583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crossAx val="400313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80736</xdr:colOff>
      <xdr:row>1</xdr:row>
      <xdr:rowOff>185054</xdr:rowOff>
    </xdr:from>
    <xdr:to>
      <xdr:col>5</xdr:col>
      <xdr:colOff>1742</xdr:colOff>
      <xdr:row>11</xdr:row>
      <xdr:rowOff>108854</xdr:rowOff>
    </xdr:to>
    <xdr:graphicFrame macro="">
      <xdr:nvGraphicFramePr>
        <xdr:cNvPr id="2" name="S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34712</xdr:colOff>
      <xdr:row>2</xdr:row>
      <xdr:rowOff>4499</xdr:rowOff>
    </xdr:from>
    <xdr:to>
      <xdr:col>9</xdr:col>
      <xdr:colOff>557503</xdr:colOff>
      <xdr:row>11</xdr:row>
      <xdr:rowOff>118799</xdr:rowOff>
    </xdr:to>
    <xdr:graphicFrame macro="">
      <xdr:nvGraphicFramePr>
        <xdr:cNvPr id="3" name="OtherIncom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580414</xdr:colOff>
      <xdr:row>2</xdr:row>
      <xdr:rowOff>786</xdr:rowOff>
    </xdr:from>
    <xdr:to>
      <xdr:col>14</xdr:col>
      <xdr:colOff>495070</xdr:colOff>
      <xdr:row>11</xdr:row>
      <xdr:rowOff>115086</xdr:rowOff>
    </xdr:to>
    <xdr:graphicFrame macro="">
      <xdr:nvGraphicFramePr>
        <xdr:cNvPr id="4" name="Q-S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519339</xdr:colOff>
      <xdr:row>2</xdr:row>
      <xdr:rowOff>4188</xdr:rowOff>
    </xdr:from>
    <xdr:to>
      <xdr:col>19</xdr:col>
      <xdr:colOff>433995</xdr:colOff>
      <xdr:row>11</xdr:row>
      <xdr:rowOff>118488</xdr:rowOff>
    </xdr:to>
    <xdr:graphicFrame macro="">
      <xdr:nvGraphicFramePr>
        <xdr:cNvPr id="5" name="Shareholder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462190</xdr:colOff>
      <xdr:row>2</xdr:row>
      <xdr:rowOff>4188</xdr:rowOff>
    </xdr:from>
    <xdr:to>
      <xdr:col>24</xdr:col>
      <xdr:colOff>376846</xdr:colOff>
      <xdr:row>11</xdr:row>
      <xdr:rowOff>118488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406907</xdr:colOff>
      <xdr:row>1</xdr:row>
      <xdr:rowOff>187359</xdr:rowOff>
    </xdr:from>
    <xdr:to>
      <xdr:col>29</xdr:col>
      <xdr:colOff>321563</xdr:colOff>
      <xdr:row>11</xdr:row>
      <xdr:rowOff>111159</xdr:rowOff>
    </xdr:to>
    <xdr:graphicFrame macro="">
      <xdr:nvGraphicFramePr>
        <xdr:cNvPr id="7" name="CFO (Adj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94684</xdr:colOff>
      <xdr:row>11</xdr:row>
      <xdr:rowOff>137454</xdr:rowOff>
    </xdr:from>
    <xdr:to>
      <xdr:col>5</xdr:col>
      <xdr:colOff>3074</xdr:colOff>
      <xdr:row>21</xdr:row>
      <xdr:rowOff>61254</xdr:rowOff>
    </xdr:to>
    <xdr:graphicFrame macro="">
      <xdr:nvGraphicFramePr>
        <xdr:cNvPr id="8" name="Gross Profi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39051</xdr:colOff>
      <xdr:row>11</xdr:row>
      <xdr:rowOff>136933</xdr:rowOff>
    </xdr:from>
    <xdr:to>
      <xdr:col>9</xdr:col>
      <xdr:colOff>561842</xdr:colOff>
      <xdr:row>21</xdr:row>
      <xdr:rowOff>60733</xdr:rowOff>
    </xdr:to>
    <xdr:graphicFrame macro="">
      <xdr:nvGraphicFramePr>
        <xdr:cNvPr id="9" name="Gross Margi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516509</xdr:colOff>
      <xdr:row>11</xdr:row>
      <xdr:rowOff>145206</xdr:rowOff>
    </xdr:from>
    <xdr:to>
      <xdr:col>19</xdr:col>
      <xdr:colOff>431165</xdr:colOff>
      <xdr:row>21</xdr:row>
      <xdr:rowOff>69006</xdr:rowOff>
    </xdr:to>
    <xdr:graphicFrame macro="">
      <xdr:nvGraphicFramePr>
        <xdr:cNvPr id="10" name="TotalDeb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463159</xdr:colOff>
      <xdr:row>11</xdr:row>
      <xdr:rowOff>145115</xdr:rowOff>
    </xdr:from>
    <xdr:to>
      <xdr:col>24</xdr:col>
      <xdr:colOff>377815</xdr:colOff>
      <xdr:row>21</xdr:row>
      <xdr:rowOff>68915</xdr:rowOff>
    </xdr:to>
    <xdr:graphicFrame macro="">
      <xdr:nvGraphicFramePr>
        <xdr:cNvPr id="11" name="Fixed Asset Tur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418736</xdr:colOff>
      <xdr:row>11</xdr:row>
      <xdr:rowOff>139226</xdr:rowOff>
    </xdr:from>
    <xdr:to>
      <xdr:col>29</xdr:col>
      <xdr:colOff>333392</xdr:colOff>
      <xdr:row>21</xdr:row>
      <xdr:rowOff>63026</xdr:rowOff>
    </xdr:to>
    <xdr:graphicFrame macro="">
      <xdr:nvGraphicFramePr>
        <xdr:cNvPr id="12" name="CF Invest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351610</xdr:colOff>
      <xdr:row>1</xdr:row>
      <xdr:rowOff>187361</xdr:rowOff>
    </xdr:from>
    <xdr:to>
      <xdr:col>34</xdr:col>
      <xdr:colOff>267731</xdr:colOff>
      <xdr:row>11</xdr:row>
      <xdr:rowOff>111161</xdr:rowOff>
    </xdr:to>
    <xdr:graphicFrame macro="">
      <xdr:nvGraphicFramePr>
        <xdr:cNvPr id="13" name="RoE Ro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72947</xdr:colOff>
      <xdr:row>21</xdr:row>
      <xdr:rowOff>116398</xdr:rowOff>
    </xdr:from>
    <xdr:to>
      <xdr:col>4</xdr:col>
      <xdr:colOff>590853</xdr:colOff>
      <xdr:row>31</xdr:row>
      <xdr:rowOff>40198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24232</xdr:colOff>
      <xdr:row>21</xdr:row>
      <xdr:rowOff>111224</xdr:rowOff>
    </xdr:from>
    <xdr:to>
      <xdr:col>9</xdr:col>
      <xdr:colOff>547023</xdr:colOff>
      <xdr:row>31</xdr:row>
      <xdr:rowOff>35024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572128</xdr:colOff>
      <xdr:row>21</xdr:row>
      <xdr:rowOff>116401</xdr:rowOff>
    </xdr:from>
    <xdr:to>
      <xdr:col>14</xdr:col>
      <xdr:colOff>486784</xdr:colOff>
      <xdr:row>31</xdr:row>
      <xdr:rowOff>40201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478969</xdr:colOff>
      <xdr:row>21</xdr:row>
      <xdr:rowOff>110347</xdr:rowOff>
    </xdr:from>
    <xdr:to>
      <xdr:col>24</xdr:col>
      <xdr:colOff>393625</xdr:colOff>
      <xdr:row>31</xdr:row>
      <xdr:rowOff>34147</xdr:rowOff>
    </xdr:to>
    <xdr:graphicFrame macro="">
      <xdr:nvGraphicFramePr>
        <xdr:cNvPr id="17" name="Inventory Day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475760</xdr:colOff>
      <xdr:row>31</xdr:row>
      <xdr:rowOff>73543</xdr:rowOff>
    </xdr:from>
    <xdr:to>
      <xdr:col>24</xdr:col>
      <xdr:colOff>390416</xdr:colOff>
      <xdr:row>40</xdr:row>
      <xdr:rowOff>187843</xdr:rowOff>
    </xdr:to>
    <xdr:graphicFrame macro="">
      <xdr:nvGraphicFramePr>
        <xdr:cNvPr id="18" name="Receivable Day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422533</xdr:colOff>
      <xdr:row>21</xdr:row>
      <xdr:rowOff>110347</xdr:rowOff>
    </xdr:from>
    <xdr:to>
      <xdr:col>29</xdr:col>
      <xdr:colOff>337189</xdr:colOff>
      <xdr:row>31</xdr:row>
      <xdr:rowOff>34147</xdr:rowOff>
    </xdr:to>
    <xdr:graphicFrame macro="">
      <xdr:nvGraphicFramePr>
        <xdr:cNvPr id="19" name="CF Financin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435199</xdr:colOff>
      <xdr:row>31</xdr:row>
      <xdr:rowOff>71563</xdr:rowOff>
    </xdr:from>
    <xdr:to>
      <xdr:col>29</xdr:col>
      <xdr:colOff>349855</xdr:colOff>
      <xdr:row>40</xdr:row>
      <xdr:rowOff>185863</xdr:rowOff>
    </xdr:to>
    <xdr:graphicFrame macro="">
      <xdr:nvGraphicFramePr>
        <xdr:cNvPr id="20" name="CFF Equ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</xdr:col>
      <xdr:colOff>373027</xdr:colOff>
      <xdr:row>21</xdr:row>
      <xdr:rowOff>114698</xdr:rowOff>
    </xdr:from>
    <xdr:to>
      <xdr:col>34</xdr:col>
      <xdr:colOff>289148</xdr:colOff>
      <xdr:row>31</xdr:row>
      <xdr:rowOff>38498</xdr:rowOff>
    </xdr:to>
    <xdr:graphicFrame macro="">
      <xdr:nvGraphicFramePr>
        <xdr:cNvPr id="23" name="Ro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376731</xdr:colOff>
      <xdr:row>41</xdr:row>
      <xdr:rowOff>41029</xdr:rowOff>
    </xdr:from>
    <xdr:to>
      <xdr:col>34</xdr:col>
      <xdr:colOff>292852</xdr:colOff>
      <xdr:row>50</xdr:row>
      <xdr:rowOff>155329</xdr:rowOff>
    </xdr:to>
    <xdr:graphicFrame macro="">
      <xdr:nvGraphicFramePr>
        <xdr:cNvPr id="24" name="Net Margi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382446</xdr:colOff>
      <xdr:row>31</xdr:row>
      <xdr:rowOff>73761</xdr:rowOff>
    </xdr:from>
    <xdr:to>
      <xdr:col>34</xdr:col>
      <xdr:colOff>298567</xdr:colOff>
      <xdr:row>40</xdr:row>
      <xdr:rowOff>188061</xdr:rowOff>
    </xdr:to>
    <xdr:graphicFrame macro="">
      <xdr:nvGraphicFramePr>
        <xdr:cNvPr id="25" name="AssetTur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73326</xdr:colOff>
      <xdr:row>31</xdr:row>
      <xdr:rowOff>74607</xdr:rowOff>
    </xdr:from>
    <xdr:to>
      <xdr:col>4</xdr:col>
      <xdr:colOff>596117</xdr:colOff>
      <xdr:row>40</xdr:row>
      <xdr:rowOff>188907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24069</xdr:colOff>
      <xdr:row>31</xdr:row>
      <xdr:rowOff>76639</xdr:rowOff>
    </xdr:from>
    <xdr:to>
      <xdr:col>9</xdr:col>
      <xdr:colOff>546860</xdr:colOff>
      <xdr:row>41</xdr:row>
      <xdr:rowOff>439</xdr:rowOff>
    </xdr:to>
    <xdr:graphicFrame macro="">
      <xdr:nvGraphicFramePr>
        <xdr:cNvPr id="27" name="EBITDA Margi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586129</xdr:colOff>
      <xdr:row>31</xdr:row>
      <xdr:rowOff>87223</xdr:rowOff>
    </xdr:from>
    <xdr:to>
      <xdr:col>14</xdr:col>
      <xdr:colOff>500785</xdr:colOff>
      <xdr:row>41</xdr:row>
      <xdr:rowOff>11023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61521</xdr:colOff>
      <xdr:row>50</xdr:row>
      <xdr:rowOff>187361</xdr:rowOff>
    </xdr:from>
    <xdr:to>
      <xdr:col>4</xdr:col>
      <xdr:colOff>585777</xdr:colOff>
      <xdr:row>60</xdr:row>
      <xdr:rowOff>111161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16744</xdr:colOff>
      <xdr:row>50</xdr:row>
      <xdr:rowOff>187361</xdr:rowOff>
    </xdr:from>
    <xdr:to>
      <xdr:col>9</xdr:col>
      <xdr:colOff>539535</xdr:colOff>
      <xdr:row>60</xdr:row>
      <xdr:rowOff>111161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526782</xdr:colOff>
      <xdr:row>21</xdr:row>
      <xdr:rowOff>107579</xdr:rowOff>
    </xdr:from>
    <xdr:to>
      <xdr:col>19</xdr:col>
      <xdr:colOff>441438</xdr:colOff>
      <xdr:row>41</xdr:row>
      <xdr:rowOff>899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532074</xdr:colOff>
      <xdr:row>41</xdr:row>
      <xdr:rowOff>51812</xdr:rowOff>
    </xdr:from>
    <xdr:to>
      <xdr:col>19</xdr:col>
      <xdr:colOff>446730</xdr:colOff>
      <xdr:row>60</xdr:row>
      <xdr:rowOff>135632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24</xdr:col>
      <xdr:colOff>454981</xdr:colOff>
      <xdr:row>41</xdr:row>
      <xdr:rowOff>93726</xdr:rowOff>
    </xdr:from>
    <xdr:to>
      <xdr:col>29</xdr:col>
      <xdr:colOff>369637</xdr:colOff>
      <xdr:row>51</xdr:row>
      <xdr:rowOff>17526</xdr:rowOff>
    </xdr:to>
    <xdr:graphicFrame macro="">
      <xdr:nvGraphicFramePr>
        <xdr:cNvPr id="33" name="Interest Coverage Rat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57291</xdr:colOff>
      <xdr:row>41</xdr:row>
      <xdr:rowOff>39356</xdr:rowOff>
    </xdr:from>
    <xdr:to>
      <xdr:col>4</xdr:col>
      <xdr:colOff>580082</xdr:colOff>
      <xdr:row>50</xdr:row>
      <xdr:rowOff>153656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12351</xdr:colOff>
      <xdr:row>41</xdr:row>
      <xdr:rowOff>39358</xdr:rowOff>
    </xdr:from>
    <xdr:to>
      <xdr:col>9</xdr:col>
      <xdr:colOff>535142</xdr:colOff>
      <xdr:row>50</xdr:row>
      <xdr:rowOff>153658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9</xdr:col>
      <xdr:colOff>582142</xdr:colOff>
      <xdr:row>41</xdr:row>
      <xdr:rowOff>55230</xdr:rowOff>
    </xdr:from>
    <xdr:to>
      <xdr:col>14</xdr:col>
      <xdr:colOff>496798</xdr:colOff>
      <xdr:row>50</xdr:row>
      <xdr:rowOff>169530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582142</xdr:colOff>
      <xdr:row>51</xdr:row>
      <xdr:rowOff>14933</xdr:rowOff>
    </xdr:from>
    <xdr:to>
      <xdr:col>14</xdr:col>
      <xdr:colOff>496798</xdr:colOff>
      <xdr:row>60</xdr:row>
      <xdr:rowOff>129233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29</xdr:col>
      <xdr:colOff>367744</xdr:colOff>
      <xdr:row>11</xdr:row>
      <xdr:rowOff>140570</xdr:rowOff>
    </xdr:from>
    <xdr:to>
      <xdr:col>34</xdr:col>
      <xdr:colOff>283865</xdr:colOff>
      <xdr:row>21</xdr:row>
      <xdr:rowOff>64370</xdr:rowOff>
    </xdr:to>
    <xdr:graphicFrame macro="">
      <xdr:nvGraphicFramePr>
        <xdr:cNvPr id="40" name="Leverag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29</xdr:col>
      <xdr:colOff>391583</xdr:colOff>
      <xdr:row>51</xdr:row>
      <xdr:rowOff>0</xdr:rowOff>
    </xdr:from>
    <xdr:to>
      <xdr:col>34</xdr:col>
      <xdr:colOff>307704</xdr:colOff>
      <xdr:row>60</xdr:row>
      <xdr:rowOff>114300</xdr:rowOff>
    </xdr:to>
    <xdr:graphicFrame macro="">
      <xdr:nvGraphicFramePr>
        <xdr:cNvPr id="43" name="Net Margi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592667</xdr:colOff>
      <xdr:row>11</xdr:row>
      <xdr:rowOff>148166</xdr:rowOff>
    </xdr:from>
    <xdr:to>
      <xdr:col>14</xdr:col>
      <xdr:colOff>501624</xdr:colOff>
      <xdr:row>21</xdr:row>
      <xdr:rowOff>71966</xdr:rowOff>
    </xdr:to>
    <xdr:graphicFrame macro="">
      <xdr:nvGraphicFramePr>
        <xdr:cNvPr id="44" name="Gross Margi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19</xdr:col>
      <xdr:colOff>529168</xdr:colOff>
      <xdr:row>51</xdr:row>
      <xdr:rowOff>74083</xdr:rowOff>
    </xdr:from>
    <xdr:to>
      <xdr:col>24</xdr:col>
      <xdr:colOff>443824</xdr:colOff>
      <xdr:row>60</xdr:row>
      <xdr:rowOff>188383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19</xdr:col>
      <xdr:colOff>497417</xdr:colOff>
      <xdr:row>41</xdr:row>
      <xdr:rowOff>84668</xdr:rowOff>
    </xdr:from>
    <xdr:to>
      <xdr:col>24</xdr:col>
      <xdr:colOff>412073</xdr:colOff>
      <xdr:row>51</xdr:row>
      <xdr:rowOff>8468</xdr:rowOff>
    </xdr:to>
    <xdr:graphicFrame macro="">
      <xdr:nvGraphicFramePr>
        <xdr:cNvPr id="47" name="Interest Coverage Rat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24</xdr:col>
      <xdr:colOff>497417</xdr:colOff>
      <xdr:row>51</xdr:row>
      <xdr:rowOff>84666</xdr:rowOff>
    </xdr:from>
    <xdr:to>
      <xdr:col>29</xdr:col>
      <xdr:colOff>412073</xdr:colOff>
      <xdr:row>61</xdr:row>
      <xdr:rowOff>8466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hiraj\AppData\Local\Temp\GFL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Monthly price"/>
      <sheetName val="How-To-Use"/>
      <sheetName val="Overview"/>
      <sheetName val="Data Sheet"/>
      <sheetName val="Profit &amp; Loss"/>
      <sheetName val="Balance Sheet"/>
      <sheetName val="Quarters"/>
      <sheetName val="Cash Flow"/>
    </sheetNames>
    <sheetDataSet>
      <sheetData sheetId="0"/>
      <sheetData sheetId="1"/>
      <sheetData sheetId="2"/>
      <sheetData sheetId="3"/>
      <sheetData sheetId="4">
        <row r="1">
          <cell r="B1" t="str">
            <v>GFL LTD</v>
          </cell>
          <cell r="E1">
            <v>0</v>
          </cell>
        </row>
        <row r="6">
          <cell r="B6">
            <v>0</v>
          </cell>
        </row>
        <row r="8">
          <cell r="B8">
            <v>71</v>
          </cell>
        </row>
        <row r="16">
          <cell r="B16">
            <v>40999</v>
          </cell>
          <cell r="C16">
            <v>41364</v>
          </cell>
          <cell r="D16">
            <v>41729</v>
          </cell>
          <cell r="E16">
            <v>42094</v>
          </cell>
          <cell r="F16">
            <v>42460</v>
          </cell>
          <cell r="G16">
            <v>42825</v>
          </cell>
          <cell r="H16">
            <v>43190</v>
          </cell>
          <cell r="I16">
            <v>43555</v>
          </cell>
          <cell r="J16">
            <v>43921</v>
          </cell>
          <cell r="K16">
            <v>44286</v>
          </cell>
        </row>
        <row r="17">
          <cell r="B17">
            <v>2069</v>
          </cell>
          <cell r="C17">
            <v>1596.08</v>
          </cell>
          <cell r="D17">
            <v>1140.94</v>
          </cell>
          <cell r="E17">
            <v>1320.97</v>
          </cell>
          <cell r="F17">
            <v>1334.4</v>
          </cell>
          <cell r="G17">
            <v>1427.51</v>
          </cell>
          <cell r="H17">
            <v>2055.58</v>
          </cell>
          <cell r="I17">
            <v>0</v>
          </cell>
          <cell r="J17">
            <v>0</v>
          </cell>
          <cell r="K17">
            <v>1.04</v>
          </cell>
        </row>
        <row r="18">
          <cell r="B18">
            <v>228.36</v>
          </cell>
          <cell r="C18">
            <v>256.54000000000002</v>
          </cell>
          <cell r="D18">
            <v>320.18</v>
          </cell>
          <cell r="E18">
            <v>349.94</v>
          </cell>
          <cell r="F18">
            <v>285</v>
          </cell>
          <cell r="G18">
            <v>325.88</v>
          </cell>
          <cell r="H18">
            <v>466.53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94.3</v>
          </cell>
          <cell r="C19">
            <v>75.08</v>
          </cell>
          <cell r="D19">
            <v>-41.05</v>
          </cell>
          <cell r="E19">
            <v>47.05</v>
          </cell>
          <cell r="F19">
            <v>-50.63</v>
          </cell>
          <cell r="G19">
            <v>-1.19</v>
          </cell>
          <cell r="H19">
            <v>-38.42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276.45999999999998</v>
          </cell>
          <cell r="C20">
            <v>290.7</v>
          </cell>
          <cell r="D20">
            <v>299.77</v>
          </cell>
          <cell r="E20">
            <v>344.15</v>
          </cell>
          <cell r="F20">
            <v>329.81</v>
          </cell>
          <cell r="G20">
            <v>351.47</v>
          </cell>
          <cell r="H20">
            <v>410.02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249.72</v>
          </cell>
          <cell r="C21">
            <v>164</v>
          </cell>
          <cell r="D21">
            <v>135.16</v>
          </cell>
          <cell r="E21">
            <v>221.8</v>
          </cell>
          <cell r="F21">
            <v>207.82</v>
          </cell>
          <cell r="G21">
            <v>232.46</v>
          </cell>
          <cell r="H21">
            <v>293.99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79.36</v>
          </cell>
          <cell r="C22">
            <v>80.680000000000007</v>
          </cell>
          <cell r="D22">
            <v>81.72</v>
          </cell>
          <cell r="E22">
            <v>97.55</v>
          </cell>
          <cell r="F22">
            <v>104.83</v>
          </cell>
          <cell r="G22">
            <v>121.83</v>
          </cell>
          <cell r="H22">
            <v>143.22</v>
          </cell>
          <cell r="I22">
            <v>0.48</v>
          </cell>
          <cell r="J22">
            <v>3.01</v>
          </cell>
          <cell r="K22">
            <v>2.37</v>
          </cell>
        </row>
        <row r="23">
          <cell r="B23">
            <v>49.6</v>
          </cell>
          <cell r="C23">
            <v>54.7</v>
          </cell>
          <cell r="D23">
            <v>51.6</v>
          </cell>
          <cell r="E23">
            <v>55.89</v>
          </cell>
          <cell r="F23">
            <v>62</v>
          </cell>
          <cell r="G23">
            <v>68.44</v>
          </cell>
          <cell r="H23">
            <v>89.69</v>
          </cell>
          <cell r="I23">
            <v>0</v>
          </cell>
          <cell r="J23">
            <v>0.28000000000000003</v>
          </cell>
          <cell r="K23">
            <v>0</v>
          </cell>
        </row>
        <row r="24">
          <cell r="B24">
            <v>224.9</v>
          </cell>
          <cell r="C24">
            <v>121.83</v>
          </cell>
          <cell r="D24">
            <v>21.69</v>
          </cell>
          <cell r="E24">
            <v>44.23</v>
          </cell>
          <cell r="F24">
            <v>21.85</v>
          </cell>
          <cell r="G24">
            <v>26.22</v>
          </cell>
          <cell r="H24">
            <v>34.71</v>
          </cell>
          <cell r="I24">
            <v>0</v>
          </cell>
          <cell r="J24">
            <v>0.59</v>
          </cell>
          <cell r="K24">
            <v>28.96</v>
          </cell>
        </row>
        <row r="25">
          <cell r="B25">
            <v>-268.07</v>
          </cell>
          <cell r="C25">
            <v>56.9</v>
          </cell>
          <cell r="D25">
            <v>65.06</v>
          </cell>
          <cell r="E25">
            <v>358.91</v>
          </cell>
          <cell r="F25">
            <v>58.86</v>
          </cell>
          <cell r="G25">
            <v>76.41</v>
          </cell>
          <cell r="H25">
            <v>257.05</v>
          </cell>
          <cell r="I25">
            <v>1294.51</v>
          </cell>
          <cell r="J25">
            <v>47.88</v>
          </cell>
          <cell r="K25">
            <v>-0.93</v>
          </cell>
        </row>
        <row r="26">
          <cell r="B26">
            <v>77.819999999999993</v>
          </cell>
          <cell r="C26">
            <v>96.38</v>
          </cell>
          <cell r="D26">
            <v>101.7</v>
          </cell>
          <cell r="E26">
            <v>123.85</v>
          </cell>
          <cell r="F26">
            <v>143.66</v>
          </cell>
          <cell r="G26">
            <v>148.84</v>
          </cell>
          <cell r="H26">
            <v>152.13999999999999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57.13</v>
          </cell>
          <cell r="C27">
            <v>68.95</v>
          </cell>
          <cell r="D27">
            <v>55.28</v>
          </cell>
          <cell r="E27">
            <v>51.98</v>
          </cell>
          <cell r="F27">
            <v>45.51</v>
          </cell>
          <cell r="G27">
            <v>35.18</v>
          </cell>
          <cell r="H27">
            <v>47.62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651.88</v>
          </cell>
          <cell r="C28">
            <v>594.28</v>
          </cell>
          <cell r="D28">
            <v>97.85</v>
          </cell>
          <cell r="E28">
            <v>437.54</v>
          </cell>
          <cell r="F28">
            <v>142.15</v>
          </cell>
          <cell r="G28">
            <v>192.41</v>
          </cell>
          <cell r="H28">
            <v>636.29</v>
          </cell>
          <cell r="I28">
            <v>1294.03</v>
          </cell>
          <cell r="J28">
            <v>44</v>
          </cell>
          <cell r="K28">
            <v>-31.22</v>
          </cell>
        </row>
        <row r="29">
          <cell r="B29">
            <v>220.28</v>
          </cell>
          <cell r="C29">
            <v>195.94</v>
          </cell>
          <cell r="D29">
            <v>23.43</v>
          </cell>
          <cell r="E29">
            <v>55.18</v>
          </cell>
          <cell r="F29">
            <v>46.74</v>
          </cell>
          <cell r="G29">
            <v>46.12</v>
          </cell>
          <cell r="H29">
            <v>148.97999999999999</v>
          </cell>
          <cell r="I29">
            <v>16.72</v>
          </cell>
          <cell r="J29">
            <v>9.91</v>
          </cell>
          <cell r="K29">
            <v>0</v>
          </cell>
        </row>
        <row r="30">
          <cell r="B30">
            <v>431.6</v>
          </cell>
          <cell r="C30">
            <v>398.34</v>
          </cell>
          <cell r="D30">
            <v>74.42</v>
          </cell>
          <cell r="E30">
            <v>382.36</v>
          </cell>
          <cell r="F30">
            <v>95.4</v>
          </cell>
          <cell r="G30">
            <v>146.29</v>
          </cell>
          <cell r="H30">
            <v>487.31</v>
          </cell>
          <cell r="I30">
            <v>1277.31</v>
          </cell>
          <cell r="J30">
            <v>34.08</v>
          </cell>
          <cell r="K30">
            <v>-31.22</v>
          </cell>
        </row>
        <row r="31">
          <cell r="B31">
            <v>38.46</v>
          </cell>
          <cell r="C31">
            <v>38.46</v>
          </cell>
          <cell r="D31">
            <v>38.46</v>
          </cell>
          <cell r="E31">
            <v>38.46</v>
          </cell>
          <cell r="F31">
            <v>38.46</v>
          </cell>
          <cell r="G31">
            <v>38.46</v>
          </cell>
          <cell r="H31">
            <v>38.46</v>
          </cell>
          <cell r="I31">
            <v>38.46</v>
          </cell>
          <cell r="J31">
            <v>0</v>
          </cell>
          <cell r="K31">
            <v>0</v>
          </cell>
        </row>
        <row r="41">
          <cell r="B41">
            <v>43465</v>
          </cell>
          <cell r="C41">
            <v>43555</v>
          </cell>
          <cell r="D41">
            <v>43646</v>
          </cell>
          <cell r="E41">
            <v>43738</v>
          </cell>
          <cell r="F41">
            <v>43830</v>
          </cell>
          <cell r="G41">
            <v>43921</v>
          </cell>
          <cell r="H41">
            <v>44012</v>
          </cell>
          <cell r="I41">
            <v>44104</v>
          </cell>
          <cell r="J41">
            <v>44196</v>
          </cell>
          <cell r="K41">
            <v>44286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11.12</v>
          </cell>
          <cell r="F42">
            <v>5.89</v>
          </cell>
          <cell r="G42">
            <v>0.34</v>
          </cell>
          <cell r="H42">
            <v>7.98</v>
          </cell>
          <cell r="I42">
            <v>0.33</v>
          </cell>
          <cell r="J42">
            <v>0.24</v>
          </cell>
          <cell r="K42">
            <v>0.11</v>
          </cell>
        </row>
        <row r="43">
          <cell r="B43">
            <v>0.14000000000000001</v>
          </cell>
          <cell r="C43">
            <v>0.12</v>
          </cell>
          <cell r="D43">
            <v>0.12</v>
          </cell>
          <cell r="E43">
            <v>1.28</v>
          </cell>
          <cell r="F43">
            <v>1.73</v>
          </cell>
          <cell r="G43">
            <v>0.18</v>
          </cell>
          <cell r="H43">
            <v>1.1299999999999999</v>
          </cell>
          <cell r="I43">
            <v>0.87</v>
          </cell>
          <cell r="J43">
            <v>0.75</v>
          </cell>
          <cell r="K43">
            <v>0.33</v>
          </cell>
        </row>
        <row r="44">
          <cell r="B44">
            <v>117.42</v>
          </cell>
          <cell r="C44">
            <v>593.02</v>
          </cell>
          <cell r="D44">
            <v>12.1</v>
          </cell>
          <cell r="E44">
            <v>0</v>
          </cell>
          <cell r="F44">
            <v>6.88</v>
          </cell>
          <cell r="G44">
            <v>1.07</v>
          </cell>
          <cell r="H44">
            <v>-0.53</v>
          </cell>
          <cell r="I44">
            <v>0</v>
          </cell>
          <cell r="J44">
            <v>-0.16</v>
          </cell>
          <cell r="K44">
            <v>-0.24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117.28</v>
          </cell>
          <cell r="C47">
            <v>592.9</v>
          </cell>
          <cell r="D47">
            <v>11.98</v>
          </cell>
          <cell r="E47">
            <v>9.84</v>
          </cell>
          <cell r="F47">
            <v>11.04</v>
          </cell>
          <cell r="G47">
            <v>1.23</v>
          </cell>
          <cell r="H47">
            <v>6.32</v>
          </cell>
          <cell r="I47">
            <v>-0.54</v>
          </cell>
          <cell r="J47">
            <v>-0.67</v>
          </cell>
          <cell r="K47">
            <v>-0.46</v>
          </cell>
        </row>
        <row r="48">
          <cell r="B48">
            <v>4.8</v>
          </cell>
          <cell r="C48">
            <v>4.1399999999999997</v>
          </cell>
          <cell r="D48">
            <v>4.1900000000000004</v>
          </cell>
          <cell r="E48">
            <v>1.41</v>
          </cell>
          <cell r="F48">
            <v>0.01</v>
          </cell>
          <cell r="G48">
            <v>0.04</v>
          </cell>
          <cell r="H48">
            <v>1.72</v>
          </cell>
          <cell r="I48">
            <v>-0.01</v>
          </cell>
          <cell r="J48">
            <v>-0.01</v>
          </cell>
          <cell r="K48">
            <v>0.04</v>
          </cell>
        </row>
        <row r="49">
          <cell r="B49">
            <v>112.48</v>
          </cell>
          <cell r="C49">
            <v>588.76</v>
          </cell>
          <cell r="D49">
            <v>7.79</v>
          </cell>
          <cell r="E49">
            <v>8.43</v>
          </cell>
          <cell r="F49">
            <v>11.03</v>
          </cell>
          <cell r="G49">
            <v>1.19</v>
          </cell>
          <cell r="H49">
            <v>4.5999999999999996</v>
          </cell>
          <cell r="I49">
            <v>-0.53</v>
          </cell>
          <cell r="J49">
            <v>-0.66</v>
          </cell>
          <cell r="K49">
            <v>-0.5</v>
          </cell>
        </row>
        <row r="50">
          <cell r="B50">
            <v>-0.14000000000000001</v>
          </cell>
          <cell r="C50">
            <v>-0.12</v>
          </cell>
          <cell r="D50">
            <v>-0.12</v>
          </cell>
          <cell r="E50">
            <v>9.84</v>
          </cell>
          <cell r="F50">
            <v>4.16</v>
          </cell>
          <cell r="G50">
            <v>0.16</v>
          </cell>
          <cell r="H50">
            <v>6.85</v>
          </cell>
          <cell r="I50">
            <v>-0.54</v>
          </cell>
          <cell r="J50">
            <v>-0.51</v>
          </cell>
          <cell r="K50">
            <v>-0.22</v>
          </cell>
        </row>
        <row r="56">
          <cell r="B56">
            <v>40999</v>
          </cell>
          <cell r="C56">
            <v>41364</v>
          </cell>
          <cell r="D56">
            <v>41729</v>
          </cell>
          <cell r="E56">
            <v>42094</v>
          </cell>
          <cell r="F56">
            <v>42460</v>
          </cell>
          <cell r="G56">
            <v>42825</v>
          </cell>
          <cell r="H56">
            <v>43190</v>
          </cell>
          <cell r="I56">
            <v>43555</v>
          </cell>
          <cell r="J56">
            <v>43921</v>
          </cell>
          <cell r="K56">
            <v>44286</v>
          </cell>
        </row>
        <row r="57">
          <cell r="B57">
            <v>10.99</v>
          </cell>
          <cell r="C57">
            <v>10.99</v>
          </cell>
          <cell r="D57">
            <v>10.99</v>
          </cell>
          <cell r="E57">
            <v>10.99</v>
          </cell>
          <cell r="F57">
            <v>10.99</v>
          </cell>
          <cell r="G57">
            <v>10.99</v>
          </cell>
          <cell r="H57">
            <v>10.99</v>
          </cell>
          <cell r="I57">
            <v>10.99</v>
          </cell>
          <cell r="J57">
            <v>10.99</v>
          </cell>
          <cell r="K57">
            <v>10.99</v>
          </cell>
        </row>
        <row r="58">
          <cell r="B58">
            <v>2130.7800000000002</v>
          </cell>
          <cell r="C58">
            <v>2484.27</v>
          </cell>
          <cell r="D58">
            <v>2513.71</v>
          </cell>
          <cell r="E58">
            <v>2844.6</v>
          </cell>
          <cell r="F58">
            <v>2875.54</v>
          </cell>
          <cell r="G58">
            <v>3025.42</v>
          </cell>
          <cell r="H58">
            <v>3468.14</v>
          </cell>
          <cell r="I58">
            <v>4698</v>
          </cell>
          <cell r="J58">
            <v>1181.1400000000001</v>
          </cell>
          <cell r="K58">
            <v>300.23</v>
          </cell>
        </row>
        <row r="59">
          <cell r="B59">
            <v>851.18</v>
          </cell>
          <cell r="C59">
            <v>866.42</v>
          </cell>
          <cell r="D59">
            <v>704.94</v>
          </cell>
          <cell r="E59">
            <v>716.9</v>
          </cell>
          <cell r="F59">
            <v>478.44</v>
          </cell>
          <cell r="G59">
            <v>631.65</v>
          </cell>
          <cell r="H59">
            <v>749.71</v>
          </cell>
          <cell r="I59">
            <v>0</v>
          </cell>
          <cell r="J59">
            <v>0</v>
          </cell>
          <cell r="K59">
            <v>1</v>
          </cell>
        </row>
        <row r="60">
          <cell r="B60">
            <v>466.1</v>
          </cell>
          <cell r="C60">
            <v>365.23</v>
          </cell>
          <cell r="D60">
            <v>423.25</v>
          </cell>
          <cell r="E60">
            <v>497.31</v>
          </cell>
          <cell r="F60">
            <v>369.05</v>
          </cell>
          <cell r="G60">
            <v>412.3</v>
          </cell>
          <cell r="H60">
            <v>622.78</v>
          </cell>
          <cell r="I60">
            <v>1326.73</v>
          </cell>
          <cell r="J60">
            <v>5.2</v>
          </cell>
          <cell r="K60">
            <v>12.67</v>
          </cell>
        </row>
        <row r="61">
          <cell r="B61">
            <v>3459.05</v>
          </cell>
          <cell r="C61">
            <v>3726.91</v>
          </cell>
          <cell r="D61">
            <v>3652.89</v>
          </cell>
          <cell r="E61">
            <v>4069.8</v>
          </cell>
          <cell r="F61">
            <v>3734.02</v>
          </cell>
          <cell r="G61">
            <v>4080.36</v>
          </cell>
          <cell r="H61">
            <v>4851.62</v>
          </cell>
          <cell r="I61">
            <v>6035.72</v>
          </cell>
          <cell r="J61">
            <v>1197.33</v>
          </cell>
          <cell r="K61">
            <v>324.89</v>
          </cell>
        </row>
        <row r="62">
          <cell r="B62">
            <v>1626.84</v>
          </cell>
          <cell r="C62">
            <v>1624.8</v>
          </cell>
          <cell r="D62">
            <v>1628.12</v>
          </cell>
          <cell r="E62">
            <v>1994.15</v>
          </cell>
          <cell r="F62">
            <v>1976.97</v>
          </cell>
          <cell r="G62">
            <v>1910.29</v>
          </cell>
          <cell r="H62">
            <v>1908.89</v>
          </cell>
          <cell r="I62">
            <v>0</v>
          </cell>
          <cell r="J62">
            <v>0</v>
          </cell>
          <cell r="K62">
            <v>0</v>
          </cell>
        </row>
        <row r="63">
          <cell r="B63">
            <v>253.4</v>
          </cell>
          <cell r="C63">
            <v>390.99</v>
          </cell>
          <cell r="D63">
            <v>428.23</v>
          </cell>
          <cell r="E63">
            <v>108.95</v>
          </cell>
          <cell r="F63">
            <v>42.03</v>
          </cell>
          <cell r="G63">
            <v>139.22</v>
          </cell>
          <cell r="H63">
            <v>343.65</v>
          </cell>
          <cell r="I63">
            <v>0</v>
          </cell>
          <cell r="J63">
            <v>0</v>
          </cell>
          <cell r="K63">
            <v>0</v>
          </cell>
        </row>
        <row r="64">
          <cell r="B64">
            <v>293.20999999999998</v>
          </cell>
          <cell r="C64">
            <v>474.08</v>
          </cell>
          <cell r="D64">
            <v>463.81</v>
          </cell>
          <cell r="E64">
            <v>433.14</v>
          </cell>
          <cell r="F64">
            <v>593.27</v>
          </cell>
          <cell r="G64">
            <v>686.36</v>
          </cell>
          <cell r="H64">
            <v>815.83</v>
          </cell>
          <cell r="I64">
            <v>454.38</v>
          </cell>
          <cell r="J64">
            <v>456.69</v>
          </cell>
          <cell r="K64">
            <v>300.12</v>
          </cell>
        </row>
        <row r="65">
          <cell r="B65">
            <v>1285.5999999999999</v>
          </cell>
          <cell r="C65">
            <v>1237.04</v>
          </cell>
          <cell r="D65">
            <v>1132.73</v>
          </cell>
          <cell r="E65">
            <v>1533.56</v>
          </cell>
          <cell r="F65">
            <v>1121.75</v>
          </cell>
          <cell r="G65">
            <v>1344.49</v>
          </cell>
          <cell r="H65">
            <v>1783.25</v>
          </cell>
          <cell r="I65">
            <v>5581.34</v>
          </cell>
          <cell r="J65">
            <v>740.64</v>
          </cell>
          <cell r="K65">
            <v>24.77</v>
          </cell>
        </row>
        <row r="66">
          <cell r="B66">
            <v>3459.05</v>
          </cell>
          <cell r="C66">
            <v>3726.91</v>
          </cell>
          <cell r="D66">
            <v>3652.89</v>
          </cell>
          <cell r="E66">
            <v>4069.8</v>
          </cell>
          <cell r="F66">
            <v>3734.02</v>
          </cell>
          <cell r="G66">
            <v>4080.36</v>
          </cell>
          <cell r="H66">
            <v>4851.62</v>
          </cell>
          <cell r="I66">
            <v>6035.72</v>
          </cell>
          <cell r="J66">
            <v>1197.33</v>
          </cell>
          <cell r="K66">
            <v>324.89</v>
          </cell>
        </row>
        <row r="67">
          <cell r="B67">
            <v>247.83</v>
          </cell>
          <cell r="C67">
            <v>330.89</v>
          </cell>
          <cell r="D67">
            <v>316.72000000000003</v>
          </cell>
          <cell r="E67">
            <v>385.42</v>
          </cell>
          <cell r="F67">
            <v>375.21</v>
          </cell>
          <cell r="G67">
            <v>370.76</v>
          </cell>
          <cell r="H67">
            <v>555.13</v>
          </cell>
          <cell r="I67">
            <v>0</v>
          </cell>
          <cell r="J67">
            <v>0</v>
          </cell>
          <cell r="K67">
            <v>21.69</v>
          </cell>
        </row>
        <row r="68">
          <cell r="B68">
            <v>414.4</v>
          </cell>
          <cell r="C68">
            <v>421.11</v>
          </cell>
          <cell r="D68">
            <v>316.95</v>
          </cell>
          <cell r="E68">
            <v>367.13</v>
          </cell>
          <cell r="F68">
            <v>321.02999999999997</v>
          </cell>
          <cell r="G68">
            <v>315.89999999999998</v>
          </cell>
          <cell r="H68">
            <v>346.16</v>
          </cell>
          <cell r="I68">
            <v>0</v>
          </cell>
          <cell r="J68">
            <v>0</v>
          </cell>
          <cell r="K68">
            <v>0</v>
          </cell>
        </row>
        <row r="69">
          <cell r="B69">
            <v>211.34</v>
          </cell>
          <cell r="C69">
            <v>19.260000000000002</v>
          </cell>
          <cell r="D69">
            <v>8.48</v>
          </cell>
          <cell r="E69">
            <v>346.37</v>
          </cell>
          <cell r="F69">
            <v>22.03</v>
          </cell>
          <cell r="G69">
            <v>13</v>
          </cell>
          <cell r="H69">
            <v>21.74</v>
          </cell>
          <cell r="I69">
            <v>1.76</v>
          </cell>
          <cell r="J69">
            <v>2.02</v>
          </cell>
          <cell r="K69">
            <v>2.57</v>
          </cell>
        </row>
        <row r="70">
          <cell r="B70">
            <v>109850000</v>
          </cell>
          <cell r="C70">
            <v>109850000</v>
          </cell>
          <cell r="D70">
            <v>109850000</v>
          </cell>
          <cell r="E70">
            <v>109850000</v>
          </cell>
          <cell r="F70">
            <v>109850000</v>
          </cell>
          <cell r="G70">
            <v>109850000</v>
          </cell>
          <cell r="H70">
            <v>109850000</v>
          </cell>
          <cell r="I70">
            <v>109850000</v>
          </cell>
          <cell r="J70">
            <v>109850000</v>
          </cell>
          <cell r="K70">
            <v>0</v>
          </cell>
        </row>
        <row r="81">
          <cell r="B81">
            <v>40999</v>
          </cell>
          <cell r="C81">
            <v>41364</v>
          </cell>
          <cell r="D81">
            <v>41729</v>
          </cell>
          <cell r="E81">
            <v>42094</v>
          </cell>
          <cell r="F81">
            <v>42460</v>
          </cell>
          <cell r="G81">
            <v>42825</v>
          </cell>
          <cell r="H81">
            <v>43190</v>
          </cell>
          <cell r="I81">
            <v>43555</v>
          </cell>
          <cell r="J81">
            <v>43921</v>
          </cell>
          <cell r="K81">
            <v>44286</v>
          </cell>
        </row>
        <row r="82">
          <cell r="B82">
            <v>425.92</v>
          </cell>
          <cell r="C82">
            <v>367.07</v>
          </cell>
          <cell r="D82">
            <v>333.41</v>
          </cell>
          <cell r="E82">
            <v>81.45</v>
          </cell>
          <cell r="F82">
            <v>300.47000000000003</v>
          </cell>
          <cell r="G82">
            <v>300.49</v>
          </cell>
          <cell r="H82">
            <v>351.64</v>
          </cell>
          <cell r="I82">
            <v>578.59</v>
          </cell>
          <cell r="J82">
            <v>-13.39</v>
          </cell>
          <cell r="K82">
            <v>-45.21</v>
          </cell>
        </row>
        <row r="83">
          <cell r="B83">
            <v>-871.48</v>
          </cell>
          <cell r="C83">
            <v>-442.28</v>
          </cell>
          <cell r="D83">
            <v>-85.83</v>
          </cell>
          <cell r="E83">
            <v>338.66</v>
          </cell>
          <cell r="F83">
            <v>-238.11</v>
          </cell>
          <cell r="G83">
            <v>-435.93</v>
          </cell>
          <cell r="H83">
            <v>-362.01</v>
          </cell>
          <cell r="I83">
            <v>-639.85</v>
          </cell>
          <cell r="J83">
            <v>28.86</v>
          </cell>
          <cell r="K83">
            <v>45.67</v>
          </cell>
        </row>
        <row r="84">
          <cell r="B84">
            <v>639.09</v>
          </cell>
          <cell r="C84">
            <v>-116.07</v>
          </cell>
          <cell r="D84">
            <v>-258.3</v>
          </cell>
          <cell r="E84">
            <v>-81.37</v>
          </cell>
          <cell r="F84">
            <v>-387.36</v>
          </cell>
          <cell r="G84">
            <v>127.42</v>
          </cell>
          <cell r="H84">
            <v>19.079999999999998</v>
          </cell>
          <cell r="I84">
            <v>72.510000000000005</v>
          </cell>
          <cell r="J84">
            <v>-46.35</v>
          </cell>
          <cell r="K84">
            <v>0.95</v>
          </cell>
        </row>
        <row r="85">
          <cell r="B85">
            <v>193.53</v>
          </cell>
          <cell r="C85">
            <v>-191.28</v>
          </cell>
          <cell r="D85">
            <v>-10.72</v>
          </cell>
          <cell r="E85">
            <v>338.74</v>
          </cell>
          <cell r="F85">
            <v>-325.01</v>
          </cell>
          <cell r="G85">
            <v>-8.0299999999999994</v>
          </cell>
          <cell r="H85">
            <v>8.7100000000000009</v>
          </cell>
          <cell r="I85">
            <v>11.26</v>
          </cell>
          <cell r="J85">
            <v>-30.88</v>
          </cell>
          <cell r="K85">
            <v>1.41</v>
          </cell>
        </row>
        <row r="90">
          <cell r="B90">
            <v>73.61</v>
          </cell>
          <cell r="C90">
            <v>43.1</v>
          </cell>
          <cell r="D90">
            <v>46.06</v>
          </cell>
          <cell r="E90">
            <v>101.61</v>
          </cell>
          <cell r="F90">
            <v>74.37</v>
          </cell>
          <cell r="G90">
            <v>109.42</v>
          </cell>
          <cell r="H90">
            <v>114.67</v>
          </cell>
          <cell r="I90">
            <v>159.05000000000001</v>
          </cell>
          <cell r="J90">
            <v>76.27</v>
          </cell>
          <cell r="K90">
            <v>72.95</v>
          </cell>
        </row>
        <row r="93">
          <cell r="B93">
            <v>10.99</v>
          </cell>
          <cell r="C93">
            <v>10.99</v>
          </cell>
          <cell r="D93">
            <v>10.99</v>
          </cell>
          <cell r="E93">
            <v>10.99</v>
          </cell>
          <cell r="F93">
            <v>10.99</v>
          </cell>
          <cell r="G93">
            <v>10.99</v>
          </cell>
          <cell r="H93">
            <v>10.99</v>
          </cell>
          <cell r="I93">
            <v>10.99</v>
          </cell>
          <cell r="J93">
            <v>10.99</v>
          </cell>
          <cell r="K93">
            <v>10.99</v>
          </cell>
        </row>
      </sheetData>
      <sheetData sheetId="5">
        <row r="1">
          <cell r="A1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6">
        <row r="1">
          <cell r="A1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7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Annual" displayName="Annual" ref="A3:O19" headerRowCount="0" totalsRowShown="0" headerRowDxfId="71">
  <tableColumns count="15">
    <tableColumn id="1" name="Column1" headerRowDxfId="70" dataDxfId="69"/>
    <tableColumn id="2" name="Column2" headerRowDxfId="68"/>
    <tableColumn id="3" name="Column3" headerRowDxfId="67"/>
    <tableColumn id="4" name="Column4" headerRowDxfId="66"/>
    <tableColumn id="5" name="Column5" headerRowDxfId="65"/>
    <tableColumn id="6" name="Column6" headerRowDxfId="64"/>
    <tableColumn id="7" name="Column7" headerRowDxfId="63"/>
    <tableColumn id="8" name="Column8" headerRowDxfId="62"/>
    <tableColumn id="9" name="Column9" headerRowDxfId="61"/>
    <tableColumn id="10" name="Column10" headerRowDxfId="60"/>
    <tableColumn id="11" name="Column11" headerRowDxfId="59"/>
    <tableColumn id="12" name="Column12" headerRowDxfId="58"/>
    <tableColumn id="13" name="Column13" headerRowDxfId="57" dataDxfId="56"/>
    <tableColumn id="14" name="Column14" headerRowDxfId="55" dataDxfId="54"/>
    <tableColumn id="15" name="Column15" headerRowDxfId="53" dataDxfId="5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51">
  <tableColumns count="11">
    <tableColumn id="1" name="Column1" headerRowDxfId="50"/>
    <tableColumn id="2" name="Column2" headerRowDxfId="49"/>
    <tableColumn id="3" name="Column3" headerRowDxfId="48"/>
    <tableColumn id="4" name="Column4" headerRowDxfId="47"/>
    <tableColumn id="5" name="Column5" headerRowDxfId="46"/>
    <tableColumn id="6" name="Column6" headerRowDxfId="45"/>
    <tableColumn id="7" name="Column7" headerRowDxfId="44"/>
    <tableColumn id="8" name="Column8" headerRowDxfId="43"/>
    <tableColumn id="9" name="Column9" headerRowDxfId="42"/>
    <tableColumn id="10" name="Column10" headerRowDxfId="41"/>
    <tableColumn id="11" name="Column11" headerRowDxfId="40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Annual4" displayName="Annual4" ref="A3:O19" headerRowCount="0" totalsRowShown="0" headerRowDxfId="39">
  <tableColumns count="15">
    <tableColumn id="1" name="Column1" headerRowDxfId="38" dataDxfId="37"/>
    <tableColumn id="2" name="Column2" headerRowDxfId="36"/>
    <tableColumn id="3" name="Column3" headerRowDxfId="35"/>
    <tableColumn id="4" name="Column4" headerRowDxfId="34"/>
    <tableColumn id="5" name="Column5" headerRowDxfId="33"/>
    <tableColumn id="6" name="Column6" headerRowDxfId="32"/>
    <tableColumn id="7" name="Column7" headerRowDxfId="31"/>
    <tableColumn id="8" name="Column8" headerRowDxfId="30"/>
    <tableColumn id="9" name="Column9" headerRowDxfId="29"/>
    <tableColumn id="10" name="Column10" headerRowDxfId="28"/>
    <tableColumn id="11" name="Column11" headerRowDxfId="27"/>
    <tableColumn id="12" name="Column12" headerRowDxfId="26"/>
    <tableColumn id="13" name="Column13" headerRowDxfId="25" dataDxfId="24"/>
    <tableColumn id="14" name="Column14" headerRowDxfId="23" dataDxfId="22"/>
    <tableColumn id="15" name="Column15" headerRowDxfId="21" dataDxfId="20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Quarters5" displayName="Quarters5" ref="A3:K14" headerRowCount="0" totalsRowShown="0" headerRowDxfId="19">
  <tableColumns count="11">
    <tableColumn id="1" name="Column1" headerRowDxfId="18"/>
    <tableColumn id="2" name="Column2" headerRowDxfId="17"/>
    <tableColumn id="3" name="Column3" headerRowDxfId="16"/>
    <tableColumn id="4" name="Column4" headerRowDxfId="15"/>
    <tableColumn id="5" name="Column5" headerRowDxfId="14"/>
    <tableColumn id="6" name="Column6" headerRowDxfId="13"/>
    <tableColumn id="7" name="Column7" headerRowDxfId="12"/>
    <tableColumn id="8" name="Column8" headerRowDxfId="11"/>
    <tableColumn id="9" name="Column9" headerRowDxfId="10"/>
    <tableColumn id="10" name="Column10" headerRowDxfId="9"/>
    <tableColumn id="11" name="Column11" headerRowDxfId="8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0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1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2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3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4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5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6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7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8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9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0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1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2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3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4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5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6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7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8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9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0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1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2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3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4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5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6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7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8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5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6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7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8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9.xml><?xml version="1.0" encoding="utf-8"?>
<a:themeOverride xmlns:a="http://schemas.openxmlformats.org/drawingml/2006/main">
  <a:clrScheme name="Concourse">
    <a:dk1>
      <a:sysClr val="windowText" lastClr="000000"/>
    </a:dk1>
    <a:lt1>
      <a:sysClr val="window" lastClr="FFFFFF"/>
    </a:lt1>
    <a:dk2>
      <a:srgbClr val="464646"/>
    </a:dk2>
    <a:lt2>
      <a:srgbClr val="DEF5FA"/>
    </a:lt2>
    <a:accent1>
      <a:srgbClr val="2DA2BF"/>
    </a:accent1>
    <a:accent2>
      <a:srgbClr val="DA1F28"/>
    </a:accent2>
    <a:accent3>
      <a:srgbClr val="EB641B"/>
    </a:accent3>
    <a:accent4>
      <a:srgbClr val="39639D"/>
    </a:accent4>
    <a:accent5>
      <a:srgbClr val="474B78"/>
    </a:accent5>
    <a:accent6>
      <a:srgbClr val="7D3C4A"/>
    </a:accent6>
    <a:hlink>
      <a:srgbClr val="FF8119"/>
    </a:hlink>
    <a:folHlink>
      <a:srgbClr val="44B9E8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djacency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creener.in/excel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creener.in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creener.in/" TargetMode="External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creener.in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exce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reener.in/exce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creener.in/" TargetMode="External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creener.in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creener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0"/>
  <sheetViews>
    <sheetView tabSelected="1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H3" sqref="H3"/>
    </sheetView>
  </sheetViews>
  <sheetFormatPr defaultRowHeight="15" x14ac:dyDescent="0.25"/>
  <cols>
    <col min="1" max="1" width="9.85546875" customWidth="1"/>
    <col min="2" max="2" width="9.7109375" bestFit="1" customWidth="1"/>
    <col min="3" max="6" width="14.7109375" customWidth="1"/>
    <col min="7" max="7" width="42.7109375" customWidth="1"/>
    <col min="8" max="16" width="10.42578125" bestFit="1" customWidth="1"/>
    <col min="17" max="17" width="12.5703125" bestFit="1" customWidth="1"/>
    <col min="18" max="27" width="11.5703125" bestFit="1" customWidth="1"/>
  </cols>
  <sheetData>
    <row r="1" spans="1:43" s="33" customFormat="1" x14ac:dyDescent="0.25">
      <c r="B1" s="33" t="s">
        <v>155</v>
      </c>
      <c r="C1" s="55">
        <v>37346</v>
      </c>
      <c r="D1" s="55">
        <v>37711</v>
      </c>
      <c r="E1" s="55">
        <v>38077</v>
      </c>
      <c r="F1" s="55">
        <v>38442</v>
      </c>
      <c r="G1" s="55">
        <v>38807</v>
      </c>
      <c r="H1" s="55">
        <v>39172</v>
      </c>
      <c r="I1" s="55">
        <v>39538</v>
      </c>
      <c r="J1" s="55">
        <v>39903</v>
      </c>
      <c r="K1" s="55">
        <v>40268</v>
      </c>
      <c r="L1" s="55">
        <v>40633</v>
      </c>
      <c r="M1" s="55">
        <v>40999</v>
      </c>
      <c r="N1" s="55">
        <v>41364</v>
      </c>
      <c r="O1" s="55">
        <v>41729</v>
      </c>
      <c r="P1" s="55">
        <v>42094</v>
      </c>
      <c r="Q1" s="55">
        <v>42460</v>
      </c>
      <c r="R1" s="55">
        <v>42825</v>
      </c>
      <c r="S1" s="55">
        <v>43190</v>
      </c>
      <c r="T1" s="55">
        <v>43555</v>
      </c>
      <c r="U1" s="55">
        <v>43921</v>
      </c>
      <c r="V1" s="55"/>
      <c r="W1" s="55"/>
      <c r="X1" s="55"/>
      <c r="Y1" s="55"/>
      <c r="Z1" s="55"/>
      <c r="AA1" s="55"/>
    </row>
    <row r="2" spans="1:43" s="33" customFormat="1" x14ac:dyDescent="0.25">
      <c r="A2" s="33" t="s">
        <v>159</v>
      </c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43" x14ac:dyDescent="0.25">
      <c r="A3" t="s">
        <v>157</v>
      </c>
      <c r="B3" t="s">
        <v>156</v>
      </c>
      <c r="C3" s="54">
        <v>0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f>143+77</f>
        <v>220</v>
      </c>
      <c r="J3" s="54">
        <f>537+834</f>
        <v>1371</v>
      </c>
      <c r="K3" s="54">
        <f>898+837</f>
        <v>1735</v>
      </c>
      <c r="L3" s="54" t="s">
        <v>167</v>
      </c>
      <c r="M3" s="54" t="s">
        <v>167</v>
      </c>
      <c r="N3" s="54" t="s">
        <v>167</v>
      </c>
      <c r="O3" s="60">
        <v>7539</v>
      </c>
      <c r="P3" s="61">
        <v>9219</v>
      </c>
      <c r="Q3" s="54">
        <v>8054</v>
      </c>
      <c r="R3" s="54">
        <v>10257</v>
      </c>
      <c r="S3" s="54">
        <v>12478</v>
      </c>
      <c r="T3" s="54" t="s">
        <v>167</v>
      </c>
      <c r="U3" s="54" t="s">
        <v>167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</row>
    <row r="4" spans="1:43" x14ac:dyDescent="0.25">
      <c r="A4" t="s">
        <v>163</v>
      </c>
      <c r="B4" t="s">
        <v>156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228</v>
      </c>
      <c r="I4" s="54">
        <v>29029</v>
      </c>
      <c r="J4" s="54">
        <v>43969</v>
      </c>
      <c r="K4" s="54">
        <v>51842</v>
      </c>
      <c r="L4" s="54" t="s">
        <v>167</v>
      </c>
      <c r="M4" s="54" t="s">
        <v>167</v>
      </c>
      <c r="N4" s="54" t="s">
        <v>167</v>
      </c>
      <c r="O4" s="60">
        <v>114803</v>
      </c>
      <c r="P4" s="61">
        <v>105451</v>
      </c>
      <c r="Q4" s="54">
        <v>114890</v>
      </c>
      <c r="R4" s="54">
        <v>124187</v>
      </c>
      <c r="S4" s="54">
        <v>124587</v>
      </c>
      <c r="T4" s="54" t="s">
        <v>167</v>
      </c>
      <c r="U4" s="54" t="s">
        <v>167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1:43" x14ac:dyDescent="0.25">
      <c r="A5" t="s">
        <v>160</v>
      </c>
      <c r="B5" t="s">
        <v>156</v>
      </c>
      <c r="C5" s="54">
        <v>0</v>
      </c>
      <c r="D5" s="54">
        <v>0</v>
      </c>
      <c r="E5" s="54">
        <v>0</v>
      </c>
      <c r="F5" s="54">
        <v>242</v>
      </c>
      <c r="G5" s="54">
        <v>206</v>
      </c>
      <c r="H5" s="54">
        <v>137</v>
      </c>
      <c r="I5" s="54">
        <v>152</v>
      </c>
      <c r="J5" s="54">
        <v>125</v>
      </c>
      <c r="K5" s="54">
        <v>11</v>
      </c>
      <c r="L5" s="54" t="s">
        <v>167</v>
      </c>
      <c r="M5" s="54" t="s">
        <v>167</v>
      </c>
      <c r="N5" s="54" t="s">
        <v>167</v>
      </c>
      <c r="O5" s="54" t="s">
        <v>167</v>
      </c>
      <c r="P5" s="54" t="s">
        <v>167</v>
      </c>
      <c r="Q5" s="54" t="s">
        <v>167</v>
      </c>
      <c r="R5" s="54" t="s">
        <v>167</v>
      </c>
      <c r="S5" s="54" t="s">
        <v>167</v>
      </c>
      <c r="T5" s="54" t="s">
        <v>167</v>
      </c>
      <c r="U5" s="54" t="s">
        <v>167</v>
      </c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</row>
    <row r="6" spans="1:43" x14ac:dyDescent="0.25">
      <c r="A6" t="s">
        <v>153</v>
      </c>
      <c r="B6" t="s">
        <v>156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5868</v>
      </c>
      <c r="J6" s="54">
        <v>15182</v>
      </c>
      <c r="K6" s="54">
        <v>24370</v>
      </c>
      <c r="L6" s="54" t="s">
        <v>167</v>
      </c>
      <c r="M6" s="54" t="s">
        <v>167</v>
      </c>
      <c r="N6" s="54" t="s">
        <v>167</v>
      </c>
      <c r="O6" s="60">
        <v>104569</v>
      </c>
      <c r="P6" s="61">
        <v>65837</v>
      </c>
      <c r="Q6" s="54">
        <v>65837</v>
      </c>
      <c r="R6" s="54">
        <v>64760</v>
      </c>
      <c r="S6" s="54">
        <v>64259</v>
      </c>
      <c r="T6" s="54" t="s">
        <v>167</v>
      </c>
      <c r="U6" s="54" t="s">
        <v>167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</row>
    <row r="7" spans="1:43" x14ac:dyDescent="0.25">
      <c r="A7" t="s">
        <v>154</v>
      </c>
      <c r="B7" t="s">
        <v>156</v>
      </c>
      <c r="C7" s="54">
        <v>11937</v>
      </c>
      <c r="D7" s="54">
        <v>13356</v>
      </c>
      <c r="E7" s="54">
        <v>14545</v>
      </c>
      <c r="F7" s="54">
        <v>14513</v>
      </c>
      <c r="G7" s="54">
        <v>12450</v>
      </c>
      <c r="H7" s="54">
        <v>18423</v>
      </c>
      <c r="I7" s="54">
        <v>20946</v>
      </c>
      <c r="J7" s="54">
        <v>17425</v>
      </c>
      <c r="K7" s="54">
        <v>19565</v>
      </c>
      <c r="L7" s="54" t="s">
        <v>167</v>
      </c>
      <c r="M7" s="54" t="s">
        <v>167</v>
      </c>
      <c r="N7" s="54" t="s">
        <v>167</v>
      </c>
      <c r="O7" s="60">
        <v>23597</v>
      </c>
      <c r="P7" s="61">
        <v>11748</v>
      </c>
      <c r="Q7" s="54">
        <v>14307</v>
      </c>
      <c r="R7" s="54">
        <v>14076</v>
      </c>
      <c r="S7" s="54">
        <v>15915</v>
      </c>
      <c r="T7" s="54" t="s">
        <v>167</v>
      </c>
      <c r="U7" s="54" t="s">
        <v>167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</row>
    <row r="8" spans="1:43" x14ac:dyDescent="0.25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3" s="33" customFormat="1" x14ac:dyDescent="0.25">
      <c r="A9" s="33" t="s">
        <v>158</v>
      </c>
      <c r="B9" s="33" t="s">
        <v>165</v>
      </c>
      <c r="C9" s="59">
        <v>119.91419999999999</v>
      </c>
      <c r="D9" s="59">
        <v>132.62309999999999</v>
      </c>
      <c r="E9" s="59">
        <v>171.98689999999999</v>
      </c>
      <c r="F9" s="59">
        <v>182.03139999999999</v>
      </c>
      <c r="G9" s="59">
        <v>182.03139999999999</v>
      </c>
      <c r="H9" s="59">
        <v>573.7672</v>
      </c>
      <c r="I9" s="59">
        <v>723.21559999999999</v>
      </c>
      <c r="J9" s="59">
        <v>1044.5217</v>
      </c>
      <c r="K9" s="59">
        <v>986.34500000000003</v>
      </c>
      <c r="L9" s="59">
        <v>982.85119999999995</v>
      </c>
      <c r="M9" s="59">
        <v>2068.9960999999998</v>
      </c>
      <c r="N9" s="59">
        <v>1596.0808999999999</v>
      </c>
      <c r="O9" s="59">
        <v>1140.9358</v>
      </c>
      <c r="P9" s="59">
        <v>1320.97</v>
      </c>
      <c r="Q9" s="59">
        <v>1419.9</v>
      </c>
      <c r="R9" s="59">
        <v>1527.7527</v>
      </c>
      <c r="S9" s="59">
        <v>2078.3353999999999</v>
      </c>
      <c r="T9" s="59">
        <v>2723.8434000000002</v>
      </c>
      <c r="U9" s="59">
        <v>2471.7703999999999</v>
      </c>
    </row>
    <row r="10" spans="1:43" x14ac:dyDescent="0.25">
      <c r="A10" t="s">
        <v>157</v>
      </c>
      <c r="B10" t="s">
        <v>165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f>2.2981+4.3657</f>
        <v>6.6638000000000002</v>
      </c>
      <c r="J10" s="58">
        <f>24.4467+19.1504</f>
        <v>43.597099999999998</v>
      </c>
      <c r="K10" s="58">
        <f>24.8426+30.1406</f>
        <v>54.983199999999997</v>
      </c>
      <c r="L10" s="58">
        <v>276.80099999999999</v>
      </c>
      <c r="M10" s="58">
        <v>661.01639999999998</v>
      </c>
      <c r="N10" s="58">
        <v>392.5856</v>
      </c>
      <c r="O10" s="58">
        <v>439.18880000000001</v>
      </c>
      <c r="P10" s="58">
        <v>518.79999999999995</v>
      </c>
      <c r="Q10" s="58">
        <v>437.17790000000002</v>
      </c>
      <c r="R10" s="58">
        <v>527.29060000000004</v>
      </c>
      <c r="S10" s="58">
        <v>756.23580000000004</v>
      </c>
      <c r="T10" s="62">
        <v>1117.7878000000001</v>
      </c>
      <c r="U10" s="58">
        <v>926.65150000000006</v>
      </c>
      <c r="V10" s="54"/>
      <c r="W10" s="54"/>
      <c r="X10" s="54"/>
      <c r="Y10" s="54"/>
      <c r="Z10" s="54"/>
      <c r="AA10" s="54"/>
    </row>
    <row r="11" spans="1:43" x14ac:dyDescent="0.25">
      <c r="A11" t="s">
        <v>163</v>
      </c>
      <c r="B11" t="s">
        <v>165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0.35449999999999998</v>
      </c>
      <c r="I11" s="58">
        <v>44.408700000000003</v>
      </c>
      <c r="J11" s="58">
        <v>96.166700000000006</v>
      </c>
      <c r="K11" s="58">
        <v>71.128299999999996</v>
      </c>
      <c r="L11" s="58" t="s">
        <v>167</v>
      </c>
      <c r="M11" s="58">
        <v>194.66130000000001</v>
      </c>
      <c r="N11" s="58">
        <v>291.70710000000003</v>
      </c>
      <c r="O11" s="58">
        <v>279.80369999999999</v>
      </c>
      <c r="P11" s="58">
        <v>256.76639999999998</v>
      </c>
      <c r="Q11" s="58">
        <v>336.62110000000001</v>
      </c>
      <c r="R11" s="58">
        <v>381.04360000000003</v>
      </c>
      <c r="S11" s="58">
        <v>470.25470000000001</v>
      </c>
      <c r="T11" s="62">
        <v>460.60789999999997</v>
      </c>
      <c r="U11" s="58">
        <v>352.0068</v>
      </c>
      <c r="V11" s="54"/>
      <c r="W11" s="54"/>
      <c r="X11" s="54"/>
      <c r="Y11" s="54"/>
      <c r="Z11" s="54"/>
      <c r="AA11" s="54"/>
    </row>
    <row r="12" spans="1:43" x14ac:dyDescent="0.25">
      <c r="A12" t="s">
        <v>160</v>
      </c>
      <c r="B12" t="s">
        <v>165</v>
      </c>
      <c r="C12" s="58">
        <v>0</v>
      </c>
      <c r="D12" s="58">
        <v>0</v>
      </c>
      <c r="E12" s="58">
        <v>0</v>
      </c>
      <c r="F12" s="58"/>
      <c r="G12" s="58">
        <v>11.6858</v>
      </c>
      <c r="H12" s="58">
        <v>5.9443999999999999</v>
      </c>
      <c r="I12" s="58">
        <v>3.2014</v>
      </c>
      <c r="J12" s="58">
        <v>2.5306999999999999</v>
      </c>
      <c r="K12" s="58">
        <v>0.3296</v>
      </c>
      <c r="L12" s="58" t="s">
        <v>167</v>
      </c>
      <c r="M12" s="58" t="s">
        <v>167</v>
      </c>
      <c r="N12" s="58" t="s">
        <v>167</v>
      </c>
      <c r="O12" s="58" t="s">
        <v>167</v>
      </c>
      <c r="P12" s="58" t="s">
        <v>167</v>
      </c>
      <c r="Q12" s="58" t="s">
        <v>168</v>
      </c>
      <c r="R12" s="58" t="s">
        <v>168</v>
      </c>
      <c r="S12" s="58" t="s">
        <v>168</v>
      </c>
      <c r="T12" s="62" t="s">
        <v>168</v>
      </c>
      <c r="U12" s="62" t="s">
        <v>168</v>
      </c>
      <c r="V12" s="54"/>
      <c r="W12" s="54"/>
      <c r="X12" s="54"/>
      <c r="Y12" s="54"/>
      <c r="Z12" s="54"/>
      <c r="AA12" s="54"/>
    </row>
    <row r="13" spans="1:43" x14ac:dyDescent="0.25">
      <c r="A13" t="s">
        <v>154</v>
      </c>
      <c r="B13" t="s">
        <v>165</v>
      </c>
      <c r="C13" s="58">
        <v>115.6172</v>
      </c>
      <c r="D13" s="58">
        <v>125.9789</v>
      </c>
      <c r="E13" s="58">
        <v>145.1353</v>
      </c>
      <c r="F13" s="58">
        <v>162.88300000000001</v>
      </c>
      <c r="G13" s="58">
        <v>166.2201</v>
      </c>
      <c r="H13" s="58">
        <v>167.5359</v>
      </c>
      <c r="I13" s="58">
        <v>169.0136</v>
      </c>
      <c r="J13" s="58">
        <v>186.8981</v>
      </c>
      <c r="K13" s="58">
        <v>188.05160000000001</v>
      </c>
      <c r="L13" s="58">
        <v>221.45920000000001</v>
      </c>
      <c r="M13" s="58">
        <v>72.372399999999999</v>
      </c>
      <c r="N13" s="58">
        <v>117.074</v>
      </c>
      <c r="O13" s="58">
        <v>125.9873</v>
      </c>
      <c r="P13" s="58">
        <v>204.30959999999999</v>
      </c>
      <c r="Q13" s="58">
        <v>274.39659999999998</v>
      </c>
      <c r="R13" s="58">
        <v>253.2912</v>
      </c>
      <c r="S13" s="58">
        <v>407.02</v>
      </c>
      <c r="T13" s="62">
        <v>491.09620000000001</v>
      </c>
      <c r="U13" s="58">
        <v>438.71390000000002</v>
      </c>
      <c r="V13" s="54"/>
      <c r="W13" s="54"/>
      <c r="X13" s="54"/>
      <c r="Y13" s="54"/>
      <c r="Z13" s="54"/>
      <c r="AA13" s="54"/>
    </row>
    <row r="14" spans="1:43" x14ac:dyDescent="0.25">
      <c r="A14" t="s">
        <v>153</v>
      </c>
      <c r="B14" t="s">
        <v>165</v>
      </c>
      <c r="C14" s="58"/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13.1554</v>
      </c>
      <c r="J14" s="58">
        <v>32.661700000000003</v>
      </c>
      <c r="K14" s="58">
        <v>71.511099999999999</v>
      </c>
      <c r="L14" s="58">
        <v>122.4119</v>
      </c>
      <c r="M14" s="58">
        <v>203.68549999999999</v>
      </c>
      <c r="N14" s="58">
        <v>190.09020000000001</v>
      </c>
      <c r="O14" s="58">
        <v>218.21940000000001</v>
      </c>
      <c r="P14" s="58">
        <v>274.5677</v>
      </c>
      <c r="Q14" s="58">
        <v>277.50020000000001</v>
      </c>
      <c r="R14" s="58">
        <v>262.86439999999999</v>
      </c>
      <c r="S14" s="58">
        <v>270.84449999999998</v>
      </c>
      <c r="T14" s="62">
        <v>351.28440000000001</v>
      </c>
      <c r="U14" s="58">
        <v>304.62729999999999</v>
      </c>
    </row>
    <row r="15" spans="1:43" x14ac:dyDescent="0.25">
      <c r="A15" t="s">
        <v>166</v>
      </c>
      <c r="B15" t="s">
        <v>165</v>
      </c>
      <c r="C15" s="57"/>
      <c r="D15" s="57">
        <v>0</v>
      </c>
      <c r="E15" s="57">
        <v>0</v>
      </c>
      <c r="F15" s="57">
        <v>0</v>
      </c>
      <c r="G15" s="57">
        <v>0</v>
      </c>
      <c r="H15" s="56">
        <v>390.05880000000002</v>
      </c>
      <c r="I15" s="56">
        <v>453.93830000000003</v>
      </c>
      <c r="J15" s="57">
        <v>629.31200000000001</v>
      </c>
      <c r="K15" s="58">
        <v>472.95890000000003</v>
      </c>
      <c r="L15" s="58">
        <v>202.4324</v>
      </c>
      <c r="M15" s="58">
        <v>876.14099999999996</v>
      </c>
      <c r="N15" s="58">
        <v>441.69260000000003</v>
      </c>
      <c r="O15" s="58">
        <v>0.58099999999999996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</row>
    <row r="16" spans="1:43" x14ac:dyDescent="0.25">
      <c r="A16" t="s">
        <v>164</v>
      </c>
      <c r="B16" t="s">
        <v>165</v>
      </c>
      <c r="C16" s="58">
        <f t="shared" ref="C16:F16" si="0">C9-SUM(C10:C15)</f>
        <v>4.296999999999997</v>
      </c>
      <c r="D16" s="58">
        <f t="shared" si="0"/>
        <v>6.6441999999999979</v>
      </c>
      <c r="E16" s="58">
        <f t="shared" si="0"/>
        <v>26.851599999999991</v>
      </c>
      <c r="F16" s="58">
        <f t="shared" si="0"/>
        <v>19.148399999999981</v>
      </c>
      <c r="G16" s="58">
        <f>G9-SUM(G10:G15)</f>
        <v>4.1254999999999882</v>
      </c>
      <c r="H16" s="58">
        <f>H9-SUM(H10:H15)</f>
        <v>9.8736000000000104</v>
      </c>
      <c r="I16" s="58">
        <f>I9-SUM(I10:I15)</f>
        <v>32.83439999999996</v>
      </c>
      <c r="J16" s="58">
        <f>J9-SUM(J10:J15)</f>
        <v>53.355400000000031</v>
      </c>
      <c r="K16" s="58">
        <f>K9-SUM(K10:K15)</f>
        <v>127.38229999999999</v>
      </c>
      <c r="L16" s="58">
        <f t="shared" ref="L16:U16" si="1">L9-SUM(L10:L15)</f>
        <v>159.74669999999992</v>
      </c>
      <c r="M16" s="58">
        <f t="shared" si="1"/>
        <v>61.119499999999789</v>
      </c>
      <c r="N16" s="58">
        <f t="shared" si="1"/>
        <v>162.93139999999994</v>
      </c>
      <c r="O16" s="58">
        <f t="shared" si="1"/>
        <v>77.155600000000049</v>
      </c>
      <c r="P16" s="58">
        <f t="shared" si="1"/>
        <v>66.526299999999992</v>
      </c>
      <c r="Q16" s="58">
        <f t="shared" si="1"/>
        <v>94.204200000000128</v>
      </c>
      <c r="R16" s="58">
        <f t="shared" si="1"/>
        <v>103.26290000000017</v>
      </c>
      <c r="S16" s="58">
        <f t="shared" si="1"/>
        <v>173.98039999999992</v>
      </c>
      <c r="T16" s="58">
        <f t="shared" si="1"/>
        <v>303.06710000000021</v>
      </c>
      <c r="U16" s="58">
        <f t="shared" si="1"/>
        <v>449.77089999999998</v>
      </c>
    </row>
    <row r="18" spans="1:27" x14ac:dyDescent="0.25">
      <c r="A18" t="s">
        <v>161</v>
      </c>
      <c r="C18" s="54"/>
      <c r="D18" s="54" t="s">
        <v>167</v>
      </c>
      <c r="E18" s="54" t="s">
        <v>167</v>
      </c>
      <c r="F18" s="54" t="s">
        <v>167</v>
      </c>
      <c r="G18" s="54" t="s">
        <v>167</v>
      </c>
      <c r="H18" s="54">
        <v>600</v>
      </c>
      <c r="I18" s="54">
        <v>900</v>
      </c>
      <c r="J18" s="54">
        <v>900</v>
      </c>
      <c r="K18" s="54">
        <v>900</v>
      </c>
      <c r="L18" s="54">
        <v>1253</v>
      </c>
      <c r="M18" s="54">
        <v>1500</v>
      </c>
      <c r="N18" s="54">
        <v>1260</v>
      </c>
      <c r="O18" s="54" t="s">
        <v>167</v>
      </c>
      <c r="P18" s="54">
        <v>1522</v>
      </c>
      <c r="Q18" s="54">
        <v>1496</v>
      </c>
      <c r="R18" s="54">
        <v>1693</v>
      </c>
      <c r="S18" s="54">
        <v>1912</v>
      </c>
      <c r="T18" s="54">
        <v>2083</v>
      </c>
      <c r="U18" s="54">
        <v>2286</v>
      </c>
      <c r="V18" s="54"/>
      <c r="W18" s="54"/>
      <c r="X18" s="54"/>
      <c r="Y18" s="54"/>
      <c r="Z18" s="54"/>
      <c r="AA18" s="54"/>
    </row>
    <row r="19" spans="1:27" x14ac:dyDescent="0.25">
      <c r="A19" t="s">
        <v>162</v>
      </c>
      <c r="E19" s="54"/>
      <c r="F19" s="54"/>
      <c r="G19" s="54"/>
      <c r="H19" s="54" t="s">
        <v>167</v>
      </c>
      <c r="I19" s="54" t="s">
        <v>167</v>
      </c>
      <c r="J19" s="54" t="s">
        <v>167</v>
      </c>
      <c r="K19" s="54" t="s">
        <v>167</v>
      </c>
      <c r="L19" s="54" t="s">
        <v>167</v>
      </c>
      <c r="M19" s="54" t="s">
        <v>167</v>
      </c>
      <c r="N19" s="54" t="s">
        <v>167</v>
      </c>
      <c r="O19" s="54" t="s">
        <v>167</v>
      </c>
      <c r="P19" s="54" t="s">
        <v>167</v>
      </c>
      <c r="Q19" s="54" t="s">
        <v>167</v>
      </c>
      <c r="R19" s="54">
        <v>1380</v>
      </c>
      <c r="S19" s="54">
        <v>1541</v>
      </c>
      <c r="T19" s="54">
        <v>2048</v>
      </c>
      <c r="U19" s="54">
        <v>2408</v>
      </c>
      <c r="V19" s="54"/>
      <c r="W19" s="54"/>
      <c r="X19" s="54"/>
      <c r="Y19" s="54"/>
      <c r="Z19" s="54"/>
      <c r="AA19" s="54"/>
    </row>
    <row r="20" spans="1:27" x14ac:dyDescent="0.25">
      <c r="C20" s="55">
        <v>37346</v>
      </c>
      <c r="D20" s="55">
        <v>37711</v>
      </c>
      <c r="E20" s="55">
        <v>38077</v>
      </c>
      <c r="F20" s="55">
        <v>38442</v>
      </c>
      <c r="G20" s="55">
        <v>38807</v>
      </c>
      <c r="H20" s="55">
        <v>39172</v>
      </c>
      <c r="I20" s="55">
        <v>39538</v>
      </c>
      <c r="J20" s="55">
        <v>39903</v>
      </c>
      <c r="K20" s="55">
        <v>40268</v>
      </c>
      <c r="L20" s="55">
        <v>40633</v>
      </c>
      <c r="M20" s="55">
        <v>40999</v>
      </c>
      <c r="N20" s="55">
        <v>41364</v>
      </c>
      <c r="O20" s="55">
        <v>41729</v>
      </c>
      <c r="P20" s="55">
        <v>42094</v>
      </c>
      <c r="Q20" s="55">
        <v>42460</v>
      </c>
      <c r="R20" s="55">
        <v>42825</v>
      </c>
      <c r="S20" s="55">
        <v>43190</v>
      </c>
      <c r="T20" s="55">
        <v>43555</v>
      </c>
      <c r="U20" s="55">
        <v>43921</v>
      </c>
    </row>
    <row r="21" spans="1:27" x14ac:dyDescent="0.25">
      <c r="A21" t="s">
        <v>14</v>
      </c>
      <c r="B21" t="s">
        <v>165</v>
      </c>
      <c r="C21" s="56">
        <v>30.539899999999999</v>
      </c>
      <c r="D21" s="56">
        <v>33.415199999999999</v>
      </c>
      <c r="E21" s="56">
        <v>51.612400000000001</v>
      </c>
      <c r="F21" s="56">
        <v>44.630899999999997</v>
      </c>
      <c r="G21" s="56">
        <v>96.334800000000001</v>
      </c>
      <c r="H21" s="56">
        <v>241.6627</v>
      </c>
      <c r="I21" s="56">
        <v>319.96120000000002</v>
      </c>
      <c r="J21" s="56">
        <v>340.13</v>
      </c>
      <c r="K21" s="56">
        <v>334.06689999999998</v>
      </c>
      <c r="L21" s="56">
        <v>249.37880000000001</v>
      </c>
      <c r="M21" s="56">
        <v>753.00220000000002</v>
      </c>
      <c r="N21" s="56">
        <v>397.90249999999997</v>
      </c>
      <c r="O21" s="56">
        <v>74.418000000000006</v>
      </c>
      <c r="P21" s="56">
        <v>382.35</v>
      </c>
      <c r="Q21" s="56">
        <v>95.402199999999993</v>
      </c>
      <c r="R21" s="56">
        <v>146.28620000000001</v>
      </c>
      <c r="S21" s="56">
        <v>487.3109</v>
      </c>
      <c r="T21" s="56">
        <v>1277.3078</v>
      </c>
      <c r="U21" s="56">
        <v>189.94749999999999</v>
      </c>
    </row>
    <row r="22" spans="1:27" x14ac:dyDescent="0.25">
      <c r="A22" t="s">
        <v>171</v>
      </c>
      <c r="B22" t="s">
        <v>165</v>
      </c>
      <c r="C22" s="56">
        <v>13.599399999999999</v>
      </c>
      <c r="D22" s="56">
        <v>20.559699999999999</v>
      </c>
      <c r="E22" s="56">
        <v>43.028100000000002</v>
      </c>
      <c r="F22" s="56">
        <v>33.2395</v>
      </c>
      <c r="G22" s="56">
        <v>81.454700000000003</v>
      </c>
      <c r="H22" s="56">
        <v>55.355499999999999</v>
      </c>
      <c r="I22" s="56">
        <v>121.68170000000001</v>
      </c>
      <c r="J22" s="56">
        <v>33.530200000000001</v>
      </c>
      <c r="K22" s="56">
        <v>70.637799999999999</v>
      </c>
      <c r="L22" s="56">
        <v>103.76900000000001</v>
      </c>
      <c r="M22" s="56">
        <v>57.639499999999998</v>
      </c>
      <c r="N22" s="56">
        <v>56.903799999999997</v>
      </c>
      <c r="O22" s="56">
        <v>65.0595</v>
      </c>
      <c r="P22" s="56">
        <v>56.192700000000002</v>
      </c>
      <c r="Q22" s="56">
        <v>58.857199999999999</v>
      </c>
      <c r="R22" s="56">
        <v>71.123900000000006</v>
      </c>
      <c r="S22" s="56">
        <v>103.02370000000001</v>
      </c>
      <c r="T22" s="56">
        <v>132.19409999999999</v>
      </c>
      <c r="U22" s="56">
        <v>221.27</v>
      </c>
    </row>
    <row r="23" spans="1:27" x14ac:dyDescent="0.25">
      <c r="A23" t="s">
        <v>170</v>
      </c>
      <c r="B23" t="s">
        <v>165</v>
      </c>
      <c r="C23" s="58">
        <v>0</v>
      </c>
      <c r="D23" s="58">
        <v>-6.2066999999999997</v>
      </c>
      <c r="E23" s="58">
        <v>-6.03</v>
      </c>
      <c r="F23" s="58">
        <v>0</v>
      </c>
      <c r="G23" s="58">
        <v>0</v>
      </c>
      <c r="H23" s="58">
        <v>-0.27579999999999999</v>
      </c>
      <c r="I23" s="58">
        <v>-10.196199999999999</v>
      </c>
      <c r="J23" s="58">
        <v>-2.6808999999999998</v>
      </c>
      <c r="K23" s="58">
        <v>-15.5984</v>
      </c>
      <c r="L23" s="58">
        <v>-0.60750000000000004</v>
      </c>
      <c r="M23" s="58">
        <v>0</v>
      </c>
      <c r="N23" s="58">
        <v>0</v>
      </c>
      <c r="O23" s="58">
        <v>0</v>
      </c>
      <c r="P23" s="58">
        <v>279.0505</v>
      </c>
      <c r="Q23" s="58">
        <v>0</v>
      </c>
      <c r="R23" s="58">
        <v>5.2827999999999999</v>
      </c>
      <c r="S23" s="58">
        <v>154.0258</v>
      </c>
      <c r="T23" s="58">
        <f>-8.24+828.5209</f>
        <v>820.28089999999997</v>
      </c>
      <c r="U23" s="58">
        <v>-26.040500000000002</v>
      </c>
    </row>
    <row r="24" spans="1:27" x14ac:dyDescent="0.25">
      <c r="A24" t="s">
        <v>169</v>
      </c>
      <c r="B24" t="s">
        <v>165</v>
      </c>
      <c r="C24" s="56">
        <f>C21-C22-C23</f>
        <v>16.9405</v>
      </c>
      <c r="D24" s="56">
        <f>D21-D22-D23</f>
        <v>19.062199999999997</v>
      </c>
      <c r="E24" s="56">
        <f t="shared" ref="E24:U24" si="2">E21-E22-E23</f>
        <v>14.6143</v>
      </c>
      <c r="F24" s="56">
        <f t="shared" si="2"/>
        <v>11.391399999999997</v>
      </c>
      <c r="G24" s="56">
        <f t="shared" si="2"/>
        <v>14.880099999999999</v>
      </c>
      <c r="H24" s="56">
        <f t="shared" si="2"/>
        <v>186.583</v>
      </c>
      <c r="I24" s="56">
        <f t="shared" si="2"/>
        <v>208.47570000000002</v>
      </c>
      <c r="J24" s="56">
        <f t="shared" si="2"/>
        <v>309.28070000000002</v>
      </c>
      <c r="K24" s="56">
        <f t="shared" si="2"/>
        <v>279.02749999999997</v>
      </c>
      <c r="L24" s="56">
        <f t="shared" si="2"/>
        <v>146.21729999999999</v>
      </c>
      <c r="M24" s="56">
        <f t="shared" si="2"/>
        <v>695.36270000000002</v>
      </c>
      <c r="N24" s="56">
        <f t="shared" si="2"/>
        <v>340.99869999999999</v>
      </c>
      <c r="O24" s="56">
        <f t="shared" si="2"/>
        <v>9.3585000000000065</v>
      </c>
      <c r="P24" s="56">
        <f t="shared" si="2"/>
        <v>47.106800000000021</v>
      </c>
      <c r="Q24" s="56">
        <f t="shared" si="2"/>
        <v>36.544999999999995</v>
      </c>
      <c r="R24" s="56">
        <f t="shared" si="2"/>
        <v>69.879500000000007</v>
      </c>
      <c r="S24" s="56">
        <f t="shared" si="2"/>
        <v>230.26139999999998</v>
      </c>
      <c r="T24" s="56">
        <f t="shared" si="2"/>
        <v>324.83280000000013</v>
      </c>
      <c r="U24" s="56">
        <f t="shared" si="2"/>
        <v>-5.2820000000000178</v>
      </c>
    </row>
    <row r="25" spans="1:27" ht="240" x14ac:dyDescent="0.25">
      <c r="D25" s="66" t="s">
        <v>187</v>
      </c>
      <c r="E25" s="66" t="s">
        <v>187</v>
      </c>
      <c r="M25" s="66" t="s">
        <v>172</v>
      </c>
      <c r="P25" s="66" t="s">
        <v>173</v>
      </c>
      <c r="S25" s="66" t="s">
        <v>174</v>
      </c>
      <c r="T25" s="66" t="s">
        <v>188</v>
      </c>
    </row>
    <row r="28" spans="1:27" x14ac:dyDescent="0.25">
      <c r="C28" s="65">
        <v>37346</v>
      </c>
      <c r="W28" s="65">
        <v>35885</v>
      </c>
      <c r="X28" s="65">
        <v>36250</v>
      </c>
      <c r="Y28" s="65">
        <v>36616</v>
      </c>
      <c r="Z28" s="65">
        <v>36981</v>
      </c>
    </row>
    <row r="29" spans="1:27" x14ac:dyDescent="0.25">
      <c r="A29" t="s">
        <v>179</v>
      </c>
      <c r="D29" t="s">
        <v>186</v>
      </c>
      <c r="W29" s="65"/>
    </row>
    <row r="30" spans="1:27" x14ac:dyDescent="0.25">
      <c r="A30" t="s">
        <v>176</v>
      </c>
      <c r="B30" t="s">
        <v>180</v>
      </c>
      <c r="C30">
        <v>140933</v>
      </c>
      <c r="D30">
        <v>0</v>
      </c>
      <c r="W30">
        <v>107600</v>
      </c>
      <c r="X30">
        <v>107600</v>
      </c>
      <c r="Y30">
        <v>140933</v>
      </c>
      <c r="Z30">
        <v>140933</v>
      </c>
    </row>
    <row r="31" spans="1:27" x14ac:dyDescent="0.25">
      <c r="A31" t="s">
        <v>175</v>
      </c>
      <c r="B31" t="s">
        <v>181</v>
      </c>
      <c r="C31">
        <v>10</v>
      </c>
      <c r="W31">
        <v>10</v>
      </c>
      <c r="X31">
        <v>10</v>
      </c>
      <c r="Y31">
        <v>10</v>
      </c>
      <c r="Z31">
        <v>10</v>
      </c>
    </row>
    <row r="32" spans="1:27" x14ac:dyDescent="0.25">
      <c r="A32" t="s">
        <v>177</v>
      </c>
      <c r="B32" t="s">
        <v>165</v>
      </c>
      <c r="C32">
        <v>0.1</v>
      </c>
      <c r="W32">
        <v>0</v>
      </c>
      <c r="X32">
        <v>0</v>
      </c>
      <c r="Y32">
        <v>0.1</v>
      </c>
      <c r="Z32">
        <v>0.1</v>
      </c>
    </row>
    <row r="33" spans="1:26" x14ac:dyDescent="0.25">
      <c r="A33" t="s">
        <v>178</v>
      </c>
    </row>
    <row r="34" spans="1:26" x14ac:dyDescent="0.25">
      <c r="A34" t="s">
        <v>176</v>
      </c>
      <c r="B34" t="s">
        <v>180</v>
      </c>
      <c r="W34">
        <v>107600</v>
      </c>
      <c r="X34">
        <v>0</v>
      </c>
      <c r="Y34">
        <v>0</v>
      </c>
      <c r="Z34">
        <v>0</v>
      </c>
    </row>
    <row r="35" spans="1:26" x14ac:dyDescent="0.25">
      <c r="A35" t="s">
        <v>175</v>
      </c>
      <c r="B35" t="s">
        <v>181</v>
      </c>
      <c r="W35">
        <v>0</v>
      </c>
      <c r="X35">
        <v>0</v>
      </c>
      <c r="Y35">
        <v>0</v>
      </c>
      <c r="Z35">
        <v>0</v>
      </c>
    </row>
    <row r="36" spans="1:26" x14ac:dyDescent="0.25">
      <c r="A36" t="s">
        <v>177</v>
      </c>
      <c r="B36" t="s">
        <v>165</v>
      </c>
      <c r="W36" s="56">
        <v>1.8753</v>
      </c>
      <c r="X36">
        <v>0</v>
      </c>
      <c r="Y36">
        <v>0</v>
      </c>
      <c r="Z36">
        <v>0</v>
      </c>
    </row>
    <row r="37" spans="1:26" x14ac:dyDescent="0.25">
      <c r="W37" s="56"/>
    </row>
    <row r="38" spans="1:26" x14ac:dyDescent="0.25">
      <c r="A38" t="s">
        <v>184</v>
      </c>
      <c r="B38" t="s">
        <v>185</v>
      </c>
      <c r="W38">
        <v>276.77999999999997</v>
      </c>
    </row>
    <row r="39" spans="1:26" x14ac:dyDescent="0.25">
      <c r="A39" t="s">
        <v>182</v>
      </c>
      <c r="B39" t="s">
        <v>185</v>
      </c>
      <c r="W39">
        <f>W34*375/10^5</f>
        <v>403.5</v>
      </c>
    </row>
    <row r="40" spans="1:26" x14ac:dyDescent="0.25">
      <c r="A40" t="s">
        <v>183</v>
      </c>
    </row>
    <row r="50" spans="1:7" s="76" customFormat="1" ht="60" x14ac:dyDescent="0.25">
      <c r="A50" s="74" t="s">
        <v>189</v>
      </c>
      <c r="B50" s="75" t="s">
        <v>14</v>
      </c>
      <c r="C50" s="75" t="s">
        <v>171</v>
      </c>
      <c r="D50" s="75" t="s">
        <v>170</v>
      </c>
      <c r="E50" s="75" t="s">
        <v>190</v>
      </c>
      <c r="F50" s="75" t="s">
        <v>169</v>
      </c>
      <c r="G50" s="75" t="s">
        <v>191</v>
      </c>
    </row>
    <row r="51" spans="1:7" x14ac:dyDescent="0.25">
      <c r="A51" s="70"/>
      <c r="B51" s="71" t="s">
        <v>165</v>
      </c>
      <c r="C51" s="71" t="s">
        <v>165</v>
      </c>
      <c r="D51" s="71" t="s">
        <v>165</v>
      </c>
      <c r="E51" s="71" t="s">
        <v>165</v>
      </c>
      <c r="F51" s="71" t="s">
        <v>165</v>
      </c>
      <c r="G51" s="70"/>
    </row>
    <row r="52" spans="1:7" x14ac:dyDescent="0.25">
      <c r="A52" s="72">
        <v>37346</v>
      </c>
      <c r="B52" s="71">
        <v>30.539899999999999</v>
      </c>
      <c r="C52" s="71">
        <v>13.599399999999999</v>
      </c>
      <c r="D52" s="71">
        <v>0</v>
      </c>
      <c r="E52" s="71"/>
      <c r="F52" s="71">
        <f>B52-C52-D52-E52</f>
        <v>16.9405</v>
      </c>
      <c r="G52" s="70"/>
    </row>
    <row r="53" spans="1:7" x14ac:dyDescent="0.25">
      <c r="A53" s="72">
        <v>37711</v>
      </c>
      <c r="B53" s="71">
        <v>33.415199999999999</v>
      </c>
      <c r="C53" s="71">
        <v>20.559699999999999</v>
      </c>
      <c r="D53" s="71">
        <v>-6.2066999999999997</v>
      </c>
      <c r="E53" s="71">
        <v>0</v>
      </c>
      <c r="F53" s="71">
        <f t="shared" ref="F53:F69" si="3">B53-C53-D53-E53</f>
        <v>19.062199999999997</v>
      </c>
      <c r="G53" s="70" t="s">
        <v>187</v>
      </c>
    </row>
    <row r="54" spans="1:7" x14ac:dyDescent="0.25">
      <c r="A54" s="72">
        <v>38077</v>
      </c>
      <c r="B54" s="71">
        <v>51.612400000000001</v>
      </c>
      <c r="C54" s="71">
        <v>43.028100000000002</v>
      </c>
      <c r="D54" s="71">
        <v>-6.03</v>
      </c>
      <c r="E54" s="71">
        <v>0</v>
      </c>
      <c r="F54" s="71">
        <f t="shared" si="3"/>
        <v>14.6143</v>
      </c>
      <c r="G54" s="70" t="s">
        <v>187</v>
      </c>
    </row>
    <row r="55" spans="1:7" x14ac:dyDescent="0.25">
      <c r="A55" s="72">
        <v>38442</v>
      </c>
      <c r="B55" s="71">
        <v>44.630899999999997</v>
      </c>
      <c r="C55" s="71">
        <v>33.2395</v>
      </c>
      <c r="D55" s="71">
        <v>0</v>
      </c>
      <c r="E55" s="71">
        <v>0</v>
      </c>
      <c r="F55" s="71">
        <f t="shared" si="3"/>
        <v>11.391399999999997</v>
      </c>
      <c r="G55" s="70"/>
    </row>
    <row r="56" spans="1:7" x14ac:dyDescent="0.25">
      <c r="A56" s="72">
        <v>38807</v>
      </c>
      <c r="B56" s="71">
        <v>96.334800000000001</v>
      </c>
      <c r="C56" s="71">
        <v>81.454700000000003</v>
      </c>
      <c r="D56" s="71">
        <v>0</v>
      </c>
      <c r="E56" s="71">
        <v>0</v>
      </c>
      <c r="F56" s="71">
        <f t="shared" si="3"/>
        <v>14.880099999999999</v>
      </c>
      <c r="G56" s="70"/>
    </row>
    <row r="57" spans="1:7" x14ac:dyDescent="0.25">
      <c r="A57" s="72">
        <v>39172</v>
      </c>
      <c r="B57" s="71">
        <v>241.6627</v>
      </c>
      <c r="C57" s="71">
        <v>55.355499999999999</v>
      </c>
      <c r="D57" s="71">
        <v>-0.27579999999999999</v>
      </c>
      <c r="E57" s="71">
        <v>390.05880000000002</v>
      </c>
      <c r="F57" s="71">
        <f t="shared" si="3"/>
        <v>-203.47580000000002</v>
      </c>
      <c r="G57" s="70"/>
    </row>
    <row r="58" spans="1:7" x14ac:dyDescent="0.25">
      <c r="A58" s="72">
        <v>39538</v>
      </c>
      <c r="B58" s="71">
        <v>319.96120000000002</v>
      </c>
      <c r="C58" s="71">
        <v>121.68170000000001</v>
      </c>
      <c r="D58" s="71">
        <v>-10.196199999999999</v>
      </c>
      <c r="E58" s="71">
        <v>453.93830000000003</v>
      </c>
      <c r="F58" s="71">
        <f t="shared" si="3"/>
        <v>-245.46260000000001</v>
      </c>
      <c r="G58" s="70"/>
    </row>
    <row r="59" spans="1:7" x14ac:dyDescent="0.25">
      <c r="A59" s="72">
        <v>39903</v>
      </c>
      <c r="B59" s="71">
        <v>340.13</v>
      </c>
      <c r="C59" s="71">
        <v>33.530200000000001</v>
      </c>
      <c r="D59" s="71">
        <v>-2.6808999999999998</v>
      </c>
      <c r="E59" s="71">
        <v>629.31200000000001</v>
      </c>
      <c r="F59" s="71">
        <f t="shared" si="3"/>
        <v>-320.03129999999999</v>
      </c>
      <c r="G59" s="70"/>
    </row>
    <row r="60" spans="1:7" x14ac:dyDescent="0.25">
      <c r="A60" s="72">
        <v>40268</v>
      </c>
      <c r="B60" s="71">
        <v>334.06689999999998</v>
      </c>
      <c r="C60" s="71">
        <v>70.637799999999999</v>
      </c>
      <c r="D60" s="71">
        <v>-15.5984</v>
      </c>
      <c r="E60" s="71">
        <v>472.95890000000003</v>
      </c>
      <c r="F60" s="71">
        <f t="shared" si="3"/>
        <v>-193.93140000000005</v>
      </c>
      <c r="G60" s="70"/>
    </row>
    <row r="61" spans="1:7" x14ac:dyDescent="0.25">
      <c r="A61" s="72">
        <v>40633</v>
      </c>
      <c r="B61" s="71">
        <v>249.37880000000001</v>
      </c>
      <c r="C61" s="71">
        <v>103.76900000000001</v>
      </c>
      <c r="D61" s="71">
        <v>-0.60750000000000004</v>
      </c>
      <c r="E61" s="71">
        <v>202.4324</v>
      </c>
      <c r="F61" s="71">
        <f t="shared" si="3"/>
        <v>-56.215100000000007</v>
      </c>
      <c r="G61" s="70"/>
    </row>
    <row r="62" spans="1:7" s="67" customFormat="1" ht="45" x14ac:dyDescent="0.25">
      <c r="A62" s="73">
        <v>40999</v>
      </c>
      <c r="B62" s="69">
        <v>753.00220000000002</v>
      </c>
      <c r="C62" s="69">
        <v>57.639499999999998</v>
      </c>
      <c r="D62" s="69">
        <v>0</v>
      </c>
      <c r="E62" s="69">
        <v>876.14099999999996</v>
      </c>
      <c r="F62" s="69">
        <f t="shared" si="3"/>
        <v>-180.77829999999994</v>
      </c>
      <c r="G62" s="68" t="s">
        <v>172</v>
      </c>
    </row>
    <row r="63" spans="1:7" x14ac:dyDescent="0.25">
      <c r="A63" s="72">
        <v>41364</v>
      </c>
      <c r="B63" s="71">
        <v>397.90249999999997</v>
      </c>
      <c r="C63" s="71">
        <v>56.903799999999997</v>
      </c>
      <c r="D63" s="71">
        <v>0</v>
      </c>
      <c r="E63" s="71">
        <v>441.69260000000003</v>
      </c>
      <c r="F63" s="71">
        <f t="shared" si="3"/>
        <v>-100.69390000000004</v>
      </c>
      <c r="G63" s="70"/>
    </row>
    <row r="64" spans="1:7" x14ac:dyDescent="0.25">
      <c r="A64" s="72">
        <v>41729</v>
      </c>
      <c r="B64" s="71">
        <v>74.418000000000006</v>
      </c>
      <c r="C64" s="71">
        <v>65.0595</v>
      </c>
      <c r="D64" s="71">
        <v>0</v>
      </c>
      <c r="E64" s="71">
        <v>0.58099999999999996</v>
      </c>
      <c r="F64" s="71">
        <f t="shared" si="3"/>
        <v>8.777500000000007</v>
      </c>
      <c r="G64" s="70"/>
    </row>
    <row r="65" spans="1:7" x14ac:dyDescent="0.25">
      <c r="A65" s="72">
        <v>42094</v>
      </c>
      <c r="B65" s="71">
        <v>382.35</v>
      </c>
      <c r="C65" s="71">
        <v>56.192700000000002</v>
      </c>
      <c r="D65" s="71">
        <v>279.0505</v>
      </c>
      <c r="E65" s="71">
        <v>0</v>
      </c>
      <c r="F65" s="71">
        <f t="shared" si="3"/>
        <v>47.106800000000021</v>
      </c>
      <c r="G65" s="70" t="s">
        <v>173</v>
      </c>
    </row>
    <row r="66" spans="1:7" x14ac:dyDescent="0.25">
      <c r="A66" s="72">
        <v>42460</v>
      </c>
      <c r="B66" s="71">
        <v>95.402199999999993</v>
      </c>
      <c r="C66" s="71">
        <v>58.857199999999999</v>
      </c>
      <c r="D66" s="71">
        <v>0</v>
      </c>
      <c r="E66" s="71">
        <v>0</v>
      </c>
      <c r="F66" s="71">
        <f t="shared" si="3"/>
        <v>36.544999999999995</v>
      </c>
      <c r="G66" s="70"/>
    </row>
    <row r="67" spans="1:7" x14ac:dyDescent="0.25">
      <c r="A67" s="72">
        <v>42825</v>
      </c>
      <c r="B67" s="71">
        <v>146.28620000000001</v>
      </c>
      <c r="C67" s="71">
        <v>71.123900000000006</v>
      </c>
      <c r="D67" s="71">
        <v>5.2827999999999999</v>
      </c>
      <c r="E67" s="71">
        <v>0</v>
      </c>
      <c r="F67" s="71">
        <f t="shared" si="3"/>
        <v>69.879500000000007</v>
      </c>
      <c r="G67" s="70"/>
    </row>
    <row r="68" spans="1:7" x14ac:dyDescent="0.25">
      <c r="A68" s="72">
        <v>43190</v>
      </c>
      <c r="B68" s="71">
        <v>487.3109</v>
      </c>
      <c r="C68" s="71">
        <v>103.02370000000001</v>
      </c>
      <c r="D68" s="71">
        <v>154.0258</v>
      </c>
      <c r="E68" s="71">
        <v>0</v>
      </c>
      <c r="F68" s="71">
        <f t="shared" si="3"/>
        <v>230.26139999999998</v>
      </c>
      <c r="G68" s="70" t="s">
        <v>174</v>
      </c>
    </row>
    <row r="69" spans="1:7" x14ac:dyDescent="0.25">
      <c r="A69" s="72">
        <v>43555</v>
      </c>
      <c r="B69" s="71">
        <v>1277.3078</v>
      </c>
      <c r="C69" s="71">
        <v>132.19409999999999</v>
      </c>
      <c r="D69" s="71">
        <v>836.76089999999999</v>
      </c>
      <c r="E69" s="71">
        <v>0</v>
      </c>
      <c r="F69" s="71">
        <f t="shared" si="3"/>
        <v>308.35280000000012</v>
      </c>
      <c r="G69" s="70" t="s">
        <v>188</v>
      </c>
    </row>
    <row r="70" spans="1:7" x14ac:dyDescent="0.25">
      <c r="A70" s="72">
        <v>43921</v>
      </c>
      <c r="B70" s="71">
        <v>189.94749999999999</v>
      </c>
      <c r="C70" s="71">
        <v>221.27</v>
      </c>
      <c r="D70" s="71">
        <v>-26.040500000000002</v>
      </c>
      <c r="E70" s="71">
        <v>0</v>
      </c>
      <c r="F70" s="71">
        <v>-5.2820000000000178</v>
      </c>
      <c r="G70" s="70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pane xSplit="1" ySplit="1" topLeftCell="B53" activePane="bottomRight" state="frozen"/>
      <selection activeCell="C4" sqref="C4"/>
      <selection pane="topRight" activeCell="C4" sqref="C4"/>
      <selection pane="bottomLeft" activeCell="C4" sqref="C4"/>
      <selection pane="bottomRight" activeCell="A15" sqref="A15"/>
    </sheetView>
  </sheetViews>
  <sheetFormatPr defaultRowHeight="15" x14ac:dyDescent="0.25"/>
  <cols>
    <col min="1" max="1" width="27.7109375" style="5" bestFit="1" customWidth="1"/>
    <col min="2" max="11" width="13.5703125" style="5" bestFit="1" customWidth="1"/>
    <col min="12" max="16384" width="9.140625" style="5"/>
  </cols>
  <sheetData>
    <row r="1" spans="1:11" s="1" customFormat="1" x14ac:dyDescent="0.25">
      <c r="A1" s="1" t="s">
        <v>0</v>
      </c>
      <c r="B1" s="1" t="s">
        <v>64</v>
      </c>
      <c r="E1" s="63" t="str">
        <f>IF(B2&lt;&gt;B3, "A NEW VERSION OF THE WORKSHEET IS AVAILABLE", "")</f>
        <v/>
      </c>
      <c r="F1" s="63"/>
      <c r="G1" s="63"/>
      <c r="H1" s="63"/>
      <c r="I1" s="63"/>
      <c r="J1" s="63"/>
      <c r="K1" s="63"/>
    </row>
    <row r="2" spans="1:11" x14ac:dyDescent="0.25">
      <c r="A2" s="1" t="s">
        <v>62</v>
      </c>
      <c r="B2" s="5">
        <v>2.1</v>
      </c>
      <c r="E2" s="64" t="s">
        <v>36</v>
      </c>
      <c r="F2" s="64"/>
      <c r="G2" s="64"/>
      <c r="H2" s="64"/>
      <c r="I2" s="64"/>
      <c r="J2" s="64"/>
      <c r="K2" s="64"/>
    </row>
    <row r="3" spans="1:11" x14ac:dyDescent="0.25">
      <c r="A3" s="1" t="s">
        <v>63</v>
      </c>
      <c r="B3" s="5">
        <v>2.1</v>
      </c>
    </row>
    <row r="4" spans="1:11" x14ac:dyDescent="0.25">
      <c r="A4" s="1"/>
    </row>
    <row r="5" spans="1:11" x14ac:dyDescent="0.25">
      <c r="A5" s="1" t="s">
        <v>65</v>
      </c>
    </row>
    <row r="6" spans="1:11" x14ac:dyDescent="0.25">
      <c r="A6" s="5" t="s">
        <v>42</v>
      </c>
      <c r="B6" s="5">
        <f>IF(B9&gt;0, B9/B8, 0)</f>
        <v>10.985070422535212</v>
      </c>
    </row>
    <row r="7" spans="1:11" x14ac:dyDescent="0.25">
      <c r="A7" s="5" t="s">
        <v>31</v>
      </c>
      <c r="B7">
        <v>1</v>
      </c>
    </row>
    <row r="8" spans="1:11" x14ac:dyDescent="0.25">
      <c r="A8" s="5" t="s">
        <v>43</v>
      </c>
      <c r="B8">
        <v>71</v>
      </c>
    </row>
    <row r="9" spans="1:11" x14ac:dyDescent="0.25">
      <c r="A9" s="5" t="s">
        <v>80</v>
      </c>
      <c r="B9">
        <v>779.94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40999</v>
      </c>
      <c r="C16" s="16">
        <v>41364</v>
      </c>
      <c r="D16" s="16">
        <v>41729</v>
      </c>
      <c r="E16" s="16">
        <v>42094</v>
      </c>
      <c r="F16" s="16">
        <v>42460</v>
      </c>
      <c r="G16" s="16">
        <v>42825</v>
      </c>
      <c r="H16" s="16">
        <v>43190</v>
      </c>
      <c r="I16" s="16">
        <v>43555</v>
      </c>
      <c r="J16" s="16">
        <v>43921</v>
      </c>
      <c r="K16" s="16">
        <v>44286</v>
      </c>
    </row>
    <row r="17" spans="1:11" s="9" customFormat="1" x14ac:dyDescent="0.25">
      <c r="A17" s="9" t="s">
        <v>6</v>
      </c>
      <c r="B17">
        <v>2069</v>
      </c>
      <c r="C17">
        <v>1596.08</v>
      </c>
      <c r="D17">
        <v>1140.94</v>
      </c>
      <c r="E17">
        <v>1320.97</v>
      </c>
      <c r="F17">
        <v>1334.4</v>
      </c>
      <c r="G17">
        <v>1427.51</v>
      </c>
      <c r="H17">
        <v>2055.58</v>
      </c>
      <c r="I17"/>
      <c r="J17"/>
      <c r="K17">
        <v>1.04</v>
      </c>
    </row>
    <row r="18" spans="1:11" s="9" customFormat="1" x14ac:dyDescent="0.25">
      <c r="A18" s="5" t="s">
        <v>81</v>
      </c>
      <c r="B18">
        <v>228.36</v>
      </c>
      <c r="C18">
        <v>256.54000000000002</v>
      </c>
      <c r="D18">
        <v>320.18</v>
      </c>
      <c r="E18">
        <v>349.94</v>
      </c>
      <c r="F18">
        <v>285</v>
      </c>
      <c r="G18">
        <v>325.88</v>
      </c>
      <c r="H18">
        <v>466.53</v>
      </c>
      <c r="I18"/>
      <c r="J18"/>
      <c r="K18"/>
    </row>
    <row r="19" spans="1:11" s="9" customFormat="1" x14ac:dyDescent="0.25">
      <c r="A19" s="5" t="s">
        <v>82</v>
      </c>
      <c r="B19">
        <v>94.3</v>
      </c>
      <c r="C19">
        <v>75.08</v>
      </c>
      <c r="D19">
        <v>-41.05</v>
      </c>
      <c r="E19">
        <v>47.05</v>
      </c>
      <c r="F19">
        <v>-50.63</v>
      </c>
      <c r="G19">
        <v>-1.19</v>
      </c>
      <c r="H19">
        <v>-38.42</v>
      </c>
      <c r="I19"/>
      <c r="J19"/>
      <c r="K19"/>
    </row>
    <row r="20" spans="1:11" s="9" customFormat="1" x14ac:dyDescent="0.25">
      <c r="A20" s="5" t="s">
        <v>83</v>
      </c>
      <c r="B20">
        <v>276.45999999999998</v>
      </c>
      <c r="C20">
        <v>290.7</v>
      </c>
      <c r="D20">
        <v>299.77</v>
      </c>
      <c r="E20">
        <v>344.15</v>
      </c>
      <c r="F20">
        <v>329.81</v>
      </c>
      <c r="G20">
        <v>351.47</v>
      </c>
      <c r="H20">
        <v>410.02</v>
      </c>
      <c r="I20"/>
      <c r="J20"/>
      <c r="K20"/>
    </row>
    <row r="21" spans="1:11" s="9" customFormat="1" x14ac:dyDescent="0.25">
      <c r="A21" s="5" t="s">
        <v>84</v>
      </c>
      <c r="B21">
        <v>249.72</v>
      </c>
      <c r="C21">
        <v>164</v>
      </c>
      <c r="D21">
        <v>135.16</v>
      </c>
      <c r="E21">
        <v>221.8</v>
      </c>
      <c r="F21">
        <v>207.82</v>
      </c>
      <c r="G21">
        <v>232.46</v>
      </c>
      <c r="H21">
        <v>293.99</v>
      </c>
      <c r="I21"/>
      <c r="J21"/>
      <c r="K21"/>
    </row>
    <row r="22" spans="1:11" s="9" customFormat="1" x14ac:dyDescent="0.25">
      <c r="A22" s="5" t="s">
        <v>85</v>
      </c>
      <c r="B22">
        <v>79.36</v>
      </c>
      <c r="C22">
        <v>80.680000000000007</v>
      </c>
      <c r="D22">
        <v>81.72</v>
      </c>
      <c r="E22">
        <v>97.55</v>
      </c>
      <c r="F22">
        <v>104.83</v>
      </c>
      <c r="G22">
        <v>121.83</v>
      </c>
      <c r="H22">
        <v>143.22</v>
      </c>
      <c r="I22">
        <v>0.48</v>
      </c>
      <c r="J22">
        <v>3.01</v>
      </c>
      <c r="K22">
        <v>2.37</v>
      </c>
    </row>
    <row r="23" spans="1:11" s="9" customFormat="1" x14ac:dyDescent="0.25">
      <c r="A23" s="5" t="s">
        <v>86</v>
      </c>
      <c r="B23">
        <v>49.6</v>
      </c>
      <c r="C23">
        <v>54.7</v>
      </c>
      <c r="D23">
        <v>51.6</v>
      </c>
      <c r="E23">
        <v>55.89</v>
      </c>
      <c r="F23">
        <v>62</v>
      </c>
      <c r="G23">
        <v>68.44</v>
      </c>
      <c r="H23">
        <v>89.69</v>
      </c>
      <c r="I23"/>
      <c r="J23">
        <v>0.28000000000000003</v>
      </c>
      <c r="K23"/>
    </row>
    <row r="24" spans="1:11" s="9" customFormat="1" x14ac:dyDescent="0.25">
      <c r="A24" s="5" t="s">
        <v>87</v>
      </c>
      <c r="B24">
        <v>224.9</v>
      </c>
      <c r="C24">
        <v>121.83</v>
      </c>
      <c r="D24">
        <v>21.69</v>
      </c>
      <c r="E24">
        <v>44.23</v>
      </c>
      <c r="F24">
        <v>21.85</v>
      </c>
      <c r="G24">
        <v>26.22</v>
      </c>
      <c r="H24">
        <v>34.71</v>
      </c>
      <c r="I24"/>
      <c r="J24">
        <v>0.59</v>
      </c>
      <c r="K24">
        <v>28.96</v>
      </c>
    </row>
    <row r="25" spans="1:11" s="9" customFormat="1" x14ac:dyDescent="0.25">
      <c r="A25" s="9" t="s">
        <v>9</v>
      </c>
      <c r="B25">
        <v>-268.07</v>
      </c>
      <c r="C25">
        <v>56.9</v>
      </c>
      <c r="D25">
        <v>65.06</v>
      </c>
      <c r="E25">
        <v>358.91</v>
      </c>
      <c r="F25">
        <v>58.86</v>
      </c>
      <c r="G25">
        <v>76.41</v>
      </c>
      <c r="H25">
        <v>257.05</v>
      </c>
      <c r="I25">
        <v>1294.51</v>
      </c>
      <c r="J25">
        <v>47.88</v>
      </c>
      <c r="K25">
        <v>-0.93</v>
      </c>
    </row>
    <row r="26" spans="1:11" s="9" customFormat="1" x14ac:dyDescent="0.25">
      <c r="A26" s="9" t="s">
        <v>10</v>
      </c>
      <c r="B26">
        <v>77.819999999999993</v>
      </c>
      <c r="C26">
        <v>96.38</v>
      </c>
      <c r="D26">
        <v>101.7</v>
      </c>
      <c r="E26">
        <v>123.85</v>
      </c>
      <c r="F26">
        <v>143.66</v>
      </c>
      <c r="G26">
        <v>148.84</v>
      </c>
      <c r="H26">
        <v>152.13999999999999</v>
      </c>
      <c r="I26"/>
      <c r="J26"/>
      <c r="K26"/>
    </row>
    <row r="27" spans="1:11" s="9" customFormat="1" x14ac:dyDescent="0.25">
      <c r="A27" s="9" t="s">
        <v>11</v>
      </c>
      <c r="B27">
        <v>57.13</v>
      </c>
      <c r="C27">
        <v>68.95</v>
      </c>
      <c r="D27">
        <v>55.28</v>
      </c>
      <c r="E27">
        <v>51.98</v>
      </c>
      <c r="F27">
        <v>45.51</v>
      </c>
      <c r="G27">
        <v>35.18</v>
      </c>
      <c r="H27">
        <v>47.62</v>
      </c>
      <c r="I27"/>
      <c r="J27"/>
      <c r="K27"/>
    </row>
    <row r="28" spans="1:11" s="9" customFormat="1" x14ac:dyDescent="0.25">
      <c r="A28" s="9" t="s">
        <v>12</v>
      </c>
      <c r="B28">
        <v>651.88</v>
      </c>
      <c r="C28">
        <v>594.28</v>
      </c>
      <c r="D28">
        <v>97.85</v>
      </c>
      <c r="E28">
        <v>437.54</v>
      </c>
      <c r="F28">
        <v>142.15</v>
      </c>
      <c r="G28">
        <v>192.41</v>
      </c>
      <c r="H28">
        <v>636.29</v>
      </c>
      <c r="I28">
        <v>1294.03</v>
      </c>
      <c r="J28">
        <v>44</v>
      </c>
      <c r="K28">
        <v>-31.22</v>
      </c>
    </row>
    <row r="29" spans="1:11" s="9" customFormat="1" x14ac:dyDescent="0.25">
      <c r="A29" s="9" t="s">
        <v>13</v>
      </c>
      <c r="B29">
        <v>220.28</v>
      </c>
      <c r="C29">
        <v>195.94</v>
      </c>
      <c r="D29">
        <v>23.43</v>
      </c>
      <c r="E29">
        <v>55.18</v>
      </c>
      <c r="F29">
        <v>46.74</v>
      </c>
      <c r="G29">
        <v>46.12</v>
      </c>
      <c r="H29">
        <v>148.97999999999999</v>
      </c>
      <c r="I29">
        <v>16.72</v>
      </c>
      <c r="J29">
        <v>9.91</v>
      </c>
      <c r="K29"/>
    </row>
    <row r="30" spans="1:11" s="9" customFormat="1" x14ac:dyDescent="0.25">
      <c r="A30" s="9" t="s">
        <v>14</v>
      </c>
      <c r="B30">
        <v>431.6</v>
      </c>
      <c r="C30">
        <v>398.34</v>
      </c>
      <c r="D30">
        <v>74.42</v>
      </c>
      <c r="E30">
        <v>382.36</v>
      </c>
      <c r="F30">
        <v>95.4</v>
      </c>
      <c r="G30">
        <v>146.29</v>
      </c>
      <c r="H30">
        <v>487.31</v>
      </c>
      <c r="I30">
        <v>1277.31</v>
      </c>
      <c r="J30">
        <v>34.08</v>
      </c>
      <c r="K30">
        <v>-31.22</v>
      </c>
    </row>
    <row r="31" spans="1:11" s="9" customFormat="1" x14ac:dyDescent="0.25">
      <c r="A31" s="9" t="s">
        <v>71</v>
      </c>
      <c r="B31">
        <v>38.46</v>
      </c>
      <c r="C31">
        <v>38.46</v>
      </c>
      <c r="D31">
        <v>38.46</v>
      </c>
      <c r="E31">
        <v>38.46</v>
      </c>
      <c r="F31">
        <v>38.46</v>
      </c>
      <c r="G31">
        <v>38.46</v>
      </c>
      <c r="H31">
        <v>38.46</v>
      </c>
      <c r="I31">
        <v>38.46</v>
      </c>
      <c r="J31"/>
      <c r="K31"/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43465</v>
      </c>
      <c r="C41" s="16">
        <v>43555</v>
      </c>
      <c r="D41" s="16">
        <v>43646</v>
      </c>
      <c r="E41" s="16">
        <v>43738</v>
      </c>
      <c r="F41" s="16">
        <v>43830</v>
      </c>
      <c r="G41" s="16">
        <v>43921</v>
      </c>
      <c r="H41" s="16">
        <v>44012</v>
      </c>
      <c r="I41" s="16">
        <v>44104</v>
      </c>
      <c r="J41" s="16">
        <v>44196</v>
      </c>
      <c r="K41" s="16">
        <v>44286</v>
      </c>
    </row>
    <row r="42" spans="1:11" s="9" customFormat="1" x14ac:dyDescent="0.25">
      <c r="A42" s="9" t="s">
        <v>6</v>
      </c>
      <c r="B42"/>
      <c r="C42"/>
      <c r="D42"/>
      <c r="E42">
        <v>11.12</v>
      </c>
      <c r="F42">
        <v>5.89</v>
      </c>
      <c r="G42">
        <v>0.34</v>
      </c>
      <c r="H42">
        <v>7.98</v>
      </c>
      <c r="I42">
        <v>0.33</v>
      </c>
      <c r="J42">
        <v>0.24</v>
      </c>
      <c r="K42">
        <v>0.11</v>
      </c>
    </row>
    <row r="43" spans="1:11" s="9" customFormat="1" x14ac:dyDescent="0.25">
      <c r="A43" s="9" t="s">
        <v>7</v>
      </c>
      <c r="B43">
        <v>0.14000000000000001</v>
      </c>
      <c r="C43">
        <v>0.12</v>
      </c>
      <c r="D43">
        <v>0.12</v>
      </c>
      <c r="E43">
        <v>1.28</v>
      </c>
      <c r="F43">
        <v>1.73</v>
      </c>
      <c r="G43">
        <v>0.18</v>
      </c>
      <c r="H43">
        <v>1.1299999999999999</v>
      </c>
      <c r="I43">
        <v>0.87</v>
      </c>
      <c r="J43">
        <v>0.75</v>
      </c>
      <c r="K43">
        <v>0.33</v>
      </c>
    </row>
    <row r="44" spans="1:11" s="9" customFormat="1" x14ac:dyDescent="0.25">
      <c r="A44" s="9" t="s">
        <v>9</v>
      </c>
      <c r="B44">
        <v>117.42</v>
      </c>
      <c r="C44">
        <v>593.02</v>
      </c>
      <c r="D44">
        <v>12.1</v>
      </c>
      <c r="E44"/>
      <c r="F44">
        <v>6.88</v>
      </c>
      <c r="G44">
        <v>1.07</v>
      </c>
      <c r="H44">
        <v>-0.53</v>
      </c>
      <c r="I44"/>
      <c r="J44">
        <v>-0.16</v>
      </c>
      <c r="K44">
        <v>-0.24</v>
      </c>
    </row>
    <row r="45" spans="1:11" s="9" customFormat="1" x14ac:dyDescent="0.25">
      <c r="A45" s="9" t="s">
        <v>10</v>
      </c>
      <c r="B45"/>
      <c r="C45"/>
      <c r="D45"/>
      <c r="E45"/>
      <c r="F45"/>
      <c r="G45"/>
      <c r="H45"/>
      <c r="I45"/>
      <c r="J45"/>
      <c r="K45"/>
    </row>
    <row r="46" spans="1:11" s="9" customFormat="1" x14ac:dyDescent="0.25">
      <c r="A46" s="9" t="s">
        <v>11</v>
      </c>
      <c r="B46"/>
      <c r="C46"/>
      <c r="D46"/>
      <c r="E46"/>
      <c r="F46"/>
      <c r="G46"/>
      <c r="H46"/>
      <c r="I46"/>
      <c r="J46"/>
      <c r="K46"/>
    </row>
    <row r="47" spans="1:11" s="9" customFormat="1" x14ac:dyDescent="0.25">
      <c r="A47" s="9" t="s">
        <v>12</v>
      </c>
      <c r="B47">
        <v>117.28</v>
      </c>
      <c r="C47">
        <v>592.9</v>
      </c>
      <c r="D47">
        <v>11.98</v>
      </c>
      <c r="E47">
        <v>9.84</v>
      </c>
      <c r="F47">
        <v>11.04</v>
      </c>
      <c r="G47">
        <v>1.23</v>
      </c>
      <c r="H47">
        <v>6.32</v>
      </c>
      <c r="I47">
        <v>-0.54</v>
      </c>
      <c r="J47">
        <v>-0.67</v>
      </c>
      <c r="K47">
        <v>-0.46</v>
      </c>
    </row>
    <row r="48" spans="1:11" s="9" customFormat="1" x14ac:dyDescent="0.25">
      <c r="A48" s="9" t="s">
        <v>13</v>
      </c>
      <c r="B48">
        <v>4.8</v>
      </c>
      <c r="C48">
        <v>4.1399999999999997</v>
      </c>
      <c r="D48">
        <v>4.1900000000000004</v>
      </c>
      <c r="E48">
        <v>1.41</v>
      </c>
      <c r="F48">
        <v>0.01</v>
      </c>
      <c r="G48">
        <v>0.04</v>
      </c>
      <c r="H48">
        <v>1.72</v>
      </c>
      <c r="I48">
        <v>-0.01</v>
      </c>
      <c r="J48">
        <v>-0.01</v>
      </c>
      <c r="K48">
        <v>0.04</v>
      </c>
    </row>
    <row r="49" spans="1:11" s="9" customFormat="1" x14ac:dyDescent="0.25">
      <c r="A49" s="9" t="s">
        <v>14</v>
      </c>
      <c r="B49">
        <v>112.48</v>
      </c>
      <c r="C49">
        <v>588.76</v>
      </c>
      <c r="D49">
        <v>7.79</v>
      </c>
      <c r="E49">
        <v>8.43</v>
      </c>
      <c r="F49">
        <v>11.03</v>
      </c>
      <c r="G49">
        <v>1.19</v>
      </c>
      <c r="H49">
        <v>4.5999999999999996</v>
      </c>
      <c r="I49">
        <v>-0.53</v>
      </c>
      <c r="J49">
        <v>-0.66</v>
      </c>
      <c r="K49">
        <v>-0.5</v>
      </c>
    </row>
    <row r="50" spans="1:11" x14ac:dyDescent="0.25">
      <c r="A50" s="9" t="s">
        <v>8</v>
      </c>
      <c r="B50">
        <v>-0.14000000000000001</v>
      </c>
      <c r="C50">
        <v>-0.12</v>
      </c>
      <c r="D50">
        <v>-0.12</v>
      </c>
      <c r="E50">
        <v>9.84</v>
      </c>
      <c r="F50">
        <v>4.16</v>
      </c>
      <c r="G50">
        <v>0.16</v>
      </c>
      <c r="H50">
        <v>6.85</v>
      </c>
      <c r="I50">
        <v>-0.54</v>
      </c>
      <c r="J50">
        <v>-0.51</v>
      </c>
      <c r="K50">
        <v>-0.22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40999</v>
      </c>
      <c r="C56" s="16">
        <v>41364</v>
      </c>
      <c r="D56" s="16">
        <v>41729</v>
      </c>
      <c r="E56" s="16">
        <v>42094</v>
      </c>
      <c r="F56" s="16">
        <v>42460</v>
      </c>
      <c r="G56" s="16">
        <v>42825</v>
      </c>
      <c r="H56" s="16">
        <v>43190</v>
      </c>
      <c r="I56" s="16">
        <v>43555</v>
      </c>
      <c r="J56" s="16">
        <v>43921</v>
      </c>
      <c r="K56" s="16">
        <v>44286</v>
      </c>
    </row>
    <row r="57" spans="1:11" x14ac:dyDescent="0.25">
      <c r="A57" s="9" t="s">
        <v>24</v>
      </c>
      <c r="B57">
        <v>10.99</v>
      </c>
      <c r="C57">
        <v>10.99</v>
      </c>
      <c r="D57">
        <v>10.99</v>
      </c>
      <c r="E57">
        <v>10.99</v>
      </c>
      <c r="F57">
        <v>10.99</v>
      </c>
      <c r="G57">
        <v>10.99</v>
      </c>
      <c r="H57">
        <v>10.99</v>
      </c>
      <c r="I57">
        <v>10.99</v>
      </c>
      <c r="J57">
        <v>10.99</v>
      </c>
      <c r="K57">
        <v>10.99</v>
      </c>
    </row>
    <row r="58" spans="1:11" x14ac:dyDescent="0.25">
      <c r="A58" s="9" t="s">
        <v>25</v>
      </c>
      <c r="B58">
        <v>2130.7800000000002</v>
      </c>
      <c r="C58">
        <v>2484.27</v>
      </c>
      <c r="D58">
        <v>2513.71</v>
      </c>
      <c r="E58">
        <v>2844.6</v>
      </c>
      <c r="F58">
        <v>2875.54</v>
      </c>
      <c r="G58">
        <v>3025.42</v>
      </c>
      <c r="H58">
        <v>3468.14</v>
      </c>
      <c r="I58">
        <v>4698</v>
      </c>
      <c r="J58">
        <v>1181.1400000000001</v>
      </c>
      <c r="K58">
        <v>300.23</v>
      </c>
    </row>
    <row r="59" spans="1:11" x14ac:dyDescent="0.25">
      <c r="A59" s="9" t="s">
        <v>72</v>
      </c>
      <c r="B59">
        <v>851.18</v>
      </c>
      <c r="C59">
        <v>866.42</v>
      </c>
      <c r="D59">
        <v>704.94</v>
      </c>
      <c r="E59">
        <v>716.9</v>
      </c>
      <c r="F59">
        <v>478.44</v>
      </c>
      <c r="G59">
        <v>631.65</v>
      </c>
      <c r="H59">
        <v>749.71</v>
      </c>
      <c r="I59"/>
      <c r="J59"/>
      <c r="K59">
        <v>1</v>
      </c>
    </row>
    <row r="60" spans="1:11" x14ac:dyDescent="0.25">
      <c r="A60" s="9" t="s">
        <v>73</v>
      </c>
      <c r="B60">
        <v>466.1</v>
      </c>
      <c r="C60">
        <v>365.23</v>
      </c>
      <c r="D60">
        <v>423.25</v>
      </c>
      <c r="E60">
        <v>497.31</v>
      </c>
      <c r="F60">
        <v>369.05</v>
      </c>
      <c r="G60">
        <v>412.3</v>
      </c>
      <c r="H60">
        <v>622.78</v>
      </c>
      <c r="I60">
        <v>1326.73</v>
      </c>
      <c r="J60">
        <v>5.2</v>
      </c>
      <c r="K60">
        <v>12.67</v>
      </c>
    </row>
    <row r="61" spans="1:11" s="1" customFormat="1" x14ac:dyDescent="0.25">
      <c r="A61" s="1" t="s">
        <v>26</v>
      </c>
      <c r="B61">
        <v>3459.05</v>
      </c>
      <c r="C61">
        <v>3726.91</v>
      </c>
      <c r="D61">
        <v>3652.89</v>
      </c>
      <c r="E61">
        <v>4069.8</v>
      </c>
      <c r="F61">
        <v>3734.02</v>
      </c>
      <c r="G61">
        <v>4080.36</v>
      </c>
      <c r="H61">
        <v>4851.62</v>
      </c>
      <c r="I61">
        <v>6035.72</v>
      </c>
      <c r="J61">
        <v>1197.33</v>
      </c>
      <c r="K61">
        <v>324.89</v>
      </c>
    </row>
    <row r="62" spans="1:11" x14ac:dyDescent="0.25">
      <c r="A62" s="9" t="s">
        <v>27</v>
      </c>
      <c r="B62">
        <v>1626.84</v>
      </c>
      <c r="C62">
        <v>1624.8</v>
      </c>
      <c r="D62">
        <v>1628.12</v>
      </c>
      <c r="E62">
        <v>1994.15</v>
      </c>
      <c r="F62">
        <v>1976.97</v>
      </c>
      <c r="G62">
        <v>1910.29</v>
      </c>
      <c r="H62">
        <v>1908.89</v>
      </c>
      <c r="I62"/>
      <c r="J62"/>
      <c r="K62"/>
    </row>
    <row r="63" spans="1:11" x14ac:dyDescent="0.25">
      <c r="A63" s="9" t="s">
        <v>28</v>
      </c>
      <c r="B63">
        <v>253.4</v>
      </c>
      <c r="C63">
        <v>390.99</v>
      </c>
      <c r="D63">
        <v>428.23</v>
      </c>
      <c r="E63">
        <v>108.95</v>
      </c>
      <c r="F63">
        <v>42.03</v>
      </c>
      <c r="G63">
        <v>139.22</v>
      </c>
      <c r="H63">
        <v>343.65</v>
      </c>
      <c r="I63"/>
      <c r="J63"/>
      <c r="K63"/>
    </row>
    <row r="64" spans="1:11" x14ac:dyDescent="0.25">
      <c r="A64" s="9" t="s">
        <v>29</v>
      </c>
      <c r="B64">
        <v>293.20999999999998</v>
      </c>
      <c r="C64">
        <v>474.08</v>
      </c>
      <c r="D64">
        <v>463.81</v>
      </c>
      <c r="E64">
        <v>433.14</v>
      </c>
      <c r="F64">
        <v>593.27</v>
      </c>
      <c r="G64">
        <v>686.36</v>
      </c>
      <c r="H64">
        <v>815.83</v>
      </c>
      <c r="I64">
        <v>454.38</v>
      </c>
      <c r="J64">
        <v>456.69</v>
      </c>
      <c r="K64">
        <v>300.12</v>
      </c>
    </row>
    <row r="65" spans="1:11" x14ac:dyDescent="0.25">
      <c r="A65" s="9" t="s">
        <v>74</v>
      </c>
      <c r="B65">
        <v>1285.5999999999999</v>
      </c>
      <c r="C65">
        <v>1237.04</v>
      </c>
      <c r="D65">
        <v>1132.73</v>
      </c>
      <c r="E65">
        <v>1533.56</v>
      </c>
      <c r="F65">
        <v>1121.75</v>
      </c>
      <c r="G65">
        <v>1344.49</v>
      </c>
      <c r="H65">
        <v>1783.25</v>
      </c>
      <c r="I65">
        <v>5581.34</v>
      </c>
      <c r="J65">
        <v>740.64</v>
      </c>
      <c r="K65">
        <v>24.77</v>
      </c>
    </row>
    <row r="66" spans="1:11" s="1" customFormat="1" x14ac:dyDescent="0.25">
      <c r="A66" s="1" t="s">
        <v>26</v>
      </c>
      <c r="B66">
        <v>3459.05</v>
      </c>
      <c r="C66">
        <v>3726.91</v>
      </c>
      <c r="D66">
        <v>3652.89</v>
      </c>
      <c r="E66">
        <v>4069.8</v>
      </c>
      <c r="F66">
        <v>3734.02</v>
      </c>
      <c r="G66">
        <v>4080.36</v>
      </c>
      <c r="H66">
        <v>4851.62</v>
      </c>
      <c r="I66">
        <v>6035.72</v>
      </c>
      <c r="J66">
        <v>1197.33</v>
      </c>
      <c r="K66">
        <v>324.89</v>
      </c>
    </row>
    <row r="67" spans="1:11" s="9" customFormat="1" x14ac:dyDescent="0.25">
      <c r="A67" s="9" t="s">
        <v>79</v>
      </c>
      <c r="B67">
        <v>247.83</v>
      </c>
      <c r="C67">
        <v>330.89</v>
      </c>
      <c r="D67">
        <v>316.72000000000003</v>
      </c>
      <c r="E67">
        <v>385.42</v>
      </c>
      <c r="F67">
        <v>375.21</v>
      </c>
      <c r="G67">
        <v>370.76</v>
      </c>
      <c r="H67">
        <v>555.13</v>
      </c>
      <c r="I67"/>
      <c r="J67"/>
      <c r="K67">
        <v>21.69</v>
      </c>
    </row>
    <row r="68" spans="1:11" x14ac:dyDescent="0.25">
      <c r="A68" s="9" t="s">
        <v>45</v>
      </c>
      <c r="B68">
        <v>414.4</v>
      </c>
      <c r="C68">
        <v>421.11</v>
      </c>
      <c r="D68">
        <v>316.95</v>
      </c>
      <c r="E68">
        <v>367.13</v>
      </c>
      <c r="F68">
        <v>321.02999999999997</v>
      </c>
      <c r="G68">
        <v>315.89999999999998</v>
      </c>
      <c r="H68">
        <v>346.16</v>
      </c>
      <c r="I68"/>
      <c r="J68"/>
      <c r="K68"/>
    </row>
    <row r="69" spans="1:11" x14ac:dyDescent="0.25">
      <c r="A69" s="5" t="s">
        <v>88</v>
      </c>
      <c r="B69">
        <v>211.34</v>
      </c>
      <c r="C69">
        <v>19.260000000000002</v>
      </c>
      <c r="D69">
        <v>8.48</v>
      </c>
      <c r="E69">
        <v>346.37</v>
      </c>
      <c r="F69">
        <v>22.03</v>
      </c>
      <c r="G69">
        <v>13</v>
      </c>
      <c r="H69">
        <v>21.74</v>
      </c>
      <c r="I69">
        <v>1.76</v>
      </c>
      <c r="J69">
        <v>2.02</v>
      </c>
      <c r="K69">
        <v>2.57</v>
      </c>
    </row>
    <row r="70" spans="1:11" x14ac:dyDescent="0.25">
      <c r="A70" s="5" t="s">
        <v>75</v>
      </c>
      <c r="B70">
        <v>109850000</v>
      </c>
      <c r="C70">
        <v>109850000</v>
      </c>
      <c r="D70">
        <v>109850000</v>
      </c>
      <c r="E70">
        <v>109850000</v>
      </c>
      <c r="F70">
        <v>109850000</v>
      </c>
      <c r="G70">
        <v>109850000</v>
      </c>
      <c r="H70">
        <v>109850000</v>
      </c>
      <c r="I70">
        <v>109850000</v>
      </c>
      <c r="J70">
        <v>109850000</v>
      </c>
      <c r="K70"/>
    </row>
    <row r="71" spans="1:11" x14ac:dyDescent="0.25">
      <c r="A71" s="5" t="s">
        <v>76</v>
      </c>
      <c r="D71"/>
    </row>
    <row r="72" spans="1:11" x14ac:dyDescent="0.25">
      <c r="A72" s="5" t="s">
        <v>89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40999</v>
      </c>
      <c r="C81" s="16">
        <v>41364</v>
      </c>
      <c r="D81" s="16">
        <v>41729</v>
      </c>
      <c r="E81" s="16">
        <v>42094</v>
      </c>
      <c r="F81" s="16">
        <v>42460</v>
      </c>
      <c r="G81" s="16">
        <v>42825</v>
      </c>
      <c r="H81" s="16">
        <v>43190</v>
      </c>
      <c r="I81" s="16">
        <v>43555</v>
      </c>
      <c r="J81" s="16">
        <v>43921</v>
      </c>
      <c r="K81" s="16">
        <v>44286</v>
      </c>
    </row>
    <row r="82" spans="1:11" s="1" customFormat="1" x14ac:dyDescent="0.25">
      <c r="A82" s="9" t="s">
        <v>32</v>
      </c>
      <c r="B82">
        <v>425.92</v>
      </c>
      <c r="C82">
        <v>367.07</v>
      </c>
      <c r="D82">
        <v>333.41</v>
      </c>
      <c r="E82">
        <v>81.45</v>
      </c>
      <c r="F82">
        <v>300.47000000000003</v>
      </c>
      <c r="G82">
        <v>300.49</v>
      </c>
      <c r="H82">
        <v>351.64</v>
      </c>
      <c r="I82">
        <v>578.59</v>
      </c>
      <c r="J82">
        <v>-13.39</v>
      </c>
      <c r="K82" s="32">
        <v>-45.21</v>
      </c>
    </row>
    <row r="83" spans="1:11" s="9" customFormat="1" x14ac:dyDescent="0.25">
      <c r="A83" s="9" t="s">
        <v>33</v>
      </c>
      <c r="B83">
        <v>-871.48</v>
      </c>
      <c r="C83">
        <v>-442.28</v>
      </c>
      <c r="D83">
        <v>-85.83</v>
      </c>
      <c r="E83">
        <v>338.66</v>
      </c>
      <c r="F83">
        <v>-238.11</v>
      </c>
      <c r="G83">
        <v>-435.93</v>
      </c>
      <c r="H83">
        <v>-362.01</v>
      </c>
      <c r="I83">
        <v>-639.85</v>
      </c>
      <c r="J83">
        <v>28.86</v>
      </c>
      <c r="K83" s="32">
        <v>45.67</v>
      </c>
    </row>
    <row r="84" spans="1:11" s="9" customFormat="1" x14ac:dyDescent="0.25">
      <c r="A84" s="9" t="s">
        <v>34</v>
      </c>
      <c r="B84">
        <v>639.09</v>
      </c>
      <c r="C84">
        <v>-116.07</v>
      </c>
      <c r="D84">
        <v>-258.3</v>
      </c>
      <c r="E84">
        <v>-81.37</v>
      </c>
      <c r="F84">
        <v>-387.36</v>
      </c>
      <c r="G84">
        <v>127.42</v>
      </c>
      <c r="H84">
        <v>19.079999999999998</v>
      </c>
      <c r="I84">
        <v>72.510000000000005</v>
      </c>
      <c r="J84">
        <v>-46.35</v>
      </c>
      <c r="K84" s="32">
        <v>0.95</v>
      </c>
    </row>
    <row r="85" spans="1:11" s="1" customFormat="1" x14ac:dyDescent="0.25">
      <c r="A85" s="9" t="s">
        <v>35</v>
      </c>
      <c r="B85">
        <v>193.53</v>
      </c>
      <c r="C85">
        <v>-191.28</v>
      </c>
      <c r="D85">
        <v>-10.72</v>
      </c>
      <c r="E85">
        <v>338.74</v>
      </c>
      <c r="F85">
        <v>-325.01</v>
      </c>
      <c r="G85">
        <v>-8.0299999999999994</v>
      </c>
      <c r="H85">
        <v>8.7100000000000009</v>
      </c>
      <c r="I85">
        <v>11.26</v>
      </c>
      <c r="J85">
        <v>-30.88</v>
      </c>
      <c r="K85" s="32">
        <v>1.41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78</v>
      </c>
      <c r="B90">
        <v>73.61</v>
      </c>
      <c r="C90">
        <v>43.1</v>
      </c>
      <c r="D90">
        <v>46.06</v>
      </c>
      <c r="E90">
        <v>101.61</v>
      </c>
      <c r="F90">
        <v>74.37</v>
      </c>
      <c r="G90">
        <v>109.42</v>
      </c>
      <c r="H90">
        <v>114.67</v>
      </c>
      <c r="I90">
        <v>159.05000000000001</v>
      </c>
      <c r="J90">
        <v>76.27</v>
      </c>
      <c r="K90">
        <v>72.95</v>
      </c>
    </row>
    <row r="92" spans="1:11" s="1" customFormat="1" x14ac:dyDescent="0.25">
      <c r="A92" s="1" t="s">
        <v>77</v>
      </c>
    </row>
    <row r="93" spans="1:11" x14ac:dyDescent="0.25">
      <c r="A93" s="5" t="s">
        <v>90</v>
      </c>
      <c r="B93" s="31">
        <v>10.99</v>
      </c>
      <c r="C93" s="31">
        <v>10.99</v>
      </c>
      <c r="D93" s="31">
        <v>10.99</v>
      </c>
      <c r="E93" s="31">
        <v>10.99</v>
      </c>
      <c r="F93" s="31">
        <v>10.99</v>
      </c>
      <c r="G93" s="31">
        <v>10.99</v>
      </c>
      <c r="H93" s="31">
        <v>10.99</v>
      </c>
      <c r="I93" s="31">
        <v>10.99</v>
      </c>
      <c r="J93" s="31">
        <v>10.99</v>
      </c>
      <c r="K93" s="31">
        <v>10.99</v>
      </c>
    </row>
  </sheetData>
  <mergeCells count="2">
    <mergeCell ref="E1:K1"/>
    <mergeCell ref="E2:K2"/>
  </mergeCells>
  <conditionalFormatting sqref="E1:K1">
    <cfRule type="cellIs" dxfId="3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SheetLayoutView="100" workbookViewId="0">
      <pane xSplit="1" ySplit="4" topLeftCell="B19" activePane="bottomRight" state="frozen"/>
      <selection activeCell="I2" sqref="I2"/>
      <selection pane="topRight" activeCell="I2" sqref="I2"/>
      <selection pane="bottomLeft" activeCell="I2" sqref="I2"/>
      <selection pane="bottomRight" activeCell="C38" sqref="C38:K38"/>
    </sheetView>
  </sheetViews>
  <sheetFormatPr defaultRowHeight="15" x14ac:dyDescent="0.25"/>
  <cols>
    <col min="1" max="1" width="20.7109375" style="6" customWidth="1"/>
    <col min="2" max="6" width="13.5703125" style="6" customWidth="1"/>
    <col min="7" max="7" width="14.85546875" style="6" bestFit="1" customWidth="1"/>
    <col min="8" max="11" width="13.5703125" style="6" customWidth="1"/>
    <col min="12" max="12" width="13.28515625" style="6" customWidth="1"/>
    <col min="13" max="14" width="12.140625" style="6" customWidth="1"/>
    <col min="15" max="16384" width="9.140625" style="6"/>
  </cols>
  <sheetData>
    <row r="1" spans="1:15" s="8" customFormat="1" x14ac:dyDescent="0.25">
      <c r="A1" s="8" t="str">
        <f>'[1]Data Sheet'!B1</f>
        <v>GFL LTD</v>
      </c>
      <c r="H1">
        <f>UPDATE</f>
        <v>0</v>
      </c>
      <c r="J1" s="3"/>
      <c r="K1" s="3"/>
      <c r="M1" s="8" t="s">
        <v>1</v>
      </c>
      <c r="O1" s="6" t="s">
        <v>149</v>
      </c>
    </row>
    <row r="2" spans="1:15" x14ac:dyDescent="0.25">
      <c r="O2" s="6">
        <f>YEARFRAC(B3,K3)</f>
        <v>9</v>
      </c>
    </row>
    <row r="3" spans="1:15" s="2" customFormat="1" x14ac:dyDescent="0.25">
      <c r="A3" s="15" t="s">
        <v>2</v>
      </c>
      <c r="B3" s="16">
        <f>'[1]Data Sheet'!B16</f>
        <v>40999</v>
      </c>
      <c r="C3" s="16">
        <f>'[1]Data Sheet'!C16</f>
        <v>41364</v>
      </c>
      <c r="D3" s="16">
        <f>'[1]Data Sheet'!D16</f>
        <v>41729</v>
      </c>
      <c r="E3" s="16">
        <f>'[1]Data Sheet'!E16</f>
        <v>42094</v>
      </c>
      <c r="F3" s="16">
        <f>'[1]Data Sheet'!F16</f>
        <v>42460</v>
      </c>
      <c r="G3" s="16">
        <f>'[1]Data Sheet'!G16</f>
        <v>42825</v>
      </c>
      <c r="H3" s="16">
        <f>'[1]Data Sheet'!H16</f>
        <v>43190</v>
      </c>
      <c r="I3" s="16">
        <f>'[1]Data Sheet'!I16</f>
        <v>43555</v>
      </c>
      <c r="J3" s="16">
        <f>'[1]Data Sheet'!J16</f>
        <v>43921</v>
      </c>
      <c r="K3" s="16">
        <f>'[1]Data Sheet'!K16</f>
        <v>44286</v>
      </c>
      <c r="L3" s="17" t="s">
        <v>3</v>
      </c>
      <c r="M3" s="17" t="s">
        <v>4</v>
      </c>
      <c r="N3" s="17" t="s">
        <v>5</v>
      </c>
      <c r="O3" s="17" t="s">
        <v>148</v>
      </c>
    </row>
    <row r="4" spans="1:15" s="8" customFormat="1" x14ac:dyDescent="0.25">
      <c r="A4" s="8" t="s">
        <v>6</v>
      </c>
      <c r="B4" s="1">
        <f>'[1]Data Sheet'!B17</f>
        <v>2069</v>
      </c>
      <c r="C4" s="1">
        <f>'[1]Data Sheet'!C17</f>
        <v>1596.08</v>
      </c>
      <c r="D4" s="1">
        <f>'[1]Data Sheet'!D17</f>
        <v>1140.94</v>
      </c>
      <c r="E4" s="1">
        <f>'[1]Data Sheet'!E17</f>
        <v>1320.97</v>
      </c>
      <c r="F4" s="1">
        <f>'[1]Data Sheet'!F17</f>
        <v>1334.4</v>
      </c>
      <c r="G4" s="1">
        <f>'[1]Data Sheet'!G17</f>
        <v>1427.51</v>
      </c>
      <c r="H4" s="1">
        <f>'[1]Data Sheet'!H17</f>
        <v>2055.58</v>
      </c>
      <c r="I4" s="1">
        <f>'[1]Data Sheet'!I17</f>
        <v>0</v>
      </c>
      <c r="J4" s="1">
        <f>'[1]Data Sheet'!J17</f>
        <v>0</v>
      </c>
      <c r="K4" s="1">
        <f>'[1]Data Sheet'!K17</f>
        <v>1.04</v>
      </c>
      <c r="L4" s="1">
        <f>SUM([1]Quarters!H4:K4)</f>
        <v>0</v>
      </c>
      <c r="M4" s="1">
        <f>$K4+M23*K4</f>
        <v>8.2870442511106313E-2</v>
      </c>
      <c r="N4" s="1">
        <f>$K4+N23*L4</f>
        <v>1.04</v>
      </c>
      <c r="O4" s="43" t="str">
        <f>IF(((Annual4[[#This Row],[Column11]]/Annual4[[#This Row],[Column2]])^(1/$O$2)-1)&gt;0,((Annual4[[#This Row],[Column11]]/Annual4[[#This Row],[Column2]])^(1/$O$2)-1),"-Ve")</f>
        <v>-Ve</v>
      </c>
    </row>
    <row r="5" spans="1:15" x14ac:dyDescent="0.25">
      <c r="A5" s="6" t="s">
        <v>7</v>
      </c>
      <c r="B5" s="9">
        <f>SUM('[1]Data Sheet'!B18,'[1]Data Sheet'!B20:B24, -1*'[1]Data Sheet'!B19)</f>
        <v>1014.1000000000001</v>
      </c>
      <c r="C5" s="9">
        <f>SUM('[1]Data Sheet'!C18,'[1]Data Sheet'!C20:C24, -1*'[1]Data Sheet'!C19)</f>
        <v>893.37000000000012</v>
      </c>
      <c r="D5" s="9">
        <f>SUM('[1]Data Sheet'!D18,'[1]Data Sheet'!D20:D24, -1*'[1]Data Sheet'!D19)</f>
        <v>951.17000000000007</v>
      </c>
      <c r="E5" s="9">
        <f>SUM('[1]Data Sheet'!E18,'[1]Data Sheet'!E20:E24, -1*'[1]Data Sheet'!E19)</f>
        <v>1066.51</v>
      </c>
      <c r="F5" s="9">
        <f>SUM('[1]Data Sheet'!F18,'[1]Data Sheet'!F20:F24, -1*'[1]Data Sheet'!F19)</f>
        <v>1061.94</v>
      </c>
      <c r="G5" s="9">
        <f>SUM('[1]Data Sheet'!G18,'[1]Data Sheet'!G20:G24, -1*'[1]Data Sheet'!G19)</f>
        <v>1127.4900000000002</v>
      </c>
      <c r="H5" s="9">
        <f>SUM('[1]Data Sheet'!H18,'[1]Data Sheet'!H20:H24, -1*'[1]Data Sheet'!H19)</f>
        <v>1476.5800000000002</v>
      </c>
      <c r="I5" s="9">
        <f>SUM('[1]Data Sheet'!I18,'[1]Data Sheet'!I20:I24, -1*'[1]Data Sheet'!I19)</f>
        <v>0.48</v>
      </c>
      <c r="J5" s="9">
        <f>SUM('[1]Data Sheet'!J18,'[1]Data Sheet'!J20:J24, -1*'[1]Data Sheet'!J19)</f>
        <v>3.88</v>
      </c>
      <c r="K5" s="9">
        <f>SUM('[1]Data Sheet'!K18,'[1]Data Sheet'!K20:K24, -1*'[1]Data Sheet'!K19)</f>
        <v>31.330000000000002</v>
      </c>
      <c r="L5" s="9">
        <f>SUM([1]Quarters!H5:K5)</f>
        <v>0</v>
      </c>
      <c r="M5" s="9">
        <f>M4-M6</f>
        <v>8.2870442511106313E-2</v>
      </c>
      <c r="N5" s="9">
        <f>N4-N6</f>
        <v>1.04</v>
      </c>
      <c r="O5" s="44" t="str">
        <f>IF(((Annual4[[#This Row],[Column11]]/Annual4[[#This Row],[Column2]])^(1/$O$2)-1)&gt;0,((Annual4[[#This Row],[Column11]]/Annual4[[#This Row],[Column2]])^(1/$O$2)-1),"-Ve")</f>
        <v>-Ve</v>
      </c>
    </row>
    <row r="6" spans="1:15" s="8" customFormat="1" x14ac:dyDescent="0.25">
      <c r="A6" s="8" t="s">
        <v>8</v>
      </c>
      <c r="B6" s="1">
        <f>B4-B5</f>
        <v>1054.8999999999999</v>
      </c>
      <c r="C6" s="1">
        <f t="shared" ref="C6:K6" si="0">C4-C5</f>
        <v>702.70999999999981</v>
      </c>
      <c r="D6" s="1">
        <f t="shared" si="0"/>
        <v>189.76999999999998</v>
      </c>
      <c r="E6" s="1">
        <f t="shared" si="0"/>
        <v>254.46000000000004</v>
      </c>
      <c r="F6" s="1">
        <f t="shared" si="0"/>
        <v>272.46000000000004</v>
      </c>
      <c r="G6" s="1">
        <f t="shared" si="0"/>
        <v>300.01999999999975</v>
      </c>
      <c r="H6" s="1">
        <f t="shared" si="0"/>
        <v>578.99999999999977</v>
      </c>
      <c r="I6" s="1">
        <f t="shared" si="0"/>
        <v>-0.48</v>
      </c>
      <c r="J6" s="1">
        <f t="shared" si="0"/>
        <v>-3.88</v>
      </c>
      <c r="K6" s="1">
        <f t="shared" si="0"/>
        <v>-30.290000000000003</v>
      </c>
      <c r="L6" s="1">
        <f>SUM([1]Quarters!H6:K6)</f>
        <v>0</v>
      </c>
      <c r="M6" s="1">
        <f>M4*M24</f>
        <v>0</v>
      </c>
      <c r="N6" s="1">
        <f>N4*N24</f>
        <v>0</v>
      </c>
      <c r="O6" s="45" t="str">
        <f>IF(((Annual4[[#This Row],[Column11]]/Annual4[[#This Row],[Column2]])^(1/$O$2)-1)&gt;0,((Annual4[[#This Row],[Column11]]/Annual4[[#This Row],[Column2]])^(1/$O$2)-1),"-Ve")</f>
        <v>-Ve</v>
      </c>
    </row>
    <row r="7" spans="1:15" x14ac:dyDescent="0.25">
      <c r="A7" s="6" t="s">
        <v>9</v>
      </c>
      <c r="B7" s="9">
        <f>'[1]Data Sheet'!B25</f>
        <v>-268.07</v>
      </c>
      <c r="C7" s="9">
        <f>'[1]Data Sheet'!C25</f>
        <v>56.9</v>
      </c>
      <c r="D7" s="9">
        <f>'[1]Data Sheet'!D25</f>
        <v>65.06</v>
      </c>
      <c r="E7" s="9">
        <f>'[1]Data Sheet'!E25</f>
        <v>358.91</v>
      </c>
      <c r="F7" s="9">
        <f>'[1]Data Sheet'!F25</f>
        <v>58.86</v>
      </c>
      <c r="G7" s="9">
        <f>'[1]Data Sheet'!G25</f>
        <v>76.41</v>
      </c>
      <c r="H7" s="9">
        <f>'[1]Data Sheet'!H25</f>
        <v>257.05</v>
      </c>
      <c r="I7" s="9">
        <f>'[1]Data Sheet'!I25</f>
        <v>1294.51</v>
      </c>
      <c r="J7" s="9">
        <f>'[1]Data Sheet'!J25</f>
        <v>47.88</v>
      </c>
      <c r="K7" s="9">
        <f>'[1]Data Sheet'!K25</f>
        <v>-0.93</v>
      </c>
      <c r="L7" s="9">
        <f>SUM([1]Quarters!H7:K7)</f>
        <v>0</v>
      </c>
      <c r="M7" s="9">
        <v>0</v>
      </c>
      <c r="N7" s="9">
        <v>0</v>
      </c>
      <c r="O7" s="44" t="str">
        <f>IF(((Annual4[[#This Row],[Column11]]/Annual4[[#This Row],[Column2]])^(1/$O$2)-1)&gt;0,((Annual4[[#This Row],[Column11]]/Annual4[[#This Row],[Column2]])^(1/$O$2)-1),"-Ve")</f>
        <v>-Ve</v>
      </c>
    </row>
    <row r="8" spans="1:15" x14ac:dyDescent="0.25">
      <c r="A8" s="6" t="s">
        <v>10</v>
      </c>
      <c r="B8" s="9">
        <f>'[1]Data Sheet'!B26</f>
        <v>77.819999999999993</v>
      </c>
      <c r="C8" s="9">
        <f>'[1]Data Sheet'!C26</f>
        <v>96.38</v>
      </c>
      <c r="D8" s="9">
        <f>'[1]Data Sheet'!D26</f>
        <v>101.7</v>
      </c>
      <c r="E8" s="9">
        <f>'[1]Data Sheet'!E26</f>
        <v>123.85</v>
      </c>
      <c r="F8" s="9">
        <f>'[1]Data Sheet'!F26</f>
        <v>143.66</v>
      </c>
      <c r="G8" s="9">
        <f>'[1]Data Sheet'!G26</f>
        <v>148.84</v>
      </c>
      <c r="H8" s="9">
        <f>'[1]Data Sheet'!H26</f>
        <v>152.13999999999999</v>
      </c>
      <c r="I8" s="9">
        <f>'[1]Data Sheet'!I26</f>
        <v>0</v>
      </c>
      <c r="J8" s="9">
        <f>'[1]Data Sheet'!J26</f>
        <v>0</v>
      </c>
      <c r="K8" s="9">
        <f>'[1]Data Sheet'!K26</f>
        <v>0</v>
      </c>
      <c r="L8" s="9">
        <f>SUM([1]Quarters!H8:K8)</f>
        <v>0</v>
      </c>
      <c r="M8" s="9">
        <f>+$L8</f>
        <v>0</v>
      </c>
      <c r="N8" s="9">
        <f>+$L8</f>
        <v>0</v>
      </c>
      <c r="O8" s="44" t="str">
        <f>IF(((Annual4[[#This Row],[Column11]]/Annual4[[#This Row],[Column2]])^(1/$O$2)-1)&gt;0,((Annual4[[#This Row],[Column11]]/Annual4[[#This Row],[Column2]])^(1/$O$2)-1),"-Ve")</f>
        <v>-Ve</v>
      </c>
    </row>
    <row r="9" spans="1:15" x14ac:dyDescent="0.25">
      <c r="A9" s="6" t="s">
        <v>11</v>
      </c>
      <c r="B9" s="9">
        <f>'[1]Data Sheet'!B27</f>
        <v>57.13</v>
      </c>
      <c r="C9" s="9">
        <f>'[1]Data Sheet'!C27</f>
        <v>68.95</v>
      </c>
      <c r="D9" s="9">
        <f>'[1]Data Sheet'!D27</f>
        <v>55.28</v>
      </c>
      <c r="E9" s="9">
        <f>'[1]Data Sheet'!E27</f>
        <v>51.98</v>
      </c>
      <c r="F9" s="9">
        <f>'[1]Data Sheet'!F27</f>
        <v>45.51</v>
      </c>
      <c r="G9" s="9">
        <f>'[1]Data Sheet'!G27</f>
        <v>35.18</v>
      </c>
      <c r="H9" s="9">
        <f>'[1]Data Sheet'!H27</f>
        <v>47.62</v>
      </c>
      <c r="I9" s="9">
        <f>'[1]Data Sheet'!I27</f>
        <v>0</v>
      </c>
      <c r="J9" s="9">
        <f>'[1]Data Sheet'!J27</f>
        <v>0</v>
      </c>
      <c r="K9" s="9">
        <f>'[1]Data Sheet'!K27</f>
        <v>0</v>
      </c>
      <c r="L9" s="9">
        <f>SUM([1]Quarters!H9:K9)</f>
        <v>0</v>
      </c>
      <c r="M9" s="9">
        <f>+$L9</f>
        <v>0</v>
      </c>
      <c r="N9" s="9">
        <f>+$L9</f>
        <v>0</v>
      </c>
      <c r="O9" s="44" t="str">
        <f>IF(((Annual4[[#This Row],[Column11]]/Annual4[[#This Row],[Column2]])^(1/$O$2)-1)&gt;0,((Annual4[[#This Row],[Column11]]/Annual4[[#This Row],[Column2]])^(1/$O$2)-1),"-Ve")</f>
        <v>-Ve</v>
      </c>
    </row>
    <row r="10" spans="1:15" x14ac:dyDescent="0.25">
      <c r="A10" s="6" t="s">
        <v>12</v>
      </c>
      <c r="B10" s="9">
        <f>'[1]Data Sheet'!B28</f>
        <v>651.88</v>
      </c>
      <c r="C10" s="9">
        <f>'[1]Data Sheet'!C28</f>
        <v>594.28</v>
      </c>
      <c r="D10" s="9">
        <f>'[1]Data Sheet'!D28</f>
        <v>97.85</v>
      </c>
      <c r="E10" s="9">
        <f>'[1]Data Sheet'!E28</f>
        <v>437.54</v>
      </c>
      <c r="F10" s="9">
        <f>'[1]Data Sheet'!F28</f>
        <v>142.15</v>
      </c>
      <c r="G10" s="9">
        <f>'[1]Data Sheet'!G28</f>
        <v>192.41</v>
      </c>
      <c r="H10" s="9">
        <f>'[1]Data Sheet'!H28</f>
        <v>636.29</v>
      </c>
      <c r="I10" s="9">
        <f>'[1]Data Sheet'!I28</f>
        <v>1294.03</v>
      </c>
      <c r="J10" s="9">
        <f>'[1]Data Sheet'!J28</f>
        <v>44</v>
      </c>
      <c r="K10" s="9">
        <f>'[1]Data Sheet'!K28</f>
        <v>-31.22</v>
      </c>
      <c r="L10" s="9">
        <f>SUM([1]Quarters!H10:K10)</f>
        <v>0</v>
      </c>
      <c r="M10" s="9">
        <f>M6+M7-SUM(M8:M9)</f>
        <v>0</v>
      </c>
      <c r="N10" s="9">
        <f>N6+N7-SUM(N8:N9)</f>
        <v>0</v>
      </c>
      <c r="O10" s="44" t="str">
        <f>IF(((Annual4[[#This Row],[Column11]]/Annual4[[#This Row],[Column2]])^(1/$O$2)-1)&gt;0,((Annual4[[#This Row],[Column11]]/Annual4[[#This Row],[Column2]])^(1/$O$2)-1),"-Ve")</f>
        <v>-Ve</v>
      </c>
    </row>
    <row r="11" spans="1:15" x14ac:dyDescent="0.25">
      <c r="A11" s="6" t="s">
        <v>13</v>
      </c>
      <c r="B11" s="9">
        <f>'[1]Data Sheet'!B29</f>
        <v>220.28</v>
      </c>
      <c r="C11" s="9">
        <f>'[1]Data Sheet'!C29</f>
        <v>195.94</v>
      </c>
      <c r="D11" s="9">
        <f>'[1]Data Sheet'!D29</f>
        <v>23.43</v>
      </c>
      <c r="E11" s="9">
        <f>'[1]Data Sheet'!E29</f>
        <v>55.18</v>
      </c>
      <c r="F11" s="9">
        <f>'[1]Data Sheet'!F29</f>
        <v>46.74</v>
      </c>
      <c r="G11" s="9">
        <f>'[1]Data Sheet'!G29</f>
        <v>46.12</v>
      </c>
      <c r="H11" s="9">
        <f>'[1]Data Sheet'!H29</f>
        <v>148.97999999999999</v>
      </c>
      <c r="I11" s="9">
        <f>'[1]Data Sheet'!I29</f>
        <v>16.72</v>
      </c>
      <c r="J11" s="9">
        <f>'[1]Data Sheet'!J29</f>
        <v>9.91</v>
      </c>
      <c r="K11" s="9">
        <f>'[1]Data Sheet'!K29</f>
        <v>0</v>
      </c>
      <c r="L11" s="9">
        <f>SUM([1]Quarters!H11:K11)</f>
        <v>0</v>
      </c>
      <c r="M11" s="10">
        <f>IF($L10&gt;0,$L11/$L10,0)</f>
        <v>0</v>
      </c>
      <c r="N11" s="10">
        <f>IF($L10&gt;0,$L11/$L10,0)</f>
        <v>0</v>
      </c>
      <c r="O11" s="44" t="str">
        <f>IF(((Annual4[[#This Row],[Column11]]/Annual4[[#This Row],[Column2]])^(1/$O$2)-1)&gt;0,((Annual4[[#This Row],[Column11]]/Annual4[[#This Row],[Column2]])^(1/$O$2)-1),"-Ve")</f>
        <v>-Ve</v>
      </c>
    </row>
    <row r="12" spans="1:15" s="8" customFormat="1" x14ac:dyDescent="0.25">
      <c r="A12" s="8" t="s">
        <v>14</v>
      </c>
      <c r="B12" s="1">
        <f>'[1]Data Sheet'!B30</f>
        <v>431.6</v>
      </c>
      <c r="C12" s="1">
        <f>'[1]Data Sheet'!C30</f>
        <v>398.34</v>
      </c>
      <c r="D12" s="1">
        <f>'[1]Data Sheet'!D30</f>
        <v>74.42</v>
      </c>
      <c r="E12" s="1">
        <f>'[1]Data Sheet'!E30</f>
        <v>382.36</v>
      </c>
      <c r="F12" s="1">
        <f>'[1]Data Sheet'!F30</f>
        <v>95.4</v>
      </c>
      <c r="G12" s="1">
        <f>'[1]Data Sheet'!G30</f>
        <v>146.29</v>
      </c>
      <c r="H12" s="1">
        <f>'[1]Data Sheet'!H30</f>
        <v>487.31</v>
      </c>
      <c r="I12" s="1">
        <f>'[1]Data Sheet'!I30</f>
        <v>1277.31</v>
      </c>
      <c r="J12" s="1">
        <f>'[1]Data Sheet'!J30</f>
        <v>34.08</v>
      </c>
      <c r="K12" s="1">
        <f>'[1]Data Sheet'!K30</f>
        <v>-31.22</v>
      </c>
      <c r="L12" s="1">
        <f>SUM([1]Quarters!H12:K12)</f>
        <v>0</v>
      </c>
      <c r="M12" s="1">
        <f>M10-M11*M10</f>
        <v>0</v>
      </c>
      <c r="N12" s="1">
        <f>N10-N11*N10</f>
        <v>0</v>
      </c>
      <c r="O12" s="45" t="str">
        <f>IF(((Annual4[[#This Row],[Column11]]/Annual4[[#This Row],[Column2]])^(1/$O$2)-1)&gt;0,((Annual4[[#This Row],[Column11]]/Annual4[[#This Row],[Column2]])^(1/$O$2)-1),"-Ve")</f>
        <v>-Ve</v>
      </c>
    </row>
    <row r="13" spans="1:15" x14ac:dyDescent="0.25">
      <c r="A13" s="11" t="s">
        <v>58</v>
      </c>
      <c r="B13" s="9">
        <f>IF('[1]Data Sheet'!B93&gt;0,B12/'[1]Data Sheet'!B93,0)</f>
        <v>39.27206551410373</v>
      </c>
      <c r="C13" s="9">
        <f>IF('[1]Data Sheet'!C93&gt;0,C12/'[1]Data Sheet'!C93,0)</f>
        <v>36.245677888989988</v>
      </c>
      <c r="D13" s="9">
        <f>IF('[1]Data Sheet'!D93&gt;0,D12/'[1]Data Sheet'!D93,0)</f>
        <v>6.7716105550500458</v>
      </c>
      <c r="E13" s="9">
        <f>IF('[1]Data Sheet'!E93&gt;0,E12/'[1]Data Sheet'!E93,0)</f>
        <v>34.791628753412191</v>
      </c>
      <c r="F13" s="9">
        <f>IF('[1]Data Sheet'!F93&gt;0,F12/'[1]Data Sheet'!F93,0)</f>
        <v>8.6806187443130121</v>
      </c>
      <c r="G13" s="9">
        <f>IF('[1]Data Sheet'!G93&gt;0,G12/'[1]Data Sheet'!G93,0)</f>
        <v>13.311191992720655</v>
      </c>
      <c r="H13" s="9">
        <f>IF('[1]Data Sheet'!H93&gt;0,H12/'[1]Data Sheet'!H93,0)</f>
        <v>44.341219290263872</v>
      </c>
      <c r="I13" s="9">
        <f>IF('[1]Data Sheet'!I93&gt;0,I12/'[1]Data Sheet'!I93,0)</f>
        <v>116.22474977252047</v>
      </c>
      <c r="J13" s="9">
        <f>IF('[1]Data Sheet'!J93&gt;0,J12/'[1]Data Sheet'!J93,0)</f>
        <v>3.1010009099181071</v>
      </c>
      <c r="K13" s="9">
        <f>IF('[1]Data Sheet'!K93&gt;0,K12/'[1]Data Sheet'!K93,0)</f>
        <v>-2.8407643312101909</v>
      </c>
      <c r="L13" s="9">
        <f>IF('[1]Data Sheet'!$B6&gt;0,'Profit &amp; Loss SC'!L12/'[1]Data Sheet'!$B6,0)</f>
        <v>0</v>
      </c>
      <c r="M13" s="9">
        <f>IF('[1]Data Sheet'!$B6&gt;0,'Profit &amp; Loss SC'!M12/'[1]Data Sheet'!$B6,0)</f>
        <v>0</v>
      </c>
      <c r="N13" s="9">
        <f>IF('[1]Data Sheet'!$B6&gt;0,'Profit &amp; Loss SC'!N12/'[1]Data Sheet'!$B6,0)</f>
        <v>0</v>
      </c>
      <c r="O13" s="44" t="str">
        <f>IF(((Annual4[[#This Row],[Column11]]/Annual4[[#This Row],[Column2]])^(1/$O$2)-1)&gt;0,((Annual4[[#This Row],[Column11]]/Annual4[[#This Row],[Column2]])^(1/$O$2)-1),"-Ve")</f>
        <v>-Ve</v>
      </c>
    </row>
    <row r="14" spans="1:15" x14ac:dyDescent="0.25">
      <c r="A14" s="6" t="s">
        <v>16</v>
      </c>
      <c r="B14" s="9">
        <f>IF(B15&gt;0,B15/B13,"")</f>
        <v>1.8743602873030585</v>
      </c>
      <c r="C14" s="9">
        <f t="shared" ref="C14:K14" si="1">IF(C15&gt;0,C15/C13,"")</f>
        <v>1.1891072952753929</v>
      </c>
      <c r="D14" s="9">
        <f t="shared" si="1"/>
        <v>6.8019269013705994</v>
      </c>
      <c r="E14" s="9">
        <f t="shared" si="1"/>
        <v>2.9205301286745478</v>
      </c>
      <c r="F14" s="9">
        <f t="shared" si="1"/>
        <v>8.5673616352201254</v>
      </c>
      <c r="G14" s="9">
        <f t="shared" si="1"/>
        <v>8.2201503862191547</v>
      </c>
      <c r="H14" s="9">
        <f t="shared" si="1"/>
        <v>2.5860813445240201</v>
      </c>
      <c r="I14" s="9">
        <f t="shared" si="1"/>
        <v>1.3684692831027707</v>
      </c>
      <c r="J14" s="9">
        <f t="shared" si="1"/>
        <v>24.595284624413146</v>
      </c>
      <c r="K14" s="9">
        <f t="shared" si="1"/>
        <v>-25.679708520179375</v>
      </c>
      <c r="L14" s="9">
        <f>IF(L13&gt;0,L15/L13,0)</f>
        <v>0</v>
      </c>
      <c r="M14" s="9">
        <f>M25</f>
        <v>12.981876953757958</v>
      </c>
      <c r="N14" s="9">
        <f>N25</f>
        <v>0</v>
      </c>
      <c r="O14" s="44" t="str">
        <f>IF(((Annual4[[#This Row],[Column11]]/Annual4[[#This Row],[Column2]])^(1/$O$2)-1)&gt;0,((Annual4[[#This Row],[Column11]]/Annual4[[#This Row],[Column2]])^(1/$O$2)-1),"-Ve")</f>
        <v>-Ve</v>
      </c>
    </row>
    <row r="15" spans="1:15" s="8" customFormat="1" x14ac:dyDescent="0.25">
      <c r="A15" s="8" t="s">
        <v>59</v>
      </c>
      <c r="B15" s="1">
        <f>'[1]Data Sheet'!B90</f>
        <v>73.61</v>
      </c>
      <c r="C15" s="1">
        <f>'[1]Data Sheet'!C90</f>
        <v>43.1</v>
      </c>
      <c r="D15" s="1">
        <f>'[1]Data Sheet'!D90</f>
        <v>46.06</v>
      </c>
      <c r="E15" s="1">
        <f>'[1]Data Sheet'!E90</f>
        <v>101.61</v>
      </c>
      <c r="F15" s="1">
        <f>'[1]Data Sheet'!F90</f>
        <v>74.37</v>
      </c>
      <c r="G15" s="1">
        <f>'[1]Data Sheet'!G90</f>
        <v>109.42</v>
      </c>
      <c r="H15" s="1">
        <f>'[1]Data Sheet'!H90</f>
        <v>114.67</v>
      </c>
      <c r="I15" s="1">
        <f>'[1]Data Sheet'!I90</f>
        <v>159.05000000000001</v>
      </c>
      <c r="J15" s="1">
        <f>'[1]Data Sheet'!J90</f>
        <v>76.27</v>
      </c>
      <c r="K15" s="1">
        <f>'[1]Data Sheet'!K90</f>
        <v>72.95</v>
      </c>
      <c r="L15" s="1">
        <f>'[1]Data Sheet'!B8</f>
        <v>71</v>
      </c>
      <c r="M15" s="12">
        <f>M13*M14</f>
        <v>0</v>
      </c>
      <c r="N15" s="13">
        <f>N13*N14</f>
        <v>0</v>
      </c>
      <c r="O15" s="45" t="str">
        <f>IF(((Annual4[[#This Row],[Column11]]/Annual4[[#This Row],[Column2]])^(1/$O$2)-1)&gt;0,((Annual4[[#This Row],[Column11]]/Annual4[[#This Row],[Column2]])^(1/$O$2)-1),"-Ve")</f>
        <v>-Ve</v>
      </c>
    </row>
    <row r="17" spans="1:15" s="8" customFormat="1" x14ac:dyDescent="0.25">
      <c r="A17" s="8" t="s">
        <v>15</v>
      </c>
    </row>
    <row r="18" spans="1:15" x14ac:dyDescent="0.25">
      <c r="A18" s="6" t="s">
        <v>17</v>
      </c>
      <c r="B18" s="7">
        <f>IF('[1]Data Sheet'!B30&gt;0, '[1]Data Sheet'!B31/'[1]Data Sheet'!B30, 0)</f>
        <v>8.911028730305838E-2</v>
      </c>
      <c r="C18" s="7">
        <f>IF('[1]Data Sheet'!C30&gt;0, '[1]Data Sheet'!C31/'[1]Data Sheet'!C30, 0)</f>
        <v>9.655068534417835E-2</v>
      </c>
      <c r="D18" s="7">
        <f>IF('[1]Data Sheet'!D30&gt;0, '[1]Data Sheet'!D31/'[1]Data Sheet'!D30, 0)</f>
        <v>0.51679656006449881</v>
      </c>
      <c r="E18" s="7">
        <f>IF('[1]Data Sheet'!E30&gt;0, '[1]Data Sheet'!E31/'[1]Data Sheet'!E30, 0)</f>
        <v>0.10058583533842452</v>
      </c>
      <c r="F18" s="7">
        <f>IF('[1]Data Sheet'!F30&gt;0, '[1]Data Sheet'!F31/'[1]Data Sheet'!F30, 0)</f>
        <v>0.40314465408805028</v>
      </c>
      <c r="G18" s="7">
        <f>IF('[1]Data Sheet'!G30&gt;0, '[1]Data Sheet'!G31/'[1]Data Sheet'!G30, 0)</f>
        <v>0.26290245402966711</v>
      </c>
      <c r="H18" s="7">
        <f>IF('[1]Data Sheet'!H30&gt;0, '[1]Data Sheet'!H31/'[1]Data Sheet'!H30, 0)</f>
        <v>7.8923067451929979E-2</v>
      </c>
      <c r="I18" s="7">
        <f>IF('[1]Data Sheet'!I30&gt;0, '[1]Data Sheet'!I31/'[1]Data Sheet'!I30, 0)</f>
        <v>3.011015336918994E-2</v>
      </c>
      <c r="J18" s="7">
        <f>IF('[1]Data Sheet'!J30&gt;0, '[1]Data Sheet'!J31/'[1]Data Sheet'!J30, 0)</f>
        <v>0</v>
      </c>
      <c r="K18" s="7">
        <f>IF('[1]Data Sheet'!K30&gt;0, '[1]Data Sheet'!K31/'[1]Data Sheet'!K30, 0)</f>
        <v>0</v>
      </c>
    </row>
    <row r="19" spans="1:15" x14ac:dyDescent="0.25">
      <c r="A19" s="6" t="s">
        <v>18</v>
      </c>
      <c r="B19" s="7">
        <f>IF(B6&gt;0,B6/B4,0)</f>
        <v>0.5098598356694054</v>
      </c>
      <c r="C19" s="7">
        <f t="shared" ref="C19:K19" si="2">IF(C6&gt;0,C6/C4,0)</f>
        <v>0.44027241742268547</v>
      </c>
      <c r="D19" s="7">
        <f t="shared" si="2"/>
        <v>0.16632776482549474</v>
      </c>
      <c r="E19" s="7">
        <f t="shared" si="2"/>
        <v>0.19263117254744622</v>
      </c>
      <c r="F19" s="7">
        <f t="shared" si="2"/>
        <v>0.20418165467625901</v>
      </c>
      <c r="G19" s="7">
        <f t="shared" si="2"/>
        <v>0.21017015642622452</v>
      </c>
      <c r="H19" s="7">
        <f t="shared" si="2"/>
        <v>0.28167232605882514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>IF(L6&gt;0,L6/L4,0)</f>
        <v>0</v>
      </c>
    </row>
    <row r="20" spans="1:1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5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5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66</v>
      </c>
      <c r="I22" s="16" t="s">
        <v>67</v>
      </c>
      <c r="J22" s="16" t="s">
        <v>68</v>
      </c>
      <c r="K22" s="16" t="s">
        <v>69</v>
      </c>
      <c r="L22" s="17" t="s">
        <v>70</v>
      </c>
      <c r="M22" s="17" t="s">
        <v>20</v>
      </c>
      <c r="N22" s="17" t="s">
        <v>21</v>
      </c>
    </row>
    <row r="23" spans="1:15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-0.56999375692521792</v>
      </c>
      <c r="I23" s="7">
        <f>IF(D4=0,"",POWER($K4/D4,1/7)-1)</f>
        <v>-0.63214089936501472</v>
      </c>
      <c r="J23" s="7">
        <f>IF(F4=0,"",POWER($K4/F4,1/5)-1)</f>
        <v>-0.7610266557702926</v>
      </c>
      <c r="K23" s="7">
        <f>IF(H4=0,"",POWER($K4/H4, 1/3)-1)</f>
        <v>-0.92031688220085928</v>
      </c>
      <c r="L23" s="7" t="str">
        <f>IF(ISERROR(MAX(IF(J4=0,"",(K4-J4)/J4),IF(K4=0,"",(L4-K4)/K4))),"",MAX(IF(J4=0,"",(K4-J4)/J4),IF(K4=0,"",(L4-K4)/K4)))</f>
        <v/>
      </c>
      <c r="M23" s="22">
        <f>MAX(K23:L23)</f>
        <v>-0.92031688220085928</v>
      </c>
      <c r="N23" s="22">
        <f>MIN(H23:L23)</f>
        <v>-0.92031688220085928</v>
      </c>
    </row>
    <row r="24" spans="1:15" x14ac:dyDescent="0.25">
      <c r="G24" s="6" t="s">
        <v>18</v>
      </c>
      <c r="H24" s="7">
        <f>IF(SUM(B4:$K$4)=0,"",SUMPRODUCT(B19:$K$19,B4:$K$4)/SUM(B4:$K$4))</f>
        <v>0.30636461310198138</v>
      </c>
      <c r="I24" s="7">
        <f>IF(SUM(E4:$K$4)=0,"",SUMPRODUCT(E19:$K$19,E4:$K$4)/SUM(E4:$K$4))</f>
        <v>0.22899910416157662</v>
      </c>
      <c r="J24" s="7">
        <f>IF(SUM(G4:$K$4)=0,"",SUMPRODUCT(G19:$K$19,G4:$K$4)/SUM(G4:$K$4))</f>
        <v>0.25229253787889644</v>
      </c>
      <c r="K24" s="7">
        <f>IF(SUM(I4:$K$4)=0, "", SUMPRODUCT(I19:$K$19,I4:$K$4)/SUM(I4:$K$4))</f>
        <v>0</v>
      </c>
      <c r="L24" s="7">
        <f>L19</f>
        <v>0</v>
      </c>
      <c r="M24" s="22">
        <f>MAX(K24:L24)</f>
        <v>0</v>
      </c>
      <c r="N24" s="22">
        <f>MIN(H24:L24)</f>
        <v>0</v>
      </c>
    </row>
    <row r="25" spans="1:15" x14ac:dyDescent="0.25">
      <c r="G25" s="6" t="s">
        <v>23</v>
      </c>
      <c r="H25" s="9">
        <f>IF(ISERROR(AVERAGEIF(B14:$L14,"&gt;0")),"",AVERAGEIF(B14:$L14,"&gt;0"))</f>
        <v>6.4581413206780907</v>
      </c>
      <c r="I25" s="9">
        <f>IF(ISERROR(AVERAGEIF(E14:$L14,"&gt;0")),"",AVERAGEIF(E14:$L14,"&gt;0"))</f>
        <v>8.0429795670256272</v>
      </c>
      <c r="J25" s="9">
        <f>IF(ISERROR(AVERAGEIF(G14:$L14,"&gt;0")),"",AVERAGEIF(G14:$L14,"&gt;0"))</f>
        <v>9.1924964095647734</v>
      </c>
      <c r="K25" s="9">
        <f>IF(ISERROR(AVERAGEIF(I14:$L14,"&gt;0")),"",AVERAGEIF(I14:$L14,"&gt;0"))</f>
        <v>12.981876953757958</v>
      </c>
      <c r="L25" s="9">
        <f>L14</f>
        <v>0</v>
      </c>
      <c r="M25" s="1">
        <f>MAX(K25:L25)</f>
        <v>12.981876953757958</v>
      </c>
      <c r="N25" s="1">
        <f>MIN(H25:L25)</f>
        <v>0</v>
      </c>
    </row>
    <row r="28" spans="1:15" x14ac:dyDescent="0.25">
      <c r="A28" s="6" t="s">
        <v>101</v>
      </c>
      <c r="B28" s="37">
        <f>B12/B4</f>
        <v>0.20860318994683422</v>
      </c>
      <c r="C28" s="37">
        <f t="shared" ref="C28:K28" si="3">C12/C4</f>
        <v>0.24957395619267203</v>
      </c>
      <c r="D28" s="37">
        <f t="shared" si="3"/>
        <v>6.5226918155205357E-2</v>
      </c>
      <c r="E28" s="37">
        <f t="shared" si="3"/>
        <v>0.28945396186135947</v>
      </c>
      <c r="F28" s="37">
        <f t="shared" si="3"/>
        <v>7.1492805755395683E-2</v>
      </c>
      <c r="G28" s="37">
        <f t="shared" si="3"/>
        <v>0.10247914200250786</v>
      </c>
      <c r="H28" s="37">
        <f t="shared" si="3"/>
        <v>0.23706691055565826</v>
      </c>
      <c r="I28" s="37" t="e">
        <f t="shared" si="3"/>
        <v>#DIV/0!</v>
      </c>
      <c r="J28" s="37" t="e">
        <f t="shared" si="3"/>
        <v>#DIV/0!</v>
      </c>
      <c r="K28" s="37">
        <f t="shared" si="3"/>
        <v>-30.019230769230766</v>
      </c>
      <c r="L28" s="37"/>
    </row>
    <row r="29" spans="1:15" x14ac:dyDescent="0.25">
      <c r="A29" s="6" t="s">
        <v>102</v>
      </c>
      <c r="B29" s="37">
        <f>(B12-B7)/B4</f>
        <v>0.33816819719671343</v>
      </c>
      <c r="C29" s="37">
        <f t="shared" ref="C29:K29" si="4">(C12-C7)/C4</f>
        <v>0.21392411407949477</v>
      </c>
      <c r="D29" s="37">
        <f t="shared" si="4"/>
        <v>8.2037618104370078E-3</v>
      </c>
      <c r="E29" s="37">
        <f t="shared" si="4"/>
        <v>1.7752106406655706E-2</v>
      </c>
      <c r="F29" s="37">
        <f t="shared" si="4"/>
        <v>2.7383093525179859E-2</v>
      </c>
      <c r="G29" s="37">
        <f t="shared" si="4"/>
        <v>4.8952371612107796E-2</v>
      </c>
      <c r="H29" s="37">
        <f t="shared" si="4"/>
        <v>0.11201704628377392</v>
      </c>
      <c r="I29" s="37" t="e">
        <f t="shared" si="4"/>
        <v>#DIV/0!</v>
      </c>
      <c r="J29" s="37" t="e">
        <f t="shared" si="4"/>
        <v>#DIV/0!</v>
      </c>
      <c r="K29" s="37">
        <f t="shared" si="4"/>
        <v>-29.124999999999996</v>
      </c>
      <c r="L29" s="37"/>
    </row>
    <row r="30" spans="1:15" x14ac:dyDescent="0.25">
      <c r="A30" s="6" t="s">
        <v>107</v>
      </c>
      <c r="B30" s="34">
        <f>(B12-B7)</f>
        <v>699.67000000000007</v>
      </c>
      <c r="C30" s="34">
        <f t="shared" ref="C30:K30" si="5">(C12-C7)</f>
        <v>341.44</v>
      </c>
      <c r="D30" s="34">
        <f t="shared" si="5"/>
        <v>9.36</v>
      </c>
      <c r="E30" s="34">
        <f t="shared" si="5"/>
        <v>23.449999999999989</v>
      </c>
      <c r="F30" s="34">
        <f t="shared" si="5"/>
        <v>36.540000000000006</v>
      </c>
      <c r="G30" s="34">
        <f t="shared" si="5"/>
        <v>69.88</v>
      </c>
      <c r="H30" s="34">
        <f t="shared" si="5"/>
        <v>230.26</v>
      </c>
      <c r="I30" s="34">
        <f t="shared" si="5"/>
        <v>-17.200000000000045</v>
      </c>
      <c r="J30" s="34">
        <f t="shared" si="5"/>
        <v>-13.800000000000004</v>
      </c>
      <c r="K30" s="34">
        <f t="shared" si="5"/>
        <v>-30.29</v>
      </c>
      <c r="L30" s="37"/>
      <c r="O30" s="46" t="str">
        <f>IF(((K30/B30)^(1/$O$2)-1)&gt;0,((K30/B30)^(1/$O$2)-1),"-ve")</f>
        <v>-ve</v>
      </c>
    </row>
    <row r="31" spans="1:15" x14ac:dyDescent="0.25">
      <c r="A31" s="6" t="s">
        <v>104</v>
      </c>
      <c r="B31" s="34">
        <f>(B4-'[1]Data Sheet'!B18+'[1]Data Sheet'!B19)</f>
        <v>1934.9399999999998</v>
      </c>
      <c r="C31" s="34">
        <f>(C4-'[1]Data Sheet'!C18+'[1]Data Sheet'!C19)</f>
        <v>1414.62</v>
      </c>
      <c r="D31" s="34">
        <f>(D4-'[1]Data Sheet'!D18+'[1]Data Sheet'!D19)</f>
        <v>779.71</v>
      </c>
      <c r="E31" s="34">
        <f>(E4-'[1]Data Sheet'!E18+'[1]Data Sheet'!E19)</f>
        <v>1018.0799999999999</v>
      </c>
      <c r="F31" s="34">
        <f>(F4-'[1]Data Sheet'!F18+'[1]Data Sheet'!F19)</f>
        <v>998.7700000000001</v>
      </c>
      <c r="G31" s="34">
        <f>(G4-'[1]Data Sheet'!G18+'[1]Data Sheet'!G19)</f>
        <v>1100.44</v>
      </c>
      <c r="H31" s="34">
        <f>(H4-'[1]Data Sheet'!H18+'[1]Data Sheet'!H19)</f>
        <v>1550.6299999999999</v>
      </c>
      <c r="I31" s="34">
        <f>(I4-'[1]Data Sheet'!I18+'[1]Data Sheet'!I19)</f>
        <v>0</v>
      </c>
      <c r="J31" s="34">
        <f>(J4-'[1]Data Sheet'!J18+'[1]Data Sheet'!J19)</f>
        <v>0</v>
      </c>
      <c r="K31" s="34">
        <f>(K4-'[1]Data Sheet'!K18+'[1]Data Sheet'!K19)</f>
        <v>1.04</v>
      </c>
      <c r="L31" s="37"/>
      <c r="O31" s="46" t="str">
        <f>IF(((K31/B31)^(1/$O$2)-1)&gt;0,((K31/B31)^(1/$O$2)-1),"-ve")</f>
        <v>-ve</v>
      </c>
    </row>
    <row r="32" spans="1:15" x14ac:dyDescent="0.25">
      <c r="A32" s="6" t="s">
        <v>103</v>
      </c>
      <c r="B32" s="37">
        <f>(B4-'[1]Data Sheet'!B18)/B4</f>
        <v>0.88962783953600766</v>
      </c>
      <c r="C32" s="37">
        <f>(C4-'[1]Data Sheet'!C18)/C4</f>
        <v>0.83926870833542178</v>
      </c>
      <c r="D32" s="37">
        <f>(D4-'[1]Data Sheet'!D18)/D4</f>
        <v>0.7193717461040896</v>
      </c>
      <c r="E32" s="37">
        <f>(E4-'[1]Data Sheet'!E18)/E4</f>
        <v>0.73508860912814067</v>
      </c>
      <c r="F32" s="37">
        <f>(F4-'[1]Data Sheet'!F18)/F4</f>
        <v>0.78642086330935257</v>
      </c>
      <c r="G32" s="37">
        <f>(G4-'[1]Data Sheet'!G18)/G4</f>
        <v>0.77171438378715396</v>
      </c>
      <c r="H32" s="37">
        <f>(H4-'[1]Data Sheet'!H18)/H4</f>
        <v>0.77304215841757562</v>
      </c>
      <c r="I32" s="37" t="e">
        <f>(I4-'[1]Data Sheet'!I18)/I4</f>
        <v>#DIV/0!</v>
      </c>
      <c r="J32" s="37" t="e">
        <f>(J4-'[1]Data Sheet'!J18)/J4</f>
        <v>#DIV/0!</v>
      </c>
      <c r="K32" s="37">
        <f>(K4-'[1]Data Sheet'!K18)/K4</f>
        <v>1</v>
      </c>
    </row>
    <row r="33" spans="1:15" x14ac:dyDescent="0.25">
      <c r="A33" s="29" t="s">
        <v>93</v>
      </c>
      <c r="B33" s="34">
        <f>B6+B7</f>
        <v>786.82999999999993</v>
      </c>
      <c r="C33" s="34">
        <f t="shared" ref="C33:K33" si="6">C6+C7</f>
        <v>759.60999999999979</v>
      </c>
      <c r="D33" s="34">
        <f t="shared" si="6"/>
        <v>254.82999999999998</v>
      </c>
      <c r="E33" s="34">
        <f t="shared" si="6"/>
        <v>613.37000000000012</v>
      </c>
      <c r="F33" s="34">
        <f t="shared" si="6"/>
        <v>331.32000000000005</v>
      </c>
      <c r="G33" s="34">
        <f t="shared" si="6"/>
        <v>376.42999999999972</v>
      </c>
      <c r="H33" s="34">
        <f t="shared" si="6"/>
        <v>836.04999999999973</v>
      </c>
      <c r="I33" s="34">
        <f t="shared" si="6"/>
        <v>1294.03</v>
      </c>
      <c r="J33" s="34">
        <f t="shared" si="6"/>
        <v>44</v>
      </c>
      <c r="K33" s="34">
        <f t="shared" si="6"/>
        <v>-31.220000000000002</v>
      </c>
      <c r="O33" s="46" t="str">
        <f>IF(((K33/B33)^(1/$O$2)-1)&gt;0,((K33/B33)^(1/$O$2)-1),"-ve")</f>
        <v>-ve</v>
      </c>
    </row>
    <row r="34" spans="1:15" x14ac:dyDescent="0.25">
      <c r="A34" s="29" t="s">
        <v>108</v>
      </c>
      <c r="B34" s="37">
        <f>B33/B4</f>
        <v>0.38029482841952633</v>
      </c>
      <c r="C34" s="37">
        <f t="shared" ref="C34:K34" si="7">C33/C4</f>
        <v>0.47592225953586276</v>
      </c>
      <c r="D34" s="37">
        <f t="shared" si="7"/>
        <v>0.22335092117026309</v>
      </c>
      <c r="E34" s="37">
        <f t="shared" si="7"/>
        <v>0.46433302800215004</v>
      </c>
      <c r="F34" s="37">
        <f t="shared" si="7"/>
        <v>0.24829136690647485</v>
      </c>
      <c r="G34" s="37">
        <f t="shared" si="7"/>
        <v>0.26369692681662454</v>
      </c>
      <c r="H34" s="37">
        <f t="shared" si="7"/>
        <v>0.40672219033070944</v>
      </c>
      <c r="I34" s="37" t="e">
        <f t="shared" si="7"/>
        <v>#DIV/0!</v>
      </c>
      <c r="J34" s="37" t="e">
        <f t="shared" si="7"/>
        <v>#DIV/0!</v>
      </c>
      <c r="K34" s="37">
        <f t="shared" si="7"/>
        <v>-30.01923076923077</v>
      </c>
    </row>
    <row r="35" spans="1:15" x14ac:dyDescent="0.25">
      <c r="A35" s="29" t="s">
        <v>112</v>
      </c>
      <c r="B35" s="37">
        <f>'[1]Data Sheet'!B20/'[1]Data Sheet'!B17</f>
        <v>0.13362010633156113</v>
      </c>
      <c r="C35" s="37">
        <f>'[1]Data Sheet'!C20/'[1]Data Sheet'!C17</f>
        <v>0.18213372763270011</v>
      </c>
      <c r="D35" s="37">
        <f>'[1]Data Sheet'!D20/'[1]Data Sheet'!D17</f>
        <v>0.26273949550370745</v>
      </c>
      <c r="E35" s="37">
        <f>'[1]Data Sheet'!E20/'[1]Data Sheet'!E17</f>
        <v>0.26052824818126069</v>
      </c>
      <c r="F35" s="37">
        <f>'[1]Data Sheet'!F20/'[1]Data Sheet'!F17</f>
        <v>0.24715977218225418</v>
      </c>
      <c r="G35" s="37">
        <f>'[1]Data Sheet'!G20/'[1]Data Sheet'!G17</f>
        <v>0.24621193546805278</v>
      </c>
      <c r="H35" s="37">
        <f>'[1]Data Sheet'!H20/'[1]Data Sheet'!H17</f>
        <v>0.19946681715136361</v>
      </c>
      <c r="I35" s="37" t="e">
        <f>'[1]Data Sheet'!I20/'[1]Data Sheet'!I17</f>
        <v>#DIV/0!</v>
      </c>
      <c r="J35" s="37" t="e">
        <f>'[1]Data Sheet'!J20/'[1]Data Sheet'!J17</f>
        <v>#DIV/0!</v>
      </c>
      <c r="K35" s="37">
        <f>'[1]Data Sheet'!K20/'[1]Data Sheet'!K17</f>
        <v>0</v>
      </c>
    </row>
    <row r="36" spans="1:15" x14ac:dyDescent="0.25">
      <c r="A36" s="29" t="s">
        <v>113</v>
      </c>
      <c r="B36" s="37">
        <f>'[1]Data Sheet'!B22/'[1]Data Sheet'!B17</f>
        <v>3.8356694055099082E-2</v>
      </c>
      <c r="C36" s="37">
        <f>'[1]Data Sheet'!C22/'[1]Data Sheet'!C17</f>
        <v>5.0548844669440138E-2</v>
      </c>
      <c r="D36" s="37">
        <f>'[1]Data Sheet'!D22/'[1]Data Sheet'!D17</f>
        <v>7.1625151191123101E-2</v>
      </c>
      <c r="E36" s="37">
        <f>'[1]Data Sheet'!E22/'[1]Data Sheet'!E17</f>
        <v>7.3847248612761832E-2</v>
      </c>
      <c r="F36" s="37">
        <f>'[1]Data Sheet'!F22/'[1]Data Sheet'!F17</f>
        <v>7.8559652278177447E-2</v>
      </c>
      <c r="G36" s="37">
        <f>'[1]Data Sheet'!G22/'[1]Data Sheet'!G17</f>
        <v>8.5344410897296691E-2</v>
      </c>
      <c r="H36" s="37">
        <f>'[1]Data Sheet'!H22/'[1]Data Sheet'!H17</f>
        <v>6.9673766041701127E-2</v>
      </c>
      <c r="I36" s="37" t="e">
        <f>'[1]Data Sheet'!I22/'[1]Data Sheet'!I17</f>
        <v>#DIV/0!</v>
      </c>
      <c r="J36" s="37" t="e">
        <f>'[1]Data Sheet'!J22/'[1]Data Sheet'!J17</f>
        <v>#DIV/0!</v>
      </c>
      <c r="K36" s="37">
        <f>'[1]Data Sheet'!K22/'[1]Data Sheet'!K17</f>
        <v>2.2788461538461537</v>
      </c>
    </row>
    <row r="37" spans="1:15" x14ac:dyDescent="0.25">
      <c r="A37" s="29" t="s">
        <v>120</v>
      </c>
      <c r="B37" s="37">
        <f>B11/B10</f>
        <v>0.33791495367245505</v>
      </c>
      <c r="C37" s="37">
        <f t="shared" ref="C37:K37" si="8">C11/C10</f>
        <v>0.32970990105674092</v>
      </c>
      <c r="D37" s="37">
        <f t="shared" si="8"/>
        <v>0.23944813490035771</v>
      </c>
      <c r="E37" s="37">
        <f t="shared" si="8"/>
        <v>0.12611418384604836</v>
      </c>
      <c r="F37" s="37">
        <f t="shared" si="8"/>
        <v>0.32880759760816042</v>
      </c>
      <c r="G37" s="37">
        <f t="shared" si="8"/>
        <v>0.23969648147185696</v>
      </c>
      <c r="H37" s="37">
        <f t="shared" si="8"/>
        <v>0.2341385217432303</v>
      </c>
      <c r="I37" s="37">
        <f t="shared" si="8"/>
        <v>1.2920875095631477E-2</v>
      </c>
      <c r="J37" s="37">
        <f t="shared" si="8"/>
        <v>0.22522727272727272</v>
      </c>
      <c r="K37" s="37">
        <f t="shared" si="8"/>
        <v>0</v>
      </c>
    </row>
    <row r="38" spans="1:15" x14ac:dyDescent="0.25">
      <c r="A38" s="29" t="s">
        <v>151</v>
      </c>
      <c r="B38" s="53">
        <f>'[1]Data Sheet'!B31*10^7/'[1]Data Sheet'!B70</f>
        <v>3.5011379153390987</v>
      </c>
      <c r="C38" s="53">
        <f>'[1]Data Sheet'!C31*10^7/'[1]Data Sheet'!C70</f>
        <v>3.5011379153390987</v>
      </c>
      <c r="D38" s="53">
        <f>'[1]Data Sheet'!D31*10^7/'[1]Data Sheet'!D70</f>
        <v>3.5011379153390987</v>
      </c>
      <c r="E38" s="53">
        <f>'[1]Data Sheet'!E31*10^7/'[1]Data Sheet'!E70</f>
        <v>3.5011379153390987</v>
      </c>
      <c r="F38" s="53">
        <f>'[1]Data Sheet'!F31*10^7/'[1]Data Sheet'!F70</f>
        <v>3.5011379153390987</v>
      </c>
      <c r="G38" s="53">
        <f>'[1]Data Sheet'!G31*10^7/'[1]Data Sheet'!G70</f>
        <v>3.5011379153390987</v>
      </c>
      <c r="H38" s="53">
        <f>'[1]Data Sheet'!H31*10^7/'[1]Data Sheet'!H70</f>
        <v>3.5011379153390987</v>
      </c>
      <c r="I38" s="53">
        <f>'[1]Data Sheet'!I31*10^7/'[1]Data Sheet'!I70</f>
        <v>3.5011379153390987</v>
      </c>
      <c r="J38" s="53">
        <f>'[1]Data Sheet'!J31*10^7/'[1]Data Sheet'!J70</f>
        <v>0</v>
      </c>
      <c r="K38" s="53" t="e">
        <f>'[1]Data Sheet'!K31*10^7/'[1]Data Sheet'!K70</f>
        <v>#DIV/0!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L23" sqref="L23"/>
    </sheetView>
  </sheetViews>
  <sheetFormatPr defaultRowHeight="15" x14ac:dyDescent="0.25"/>
  <cols>
    <col min="1" max="1" width="22.85546875" style="11" bestFit="1" customWidth="1"/>
    <col min="2" max="2" width="13.5703125" style="11" customWidth="1"/>
    <col min="3" max="11" width="15.5703125" style="11" customWidth="1"/>
    <col min="12" max="16384" width="9.140625" style="11"/>
  </cols>
  <sheetData>
    <row r="1" spans="1:12" s="8" customFormat="1" x14ac:dyDescent="0.25">
      <c r="A1" s="8">
        <f>'[1]Profit &amp; Loss'!A1</f>
        <v>0</v>
      </c>
      <c r="E1">
        <f>UPDATE</f>
        <v>0</v>
      </c>
      <c r="G1"/>
      <c r="J1" s="4" t="s">
        <v>1</v>
      </c>
      <c r="K1" s="4"/>
      <c r="L1" s="6" t="s">
        <v>149</v>
      </c>
    </row>
    <row r="2" spans="1:12" x14ac:dyDescent="0.25">
      <c r="G2" s="8"/>
      <c r="H2" s="8"/>
      <c r="L2" s="6">
        <f>YEARFRAC(K3,B3)</f>
        <v>9</v>
      </c>
    </row>
    <row r="3" spans="1:12" s="18" customFormat="1" x14ac:dyDescent="0.25">
      <c r="A3" s="15" t="s">
        <v>2</v>
      </c>
      <c r="B3" s="16">
        <f>'[1]Data Sheet'!B56</f>
        <v>40999</v>
      </c>
      <c r="C3" s="16">
        <f>'[1]Data Sheet'!C56</f>
        <v>41364</v>
      </c>
      <c r="D3" s="16">
        <f>'[1]Data Sheet'!D56</f>
        <v>41729</v>
      </c>
      <c r="E3" s="16">
        <f>'[1]Data Sheet'!E56</f>
        <v>42094</v>
      </c>
      <c r="F3" s="16">
        <f>'[1]Data Sheet'!F56</f>
        <v>42460</v>
      </c>
      <c r="G3" s="16">
        <f>'[1]Data Sheet'!G56</f>
        <v>42825</v>
      </c>
      <c r="H3" s="16">
        <f>'[1]Data Sheet'!H56</f>
        <v>43190</v>
      </c>
      <c r="I3" s="16">
        <f>'[1]Data Sheet'!I56</f>
        <v>43555</v>
      </c>
      <c r="J3" s="16">
        <f>'[1]Data Sheet'!J56</f>
        <v>43921</v>
      </c>
      <c r="K3" s="16">
        <f>'[1]Data Sheet'!K56</f>
        <v>44286</v>
      </c>
      <c r="L3" s="17" t="s">
        <v>148</v>
      </c>
    </row>
    <row r="4" spans="1:12" x14ac:dyDescent="0.25">
      <c r="A4" s="6" t="s">
        <v>24</v>
      </c>
      <c r="B4" s="19">
        <f>'[1]Data Sheet'!B57</f>
        <v>10.99</v>
      </c>
      <c r="C4" s="19">
        <f>'[1]Data Sheet'!C57</f>
        <v>10.99</v>
      </c>
      <c r="D4" s="19">
        <f>'[1]Data Sheet'!D57</f>
        <v>10.99</v>
      </c>
      <c r="E4" s="19">
        <f>'[1]Data Sheet'!E57</f>
        <v>10.99</v>
      </c>
      <c r="F4" s="19">
        <f>'[1]Data Sheet'!F57</f>
        <v>10.99</v>
      </c>
      <c r="G4" s="19">
        <f>'[1]Data Sheet'!G57</f>
        <v>10.99</v>
      </c>
      <c r="H4" s="19">
        <f>'[1]Data Sheet'!H57</f>
        <v>10.99</v>
      </c>
      <c r="I4" s="19">
        <f>'[1]Data Sheet'!I57</f>
        <v>10.99</v>
      </c>
      <c r="J4" s="19">
        <f>'[1]Data Sheet'!J57</f>
        <v>10.99</v>
      </c>
      <c r="K4" s="19">
        <f>'[1]Data Sheet'!K57</f>
        <v>10.99</v>
      </c>
      <c r="L4" s="39" t="str">
        <f>IF(((K4/B4)^(1/$L$2)-1)&gt;0, ((K4/B4)^(1/$L$2)-1),"-ve")</f>
        <v>-ve</v>
      </c>
    </row>
    <row r="5" spans="1:12" s="6" customFormat="1" x14ac:dyDescent="0.25">
      <c r="A5" s="6" t="s">
        <v>25</v>
      </c>
      <c r="B5" s="19">
        <f>'[1]Data Sheet'!B58</f>
        <v>2130.7800000000002</v>
      </c>
      <c r="C5" s="19">
        <f>'[1]Data Sheet'!C58</f>
        <v>2484.27</v>
      </c>
      <c r="D5" s="19">
        <f>'[1]Data Sheet'!D58</f>
        <v>2513.71</v>
      </c>
      <c r="E5" s="19">
        <f>'[1]Data Sheet'!E58</f>
        <v>2844.6</v>
      </c>
      <c r="F5" s="19">
        <f>'[1]Data Sheet'!F58</f>
        <v>2875.54</v>
      </c>
      <c r="G5" s="19">
        <f>'[1]Data Sheet'!G58</f>
        <v>3025.42</v>
      </c>
      <c r="H5" s="19">
        <f>'[1]Data Sheet'!H58</f>
        <v>3468.14</v>
      </c>
      <c r="I5" s="19">
        <f>'[1]Data Sheet'!I58</f>
        <v>4698</v>
      </c>
      <c r="J5" s="19">
        <f>'[1]Data Sheet'!J58</f>
        <v>1181.1400000000001</v>
      </c>
      <c r="K5" s="19">
        <f>'[1]Data Sheet'!K58</f>
        <v>300.23</v>
      </c>
      <c r="L5" s="39" t="str">
        <f>IF(((K5/B5)^(1/$L$2)-1)&gt;0, ((K5/B5)^(1/$L$2)-1),"-ve")</f>
        <v>-ve</v>
      </c>
    </row>
    <row r="6" spans="1:12" x14ac:dyDescent="0.25">
      <c r="A6" s="11" t="s">
        <v>72</v>
      </c>
      <c r="B6" s="19">
        <f>'[1]Data Sheet'!B59</f>
        <v>851.18</v>
      </c>
      <c r="C6" s="19">
        <f>'[1]Data Sheet'!C59</f>
        <v>866.42</v>
      </c>
      <c r="D6" s="19">
        <f>'[1]Data Sheet'!D59</f>
        <v>704.94</v>
      </c>
      <c r="E6" s="19">
        <f>'[1]Data Sheet'!E59</f>
        <v>716.9</v>
      </c>
      <c r="F6" s="19">
        <f>'[1]Data Sheet'!F59</f>
        <v>478.44</v>
      </c>
      <c r="G6" s="19">
        <f>'[1]Data Sheet'!G59</f>
        <v>631.65</v>
      </c>
      <c r="H6" s="19">
        <f>'[1]Data Sheet'!H59</f>
        <v>749.71</v>
      </c>
      <c r="I6" s="19">
        <f>'[1]Data Sheet'!I59</f>
        <v>0</v>
      </c>
      <c r="J6" s="19">
        <f>'[1]Data Sheet'!J59</f>
        <v>0</v>
      </c>
      <c r="K6" s="19">
        <f>'[1]Data Sheet'!K59</f>
        <v>1</v>
      </c>
      <c r="L6" s="39" t="str">
        <f>IF(((K6/B6)^(1/$L$2)-1)&gt;0, ((K6/B6)^(1/$L$2)-1),"-ve")</f>
        <v>-ve</v>
      </c>
    </row>
    <row r="7" spans="1:12" s="6" customFormat="1" x14ac:dyDescent="0.25">
      <c r="A7" s="11" t="s">
        <v>73</v>
      </c>
      <c r="B7" s="19">
        <f>'[1]Data Sheet'!B60</f>
        <v>466.1</v>
      </c>
      <c r="C7" s="19">
        <f>'[1]Data Sheet'!C60</f>
        <v>365.23</v>
      </c>
      <c r="D7" s="19">
        <f>'[1]Data Sheet'!D60</f>
        <v>423.25</v>
      </c>
      <c r="E7" s="19">
        <f>'[1]Data Sheet'!E60</f>
        <v>497.31</v>
      </c>
      <c r="F7" s="19">
        <f>'[1]Data Sheet'!F60</f>
        <v>369.05</v>
      </c>
      <c r="G7" s="19">
        <f>'[1]Data Sheet'!G60</f>
        <v>412.3</v>
      </c>
      <c r="H7" s="19">
        <f>'[1]Data Sheet'!H60</f>
        <v>622.78</v>
      </c>
      <c r="I7" s="19">
        <f>'[1]Data Sheet'!I60</f>
        <v>1326.73</v>
      </c>
      <c r="J7" s="19">
        <f>'[1]Data Sheet'!J60</f>
        <v>5.2</v>
      </c>
      <c r="K7" s="19">
        <f>'[1]Data Sheet'!K60</f>
        <v>12.67</v>
      </c>
      <c r="L7" s="39" t="str">
        <f>IF(((K7/B7)^(1/$L$2)-1)&gt;0, ((K7/B7)^(1/$L$2)-1),"-ve")</f>
        <v>-ve</v>
      </c>
    </row>
    <row r="8" spans="1:12" s="8" customFormat="1" x14ac:dyDescent="0.25">
      <c r="A8" s="8" t="s">
        <v>26</v>
      </c>
      <c r="B8" s="20">
        <f>'[1]Data Sheet'!B61</f>
        <v>3459.05</v>
      </c>
      <c r="C8" s="20">
        <f>'[1]Data Sheet'!C61</f>
        <v>3726.91</v>
      </c>
      <c r="D8" s="20">
        <f>'[1]Data Sheet'!D61</f>
        <v>3652.89</v>
      </c>
      <c r="E8" s="20">
        <f>'[1]Data Sheet'!E61</f>
        <v>4069.8</v>
      </c>
      <c r="F8" s="20">
        <f>'[1]Data Sheet'!F61</f>
        <v>3734.02</v>
      </c>
      <c r="G8" s="20">
        <f>'[1]Data Sheet'!G61</f>
        <v>4080.36</v>
      </c>
      <c r="H8" s="20">
        <f>'[1]Data Sheet'!H61</f>
        <v>4851.62</v>
      </c>
      <c r="I8" s="20">
        <f>'[1]Data Sheet'!I61</f>
        <v>6035.72</v>
      </c>
      <c r="J8" s="20">
        <f>'[1]Data Sheet'!J61</f>
        <v>1197.33</v>
      </c>
      <c r="K8" s="20">
        <f>'[1]Data Sheet'!K61</f>
        <v>324.89</v>
      </c>
      <c r="L8" s="39" t="str">
        <f>IF(((K8/B8)^(1/$L$2)-1)&gt;0, ((K8/B8)^(1/$L$2)-1),"-ve")</f>
        <v>-ve</v>
      </c>
    </row>
    <row r="9" spans="1:12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2" x14ac:dyDescent="0.25">
      <c r="A10" s="6" t="s">
        <v>27</v>
      </c>
      <c r="B10" s="19">
        <f>'[1]Data Sheet'!B62</f>
        <v>1626.84</v>
      </c>
      <c r="C10" s="19">
        <f>'[1]Data Sheet'!C62</f>
        <v>1624.8</v>
      </c>
      <c r="D10" s="19">
        <f>'[1]Data Sheet'!D62</f>
        <v>1628.12</v>
      </c>
      <c r="E10" s="19">
        <f>'[1]Data Sheet'!E62</f>
        <v>1994.15</v>
      </c>
      <c r="F10" s="19">
        <f>'[1]Data Sheet'!F62</f>
        <v>1976.97</v>
      </c>
      <c r="G10" s="19">
        <f>'[1]Data Sheet'!G62</f>
        <v>1910.29</v>
      </c>
      <c r="H10" s="19">
        <f>'[1]Data Sheet'!H62</f>
        <v>1908.89</v>
      </c>
      <c r="I10" s="19">
        <f>'[1]Data Sheet'!I62</f>
        <v>0</v>
      </c>
      <c r="J10" s="19">
        <f>'[1]Data Sheet'!J62</f>
        <v>0</v>
      </c>
      <c r="K10" s="19">
        <f>'[1]Data Sheet'!K62</f>
        <v>0</v>
      </c>
      <c r="L10" s="39" t="str">
        <f>IF(((K10/B10)^(1/$L$2)-1)&gt;0, ((K10/B10)^(1/$L$2)-1),"-ve")</f>
        <v>-ve</v>
      </c>
    </row>
    <row r="11" spans="1:12" x14ac:dyDescent="0.25">
      <c r="A11" s="6" t="s">
        <v>28</v>
      </c>
      <c r="B11" s="19">
        <f>'[1]Data Sheet'!B63</f>
        <v>253.4</v>
      </c>
      <c r="C11" s="19">
        <f>'[1]Data Sheet'!C63</f>
        <v>390.99</v>
      </c>
      <c r="D11" s="19">
        <f>'[1]Data Sheet'!D63</f>
        <v>428.23</v>
      </c>
      <c r="E11" s="19">
        <f>'[1]Data Sheet'!E63</f>
        <v>108.95</v>
      </c>
      <c r="F11" s="19">
        <f>'[1]Data Sheet'!F63</f>
        <v>42.03</v>
      </c>
      <c r="G11" s="19">
        <f>'[1]Data Sheet'!G63</f>
        <v>139.22</v>
      </c>
      <c r="H11" s="19">
        <f>'[1]Data Sheet'!H63</f>
        <v>343.65</v>
      </c>
      <c r="I11" s="19">
        <f>'[1]Data Sheet'!I63</f>
        <v>0</v>
      </c>
      <c r="J11" s="19">
        <f>'[1]Data Sheet'!J63</f>
        <v>0</v>
      </c>
      <c r="K11" s="19">
        <f>'[1]Data Sheet'!K63</f>
        <v>0</v>
      </c>
      <c r="L11" s="39" t="str">
        <f>IF(((K11/B11)^(1/$L$2)-1)&gt;0, ((K11/B11)^(1/$L$2)-1),"-ve")</f>
        <v>-ve</v>
      </c>
    </row>
    <row r="12" spans="1:12" x14ac:dyDescent="0.25">
      <c r="A12" s="6" t="s">
        <v>29</v>
      </c>
      <c r="B12" s="19">
        <f>'[1]Data Sheet'!B64</f>
        <v>293.20999999999998</v>
      </c>
      <c r="C12" s="19">
        <f>'[1]Data Sheet'!C64</f>
        <v>474.08</v>
      </c>
      <c r="D12" s="19">
        <f>'[1]Data Sheet'!D64</f>
        <v>463.81</v>
      </c>
      <c r="E12" s="19">
        <f>'[1]Data Sheet'!E64</f>
        <v>433.14</v>
      </c>
      <c r="F12" s="19">
        <f>'[1]Data Sheet'!F64</f>
        <v>593.27</v>
      </c>
      <c r="G12" s="19">
        <f>'[1]Data Sheet'!G64</f>
        <v>686.36</v>
      </c>
      <c r="H12" s="19">
        <f>'[1]Data Sheet'!H64</f>
        <v>815.83</v>
      </c>
      <c r="I12" s="19">
        <f>'[1]Data Sheet'!I64</f>
        <v>454.38</v>
      </c>
      <c r="J12" s="19">
        <f>'[1]Data Sheet'!J64</f>
        <v>456.69</v>
      </c>
      <c r="K12" s="19">
        <f>'[1]Data Sheet'!K64</f>
        <v>300.12</v>
      </c>
      <c r="L12" s="39">
        <f>IF(((K12/B12)^(1/$L$2)-1)&gt;0, ((K12/B12)^(1/$L$2)-1),"-ve")</f>
        <v>2.5914986797523909E-3</v>
      </c>
    </row>
    <row r="13" spans="1:12" x14ac:dyDescent="0.25">
      <c r="A13" s="11" t="s">
        <v>74</v>
      </c>
      <c r="B13" s="19">
        <f>'[1]Data Sheet'!B65</f>
        <v>1285.5999999999999</v>
      </c>
      <c r="C13" s="19">
        <f>'[1]Data Sheet'!C65</f>
        <v>1237.04</v>
      </c>
      <c r="D13" s="19">
        <f>'[1]Data Sheet'!D65</f>
        <v>1132.73</v>
      </c>
      <c r="E13" s="19">
        <f>'[1]Data Sheet'!E65</f>
        <v>1533.56</v>
      </c>
      <c r="F13" s="19">
        <f>'[1]Data Sheet'!F65</f>
        <v>1121.75</v>
      </c>
      <c r="G13" s="19">
        <f>'[1]Data Sheet'!G65</f>
        <v>1344.49</v>
      </c>
      <c r="H13" s="19">
        <f>'[1]Data Sheet'!H65</f>
        <v>1783.25</v>
      </c>
      <c r="I13" s="19">
        <f>'[1]Data Sheet'!I65</f>
        <v>5581.34</v>
      </c>
      <c r="J13" s="19">
        <f>'[1]Data Sheet'!J65</f>
        <v>740.64</v>
      </c>
      <c r="K13" s="19">
        <f>'[1]Data Sheet'!K65</f>
        <v>24.77</v>
      </c>
      <c r="L13" s="39" t="str">
        <f>IF(((K13/B13)^(1/$L$2)-1)&gt;0, ((K13/B13)^(1/$L$2)-1),"-ve")</f>
        <v>-ve</v>
      </c>
    </row>
    <row r="14" spans="1:12" s="8" customFormat="1" x14ac:dyDescent="0.25">
      <c r="A14" s="8" t="s">
        <v>26</v>
      </c>
      <c r="B14" s="19">
        <f>'[1]Data Sheet'!B66</f>
        <v>3459.05</v>
      </c>
      <c r="C14" s="19">
        <f>'[1]Data Sheet'!C66</f>
        <v>3726.91</v>
      </c>
      <c r="D14" s="19">
        <f>'[1]Data Sheet'!D66</f>
        <v>3652.89</v>
      </c>
      <c r="E14" s="19">
        <f>'[1]Data Sheet'!E66</f>
        <v>4069.8</v>
      </c>
      <c r="F14" s="19">
        <f>'[1]Data Sheet'!F66</f>
        <v>3734.02</v>
      </c>
      <c r="G14" s="19">
        <f>'[1]Data Sheet'!G66</f>
        <v>4080.36</v>
      </c>
      <c r="H14" s="19">
        <f>'[1]Data Sheet'!H66</f>
        <v>4851.62</v>
      </c>
      <c r="I14" s="19">
        <f>'[1]Data Sheet'!I66</f>
        <v>6035.72</v>
      </c>
      <c r="J14" s="19">
        <f>'[1]Data Sheet'!J66</f>
        <v>1197.33</v>
      </c>
      <c r="K14" s="19">
        <f>'[1]Data Sheet'!K66</f>
        <v>324.89</v>
      </c>
      <c r="L14" s="39" t="str">
        <f>IF(((K14/B14)^(1/$L$2)-1)&gt;0, ((K14/B14)^(1/$L$2)-1),"-ve")</f>
        <v>-ve</v>
      </c>
    </row>
    <row r="15" spans="1:12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2" x14ac:dyDescent="0.25">
      <c r="A16" s="29" t="s">
        <v>30</v>
      </c>
      <c r="B16" s="21">
        <f>B13-B7</f>
        <v>819.49999999999989</v>
      </c>
      <c r="C16" s="21">
        <f t="shared" ref="C16:K16" si="0">C13-C7</f>
        <v>871.81</v>
      </c>
      <c r="D16" s="21">
        <f t="shared" si="0"/>
        <v>709.48</v>
      </c>
      <c r="E16" s="21">
        <f t="shared" si="0"/>
        <v>1036.25</v>
      </c>
      <c r="F16" s="21">
        <f t="shared" si="0"/>
        <v>752.7</v>
      </c>
      <c r="G16" s="21">
        <f t="shared" si="0"/>
        <v>932.19</v>
      </c>
      <c r="H16" s="21">
        <f t="shared" si="0"/>
        <v>1160.47</v>
      </c>
      <c r="I16" s="21">
        <f t="shared" si="0"/>
        <v>4254.6100000000006</v>
      </c>
      <c r="J16" s="21">
        <f t="shared" si="0"/>
        <v>735.43999999999994</v>
      </c>
      <c r="K16" s="21">
        <f t="shared" si="0"/>
        <v>12.1</v>
      </c>
      <c r="L16" s="39" t="str">
        <f>IF(((K16/B16)^(1/$L$2)-1)&gt;0, ((K16/B16)^(1/$L$2)-1),"-ve")</f>
        <v>-ve</v>
      </c>
    </row>
    <row r="17" spans="1:12" x14ac:dyDescent="0.25">
      <c r="A17" s="11" t="s">
        <v>44</v>
      </c>
      <c r="B17" s="21">
        <f>'[1]Data Sheet'!B67</f>
        <v>247.83</v>
      </c>
      <c r="C17" s="21">
        <f>'[1]Data Sheet'!C67</f>
        <v>330.89</v>
      </c>
      <c r="D17" s="21">
        <f>'[1]Data Sheet'!D67</f>
        <v>316.72000000000003</v>
      </c>
      <c r="E17" s="21">
        <f>'[1]Data Sheet'!E67</f>
        <v>385.42</v>
      </c>
      <c r="F17" s="21">
        <f>'[1]Data Sheet'!F67</f>
        <v>375.21</v>
      </c>
      <c r="G17" s="21">
        <f>'[1]Data Sheet'!G67</f>
        <v>370.76</v>
      </c>
      <c r="H17" s="21">
        <f>'[1]Data Sheet'!H67</f>
        <v>555.13</v>
      </c>
      <c r="I17" s="21">
        <f>'[1]Data Sheet'!I67</f>
        <v>0</v>
      </c>
      <c r="J17" s="21">
        <f>'[1]Data Sheet'!J67</f>
        <v>0</v>
      </c>
      <c r="K17" s="21">
        <f>'[1]Data Sheet'!K67</f>
        <v>21.69</v>
      </c>
      <c r="L17" s="39" t="str">
        <f>IF(((K17/B17)^(1/$L$2)-1)&gt;0, ((K17/B17)^(1/$L$2)-1),"-ve")</f>
        <v>-ve</v>
      </c>
    </row>
    <row r="18" spans="1:12" x14ac:dyDescent="0.25">
      <c r="A18" s="11" t="s">
        <v>45</v>
      </c>
      <c r="B18" s="21">
        <f>'[1]Data Sheet'!B68</f>
        <v>414.4</v>
      </c>
      <c r="C18" s="21">
        <f>'[1]Data Sheet'!C68</f>
        <v>421.11</v>
      </c>
      <c r="D18" s="21">
        <f>'[1]Data Sheet'!D68</f>
        <v>316.95</v>
      </c>
      <c r="E18" s="21">
        <f>'[1]Data Sheet'!E68</f>
        <v>367.13</v>
      </c>
      <c r="F18" s="21">
        <f>'[1]Data Sheet'!F68</f>
        <v>321.02999999999997</v>
      </c>
      <c r="G18" s="21">
        <f>'[1]Data Sheet'!G68</f>
        <v>315.89999999999998</v>
      </c>
      <c r="H18" s="21">
        <f>'[1]Data Sheet'!H68</f>
        <v>346.16</v>
      </c>
      <c r="I18" s="21">
        <f>'[1]Data Sheet'!I68</f>
        <v>0</v>
      </c>
      <c r="J18" s="21">
        <f>'[1]Data Sheet'!J68</f>
        <v>0</v>
      </c>
      <c r="K18" s="21">
        <f>'[1]Data Sheet'!K68</f>
        <v>0</v>
      </c>
      <c r="L18" s="39" t="str">
        <f>IF(((K18/B18)^(1/$L$2)-1)&gt;0, ((K18/B18)^(1/$L$2)-1),"-ve")</f>
        <v>-ve</v>
      </c>
    </row>
    <row r="20" spans="1:12" x14ac:dyDescent="0.25">
      <c r="A20" s="11" t="s">
        <v>46</v>
      </c>
      <c r="B20" s="5">
        <f>IF('[1]Profit &amp; Loss'!B4&gt;0,'Balance Sheet SC'!B17/('[1]Profit &amp; Loss'!B4/365),0)</f>
        <v>0</v>
      </c>
      <c r="C20" s="5">
        <f>IF('[1]Profit &amp; Loss'!C4&gt;0,'Balance Sheet SC'!C17/('[1]Profit &amp; Loss'!C4/365),0)</f>
        <v>0</v>
      </c>
      <c r="D20" s="5">
        <f>IF('[1]Profit &amp; Loss'!D4&gt;0,'Balance Sheet SC'!D17/('[1]Profit &amp; Loss'!D4/365),0)</f>
        <v>0</v>
      </c>
      <c r="E20" s="5">
        <f>IF('[1]Profit &amp; Loss'!E4&gt;0,'Balance Sheet SC'!E17/('[1]Profit &amp; Loss'!E4/365),0)</f>
        <v>0</v>
      </c>
      <c r="F20" s="5">
        <f>IF('[1]Profit &amp; Loss'!F4&gt;0,'Balance Sheet SC'!F17/('[1]Profit &amp; Loss'!F4/365),0)</f>
        <v>0</v>
      </c>
      <c r="G20" s="5">
        <f>IF('[1]Profit &amp; Loss'!G4&gt;0,'Balance Sheet SC'!G17/('[1]Profit &amp; Loss'!G4/365),0)</f>
        <v>0</v>
      </c>
      <c r="H20" s="5">
        <f>IF('[1]Profit &amp; Loss'!H4&gt;0,'Balance Sheet SC'!H17/('[1]Profit &amp; Loss'!H4/365),0)</f>
        <v>0</v>
      </c>
      <c r="I20" s="5">
        <f>IF('[1]Profit &amp; Loss'!I4&gt;0,'Balance Sheet SC'!I17/('[1]Profit &amp; Loss'!I4/365),0)</f>
        <v>0</v>
      </c>
      <c r="J20" s="5">
        <f>IF('[1]Profit &amp; Loss'!J4&gt;0,'Balance Sheet SC'!J17/('[1]Profit &amp; Loss'!J4/365),0)</f>
        <v>0</v>
      </c>
      <c r="K20" s="5">
        <f>IF('[1]Profit &amp; Loss'!K4&gt;0,'Balance Sheet SC'!K17/('[1]Profit &amp; Loss'!K4/365),0)</f>
        <v>0</v>
      </c>
    </row>
    <row r="21" spans="1:12" x14ac:dyDescent="0.25">
      <c r="A21" s="11" t="s">
        <v>147</v>
      </c>
      <c r="B21" s="5" t="e">
        <f>ROUND(365/B22,0)</f>
        <v>#DIV/0!</v>
      </c>
      <c r="C21" s="5" t="e">
        <f t="shared" ref="C21:K21" si="1">ROUND(365/C22,0)</f>
        <v>#DIV/0!</v>
      </c>
      <c r="D21" s="5" t="e">
        <f t="shared" si="1"/>
        <v>#DIV/0!</v>
      </c>
      <c r="E21" s="5" t="e">
        <f t="shared" si="1"/>
        <v>#DIV/0!</v>
      </c>
      <c r="F21" s="5" t="e">
        <f t="shared" si="1"/>
        <v>#DIV/0!</v>
      </c>
      <c r="G21" s="5" t="e">
        <f t="shared" si="1"/>
        <v>#DIV/0!</v>
      </c>
      <c r="H21" s="5" t="e">
        <f t="shared" si="1"/>
        <v>#DIV/0!</v>
      </c>
      <c r="I21" s="5" t="e">
        <f t="shared" si="1"/>
        <v>#DIV/0!</v>
      </c>
      <c r="J21" s="5" t="e">
        <f t="shared" si="1"/>
        <v>#DIV/0!</v>
      </c>
      <c r="K21" s="5" t="e">
        <f t="shared" si="1"/>
        <v>#DIV/0!</v>
      </c>
    </row>
    <row r="22" spans="1:12" x14ac:dyDescent="0.25">
      <c r="A22" s="11" t="s">
        <v>47</v>
      </c>
      <c r="B22" s="5">
        <f>IF('Balance Sheet SC'!B18&gt;0,'[1]Profit &amp; Loss'!B4/'Balance Sheet SC'!B18,0)</f>
        <v>0</v>
      </c>
      <c r="C22" s="5">
        <f>IF('Balance Sheet SC'!C18&gt;0,'[1]Profit &amp; Loss'!C4/'Balance Sheet SC'!C18,0)</f>
        <v>0</v>
      </c>
      <c r="D22" s="5">
        <f>IF('Balance Sheet SC'!D18&gt;0,'[1]Profit &amp; Loss'!D4/'Balance Sheet SC'!D18,0)</f>
        <v>0</v>
      </c>
      <c r="E22" s="5">
        <f>IF('Balance Sheet SC'!E18&gt;0,'[1]Profit &amp; Loss'!E4/'Balance Sheet SC'!E18,0)</f>
        <v>0</v>
      </c>
      <c r="F22" s="5">
        <f>IF('Balance Sheet SC'!F18&gt;0,'[1]Profit &amp; Loss'!F4/'Balance Sheet SC'!F18,0)</f>
        <v>0</v>
      </c>
      <c r="G22" s="5">
        <f>IF('Balance Sheet SC'!G18&gt;0,'[1]Profit &amp; Loss'!G4/'Balance Sheet SC'!G18,0)</f>
        <v>0</v>
      </c>
      <c r="H22" s="5">
        <f>IF('Balance Sheet SC'!H18&gt;0,'[1]Profit &amp; Loss'!H4/'Balance Sheet SC'!H18,0)</f>
        <v>0</v>
      </c>
      <c r="I22" s="5">
        <f>IF('Balance Sheet SC'!I18&gt;0,'[1]Profit &amp; Loss'!I4/'Balance Sheet SC'!I18,0)</f>
        <v>0</v>
      </c>
      <c r="J22" s="5">
        <f>IF('Balance Sheet SC'!J18&gt;0,'[1]Profit &amp; Loss'!J4/'Balance Sheet SC'!J18,0)</f>
        <v>0</v>
      </c>
      <c r="K22" s="5">
        <f>IF('Balance Sheet SC'!K18&gt;0,'[1]Profit &amp; Loss'!K4/'Balance Sheet SC'!K18,0)</f>
        <v>0</v>
      </c>
    </row>
    <row r="24" spans="1:12" s="8" customFormat="1" x14ac:dyDescent="0.25">
      <c r="A24" s="8" t="s">
        <v>60</v>
      </c>
      <c r="B24" s="14">
        <f>IF(SUM('Balance Sheet SC'!B4:B5)&gt;0,'[1]Profit &amp; Loss'!B12/SUM('Balance Sheet SC'!B4:B5),"")</f>
        <v>0</v>
      </c>
      <c r="C24" s="14">
        <f>IF(SUM('Balance Sheet SC'!C4:C5)&gt;0,'[1]Profit &amp; Loss'!C12/SUM('Balance Sheet SC'!C4:C5),"")</f>
        <v>0</v>
      </c>
      <c r="D24" s="14">
        <f>IF(SUM('Balance Sheet SC'!D4:D5)&gt;0,'[1]Profit &amp; Loss'!D12/SUM('Balance Sheet SC'!D4:D5),"")</f>
        <v>0</v>
      </c>
      <c r="E24" s="14">
        <f>IF(SUM('Balance Sheet SC'!E4:E5)&gt;0,'[1]Profit &amp; Loss'!E12/SUM('Balance Sheet SC'!E4:E5),"")</f>
        <v>0</v>
      </c>
      <c r="F24" s="14">
        <f>IF(SUM('Balance Sheet SC'!F4:F5)&gt;0,'[1]Profit &amp; Loss'!F12/SUM('Balance Sheet SC'!F4:F5),"")</f>
        <v>0</v>
      </c>
      <c r="G24" s="14">
        <f>IF(SUM('Balance Sheet SC'!G4:G5)&gt;0,'[1]Profit &amp; Loss'!G12/SUM('Balance Sheet SC'!G4:G5),"")</f>
        <v>0</v>
      </c>
      <c r="H24" s="14">
        <f>IF(SUM('Balance Sheet SC'!H4:H5)&gt;0,'[1]Profit &amp; Loss'!H12/SUM('Balance Sheet SC'!H4:H5),"")</f>
        <v>0</v>
      </c>
      <c r="I24" s="14">
        <f>IF(SUM('Balance Sheet SC'!I4:I5)&gt;0,'[1]Profit &amp; Loss'!I12/SUM('Balance Sheet SC'!I4:I5),"")</f>
        <v>0</v>
      </c>
      <c r="J24" s="14">
        <f>IF(SUM('Balance Sheet SC'!J4:J5)&gt;0,'[1]Profit &amp; Loss'!J12/SUM('Balance Sheet SC'!J4:J5),"")</f>
        <v>0</v>
      </c>
      <c r="K24" s="14">
        <f>IF(SUM('Balance Sheet SC'!K4:K5)&gt;0,'[1]Profit &amp; Loss'!K12/SUM('Balance Sheet SC'!K4:K5),"")</f>
        <v>0</v>
      </c>
      <c r="L24" s="47">
        <f>AVERAGE(B24:K24)</f>
        <v>0</v>
      </c>
    </row>
    <row r="25" spans="1:12" s="8" customFormat="1" x14ac:dyDescent="0.25">
      <c r="A25" s="8" t="s">
        <v>61</v>
      </c>
      <c r="B25" s="14">
        <f>B39/B38</f>
        <v>0</v>
      </c>
      <c r="C25" s="14">
        <f t="shared" ref="C25:K25" si="2">C39/C38</f>
        <v>0</v>
      </c>
      <c r="D25" s="14">
        <f t="shared" si="2"/>
        <v>0</v>
      </c>
      <c r="E25" s="14">
        <f t="shared" si="2"/>
        <v>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14">
        <f t="shared" si="2"/>
        <v>0</v>
      </c>
      <c r="J25" s="14">
        <f t="shared" si="2"/>
        <v>0</v>
      </c>
      <c r="K25" s="14">
        <f t="shared" si="2"/>
        <v>0</v>
      </c>
      <c r="L25" s="47">
        <f>AVERAGE(B25:K25)</f>
        <v>0</v>
      </c>
    </row>
    <row r="26" spans="1:12" s="18" customFormat="1" x14ac:dyDescent="0.25">
      <c r="A26" s="18" t="s">
        <v>97</v>
      </c>
      <c r="B26" s="35">
        <f>'[1]Profit &amp; Loss'!B4/('Balance Sheet SC'!B10)</f>
        <v>0</v>
      </c>
      <c r="C26" s="35">
        <f>'[1]Profit &amp; Loss'!C4/('Balance Sheet SC'!C10)</f>
        <v>0</v>
      </c>
      <c r="D26" s="35">
        <f>'[1]Profit &amp; Loss'!D4/('Balance Sheet SC'!D10)</f>
        <v>0</v>
      </c>
      <c r="E26" s="35">
        <f>'[1]Profit &amp; Loss'!E4/('Balance Sheet SC'!E10)</f>
        <v>0</v>
      </c>
      <c r="F26" s="35">
        <f>'[1]Profit &amp; Loss'!F4/('Balance Sheet SC'!F10)</f>
        <v>0</v>
      </c>
      <c r="G26" s="35">
        <f>'[1]Profit &amp; Loss'!G4/('Balance Sheet SC'!G10)</f>
        <v>0</v>
      </c>
      <c r="H26" s="35">
        <f>'[1]Profit &amp; Loss'!H4/('Balance Sheet SC'!H10)</f>
        <v>0</v>
      </c>
      <c r="I26" s="35" t="e">
        <f>'[1]Profit &amp; Loss'!I4/('Balance Sheet SC'!I10)</f>
        <v>#DIV/0!</v>
      </c>
      <c r="J26" s="35" t="e">
        <f>'[1]Profit &amp; Loss'!J4/('Balance Sheet SC'!J10)</f>
        <v>#DIV/0!</v>
      </c>
      <c r="K26" s="35" t="e">
        <f>'[1]Profit &amp; Loss'!K4/('Balance Sheet SC'!K10)</f>
        <v>#DIV/0!</v>
      </c>
      <c r="L26" s="48" t="e">
        <f>AVERAGE(B26:K26)</f>
        <v>#DIV/0!</v>
      </c>
    </row>
    <row r="27" spans="1:12" x14ac:dyDescent="0.25">
      <c r="A27" s="18" t="s">
        <v>98</v>
      </c>
      <c r="B27" s="36" t="e">
        <f>('[1]Profit &amp; Loss'!B10+'[1]Profit &amp; Loss'!B9+'[1]Profit &amp; Loss'!B8)/'[1]Profit &amp; Loss'!B9</f>
        <v>#DIV/0!</v>
      </c>
      <c r="C27" s="36" t="e">
        <f>('[1]Profit &amp; Loss'!C10+'[1]Profit &amp; Loss'!C9+'[1]Profit &amp; Loss'!C8)/'[1]Profit &amp; Loss'!C9</f>
        <v>#DIV/0!</v>
      </c>
      <c r="D27" s="36" t="e">
        <f>('[1]Profit &amp; Loss'!D10+'[1]Profit &amp; Loss'!D9+'[1]Profit &amp; Loss'!D8)/'[1]Profit &amp; Loss'!D9</f>
        <v>#DIV/0!</v>
      </c>
      <c r="E27" s="36" t="e">
        <f>('[1]Profit &amp; Loss'!E10+'[1]Profit &amp; Loss'!E9+'[1]Profit &amp; Loss'!E8)/'[1]Profit &amp; Loss'!E9</f>
        <v>#DIV/0!</v>
      </c>
      <c r="F27" s="36" t="e">
        <f>('[1]Profit &amp; Loss'!F10+'[1]Profit &amp; Loss'!F9+'[1]Profit &amp; Loss'!F8)/'[1]Profit &amp; Loss'!F9</f>
        <v>#DIV/0!</v>
      </c>
      <c r="G27" s="36" t="e">
        <f>('[1]Profit &amp; Loss'!G10+'[1]Profit &amp; Loss'!G9+'[1]Profit &amp; Loss'!G8)/'[1]Profit &amp; Loss'!G9</f>
        <v>#DIV/0!</v>
      </c>
      <c r="H27" s="36" t="e">
        <f>('[1]Profit &amp; Loss'!H10+'[1]Profit &amp; Loss'!H9+'[1]Profit &amp; Loss'!H8)/'[1]Profit &amp; Loss'!H9</f>
        <v>#DIV/0!</v>
      </c>
      <c r="I27" s="36" t="e">
        <f>('[1]Profit &amp; Loss'!I10+'[1]Profit &amp; Loss'!I9+'[1]Profit &amp; Loss'!I8)/'[1]Profit &amp; Loss'!I9</f>
        <v>#DIV/0!</v>
      </c>
      <c r="J27" s="36" t="e">
        <f>('[1]Profit &amp; Loss'!J10+'[1]Profit &amp; Loss'!J9+'[1]Profit &amp; Loss'!J8)/'[1]Profit &amp; Loss'!J9</f>
        <v>#DIV/0!</v>
      </c>
      <c r="K27" s="36" t="e">
        <f>('[1]Profit &amp; Loss'!K10+'[1]Profit &amp; Loss'!K9+'[1]Profit &amp; Loss'!K8)/'[1]Profit &amp; Loss'!K9</f>
        <v>#DIV/0!</v>
      </c>
    </row>
    <row r="28" spans="1:12" x14ac:dyDescent="0.25">
      <c r="A28" s="18" t="s">
        <v>99</v>
      </c>
      <c r="B28" s="36">
        <f t="shared" ref="B28:K28" si="3">B4+B5</f>
        <v>2141.77</v>
      </c>
      <c r="C28" s="36">
        <f t="shared" si="3"/>
        <v>2495.2599999999998</v>
      </c>
      <c r="D28" s="36">
        <f t="shared" si="3"/>
        <v>2524.6999999999998</v>
      </c>
      <c r="E28" s="36">
        <f t="shared" si="3"/>
        <v>2855.5899999999997</v>
      </c>
      <c r="F28" s="36">
        <f t="shared" si="3"/>
        <v>2886.5299999999997</v>
      </c>
      <c r="G28" s="36">
        <f t="shared" si="3"/>
        <v>3036.41</v>
      </c>
      <c r="H28" s="36">
        <f t="shared" si="3"/>
        <v>3479.1299999999997</v>
      </c>
      <c r="I28" s="36">
        <f t="shared" si="3"/>
        <v>4708.99</v>
      </c>
      <c r="J28" s="36">
        <f t="shared" si="3"/>
        <v>1192.1300000000001</v>
      </c>
      <c r="K28" s="36">
        <f t="shared" si="3"/>
        <v>311.22000000000003</v>
      </c>
      <c r="L28" s="39" t="str">
        <f>IF(((K28/B28)^(1/$L$2)-1)&gt;0, ((K28/B28)^(1/$L$2)-1),"-ve")</f>
        <v>-ve</v>
      </c>
    </row>
    <row r="29" spans="1:12" x14ac:dyDescent="0.25">
      <c r="A29" s="18" t="s">
        <v>105</v>
      </c>
      <c r="B29" s="36">
        <f>'[1]Data Sheet'!B70*'[1]Data Sheet'!B90/10^7</f>
        <v>808.60585000000003</v>
      </c>
      <c r="C29" s="36">
        <f>'[1]Data Sheet'!C70*'[1]Data Sheet'!C90/10^7</f>
        <v>473.45350000000002</v>
      </c>
      <c r="D29" s="36">
        <f>'[1]Data Sheet'!D70*'[1]Data Sheet'!D90/10^7</f>
        <v>505.96910000000003</v>
      </c>
      <c r="E29" s="36">
        <f>'[1]Data Sheet'!E70*'[1]Data Sheet'!E90/10^7</f>
        <v>1116.1858500000001</v>
      </c>
      <c r="F29" s="36">
        <f>'[1]Data Sheet'!F70*'[1]Data Sheet'!F90/10^7</f>
        <v>816.95445000000007</v>
      </c>
      <c r="G29" s="36">
        <f>'[1]Data Sheet'!G70*'[1]Data Sheet'!G90/10^7</f>
        <v>1201.9786999999999</v>
      </c>
      <c r="H29" s="36">
        <f>'[1]Data Sheet'!H70*'[1]Data Sheet'!H90/10^7</f>
        <v>1259.64995</v>
      </c>
      <c r="I29" s="36">
        <f>'[1]Data Sheet'!I70*'[1]Data Sheet'!I90/10^7</f>
        <v>1747.16425</v>
      </c>
      <c r="J29" s="36">
        <f>'[1]Data Sheet'!J70*'[1]Data Sheet'!J90/10^7</f>
        <v>837.82595000000003</v>
      </c>
      <c r="K29" s="36">
        <f>'[1]Data Sheet'!K70*'[1]Data Sheet'!K90/10^7</f>
        <v>0</v>
      </c>
      <c r="L29" s="39" t="str">
        <f>IF(((K29/B29)^(1/$L$2)-1)&gt;0, ((K29/B29)^(1/$L$2)-1),"-ve")</f>
        <v>-ve</v>
      </c>
    </row>
    <row r="30" spans="1:12" x14ac:dyDescent="0.25">
      <c r="A30" s="18" t="s">
        <v>126</v>
      </c>
      <c r="B30" s="36">
        <f>B29/B28</f>
        <v>0.37754093576807968</v>
      </c>
      <c r="C30" s="36">
        <f t="shared" ref="C30:K30" si="4">C29/C28</f>
        <v>0.1897411492189191</v>
      </c>
      <c r="D30" s="36">
        <f t="shared" si="4"/>
        <v>0.20040761278567754</v>
      </c>
      <c r="E30" s="36">
        <f t="shared" si="4"/>
        <v>0.39087748941549738</v>
      </c>
      <c r="F30" s="36">
        <f t="shared" si="4"/>
        <v>0.28302302418474784</v>
      </c>
      <c r="G30" s="36">
        <f t="shared" si="4"/>
        <v>0.39585520400736396</v>
      </c>
      <c r="H30" s="36">
        <f t="shared" si="4"/>
        <v>0.36205889115957152</v>
      </c>
      <c r="I30" s="36">
        <f t="shared" si="4"/>
        <v>0.37102738591502638</v>
      </c>
      <c r="J30" s="36">
        <f t="shared" si="4"/>
        <v>0.70279747175224172</v>
      </c>
      <c r="K30" s="36">
        <f t="shared" si="4"/>
        <v>0</v>
      </c>
      <c r="L30" s="49">
        <f t="shared" ref="L30:L35" si="5">AVERAGE(B30:K30)</f>
        <v>0.32733291642071249</v>
      </c>
    </row>
    <row r="31" spans="1:12" x14ac:dyDescent="0.25">
      <c r="A31" s="18" t="s">
        <v>23</v>
      </c>
      <c r="B31" s="36">
        <f>'[1]Profit &amp; Loss'!B14</f>
        <v>0</v>
      </c>
      <c r="C31" s="36">
        <f>'[1]Profit &amp; Loss'!C14</f>
        <v>0</v>
      </c>
      <c r="D31" s="36">
        <f>'[1]Profit &amp; Loss'!D14</f>
        <v>0</v>
      </c>
      <c r="E31" s="36">
        <f>'[1]Profit &amp; Loss'!E14</f>
        <v>0</v>
      </c>
      <c r="F31" s="36">
        <f>'[1]Profit &amp; Loss'!F14</f>
        <v>0</v>
      </c>
      <c r="G31" s="36">
        <f>'[1]Profit &amp; Loss'!G14</f>
        <v>0</v>
      </c>
      <c r="H31" s="36">
        <f>'[1]Profit &amp; Loss'!H14</f>
        <v>0</v>
      </c>
      <c r="I31" s="36">
        <f>'[1]Profit &amp; Loss'!I14</f>
        <v>0</v>
      </c>
      <c r="J31" s="36">
        <f>'[1]Profit &amp; Loss'!J14</f>
        <v>0</v>
      </c>
      <c r="K31" s="36">
        <f>'[1]Profit &amp; Loss'!K14</f>
        <v>0</v>
      </c>
      <c r="L31" s="49">
        <f t="shared" si="5"/>
        <v>0</v>
      </c>
    </row>
    <row r="32" spans="1:12" x14ac:dyDescent="0.25">
      <c r="A32" s="18" t="s">
        <v>106</v>
      </c>
      <c r="B32" s="36">
        <f t="shared" ref="B32:K32" si="6">B6/(B4+B5)</f>
        <v>0.39741895721762838</v>
      </c>
      <c r="C32" s="36">
        <f t="shared" si="6"/>
        <v>0.34722634114280676</v>
      </c>
      <c r="D32" s="36">
        <f t="shared" si="6"/>
        <v>0.27921733275240629</v>
      </c>
      <c r="E32" s="36">
        <f t="shared" si="6"/>
        <v>0.25105144646115163</v>
      </c>
      <c r="F32" s="36">
        <f t="shared" si="6"/>
        <v>0.16574918673978792</v>
      </c>
      <c r="G32" s="36">
        <f t="shared" si="6"/>
        <v>0.20802526668005969</v>
      </c>
      <c r="H32" s="36">
        <f t="shared" si="6"/>
        <v>0.21548777999097479</v>
      </c>
      <c r="I32" s="36">
        <f t="shared" si="6"/>
        <v>0</v>
      </c>
      <c r="J32" s="36">
        <f t="shared" si="6"/>
        <v>0</v>
      </c>
      <c r="K32" s="36">
        <f t="shared" si="6"/>
        <v>3.2131611078979497E-3</v>
      </c>
      <c r="L32" s="47">
        <f t="shared" si="5"/>
        <v>0.18673894720927134</v>
      </c>
    </row>
    <row r="33" spans="1:12" x14ac:dyDescent="0.25">
      <c r="A33" s="18" t="s">
        <v>94</v>
      </c>
      <c r="B33" s="38">
        <f>'[1]Profit &amp; Loss'!B12/'Balance Sheet SC'!B14</f>
        <v>0</v>
      </c>
      <c r="C33" s="38">
        <f>'[1]Profit &amp; Loss'!C12/'Balance Sheet SC'!C14</f>
        <v>0</v>
      </c>
      <c r="D33" s="38">
        <f>'[1]Profit &amp; Loss'!D12/'Balance Sheet SC'!D14</f>
        <v>0</v>
      </c>
      <c r="E33" s="38">
        <f>'[1]Profit &amp; Loss'!E12/'Balance Sheet SC'!E14</f>
        <v>0</v>
      </c>
      <c r="F33" s="38">
        <f>'[1]Profit &amp; Loss'!F12/'Balance Sheet SC'!F14</f>
        <v>0</v>
      </c>
      <c r="G33" s="38">
        <f>'[1]Profit &amp; Loss'!G12/'Balance Sheet SC'!G14</f>
        <v>0</v>
      </c>
      <c r="H33" s="38">
        <f>'[1]Profit &amp; Loss'!H12/'Balance Sheet SC'!H14</f>
        <v>0</v>
      </c>
      <c r="I33" s="38">
        <f>'[1]Profit &amp; Loss'!I12/'Balance Sheet SC'!I14</f>
        <v>0</v>
      </c>
      <c r="J33" s="38">
        <f>'[1]Profit &amp; Loss'!J12/'Balance Sheet SC'!J14</f>
        <v>0</v>
      </c>
      <c r="K33" s="38">
        <f>'[1]Profit &amp; Loss'!K12/'Balance Sheet SC'!K14</f>
        <v>0</v>
      </c>
      <c r="L33" s="47">
        <f t="shared" si="5"/>
        <v>0</v>
      </c>
    </row>
    <row r="34" spans="1:12" x14ac:dyDescent="0.25">
      <c r="A34" s="29" t="s">
        <v>114</v>
      </c>
      <c r="B34" s="37">
        <f>'[1]Data Sheet'!B69/('[1]Data Sheet'!B67+'[1]Data Sheet'!B68+'[1]Data Sheet'!B69)</f>
        <v>0.24192680609453163</v>
      </c>
      <c r="C34" s="37">
        <f>'[1]Data Sheet'!C69/('[1]Data Sheet'!C67+'[1]Data Sheet'!C68+'[1]Data Sheet'!C69)</f>
        <v>2.4972123538106478E-2</v>
      </c>
      <c r="D34" s="37">
        <f>'[1]Data Sheet'!D69/('[1]Data Sheet'!D67+'[1]Data Sheet'!D68+'[1]Data Sheet'!D69)</f>
        <v>1.320563731215448E-2</v>
      </c>
      <c r="E34" s="37">
        <f>'[1]Data Sheet'!E69/('[1]Data Sheet'!E67+'[1]Data Sheet'!E68+'[1]Data Sheet'!E69)</f>
        <v>0.31519127871000618</v>
      </c>
      <c r="F34" s="37">
        <f>'[1]Data Sheet'!F69/('[1]Data Sheet'!F67+'[1]Data Sheet'!F68+'[1]Data Sheet'!F69)</f>
        <v>3.0670917621507233E-2</v>
      </c>
      <c r="G34" s="37">
        <f>'[1]Data Sheet'!G69/('[1]Data Sheet'!G67+'[1]Data Sheet'!G68+'[1]Data Sheet'!G69)</f>
        <v>1.858045336306206E-2</v>
      </c>
      <c r="H34" s="37">
        <f>'[1]Data Sheet'!H69/('[1]Data Sheet'!H67+'[1]Data Sheet'!H68+'[1]Data Sheet'!H69)</f>
        <v>2.3552863937250142E-2</v>
      </c>
      <c r="I34" s="37">
        <f>'[1]Data Sheet'!I69/('[1]Data Sheet'!I67+'[1]Data Sheet'!I68+'[1]Data Sheet'!I69)</f>
        <v>1</v>
      </c>
      <c r="J34" s="37">
        <f>'[1]Data Sheet'!J69/('[1]Data Sheet'!J67+'[1]Data Sheet'!J68+'[1]Data Sheet'!J69)</f>
        <v>1</v>
      </c>
      <c r="K34" s="37">
        <f>'[1]Data Sheet'!K69/('[1]Data Sheet'!K67+'[1]Data Sheet'!K68+'[1]Data Sheet'!K69)</f>
        <v>0.10593569661995052</v>
      </c>
      <c r="L34" s="47">
        <f t="shared" si="5"/>
        <v>0.2774035777196569</v>
      </c>
    </row>
    <row r="35" spans="1:12" x14ac:dyDescent="0.25">
      <c r="A35" s="29" t="s">
        <v>115</v>
      </c>
      <c r="B35" s="36">
        <f>'[1]Profit &amp; Loss'!B4/'[1]Data Sheet'!B67</f>
        <v>0</v>
      </c>
      <c r="C35" s="36">
        <f>'[1]Profit &amp; Loss'!C4/'[1]Data Sheet'!C67</f>
        <v>0</v>
      </c>
      <c r="D35" s="36">
        <f>'[1]Profit &amp; Loss'!D4/'[1]Data Sheet'!D67</f>
        <v>0</v>
      </c>
      <c r="E35" s="36">
        <f>'[1]Profit &amp; Loss'!E4/'[1]Data Sheet'!E67</f>
        <v>0</v>
      </c>
      <c r="F35" s="36">
        <f>'[1]Profit &amp; Loss'!F4/'[1]Data Sheet'!F67</f>
        <v>0</v>
      </c>
      <c r="G35" s="36">
        <f>'[1]Profit &amp; Loss'!G4/'[1]Data Sheet'!G67</f>
        <v>0</v>
      </c>
      <c r="H35" s="36">
        <f>'[1]Profit &amp; Loss'!H4/'[1]Data Sheet'!H67</f>
        <v>0</v>
      </c>
      <c r="I35" s="36" t="e">
        <f>'[1]Profit &amp; Loss'!I4/'[1]Data Sheet'!I67</f>
        <v>#DIV/0!</v>
      </c>
      <c r="J35" s="36" t="e">
        <f>'[1]Profit &amp; Loss'!J4/'[1]Data Sheet'!J67</f>
        <v>#DIV/0!</v>
      </c>
      <c r="K35" s="36">
        <f>'[1]Profit &amp; Loss'!K4/'[1]Data Sheet'!K67</f>
        <v>0</v>
      </c>
      <c r="L35" s="49" t="e">
        <f t="shared" si="5"/>
        <v>#DIV/0!</v>
      </c>
    </row>
    <row r="36" spans="1:12" x14ac:dyDescent="0.25">
      <c r="A36" s="29" t="s">
        <v>116</v>
      </c>
      <c r="C36" s="36">
        <f t="shared" ref="C36:K36" si="7">AVERAGE(B6:C6)</f>
        <v>858.8</v>
      </c>
      <c r="D36" s="36">
        <f t="shared" si="7"/>
        <v>785.68000000000006</v>
      </c>
      <c r="E36" s="36">
        <f t="shared" si="7"/>
        <v>710.92000000000007</v>
      </c>
      <c r="F36" s="36">
        <f t="shared" si="7"/>
        <v>597.66999999999996</v>
      </c>
      <c r="G36" s="36">
        <f t="shared" si="7"/>
        <v>555.04499999999996</v>
      </c>
      <c r="H36" s="36">
        <f t="shared" si="7"/>
        <v>690.68000000000006</v>
      </c>
      <c r="I36" s="36">
        <f t="shared" si="7"/>
        <v>374.85500000000002</v>
      </c>
      <c r="J36" s="36">
        <f t="shared" si="7"/>
        <v>0</v>
      </c>
      <c r="K36" s="36">
        <f t="shared" si="7"/>
        <v>0.5</v>
      </c>
    </row>
    <row r="37" spans="1:12" x14ac:dyDescent="0.25">
      <c r="A37" s="29" t="s">
        <v>117</v>
      </c>
      <c r="C37" s="39">
        <f>'[1]Profit &amp; Loss'!C9/'Balance Sheet SC'!C36</f>
        <v>0</v>
      </c>
      <c r="D37" s="39">
        <f>'[1]Profit &amp; Loss'!D9/'Balance Sheet SC'!D36</f>
        <v>0</v>
      </c>
      <c r="E37" s="39">
        <f>'[1]Profit &amp; Loss'!E9/'Balance Sheet SC'!E36</f>
        <v>0</v>
      </c>
      <c r="F37" s="39">
        <f>'[1]Profit &amp; Loss'!F9/'Balance Sheet SC'!F36</f>
        <v>0</v>
      </c>
      <c r="G37" s="39">
        <f>'[1]Profit &amp; Loss'!G9/'Balance Sheet SC'!G36</f>
        <v>0</v>
      </c>
      <c r="H37" s="39">
        <f>'[1]Profit &amp; Loss'!H9/'Balance Sheet SC'!H36</f>
        <v>0</v>
      </c>
      <c r="I37" s="39">
        <f>'[1]Profit &amp; Loss'!I9/'Balance Sheet SC'!I36</f>
        <v>0</v>
      </c>
      <c r="J37" s="39" t="e">
        <f>'[1]Profit &amp; Loss'!J9/'Balance Sheet SC'!J36</f>
        <v>#DIV/0!</v>
      </c>
      <c r="K37" s="39">
        <f>'[1]Profit &amp; Loss'!K9/'Balance Sheet SC'!K36</f>
        <v>0</v>
      </c>
    </row>
    <row r="38" spans="1:12" x14ac:dyDescent="0.25">
      <c r="A38" s="29" t="s">
        <v>118</v>
      </c>
      <c r="B38" s="11">
        <f t="shared" ref="B38:K38" si="8">IF(B10+B16&gt;0,B10+B16,0)</f>
        <v>2446.3399999999997</v>
      </c>
      <c r="C38" s="11">
        <f t="shared" si="8"/>
        <v>2496.6099999999997</v>
      </c>
      <c r="D38" s="11">
        <f t="shared" si="8"/>
        <v>2337.6</v>
      </c>
      <c r="E38" s="11">
        <f t="shared" si="8"/>
        <v>3030.4</v>
      </c>
      <c r="F38" s="11">
        <f t="shared" si="8"/>
        <v>2729.67</v>
      </c>
      <c r="G38" s="11">
        <f t="shared" si="8"/>
        <v>2842.48</v>
      </c>
      <c r="H38" s="11">
        <f t="shared" si="8"/>
        <v>3069.36</v>
      </c>
      <c r="I38" s="11">
        <f t="shared" si="8"/>
        <v>4254.6100000000006</v>
      </c>
      <c r="J38" s="11">
        <f t="shared" si="8"/>
        <v>735.43999999999994</v>
      </c>
      <c r="K38" s="11">
        <f t="shared" si="8"/>
        <v>12.1</v>
      </c>
      <c r="L38" s="39" t="str">
        <f>IF(((K38/B38)^(1/$L$2)-1)&gt;0, ((K38/B38)^(1/$L$2)-1),"-ve")</f>
        <v>-ve</v>
      </c>
    </row>
    <row r="39" spans="1:12" x14ac:dyDescent="0.25">
      <c r="A39" s="29" t="s">
        <v>119</v>
      </c>
      <c r="B39" s="36">
        <f>IF('[1]Profit &amp; Loss'!B10+'[1]Profit &amp; Loss'!B9&gt;0, '[1]Profit &amp; Loss'!B10+'[1]Profit &amp; Loss'!B9, 0)</f>
        <v>0</v>
      </c>
      <c r="C39" s="36">
        <f>IF('[1]Profit &amp; Loss'!C10+'[1]Profit &amp; Loss'!C9&gt;0, '[1]Profit &amp; Loss'!C10+'[1]Profit &amp; Loss'!C9, 0)</f>
        <v>0</v>
      </c>
      <c r="D39" s="36">
        <f>IF('[1]Profit &amp; Loss'!D10+'[1]Profit &amp; Loss'!D9&gt;0, '[1]Profit &amp; Loss'!D10+'[1]Profit &amp; Loss'!D9, 0)</f>
        <v>0</v>
      </c>
      <c r="E39" s="36">
        <f>IF('[1]Profit &amp; Loss'!E10+'[1]Profit &amp; Loss'!E9&gt;0, '[1]Profit &amp; Loss'!E10+'[1]Profit &amp; Loss'!E9, 0)</f>
        <v>0</v>
      </c>
      <c r="F39" s="36">
        <f>IF('[1]Profit &amp; Loss'!F10+'[1]Profit &amp; Loss'!F9&gt;0, '[1]Profit &amp; Loss'!F10+'[1]Profit &amp; Loss'!F9, 0)</f>
        <v>0</v>
      </c>
      <c r="G39" s="36">
        <f>IF('[1]Profit &amp; Loss'!G10+'[1]Profit &amp; Loss'!G9&gt;0, '[1]Profit &amp; Loss'!G10+'[1]Profit &amp; Loss'!G9, 0)</f>
        <v>0</v>
      </c>
      <c r="H39" s="36">
        <f>IF('[1]Profit &amp; Loss'!H10+'[1]Profit &amp; Loss'!H9&gt;0, '[1]Profit &amp; Loss'!H10+'[1]Profit &amp; Loss'!H9, 0)</f>
        <v>0</v>
      </c>
      <c r="I39" s="36">
        <f>IF('[1]Profit &amp; Loss'!I10+'[1]Profit &amp; Loss'!I9&gt;0, '[1]Profit &amp; Loss'!I10+'[1]Profit &amp; Loss'!I9, 0)</f>
        <v>0</v>
      </c>
      <c r="J39" s="36">
        <f>IF('[1]Profit &amp; Loss'!J10+'[1]Profit &amp; Loss'!J9&gt;0, '[1]Profit &amp; Loss'!J10+'[1]Profit &amp; Loss'!J9, 0)</f>
        <v>0</v>
      </c>
      <c r="K39" s="36">
        <f>IF('[1]Profit &amp; Loss'!K10+'[1]Profit &amp; Loss'!K9&gt;0, '[1]Profit &amp; Loss'!K10+'[1]Profit &amp; Loss'!K9, 0)</f>
        <v>0</v>
      </c>
      <c r="L39" s="39" t="e">
        <f>IF(((K39/B39)^(1/$L$2)-1)&gt;0, ((K39/B39)^(1/$L$2)-1),"-ve")</f>
        <v>#DIV/0!</v>
      </c>
    </row>
    <row r="40" spans="1:12" x14ac:dyDescent="0.25">
      <c r="A40" s="29" t="s">
        <v>121</v>
      </c>
      <c r="B40" s="36">
        <f>B39-'[1]Profit &amp; Loss'!B9</f>
        <v>0</v>
      </c>
      <c r="C40" s="36">
        <f>C39-'[1]Profit &amp; Loss'!C9</f>
        <v>0</v>
      </c>
      <c r="D40" s="36">
        <f>D39-'[1]Profit &amp; Loss'!D9</f>
        <v>0</v>
      </c>
      <c r="E40" s="36">
        <f>E39-'[1]Profit &amp; Loss'!E9</f>
        <v>0</v>
      </c>
      <c r="F40" s="36">
        <f>F39-'[1]Profit &amp; Loss'!F9</f>
        <v>0</v>
      </c>
      <c r="G40" s="36">
        <f>G39-'[1]Profit &amp; Loss'!G9</f>
        <v>0</v>
      </c>
      <c r="H40" s="36">
        <f>H39-'[1]Profit &amp; Loss'!H9</f>
        <v>0</v>
      </c>
      <c r="I40" s="36">
        <f>I39-'[1]Profit &amp; Loss'!I9</f>
        <v>0</v>
      </c>
      <c r="J40" s="36">
        <f>J39-'[1]Profit &amp; Loss'!J9</f>
        <v>0</v>
      </c>
      <c r="K40" s="36">
        <f>K39-'[1]Profit &amp; Loss'!K9</f>
        <v>0</v>
      </c>
      <c r="L40" s="39" t="e">
        <f>IF(((K40/B40)^(1/$L$2)-1)&gt;0, ((K40/B40)^(1/$L$2)-1),"-ve")</f>
        <v>#DIV/0!</v>
      </c>
    </row>
    <row r="41" spans="1:12" x14ac:dyDescent="0.25">
      <c r="A41" s="29" t="s">
        <v>122</v>
      </c>
      <c r="B41" s="36">
        <f>B40*(1-'[1]Profit &amp; Loss'!B37)</f>
        <v>0</v>
      </c>
      <c r="C41" s="36">
        <f>C40*(1-'[1]Profit &amp; Loss'!C37)</f>
        <v>0</v>
      </c>
      <c r="D41" s="36">
        <f>D40*(1-'[1]Profit &amp; Loss'!D37)</f>
        <v>0</v>
      </c>
      <c r="E41" s="36">
        <f>E40*(1-'[1]Profit &amp; Loss'!E37)</f>
        <v>0</v>
      </c>
      <c r="F41" s="36">
        <f>F40*(1-'[1]Profit &amp; Loss'!F37)</f>
        <v>0</v>
      </c>
      <c r="G41" s="36">
        <f>G40*(1-'[1]Profit &amp; Loss'!G37)</f>
        <v>0</v>
      </c>
      <c r="H41" s="36">
        <f>H40*(1-'[1]Profit &amp; Loss'!H37)</f>
        <v>0</v>
      </c>
      <c r="I41" s="36">
        <f>I40*(1-'[1]Profit &amp; Loss'!I37)</f>
        <v>0</v>
      </c>
      <c r="J41" s="36">
        <f>J40*(1-'[1]Profit &amp; Loss'!J37)</f>
        <v>0</v>
      </c>
      <c r="K41" s="36">
        <f>K40*(1-'[1]Profit &amp; Loss'!K37)</f>
        <v>0</v>
      </c>
      <c r="L41" s="39" t="e">
        <f>IF(((K41/B41)^(1/$L$2)-1)&gt;0, ((K41/B41)^(1/$L$2)-1),"-ve")</f>
        <v>#DIV/0!</v>
      </c>
    </row>
    <row r="42" spans="1:12" x14ac:dyDescent="0.25">
      <c r="A42" s="29" t="s">
        <v>123</v>
      </c>
      <c r="B42" s="36">
        <f t="shared" ref="B42:K42" si="9">B29+B6</f>
        <v>1659.78585</v>
      </c>
      <c r="C42" s="36">
        <f t="shared" si="9"/>
        <v>1339.8734999999999</v>
      </c>
      <c r="D42" s="36">
        <f t="shared" si="9"/>
        <v>1210.9091000000001</v>
      </c>
      <c r="E42" s="36">
        <f t="shared" si="9"/>
        <v>1833.0858499999999</v>
      </c>
      <c r="F42" s="36">
        <f t="shared" si="9"/>
        <v>1295.39445</v>
      </c>
      <c r="G42" s="36">
        <f t="shared" si="9"/>
        <v>1833.6286999999998</v>
      </c>
      <c r="H42" s="36">
        <f t="shared" si="9"/>
        <v>2009.35995</v>
      </c>
      <c r="I42" s="36">
        <f t="shared" si="9"/>
        <v>1747.16425</v>
      </c>
      <c r="J42" s="36">
        <f t="shared" si="9"/>
        <v>837.82595000000003</v>
      </c>
      <c r="K42" s="36">
        <f t="shared" si="9"/>
        <v>1</v>
      </c>
      <c r="L42" s="39" t="str">
        <f>IF(((K42/B42)^(1/$L$2)-1)&gt;0, ((K42/B42)^(1/$L$2)-1),"-ve")</f>
        <v>-ve</v>
      </c>
    </row>
    <row r="43" spans="1:12" x14ac:dyDescent="0.25">
      <c r="A43" s="29" t="s">
        <v>124</v>
      </c>
      <c r="B43" s="38">
        <f>B41/B42</f>
        <v>0</v>
      </c>
      <c r="C43" s="38">
        <f t="shared" ref="C43:K43" si="10">C41/C42</f>
        <v>0</v>
      </c>
      <c r="D43" s="38">
        <f t="shared" si="10"/>
        <v>0</v>
      </c>
      <c r="E43" s="38">
        <f t="shared" si="10"/>
        <v>0</v>
      </c>
      <c r="F43" s="38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47">
        <f t="shared" ref="L43:L44" si="11">AVERAGE(B43:K43)</f>
        <v>0</v>
      </c>
    </row>
    <row r="44" spans="1:12" x14ac:dyDescent="0.25">
      <c r="A44" s="29" t="s">
        <v>125</v>
      </c>
      <c r="B44" s="38">
        <f>B41/B38</f>
        <v>0</v>
      </c>
      <c r="C44" s="38">
        <f t="shared" ref="C44:K44" si="12">C41/C38</f>
        <v>0</v>
      </c>
      <c r="D44" s="38">
        <f t="shared" si="12"/>
        <v>0</v>
      </c>
      <c r="E44" s="38">
        <f t="shared" si="12"/>
        <v>0</v>
      </c>
      <c r="F44" s="38">
        <f t="shared" si="12"/>
        <v>0</v>
      </c>
      <c r="G44" s="38">
        <f t="shared" si="12"/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47">
        <f t="shared" si="11"/>
        <v>0</v>
      </c>
    </row>
    <row r="45" spans="1:12" x14ac:dyDescent="0.25">
      <c r="A45" s="29" t="s">
        <v>127</v>
      </c>
      <c r="B45" s="36">
        <f>B29+B6-'[1]Data Sheet'!B69</f>
        <v>1448.4458500000001</v>
      </c>
      <c r="C45" s="36">
        <f>C29+C6-'[1]Data Sheet'!C69</f>
        <v>1320.6134999999999</v>
      </c>
      <c r="D45" s="36">
        <f>D29+D6-'[1]Data Sheet'!D69</f>
        <v>1202.4291000000001</v>
      </c>
      <c r="E45" s="36">
        <f>E29+E6-'[1]Data Sheet'!E69</f>
        <v>1486.71585</v>
      </c>
      <c r="F45" s="36">
        <f>F29+F6-'[1]Data Sheet'!F69</f>
        <v>1273.36445</v>
      </c>
      <c r="G45" s="36">
        <f>G29+G6-'[1]Data Sheet'!G69</f>
        <v>1820.6286999999998</v>
      </c>
      <c r="H45" s="36">
        <f>H29+H6-'[1]Data Sheet'!H69</f>
        <v>1987.61995</v>
      </c>
      <c r="I45" s="36">
        <f>I29+I6-'[1]Data Sheet'!I69</f>
        <v>1745.40425</v>
      </c>
      <c r="J45" s="36">
        <f>J29+J6-'[1]Data Sheet'!J69</f>
        <v>835.80595000000005</v>
      </c>
      <c r="K45" s="36">
        <f>K29+K6-'[1]Data Sheet'!K69</f>
        <v>-1.5699999999999998</v>
      </c>
      <c r="L45" s="39" t="str">
        <f>IF(((K45/B45)^(1/$L$2)-1)&gt;0, ((K45/B45)^(1/$L$2)-1),"-ve")</f>
        <v>-ve</v>
      </c>
    </row>
    <row r="46" spans="1:12" x14ac:dyDescent="0.25">
      <c r="A46" s="29" t="s">
        <v>93</v>
      </c>
      <c r="B46" s="36">
        <f>'[1]Profit &amp; Loss'!B33</f>
        <v>0</v>
      </c>
      <c r="C46" s="36">
        <f>'[1]Profit &amp; Loss'!C33</f>
        <v>0</v>
      </c>
      <c r="D46" s="36">
        <f>'[1]Profit &amp; Loss'!D33</f>
        <v>0</v>
      </c>
      <c r="E46" s="36">
        <f>'[1]Profit &amp; Loss'!E33</f>
        <v>0</v>
      </c>
      <c r="F46" s="36">
        <f>'[1]Profit &amp; Loss'!F33</f>
        <v>0</v>
      </c>
      <c r="G46" s="36">
        <f>'[1]Profit &amp; Loss'!G33</f>
        <v>0</v>
      </c>
      <c r="H46" s="36">
        <f>'[1]Profit &amp; Loss'!H33</f>
        <v>0</v>
      </c>
      <c r="I46" s="36">
        <f>'[1]Profit &amp; Loss'!I33</f>
        <v>0</v>
      </c>
      <c r="J46" s="36">
        <f>'[1]Profit &amp; Loss'!J33</f>
        <v>0</v>
      </c>
      <c r="K46" s="36">
        <f>'[1]Profit &amp; Loss'!K33</f>
        <v>0</v>
      </c>
      <c r="L46" s="39" t="e">
        <f>IF(((K46/B46)^(1/$L$2)-1)&gt;0, ((K46/B46)^(1/$L$2)-1),"-ve")</f>
        <v>#DIV/0!</v>
      </c>
    </row>
    <row r="47" spans="1:12" x14ac:dyDescent="0.25">
      <c r="A47" s="29" t="s">
        <v>128</v>
      </c>
      <c r="B47" s="36" t="e">
        <f>B45/B46</f>
        <v>#DIV/0!</v>
      </c>
      <c r="C47" s="36" t="e">
        <f t="shared" ref="C47:K47" si="13">C45/C46</f>
        <v>#DIV/0!</v>
      </c>
      <c r="D47" s="36" t="e">
        <f t="shared" si="13"/>
        <v>#DIV/0!</v>
      </c>
      <c r="E47" s="36" t="e">
        <f t="shared" si="13"/>
        <v>#DIV/0!</v>
      </c>
      <c r="F47" s="36" t="e">
        <f t="shared" si="13"/>
        <v>#DIV/0!</v>
      </c>
      <c r="G47" s="36" t="e">
        <f t="shared" si="13"/>
        <v>#DIV/0!</v>
      </c>
      <c r="H47" s="36" t="e">
        <f t="shared" si="13"/>
        <v>#DIV/0!</v>
      </c>
      <c r="I47" s="36" t="e">
        <f t="shared" si="13"/>
        <v>#DIV/0!</v>
      </c>
      <c r="J47" s="36" t="e">
        <f t="shared" si="13"/>
        <v>#DIV/0!</v>
      </c>
      <c r="K47" s="36" t="e">
        <f t="shared" si="13"/>
        <v>#DIV/0!</v>
      </c>
      <c r="L47" s="49" t="e">
        <f>AVERAGE(B47:K47)</f>
        <v>#DIV/0!</v>
      </c>
    </row>
    <row r="48" spans="1:12" x14ac:dyDescent="0.25">
      <c r="A48" s="29" t="s">
        <v>131</v>
      </c>
      <c r="B48" s="11">
        <f>'[1]Profit &amp; Loss'!B12*(1-'[1]Profit &amp; Loss'!B18)</f>
        <v>0</v>
      </c>
      <c r="C48" s="11">
        <f>'[1]Profit &amp; Loss'!C12*(1-'[1]Profit &amp; Loss'!C18)</f>
        <v>0</v>
      </c>
      <c r="D48" s="11">
        <f>'[1]Profit &amp; Loss'!D12*(1-'[1]Profit &amp; Loss'!D18)</f>
        <v>0</v>
      </c>
      <c r="E48" s="11">
        <f>'[1]Profit &amp; Loss'!E12*(1-'[1]Profit &amp; Loss'!E18)</f>
        <v>0</v>
      </c>
      <c r="F48" s="11">
        <f>'[1]Profit &amp; Loss'!F12*(1-'[1]Profit &amp; Loss'!F18)</f>
        <v>0</v>
      </c>
      <c r="G48" s="11">
        <f>'[1]Profit &amp; Loss'!G12*(1-'[1]Profit &amp; Loss'!G18)</f>
        <v>0</v>
      </c>
      <c r="H48" s="11">
        <f>'[1]Profit &amp; Loss'!H12*(1-'[1]Profit &amp; Loss'!H18)</f>
        <v>0</v>
      </c>
      <c r="I48" s="11">
        <f>'[1]Profit &amp; Loss'!I12*(1-'[1]Profit &amp; Loss'!I18)</f>
        <v>0</v>
      </c>
      <c r="J48" s="11">
        <f>'[1]Profit &amp; Loss'!J12*(1-'[1]Profit &amp; Loss'!J18)</f>
        <v>0</v>
      </c>
      <c r="K48" s="11">
        <f>'[1]Profit &amp; Loss'!K12*(1-'[1]Profit &amp; Loss'!K18)</f>
        <v>0</v>
      </c>
      <c r="L48" s="39" t="e">
        <f>IF(((K48/B48)^(1/$L$2)-1)&gt;0, ((K48/B48)^(1/$L$2)-1),"-ve")</f>
        <v>#DIV/0!</v>
      </c>
    </row>
    <row r="49" spans="1:11" x14ac:dyDescent="0.25">
      <c r="A49" s="29"/>
    </row>
    <row r="50" spans="1:11" x14ac:dyDescent="0.25">
      <c r="A50" s="29"/>
      <c r="B50" s="36"/>
      <c r="C50" s="36"/>
      <c r="D50" s="36"/>
      <c r="E50" s="36"/>
      <c r="F50" s="36"/>
      <c r="H50" s="36" t="s">
        <v>139</v>
      </c>
      <c r="I50" s="36" t="s">
        <v>138</v>
      </c>
      <c r="J50" s="36" t="s">
        <v>137</v>
      </c>
      <c r="K50" s="36" t="s">
        <v>136</v>
      </c>
    </row>
    <row r="51" spans="1:11" x14ac:dyDescent="0.25">
      <c r="A51" s="29" t="s">
        <v>129</v>
      </c>
      <c r="H51" s="36">
        <f>K45-J45</f>
        <v>-837.3759500000001</v>
      </c>
      <c r="I51" s="36">
        <f>K45-H45</f>
        <v>-1989.18995</v>
      </c>
      <c r="J51" s="36">
        <f>K45-F45</f>
        <v>-1274.93445</v>
      </c>
      <c r="K51" s="36">
        <f>K45-B45</f>
        <v>-1450.01585</v>
      </c>
    </row>
    <row r="52" spans="1:11" x14ac:dyDescent="0.25">
      <c r="A52" s="29" t="s">
        <v>130</v>
      </c>
      <c r="H52" s="36">
        <f>K29-J29</f>
        <v>-837.82595000000003</v>
      </c>
      <c r="I52" s="36">
        <f>K29-H29</f>
        <v>-1259.64995</v>
      </c>
      <c r="J52" s="36">
        <f>K29-F29</f>
        <v>-816.95445000000007</v>
      </c>
      <c r="K52" s="36">
        <f>K29-B29</f>
        <v>-808.60585000000003</v>
      </c>
    </row>
    <row r="53" spans="1:11" x14ac:dyDescent="0.25">
      <c r="A53" s="29" t="s">
        <v>140</v>
      </c>
      <c r="H53" s="11">
        <f>K48</f>
        <v>0</v>
      </c>
      <c r="I53" s="11">
        <f>SUM(I48:K48)</f>
        <v>0</v>
      </c>
      <c r="J53" s="11">
        <f>SUM(G48:K48)</f>
        <v>0</v>
      </c>
      <c r="K53" s="11">
        <f>SUM(B48:K48)</f>
        <v>0</v>
      </c>
    </row>
    <row r="54" spans="1:11" x14ac:dyDescent="0.25">
      <c r="A54" s="29" t="s">
        <v>132</v>
      </c>
      <c r="H54" s="40" t="e">
        <f>H52/H53</f>
        <v>#DIV/0!</v>
      </c>
      <c r="I54" s="40" t="e">
        <f t="shared" ref="I54:K54" si="14">I52/I53</f>
        <v>#DIV/0!</v>
      </c>
      <c r="J54" s="40" t="e">
        <f t="shared" si="14"/>
        <v>#DIV/0!</v>
      </c>
      <c r="K54" s="40" t="e">
        <f t="shared" si="14"/>
        <v>#DIV/0!</v>
      </c>
    </row>
    <row r="55" spans="1:11" x14ac:dyDescent="0.25">
      <c r="A55" s="29" t="s">
        <v>133</v>
      </c>
      <c r="H55" s="36">
        <f>K39-J39</f>
        <v>0</v>
      </c>
      <c r="I55" s="36">
        <f>K39-H39</f>
        <v>0</v>
      </c>
      <c r="J55" s="36">
        <f>K39-F39</f>
        <v>0</v>
      </c>
      <c r="K55" s="36">
        <f>K39-B39</f>
        <v>0</v>
      </c>
    </row>
    <row r="56" spans="1:11" x14ac:dyDescent="0.25">
      <c r="A56" s="29" t="s">
        <v>134</v>
      </c>
      <c r="H56" s="36">
        <f>K38-J38</f>
        <v>-723.33999999999992</v>
      </c>
      <c r="I56" s="36">
        <f>K38-H38</f>
        <v>-3057.26</v>
      </c>
      <c r="J56" s="36">
        <f>K38-F38</f>
        <v>-2717.57</v>
      </c>
      <c r="K56" s="36">
        <f>K38-B38</f>
        <v>-2434.2399999999998</v>
      </c>
    </row>
    <row r="57" spans="1:11" x14ac:dyDescent="0.25">
      <c r="A57" s="29" t="s">
        <v>135</v>
      </c>
      <c r="H57" s="41">
        <f>IF(H55/H56&lt;0,"N.A.",H55/H56)</f>
        <v>0</v>
      </c>
      <c r="I57" s="41">
        <f>IF(I55/I56&lt;0,"N.A.",I55/I56)</f>
        <v>0</v>
      </c>
      <c r="J57" s="41">
        <f>IF(J55/J56&lt;0,"N.A.",J55/J56)</f>
        <v>0</v>
      </c>
      <c r="K57" s="41">
        <f>IF(K55/K56&lt;0,"N.A.",K55/K56)</f>
        <v>0</v>
      </c>
    </row>
    <row r="59" spans="1:11" x14ac:dyDescent="0.25">
      <c r="A59" s="18" t="s">
        <v>141</v>
      </c>
      <c r="B59" s="36">
        <f>B60*1.2+B61*1.4+B62*3.3+B63*0.6+B64*1</f>
        <v>1.2869589945216171</v>
      </c>
      <c r="C59" s="36">
        <f t="shared" ref="C59:K59" si="15">C60*1.2+C61*1.4+C62*3.3+C63*0.6+C64*1</f>
        <v>1.2901363596115818</v>
      </c>
      <c r="D59" s="36">
        <f t="shared" si="15"/>
        <v>1.2795762971236475</v>
      </c>
      <c r="E59" s="36">
        <f t="shared" si="15"/>
        <v>1.4486342105263157</v>
      </c>
      <c r="F59" s="36">
        <f t="shared" si="15"/>
        <v>1.4512961017884212</v>
      </c>
      <c r="G59" s="36">
        <f t="shared" si="15"/>
        <v>1.4889380397808032</v>
      </c>
      <c r="H59" s="36">
        <f t="shared" si="15"/>
        <v>1.4435899699481824</v>
      </c>
      <c r="I59" s="36">
        <f t="shared" si="15"/>
        <v>2.1092811710947492</v>
      </c>
      <c r="J59" s="36">
        <f t="shared" si="15"/>
        <v>2.5379966842892103</v>
      </c>
      <c r="K59" s="36">
        <f t="shared" si="15"/>
        <v>1.338428391147773</v>
      </c>
    </row>
    <row r="60" spans="1:11" x14ac:dyDescent="0.25">
      <c r="A60" s="18" t="s">
        <v>142</v>
      </c>
      <c r="B60" s="36">
        <f t="shared" ref="B60:K60" si="16">(B16)/B8</f>
        <v>0.23691475983290206</v>
      </c>
      <c r="C60" s="36">
        <f t="shared" si="16"/>
        <v>0.23392300860498375</v>
      </c>
      <c r="D60" s="36">
        <f t="shared" si="16"/>
        <v>0.19422429911658989</v>
      </c>
      <c r="E60" s="36">
        <f t="shared" si="16"/>
        <v>0.25461939161629565</v>
      </c>
      <c r="F60" s="36">
        <f t="shared" si="16"/>
        <v>0.2015789952919374</v>
      </c>
      <c r="G60" s="36">
        <f t="shared" si="16"/>
        <v>0.22845778313678206</v>
      </c>
      <c r="H60" s="36">
        <f t="shared" si="16"/>
        <v>0.23919226979854152</v>
      </c>
      <c r="I60" s="36">
        <f t="shared" si="16"/>
        <v>0.70490513145076317</v>
      </c>
      <c r="J60" s="36">
        <f t="shared" si="16"/>
        <v>0.61423333583890827</v>
      </c>
      <c r="K60" s="36">
        <f t="shared" si="16"/>
        <v>3.7243374680661148E-2</v>
      </c>
    </row>
    <row r="61" spans="1:11" x14ac:dyDescent="0.25">
      <c r="A61" s="18" t="s">
        <v>143</v>
      </c>
      <c r="B61" s="42">
        <f t="shared" ref="B61:K61" si="17">B5/B14</f>
        <v>0.61600150330293002</v>
      </c>
      <c r="C61" s="42">
        <f t="shared" si="17"/>
        <v>0.66657633267237471</v>
      </c>
      <c r="D61" s="42">
        <f t="shared" si="17"/>
        <v>0.68814281295084168</v>
      </c>
      <c r="E61" s="42">
        <f t="shared" si="17"/>
        <v>0.69895326551673298</v>
      </c>
      <c r="F61" s="42">
        <f t="shared" si="17"/>
        <v>0.77009228659728657</v>
      </c>
      <c r="G61" s="42">
        <f t="shared" si="17"/>
        <v>0.74145908694330886</v>
      </c>
      <c r="H61" s="42">
        <f t="shared" si="17"/>
        <v>0.71484164052419608</v>
      </c>
      <c r="I61" s="42">
        <f t="shared" si="17"/>
        <v>0.778366126990649</v>
      </c>
      <c r="J61" s="42">
        <f t="shared" si="17"/>
        <v>0.9864782474338738</v>
      </c>
      <c r="K61" s="42">
        <f t="shared" si="17"/>
        <v>0.9240973868078427</v>
      </c>
    </row>
    <row r="62" spans="1:11" x14ac:dyDescent="0.25">
      <c r="A62" s="18" t="s">
        <v>144</v>
      </c>
      <c r="B62" s="42">
        <f t="shared" ref="B62:K62" si="18">B39/B8</f>
        <v>0</v>
      </c>
      <c r="C62" s="42">
        <f t="shared" si="18"/>
        <v>0</v>
      </c>
      <c r="D62" s="42">
        <f t="shared" si="18"/>
        <v>0</v>
      </c>
      <c r="E62" s="42">
        <f t="shared" si="18"/>
        <v>0</v>
      </c>
      <c r="F62" s="42">
        <f t="shared" si="18"/>
        <v>0</v>
      </c>
      <c r="G62" s="42">
        <f t="shared" si="18"/>
        <v>0</v>
      </c>
      <c r="H62" s="42">
        <f t="shared" si="18"/>
        <v>0</v>
      </c>
      <c r="I62" s="42">
        <f t="shared" si="18"/>
        <v>0</v>
      </c>
      <c r="J62" s="42">
        <f t="shared" si="18"/>
        <v>0</v>
      </c>
      <c r="K62" s="42">
        <f t="shared" si="18"/>
        <v>0</v>
      </c>
    </row>
    <row r="63" spans="1:11" x14ac:dyDescent="0.25">
      <c r="A63" s="18" t="s">
        <v>145</v>
      </c>
      <c r="B63" s="42">
        <f>'Balance Sheet SC'!B29/'Balance Sheet SC'!B8</f>
        <v>0.23376529683005448</v>
      </c>
      <c r="C63" s="42">
        <f>'Balance Sheet SC'!C29/'Balance Sheet SC'!C8</f>
        <v>0.12703647257379438</v>
      </c>
      <c r="D63" s="42">
        <f>'Balance Sheet SC'!D29/'Balance Sheet SC'!D8</f>
        <v>0.13851200008760189</v>
      </c>
      <c r="E63" s="42">
        <f>'Balance Sheet SC'!E29/'Balance Sheet SC'!E8</f>
        <v>0.27426061477222469</v>
      </c>
      <c r="F63" s="42">
        <f>'Balance Sheet SC'!F29/'Balance Sheet SC'!F8</f>
        <v>0.21878684366982504</v>
      </c>
      <c r="G63" s="42">
        <f>'Balance Sheet SC'!G29/'Balance Sheet SC'!G8</f>
        <v>0.29457663049338778</v>
      </c>
      <c r="H63" s="42">
        <f>'Balance Sheet SC'!H29/'Balance Sheet SC'!H8</f>
        <v>0.25963491576009662</v>
      </c>
      <c r="I63" s="42">
        <f>'Balance Sheet SC'!I29/'Balance Sheet SC'!I8</f>
        <v>0.28947072594487483</v>
      </c>
      <c r="J63" s="42">
        <f>'Balance Sheet SC'!J29/'Balance Sheet SC'!J8</f>
        <v>0.69974522479182855</v>
      </c>
      <c r="K63" s="42">
        <f>'Balance Sheet SC'!K29/'Balance Sheet SC'!K8</f>
        <v>0</v>
      </c>
    </row>
    <row r="64" spans="1:11" x14ac:dyDescent="0.25">
      <c r="A64" s="18" t="s">
        <v>146</v>
      </c>
      <c r="B64" s="42">
        <f>'[1]Profit &amp; Loss'!B4/'Balance Sheet SC'!B14</f>
        <v>0</v>
      </c>
      <c r="C64" s="42">
        <f>'[1]Profit &amp; Loss'!C4/'Balance Sheet SC'!C14</f>
        <v>0</v>
      </c>
      <c r="D64" s="42">
        <f>'[1]Profit &amp; Loss'!D4/'Balance Sheet SC'!D14</f>
        <v>0</v>
      </c>
      <c r="E64" s="42">
        <f>'[1]Profit &amp; Loss'!E4/'Balance Sheet SC'!E14</f>
        <v>0</v>
      </c>
      <c r="F64" s="42">
        <f>'[1]Profit &amp; Loss'!F4/'Balance Sheet SC'!F14</f>
        <v>0</v>
      </c>
      <c r="G64" s="42">
        <f>'[1]Profit &amp; Loss'!G4/'Balance Sheet SC'!G14</f>
        <v>0</v>
      </c>
      <c r="H64" s="42">
        <f>'[1]Profit &amp; Loss'!H4/'Balance Sheet SC'!H14</f>
        <v>0</v>
      </c>
      <c r="I64" s="42">
        <f>'[1]Profit &amp; Loss'!I4/'Balance Sheet SC'!I14</f>
        <v>0</v>
      </c>
      <c r="J64" s="42">
        <f>'[1]Profit &amp; Loss'!J4/'Balance Sheet SC'!J14</f>
        <v>0</v>
      </c>
      <c r="K64" s="42">
        <f>'[1]Profit &amp; Loss'!K4/'Balance Sheet SC'!K14</f>
        <v>0</v>
      </c>
    </row>
  </sheetData>
  <conditionalFormatting sqref="B59:K59">
    <cfRule type="cellIs" dxfId="2" priority="1" stopIfTrue="1" operator="lessThan">
      <formula>1.8</formula>
    </cfRule>
    <cfRule type="cellIs" dxfId="1" priority="2" stopIfTrue="1" operator="greaterThan">
      <formula>3</formula>
    </cfRule>
    <cfRule type="cellIs" dxfId="0" priority="3" operator="between">
      <formula>1.8</formula>
      <formula>3</formula>
    </cfRule>
  </conditionalFormatting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 x14ac:dyDescent="0.25"/>
  <cols>
    <col min="1" max="1" width="20.7109375" style="6" customWidth="1"/>
    <col min="2" max="11" width="13.5703125" style="6" bestFit="1" customWidth="1"/>
    <col min="12" max="16384" width="9.140625" style="6"/>
  </cols>
  <sheetData>
    <row r="1" spans="1:11" s="8" customFormat="1" x14ac:dyDescent="0.25">
      <c r="A1" s="8">
        <f>'[1]Profit &amp; Loss'!A1</f>
        <v>0</v>
      </c>
      <c r="E1">
        <f>UPDATE</f>
        <v>0</v>
      </c>
      <c r="J1" s="4" t="s">
        <v>1</v>
      </c>
      <c r="K1" s="4"/>
    </row>
    <row r="3" spans="1:11" s="2" customFormat="1" x14ac:dyDescent="0.25">
      <c r="A3" s="15" t="s">
        <v>2</v>
      </c>
      <c r="B3" s="16">
        <f>'[1]Data Sheet'!B41</f>
        <v>43465</v>
      </c>
      <c r="C3" s="16">
        <f>'[1]Data Sheet'!C41</f>
        <v>43555</v>
      </c>
      <c r="D3" s="16">
        <f>'[1]Data Sheet'!D41</f>
        <v>43646</v>
      </c>
      <c r="E3" s="16">
        <f>'[1]Data Sheet'!E41</f>
        <v>43738</v>
      </c>
      <c r="F3" s="16">
        <f>'[1]Data Sheet'!F41</f>
        <v>43830</v>
      </c>
      <c r="G3" s="16">
        <f>'[1]Data Sheet'!G41</f>
        <v>43921</v>
      </c>
      <c r="H3" s="16">
        <f>'[1]Data Sheet'!H41</f>
        <v>44012</v>
      </c>
      <c r="I3" s="16">
        <f>'[1]Data Sheet'!I41</f>
        <v>44104</v>
      </c>
      <c r="J3" s="16">
        <f>'[1]Data Sheet'!J41</f>
        <v>44196</v>
      </c>
      <c r="K3" s="16">
        <f>'[1]Data Sheet'!K41</f>
        <v>44286</v>
      </c>
    </row>
    <row r="4" spans="1:11" s="8" customFormat="1" x14ac:dyDescent="0.25">
      <c r="A4" s="8" t="s">
        <v>6</v>
      </c>
      <c r="B4" s="1">
        <f>'[1]Data Sheet'!B42</f>
        <v>0</v>
      </c>
      <c r="C4" s="1">
        <f>'[1]Data Sheet'!C42</f>
        <v>0</v>
      </c>
      <c r="D4" s="1">
        <f>'[1]Data Sheet'!D42</f>
        <v>0</v>
      </c>
      <c r="E4" s="1">
        <f>'[1]Data Sheet'!E42</f>
        <v>11.12</v>
      </c>
      <c r="F4" s="1">
        <f>'[1]Data Sheet'!F42</f>
        <v>5.89</v>
      </c>
      <c r="G4" s="1">
        <f>'[1]Data Sheet'!G42</f>
        <v>0.34</v>
      </c>
      <c r="H4" s="1">
        <f>'[1]Data Sheet'!H42</f>
        <v>7.98</v>
      </c>
      <c r="I4" s="1">
        <f>'[1]Data Sheet'!I42</f>
        <v>0.33</v>
      </c>
      <c r="J4" s="1">
        <f>'[1]Data Sheet'!J42</f>
        <v>0.24</v>
      </c>
      <c r="K4" s="1">
        <f>'[1]Data Sheet'!K42</f>
        <v>0.11</v>
      </c>
    </row>
    <row r="5" spans="1:11" x14ac:dyDescent="0.25">
      <c r="A5" s="6" t="s">
        <v>7</v>
      </c>
      <c r="B5" s="9">
        <f>'[1]Data Sheet'!B43</f>
        <v>0.14000000000000001</v>
      </c>
      <c r="C5" s="9">
        <f>'[1]Data Sheet'!C43</f>
        <v>0.12</v>
      </c>
      <c r="D5" s="9">
        <f>'[1]Data Sheet'!D43</f>
        <v>0.12</v>
      </c>
      <c r="E5" s="9">
        <f>'[1]Data Sheet'!E43</f>
        <v>1.28</v>
      </c>
      <c r="F5" s="9">
        <f>'[1]Data Sheet'!F43</f>
        <v>1.73</v>
      </c>
      <c r="G5" s="9">
        <f>'[1]Data Sheet'!G43</f>
        <v>0.18</v>
      </c>
      <c r="H5" s="9">
        <f>'[1]Data Sheet'!H43</f>
        <v>1.1299999999999999</v>
      </c>
      <c r="I5" s="9">
        <f>'[1]Data Sheet'!I43</f>
        <v>0.87</v>
      </c>
      <c r="J5" s="9">
        <f>'[1]Data Sheet'!J43</f>
        <v>0.75</v>
      </c>
      <c r="K5" s="9">
        <f>'[1]Data Sheet'!K43</f>
        <v>0.33</v>
      </c>
    </row>
    <row r="6" spans="1:11" s="8" customFormat="1" x14ac:dyDescent="0.25">
      <c r="A6" s="8" t="s">
        <v>8</v>
      </c>
      <c r="B6" s="1">
        <f>'[1]Data Sheet'!B50</f>
        <v>-0.14000000000000001</v>
      </c>
      <c r="C6" s="1">
        <f>'[1]Data Sheet'!C50</f>
        <v>-0.12</v>
      </c>
      <c r="D6" s="1">
        <f>'[1]Data Sheet'!D50</f>
        <v>-0.12</v>
      </c>
      <c r="E6" s="1">
        <f>'[1]Data Sheet'!E50</f>
        <v>9.84</v>
      </c>
      <c r="F6" s="1">
        <f>'[1]Data Sheet'!F50</f>
        <v>4.16</v>
      </c>
      <c r="G6" s="1">
        <f>'[1]Data Sheet'!G50</f>
        <v>0.16</v>
      </c>
      <c r="H6" s="1">
        <f>'[1]Data Sheet'!H50</f>
        <v>6.85</v>
      </c>
      <c r="I6" s="1">
        <f>'[1]Data Sheet'!I50</f>
        <v>-0.54</v>
      </c>
      <c r="J6" s="1">
        <f>'[1]Data Sheet'!J50</f>
        <v>-0.51</v>
      </c>
      <c r="K6" s="1">
        <f>'[1]Data Sheet'!K50</f>
        <v>-0.22</v>
      </c>
    </row>
    <row r="7" spans="1:11" x14ac:dyDescent="0.25">
      <c r="A7" s="6" t="s">
        <v>9</v>
      </c>
      <c r="B7" s="9">
        <f>'[1]Data Sheet'!B44</f>
        <v>117.42</v>
      </c>
      <c r="C7" s="9">
        <f>'[1]Data Sheet'!C44</f>
        <v>593.02</v>
      </c>
      <c r="D7" s="9">
        <f>'[1]Data Sheet'!D44</f>
        <v>12.1</v>
      </c>
      <c r="E7" s="9">
        <f>'[1]Data Sheet'!E44</f>
        <v>0</v>
      </c>
      <c r="F7" s="9">
        <f>'[1]Data Sheet'!F44</f>
        <v>6.88</v>
      </c>
      <c r="G7" s="9">
        <f>'[1]Data Sheet'!G44</f>
        <v>1.07</v>
      </c>
      <c r="H7" s="9">
        <f>'[1]Data Sheet'!H44</f>
        <v>-0.53</v>
      </c>
      <c r="I7" s="9">
        <f>'[1]Data Sheet'!I44</f>
        <v>0</v>
      </c>
      <c r="J7" s="9">
        <f>'[1]Data Sheet'!J44</f>
        <v>-0.16</v>
      </c>
      <c r="K7" s="9">
        <f>'[1]Data Sheet'!K44</f>
        <v>-0.24</v>
      </c>
    </row>
    <row r="8" spans="1:11" x14ac:dyDescent="0.25">
      <c r="A8" s="6" t="s">
        <v>10</v>
      </c>
      <c r="B8" s="9">
        <f>'[1]Data Sheet'!B45</f>
        <v>0</v>
      </c>
      <c r="C8" s="9">
        <f>'[1]Data Sheet'!C45</f>
        <v>0</v>
      </c>
      <c r="D8" s="9">
        <f>'[1]Data Sheet'!D45</f>
        <v>0</v>
      </c>
      <c r="E8" s="9">
        <f>'[1]Data Sheet'!E45</f>
        <v>0</v>
      </c>
      <c r="F8" s="9">
        <f>'[1]Data Sheet'!F45</f>
        <v>0</v>
      </c>
      <c r="G8" s="9">
        <f>'[1]Data Sheet'!G45</f>
        <v>0</v>
      </c>
      <c r="H8" s="9">
        <f>'[1]Data Sheet'!H45</f>
        <v>0</v>
      </c>
      <c r="I8" s="9">
        <f>'[1]Data Sheet'!I45</f>
        <v>0</v>
      </c>
      <c r="J8" s="9">
        <f>'[1]Data Sheet'!J45</f>
        <v>0</v>
      </c>
      <c r="K8" s="9">
        <f>'[1]Data Sheet'!K45</f>
        <v>0</v>
      </c>
    </row>
    <row r="9" spans="1:11" x14ac:dyDescent="0.25">
      <c r="A9" s="6" t="s">
        <v>11</v>
      </c>
      <c r="B9" s="9">
        <f>'[1]Data Sheet'!B46</f>
        <v>0</v>
      </c>
      <c r="C9" s="9">
        <f>'[1]Data Sheet'!C46</f>
        <v>0</v>
      </c>
      <c r="D9" s="9">
        <f>'[1]Data Sheet'!D46</f>
        <v>0</v>
      </c>
      <c r="E9" s="9">
        <f>'[1]Data Sheet'!E46</f>
        <v>0</v>
      </c>
      <c r="F9" s="9">
        <f>'[1]Data Sheet'!F46</f>
        <v>0</v>
      </c>
      <c r="G9" s="9">
        <f>'[1]Data Sheet'!G46</f>
        <v>0</v>
      </c>
      <c r="H9" s="9">
        <f>'[1]Data Sheet'!H46</f>
        <v>0</v>
      </c>
      <c r="I9" s="9">
        <f>'[1]Data Sheet'!I46</f>
        <v>0</v>
      </c>
      <c r="J9" s="9">
        <f>'[1]Data Sheet'!J46</f>
        <v>0</v>
      </c>
      <c r="K9" s="9">
        <f>'[1]Data Sheet'!K46</f>
        <v>0</v>
      </c>
    </row>
    <row r="10" spans="1:11" x14ac:dyDescent="0.25">
      <c r="A10" s="6" t="s">
        <v>12</v>
      </c>
      <c r="B10" s="9">
        <f>'[1]Data Sheet'!B47</f>
        <v>117.28</v>
      </c>
      <c r="C10" s="9">
        <f>'[1]Data Sheet'!C47</f>
        <v>592.9</v>
      </c>
      <c r="D10" s="9">
        <f>'[1]Data Sheet'!D47</f>
        <v>11.98</v>
      </c>
      <c r="E10" s="9">
        <f>'[1]Data Sheet'!E47</f>
        <v>9.84</v>
      </c>
      <c r="F10" s="9">
        <f>'[1]Data Sheet'!F47</f>
        <v>11.04</v>
      </c>
      <c r="G10" s="9">
        <f>'[1]Data Sheet'!G47</f>
        <v>1.23</v>
      </c>
      <c r="H10" s="9">
        <f>'[1]Data Sheet'!H47</f>
        <v>6.32</v>
      </c>
      <c r="I10" s="9">
        <f>'[1]Data Sheet'!I47</f>
        <v>-0.54</v>
      </c>
      <c r="J10" s="9">
        <f>'[1]Data Sheet'!J47</f>
        <v>-0.67</v>
      </c>
      <c r="K10" s="9">
        <f>'[1]Data Sheet'!K47</f>
        <v>-0.46</v>
      </c>
    </row>
    <row r="11" spans="1:11" x14ac:dyDescent="0.25">
      <c r="A11" s="6" t="s">
        <v>13</v>
      </c>
      <c r="B11" s="9">
        <f>'[1]Data Sheet'!B48</f>
        <v>4.8</v>
      </c>
      <c r="C11" s="9">
        <f>'[1]Data Sheet'!C48</f>
        <v>4.1399999999999997</v>
      </c>
      <c r="D11" s="9">
        <f>'[1]Data Sheet'!D48</f>
        <v>4.1900000000000004</v>
      </c>
      <c r="E11" s="9">
        <f>'[1]Data Sheet'!E48</f>
        <v>1.41</v>
      </c>
      <c r="F11" s="9">
        <f>'[1]Data Sheet'!F48</f>
        <v>0.01</v>
      </c>
      <c r="G11" s="9">
        <f>'[1]Data Sheet'!G48</f>
        <v>0.04</v>
      </c>
      <c r="H11" s="9">
        <f>'[1]Data Sheet'!H48</f>
        <v>1.72</v>
      </c>
      <c r="I11" s="9">
        <f>'[1]Data Sheet'!I48</f>
        <v>-0.01</v>
      </c>
      <c r="J11" s="9">
        <f>'[1]Data Sheet'!J48</f>
        <v>-0.01</v>
      </c>
      <c r="K11" s="9">
        <f>'[1]Data Sheet'!K48</f>
        <v>0.04</v>
      </c>
    </row>
    <row r="12" spans="1:11" s="8" customFormat="1" x14ac:dyDescent="0.25">
      <c r="A12" s="8" t="s">
        <v>14</v>
      </c>
      <c r="B12" s="1">
        <f>'[1]Data Sheet'!B49</f>
        <v>112.48</v>
      </c>
      <c r="C12" s="1">
        <f>'[1]Data Sheet'!C49</f>
        <v>588.76</v>
      </c>
      <c r="D12" s="1">
        <f>'[1]Data Sheet'!D49</f>
        <v>7.79</v>
      </c>
      <c r="E12" s="1">
        <f>'[1]Data Sheet'!E49</f>
        <v>8.43</v>
      </c>
      <c r="F12" s="1">
        <f>'[1]Data Sheet'!F49</f>
        <v>11.03</v>
      </c>
      <c r="G12" s="1">
        <f>'[1]Data Sheet'!G49</f>
        <v>1.19</v>
      </c>
      <c r="H12" s="1">
        <f>'[1]Data Sheet'!H49</f>
        <v>4.5999999999999996</v>
      </c>
      <c r="I12" s="1">
        <f>'[1]Data Sheet'!I49</f>
        <v>-0.53</v>
      </c>
      <c r="J12" s="1">
        <f>'[1]Data Sheet'!J49</f>
        <v>-0.66</v>
      </c>
      <c r="K12" s="1">
        <f>'[1]Data Sheet'!K49</f>
        <v>-0.5</v>
      </c>
    </row>
    <row r="14" spans="1:11" s="8" customFormat="1" x14ac:dyDescent="0.25">
      <c r="A14" s="2" t="s">
        <v>18</v>
      </c>
      <c r="B14" s="14" t="str">
        <f>IF(B4&gt;0,B6/B4,"")</f>
        <v/>
      </c>
      <c r="C14" s="14" t="str">
        <f t="shared" ref="C14:K14" si="0">IF(C4&gt;0,C6/C4,"")</f>
        <v/>
      </c>
      <c r="D14" s="14" t="str">
        <f t="shared" si="0"/>
        <v/>
      </c>
      <c r="E14" s="14">
        <f t="shared" si="0"/>
        <v>0.8848920863309353</v>
      </c>
      <c r="F14" s="14">
        <f t="shared" si="0"/>
        <v>0.70628183361629893</v>
      </c>
      <c r="G14" s="14">
        <f t="shared" si="0"/>
        <v>0.47058823529411764</v>
      </c>
      <c r="H14" s="14">
        <f t="shared" si="0"/>
        <v>0.85839598997493727</v>
      </c>
      <c r="I14" s="14">
        <f t="shared" si="0"/>
        <v>-1.6363636363636365</v>
      </c>
      <c r="J14" s="14">
        <f t="shared" si="0"/>
        <v>-2.125</v>
      </c>
      <c r="K14" s="14">
        <f t="shared" si="0"/>
        <v>-2</v>
      </c>
    </row>
    <row r="16" spans="1:11" x14ac:dyDescent="0.25">
      <c r="A16" s="6" t="s">
        <v>109</v>
      </c>
      <c r="B16" s="34">
        <f>B6+B7</f>
        <v>117.28</v>
      </c>
      <c r="C16" s="34">
        <f t="shared" ref="C16:K16" si="1">C6+C7</f>
        <v>592.9</v>
      </c>
      <c r="D16" s="34">
        <f t="shared" si="1"/>
        <v>11.98</v>
      </c>
      <c r="E16" s="34">
        <f t="shared" si="1"/>
        <v>9.84</v>
      </c>
      <c r="F16" s="34">
        <f t="shared" si="1"/>
        <v>11.04</v>
      </c>
      <c r="G16" s="34">
        <f t="shared" si="1"/>
        <v>1.23</v>
      </c>
      <c r="H16" s="34">
        <f t="shared" si="1"/>
        <v>6.3199999999999994</v>
      </c>
      <c r="I16" s="34">
        <f t="shared" si="1"/>
        <v>-0.54</v>
      </c>
      <c r="J16" s="34">
        <f t="shared" si="1"/>
        <v>-0.67</v>
      </c>
      <c r="K16" s="34">
        <f t="shared" si="1"/>
        <v>-0.45999999999999996</v>
      </c>
    </row>
    <row r="17" spans="1:11" x14ac:dyDescent="0.25">
      <c r="A17" s="6" t="s">
        <v>110</v>
      </c>
      <c r="B17" s="37" t="e">
        <f>B16/B4</f>
        <v>#DIV/0!</v>
      </c>
      <c r="C17" s="37" t="e">
        <f t="shared" ref="C17:K17" si="2">C16/C4</f>
        <v>#DIV/0!</v>
      </c>
      <c r="D17" s="37" t="e">
        <f t="shared" si="2"/>
        <v>#DIV/0!</v>
      </c>
      <c r="E17" s="37">
        <f t="shared" si="2"/>
        <v>0.8848920863309353</v>
      </c>
      <c r="F17" s="37">
        <f t="shared" si="2"/>
        <v>1.8743633276740237</v>
      </c>
      <c r="G17" s="37">
        <f t="shared" si="2"/>
        <v>3.617647058823529</v>
      </c>
      <c r="H17" s="37">
        <f t="shared" si="2"/>
        <v>0.79197994987468656</v>
      </c>
      <c r="I17" s="37">
        <f t="shared" si="2"/>
        <v>-1.6363636363636365</v>
      </c>
      <c r="J17" s="37">
        <f t="shared" si="2"/>
        <v>-2.791666666666667</v>
      </c>
      <c r="K17" s="37">
        <f t="shared" si="2"/>
        <v>-4.1818181818181817</v>
      </c>
    </row>
    <row r="18" spans="1:11" x14ac:dyDescent="0.25">
      <c r="A18" s="6" t="s">
        <v>111</v>
      </c>
      <c r="B18" s="37" t="e">
        <f>B12/B4</f>
        <v>#DIV/0!</v>
      </c>
      <c r="C18" s="37" t="e">
        <f t="shared" ref="C18:K18" si="3">C12/C4</f>
        <v>#DIV/0!</v>
      </c>
      <c r="D18" s="37" t="e">
        <f t="shared" si="3"/>
        <v>#DIV/0!</v>
      </c>
      <c r="E18" s="37">
        <f t="shared" si="3"/>
        <v>0.75809352517985618</v>
      </c>
      <c r="F18" s="37">
        <f t="shared" si="3"/>
        <v>1.8726655348047538</v>
      </c>
      <c r="G18" s="37">
        <f t="shared" si="3"/>
        <v>3.4999999999999996</v>
      </c>
      <c r="H18" s="37">
        <f t="shared" si="3"/>
        <v>0.5764411027568922</v>
      </c>
      <c r="I18" s="37">
        <f t="shared" si="3"/>
        <v>-1.606060606060606</v>
      </c>
      <c r="J18" s="37">
        <f t="shared" si="3"/>
        <v>-2.7500000000000004</v>
      </c>
      <c r="K18" s="37">
        <f t="shared" si="3"/>
        <v>-4.5454545454545459</v>
      </c>
    </row>
    <row r="19" spans="1:11" x14ac:dyDescent="0.25">
      <c r="A19" s="29" t="s">
        <v>58</v>
      </c>
      <c r="B19" s="34" t="e">
        <f>B12/('[1]Data Sheet'!$B$6)</f>
        <v>#DIV/0!</v>
      </c>
      <c r="C19" s="34" t="e">
        <f>C12/('[1]Data Sheet'!$B$6)</f>
        <v>#DIV/0!</v>
      </c>
      <c r="D19" s="34" t="e">
        <f>D12/('[1]Data Sheet'!$B$6)</f>
        <v>#DIV/0!</v>
      </c>
      <c r="E19" s="34" t="e">
        <f>E12/('[1]Data Sheet'!$B$6)</f>
        <v>#DIV/0!</v>
      </c>
      <c r="F19" s="34" t="e">
        <f>F12/('[1]Data Sheet'!$B$6)</f>
        <v>#DIV/0!</v>
      </c>
      <c r="G19" s="34" t="e">
        <f>G12/('[1]Data Sheet'!$B$6)</f>
        <v>#DIV/0!</v>
      </c>
      <c r="H19" s="34" t="e">
        <f>H12/('[1]Data Sheet'!$B$6)</f>
        <v>#DIV/0!</v>
      </c>
      <c r="I19" s="34" t="e">
        <f>I12/('[1]Data Sheet'!$B$6)</f>
        <v>#DIV/0!</v>
      </c>
      <c r="J19" s="34" t="e">
        <f>J12/('[1]Data Sheet'!$B$6)</f>
        <v>#DIV/0!</v>
      </c>
      <c r="K19" s="34" t="e">
        <f>K12/('[1]Data Sheet'!$B$6)</f>
        <v>#DIV/0!</v>
      </c>
    </row>
    <row r="22" spans="1:11" s="30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4" sqref="L4"/>
    </sheetView>
  </sheetViews>
  <sheetFormatPr defaultRowHeight="15" x14ac:dyDescent="0.25"/>
  <cols>
    <col min="1" max="1" width="26.85546875" style="6" bestFit="1" customWidth="1"/>
    <col min="2" max="6" width="13.5703125" style="6" customWidth="1"/>
    <col min="7" max="11" width="13.5703125" style="6" bestFit="1" customWidth="1"/>
    <col min="12" max="12" width="9.140625" style="6"/>
    <col min="13" max="13" width="10" style="6" bestFit="1" customWidth="1"/>
    <col min="14" max="16384" width="9.140625" style="6"/>
  </cols>
  <sheetData>
    <row r="1" spans="1:13" s="8" customFormat="1" x14ac:dyDescent="0.25">
      <c r="A1" s="8">
        <f>'[1]Balance Sheet'!A1</f>
        <v>0</v>
      </c>
      <c r="E1">
        <f>UPDATE</f>
        <v>0</v>
      </c>
      <c r="F1"/>
      <c r="J1" s="4" t="s">
        <v>1</v>
      </c>
      <c r="K1" s="4"/>
      <c r="L1" s="6" t="s">
        <v>149</v>
      </c>
    </row>
    <row r="2" spans="1:13" x14ac:dyDescent="0.25">
      <c r="L2" s="6">
        <f>YEARFRAC(K3,B3)</f>
        <v>9</v>
      </c>
    </row>
    <row r="3" spans="1:13" s="2" customFormat="1" x14ac:dyDescent="0.25">
      <c r="A3" s="15" t="s">
        <v>2</v>
      </c>
      <c r="B3" s="16">
        <f>'[1]Data Sheet'!B81</f>
        <v>40999</v>
      </c>
      <c r="C3" s="16">
        <f>'[1]Data Sheet'!C81</f>
        <v>41364</v>
      </c>
      <c r="D3" s="16">
        <f>'[1]Data Sheet'!D81</f>
        <v>41729</v>
      </c>
      <c r="E3" s="16">
        <f>'[1]Data Sheet'!E81</f>
        <v>42094</v>
      </c>
      <c r="F3" s="16">
        <f>'[1]Data Sheet'!F81</f>
        <v>42460</v>
      </c>
      <c r="G3" s="16">
        <f>'[1]Data Sheet'!G81</f>
        <v>42825</v>
      </c>
      <c r="H3" s="16">
        <f>'[1]Data Sheet'!H81</f>
        <v>43190</v>
      </c>
      <c r="I3" s="16">
        <f>'[1]Data Sheet'!I81</f>
        <v>43555</v>
      </c>
      <c r="J3" s="16">
        <f>'[1]Data Sheet'!J81</f>
        <v>43921</v>
      </c>
      <c r="K3" s="16">
        <f>'[1]Data Sheet'!K81</f>
        <v>44286</v>
      </c>
      <c r="L3" s="17" t="s">
        <v>148</v>
      </c>
    </row>
    <row r="4" spans="1:13" s="8" customFormat="1" x14ac:dyDescent="0.25">
      <c r="A4" s="8" t="s">
        <v>32</v>
      </c>
      <c r="B4" s="1">
        <f>'[1]Data Sheet'!B82</f>
        <v>425.92</v>
      </c>
      <c r="C4" s="1">
        <f>'[1]Data Sheet'!C82</f>
        <v>367.07</v>
      </c>
      <c r="D4" s="1">
        <f>'[1]Data Sheet'!D82</f>
        <v>333.41</v>
      </c>
      <c r="E4" s="1">
        <f>'[1]Data Sheet'!E82</f>
        <v>81.45</v>
      </c>
      <c r="F4" s="1">
        <f>'[1]Data Sheet'!F82</f>
        <v>300.47000000000003</v>
      </c>
      <c r="G4" s="1">
        <f>'[1]Data Sheet'!G82</f>
        <v>300.49</v>
      </c>
      <c r="H4" s="1">
        <f>'[1]Data Sheet'!H82</f>
        <v>351.64</v>
      </c>
      <c r="I4" s="1">
        <f>'[1]Data Sheet'!I82</f>
        <v>578.59</v>
      </c>
      <c r="J4" s="1">
        <f>'[1]Data Sheet'!J82</f>
        <v>-13.39</v>
      </c>
      <c r="K4" s="1">
        <f>'[1]Data Sheet'!K82</f>
        <v>-45.21</v>
      </c>
      <c r="L4" s="8" t="str">
        <f>IF((K4/B4)^(1/$L$2)-1&gt;0,(K4/B4)^(1/$L$2)-1,"-ve")</f>
        <v>-ve</v>
      </c>
      <c r="M4" s="51">
        <f>SUM(B4:K4)</f>
        <v>2680.4400000000005</v>
      </c>
    </row>
    <row r="5" spans="1:13" x14ac:dyDescent="0.25">
      <c r="A5" s="6" t="s">
        <v>33</v>
      </c>
      <c r="B5" s="9">
        <f>'[1]Data Sheet'!B83</f>
        <v>-871.48</v>
      </c>
      <c r="C5" s="9">
        <f>'[1]Data Sheet'!C83</f>
        <v>-442.28</v>
      </c>
      <c r="D5" s="9">
        <f>'[1]Data Sheet'!D83</f>
        <v>-85.83</v>
      </c>
      <c r="E5" s="9">
        <f>'[1]Data Sheet'!E83</f>
        <v>338.66</v>
      </c>
      <c r="F5" s="9">
        <f>'[1]Data Sheet'!F83</f>
        <v>-238.11</v>
      </c>
      <c r="G5" s="9">
        <f>'[1]Data Sheet'!G83</f>
        <v>-435.93</v>
      </c>
      <c r="H5" s="9">
        <f>'[1]Data Sheet'!H83</f>
        <v>-362.01</v>
      </c>
      <c r="I5" s="9">
        <f>'[1]Data Sheet'!I83</f>
        <v>-639.85</v>
      </c>
      <c r="J5" s="9">
        <f>'[1]Data Sheet'!J83</f>
        <v>28.86</v>
      </c>
      <c r="K5" s="9">
        <f>'[1]Data Sheet'!K83</f>
        <v>45.67</v>
      </c>
      <c r="L5" s="8" t="str">
        <f>IF((K5/B5)^(1/$L$2)-1&gt;0,(K5/B5)^(1/$L$2)-1,"-ve")</f>
        <v>-ve</v>
      </c>
    </row>
    <row r="6" spans="1:13" x14ac:dyDescent="0.25">
      <c r="A6" s="6" t="s">
        <v>34</v>
      </c>
      <c r="B6" s="9">
        <f>'[1]Data Sheet'!B84</f>
        <v>639.09</v>
      </c>
      <c r="C6" s="9">
        <f>'[1]Data Sheet'!C84</f>
        <v>-116.07</v>
      </c>
      <c r="D6" s="9">
        <f>'[1]Data Sheet'!D84</f>
        <v>-258.3</v>
      </c>
      <c r="E6" s="9">
        <f>'[1]Data Sheet'!E84</f>
        <v>-81.37</v>
      </c>
      <c r="F6" s="9">
        <f>'[1]Data Sheet'!F84</f>
        <v>-387.36</v>
      </c>
      <c r="G6" s="9">
        <f>'[1]Data Sheet'!G84</f>
        <v>127.42</v>
      </c>
      <c r="H6" s="9">
        <f>'[1]Data Sheet'!H84</f>
        <v>19.079999999999998</v>
      </c>
      <c r="I6" s="9">
        <f>'[1]Data Sheet'!I84</f>
        <v>72.510000000000005</v>
      </c>
      <c r="J6" s="9">
        <f>'[1]Data Sheet'!J84</f>
        <v>-46.35</v>
      </c>
      <c r="K6" s="9">
        <f>'[1]Data Sheet'!K84</f>
        <v>0.95</v>
      </c>
      <c r="L6" s="14" t="str">
        <f>IF((K6/B6)^(1/$L$2)-1&gt;0,(K6/B6)^(1/$L$2)-1,"-ve")</f>
        <v>-ve</v>
      </c>
    </row>
    <row r="7" spans="1:13" s="8" customFormat="1" x14ac:dyDescent="0.25">
      <c r="A7" s="8" t="s">
        <v>35</v>
      </c>
      <c r="B7" s="1">
        <f>'[1]Data Sheet'!B85</f>
        <v>193.53</v>
      </c>
      <c r="C7" s="1">
        <f>'[1]Data Sheet'!C85</f>
        <v>-191.28</v>
      </c>
      <c r="D7" s="1">
        <f>'[1]Data Sheet'!D85</f>
        <v>-10.72</v>
      </c>
      <c r="E7" s="1">
        <f>'[1]Data Sheet'!E85</f>
        <v>338.74</v>
      </c>
      <c r="F7" s="1">
        <f>'[1]Data Sheet'!F85</f>
        <v>-325.01</v>
      </c>
      <c r="G7" s="1">
        <f>'[1]Data Sheet'!G85</f>
        <v>-8.0299999999999994</v>
      </c>
      <c r="H7" s="1">
        <f>'[1]Data Sheet'!H85</f>
        <v>8.7100000000000009</v>
      </c>
      <c r="I7" s="1">
        <f>'[1]Data Sheet'!I85</f>
        <v>11.26</v>
      </c>
      <c r="J7" s="1">
        <f>'[1]Data Sheet'!J85</f>
        <v>-30.88</v>
      </c>
      <c r="K7" s="1">
        <f>'[1]Data Sheet'!K85</f>
        <v>1.41</v>
      </c>
      <c r="L7" s="14" t="str">
        <f>IF((K7/B7)^(1/$L$2)-1&gt;0,(K7/B7)^(1/$L$2)-1,"-ve")</f>
        <v>-ve</v>
      </c>
    </row>
    <row r="8" spans="1:13" x14ac:dyDescent="0.25">
      <c r="A8" s="2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3" x14ac:dyDescent="0.25">
      <c r="A9" s="29" t="s">
        <v>96</v>
      </c>
      <c r="C9" s="34">
        <f>'[1]Balance Sheet'!C16-'[1]Balance Sheet'!B16</f>
        <v>0</v>
      </c>
      <c r="D9" s="34">
        <f>'[1]Balance Sheet'!D16-'[1]Balance Sheet'!C16</f>
        <v>0</v>
      </c>
      <c r="E9" s="34">
        <f>'[1]Balance Sheet'!E16-'[1]Balance Sheet'!D16</f>
        <v>0</v>
      </c>
      <c r="F9" s="34">
        <f>'[1]Balance Sheet'!F16-'[1]Balance Sheet'!E16</f>
        <v>0</v>
      </c>
      <c r="G9" s="34">
        <f>'[1]Balance Sheet'!G16-'[1]Balance Sheet'!F16</f>
        <v>0</v>
      </c>
      <c r="H9" s="34">
        <f>'[1]Balance Sheet'!H16-'[1]Balance Sheet'!G16</f>
        <v>0</v>
      </c>
      <c r="I9" s="34">
        <f>'[1]Balance Sheet'!I16-'[1]Balance Sheet'!H16</f>
        <v>0</v>
      </c>
      <c r="J9" s="34">
        <f>'[1]Balance Sheet'!J16-'[1]Balance Sheet'!I16</f>
        <v>0</v>
      </c>
      <c r="K9" s="34">
        <f>'[1]Balance Sheet'!K16-'[1]Balance Sheet'!J16</f>
        <v>0</v>
      </c>
      <c r="L9" s="14" t="e">
        <f>IF(((K9/C9)^(1/($L$2-1)))-1&gt;0,((K9/C9)^(1/($L$2-1)))-1,"-ve")</f>
        <v>#DIV/0!</v>
      </c>
    </row>
    <row r="10" spans="1:13" x14ac:dyDescent="0.25">
      <c r="A10" s="29" t="s">
        <v>95</v>
      </c>
      <c r="C10" s="34">
        <f>'[1]Balance Sheet'!C10+'[1]Balance Sheet'!C11-'[1]Balance Sheet'!B10-'[1]Balance Sheet'!B11+'[1]Profit &amp; Loss'!C8</f>
        <v>0</v>
      </c>
      <c r="D10" s="34">
        <f>'[1]Balance Sheet'!D10+'[1]Balance Sheet'!D11-'[1]Balance Sheet'!C10-'[1]Balance Sheet'!C11+'[1]Profit &amp; Loss'!D8</f>
        <v>0</v>
      </c>
      <c r="E10" s="34">
        <f>'[1]Balance Sheet'!E10+'[1]Balance Sheet'!E11-'[1]Balance Sheet'!D10-'[1]Balance Sheet'!D11+'[1]Profit &amp; Loss'!E8</f>
        <v>0</v>
      </c>
      <c r="F10" s="34">
        <f>'[1]Balance Sheet'!F10+'[1]Balance Sheet'!F11-'[1]Balance Sheet'!E10-'[1]Balance Sheet'!E11+'[1]Profit &amp; Loss'!F8</f>
        <v>0</v>
      </c>
      <c r="G10" s="34">
        <f>'[1]Balance Sheet'!G10+'[1]Balance Sheet'!G11-'[1]Balance Sheet'!F10-'[1]Balance Sheet'!F11+'[1]Profit &amp; Loss'!G8</f>
        <v>0</v>
      </c>
      <c r="H10" s="34">
        <f>'[1]Balance Sheet'!H10+'[1]Balance Sheet'!H11-'[1]Balance Sheet'!G10-'[1]Balance Sheet'!G11+'[1]Profit &amp; Loss'!H8</f>
        <v>0</v>
      </c>
      <c r="I10" s="34">
        <f>'[1]Balance Sheet'!I10+'[1]Balance Sheet'!I11-'[1]Balance Sheet'!H10-'[1]Balance Sheet'!H11+'[1]Profit &amp; Loss'!I8</f>
        <v>0</v>
      </c>
      <c r="J10" s="34">
        <f>'[1]Balance Sheet'!J10+'[1]Balance Sheet'!J11-'[1]Balance Sheet'!I10-'[1]Balance Sheet'!I11+'[1]Profit &amp; Loss'!J8</f>
        <v>0</v>
      </c>
      <c r="K10" s="34">
        <f>'[1]Balance Sheet'!K10+'[1]Balance Sheet'!K11-'[1]Balance Sheet'!J10-'[1]Balance Sheet'!J11+'[1]Profit &amp; Loss'!K8</f>
        <v>0</v>
      </c>
      <c r="L10" s="14" t="e">
        <f t="shared" ref="L10:L11" si="0">IF(((K10/C10)^(1/($L$2-1)))-1&gt;0,((K10/C10)^(1/($L$2-1)))-1,"-ve")</f>
        <v>#DIV/0!</v>
      </c>
    </row>
    <row r="11" spans="1:13" x14ac:dyDescent="0.25">
      <c r="A11" s="29" t="s">
        <v>100</v>
      </c>
      <c r="C11" s="34">
        <f>C4-C9-C10</f>
        <v>367.07</v>
      </c>
      <c r="D11" s="34">
        <f t="shared" ref="D11:K11" si="1">D4-D9-D10</f>
        <v>333.41</v>
      </c>
      <c r="E11" s="34">
        <f t="shared" si="1"/>
        <v>81.45</v>
      </c>
      <c r="F11" s="34">
        <f t="shared" si="1"/>
        <v>300.47000000000003</v>
      </c>
      <c r="G11" s="34">
        <f t="shared" si="1"/>
        <v>300.49</v>
      </c>
      <c r="H11" s="34">
        <f t="shared" si="1"/>
        <v>351.64</v>
      </c>
      <c r="I11" s="34">
        <f t="shared" si="1"/>
        <v>578.59</v>
      </c>
      <c r="J11" s="34">
        <f t="shared" si="1"/>
        <v>-13.39</v>
      </c>
      <c r="K11" s="34">
        <f t="shared" si="1"/>
        <v>-45.21</v>
      </c>
      <c r="L11" s="14" t="e">
        <f t="shared" si="0"/>
        <v>#NUM!</v>
      </c>
    </row>
    <row r="13" spans="1:13" x14ac:dyDescent="0.25">
      <c r="A13" s="29" t="s">
        <v>14</v>
      </c>
      <c r="B13" s="34">
        <f>'[1]Profit &amp; Loss'!B12</f>
        <v>0</v>
      </c>
      <c r="C13" s="34">
        <f>'[1]Profit &amp; Loss'!C12</f>
        <v>0</v>
      </c>
      <c r="D13" s="34">
        <f>'[1]Profit &amp; Loss'!D12</f>
        <v>0</v>
      </c>
      <c r="E13" s="34">
        <f>'[1]Profit &amp; Loss'!E12</f>
        <v>0</v>
      </c>
      <c r="F13" s="34">
        <f>'[1]Profit &amp; Loss'!F12</f>
        <v>0</v>
      </c>
      <c r="G13" s="34">
        <f>'[1]Profit &amp; Loss'!G12</f>
        <v>0</v>
      </c>
      <c r="H13" s="34">
        <f>'[1]Profit &amp; Loss'!H12</f>
        <v>0</v>
      </c>
      <c r="I13" s="34">
        <f>'[1]Profit &amp; Loss'!I12</f>
        <v>0</v>
      </c>
      <c r="J13" s="34">
        <f>'[1]Profit &amp; Loss'!J12</f>
        <v>0</v>
      </c>
      <c r="K13" s="34">
        <f>'[1]Profit &amp; Loss'!K12</f>
        <v>0</v>
      </c>
      <c r="L13" s="14"/>
      <c r="M13" s="34">
        <f>SUM(B13:K13)</f>
        <v>0</v>
      </c>
    </row>
    <row r="14" spans="1:13" x14ac:dyDescent="0.25">
      <c r="A14" s="29" t="s">
        <v>150</v>
      </c>
      <c r="B14" s="37">
        <f>B13/B4</f>
        <v>0</v>
      </c>
      <c r="C14" s="37">
        <f t="shared" ref="C14:M14" si="2">C13/C4</f>
        <v>0</v>
      </c>
      <c r="D14" s="37">
        <f t="shared" si="2"/>
        <v>0</v>
      </c>
      <c r="E14" s="37">
        <f t="shared" si="2"/>
        <v>0</v>
      </c>
      <c r="F14" s="37">
        <f t="shared" si="2"/>
        <v>0</v>
      </c>
      <c r="G14" s="37">
        <f t="shared" si="2"/>
        <v>0</v>
      </c>
      <c r="H14" s="37">
        <f t="shared" si="2"/>
        <v>0</v>
      </c>
      <c r="I14" s="37">
        <f t="shared" si="2"/>
        <v>0</v>
      </c>
      <c r="J14" s="37">
        <f t="shared" si="2"/>
        <v>0</v>
      </c>
      <c r="K14" s="37">
        <f t="shared" si="2"/>
        <v>0</v>
      </c>
      <c r="L14" s="50">
        <f>AVERAGE(B14:K14)</f>
        <v>0</v>
      </c>
      <c r="M14" s="52">
        <f t="shared" si="2"/>
        <v>0</v>
      </c>
    </row>
    <row r="24" s="29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6"/>
  <sheetViews>
    <sheetView workbookViewId="0">
      <selection activeCell="C8" sqref="C8"/>
    </sheetView>
  </sheetViews>
  <sheetFormatPr defaultRowHeight="15" x14ac:dyDescent="0.25"/>
  <cols>
    <col min="1" max="1" width="9.140625" style="8"/>
    <col min="2" max="2" width="10.5703125" style="11" customWidth="1"/>
    <col min="3" max="3" width="13.28515625" style="26" customWidth="1"/>
    <col min="4" max="5" width="9.140625" style="11"/>
    <col min="6" max="6" width="6.85546875" style="11" customWidth="1"/>
    <col min="7" max="16384" width="9.140625" style="11"/>
  </cols>
  <sheetData>
    <row r="1" spans="1:7" ht="21" x14ac:dyDescent="0.35">
      <c r="A1" s="25" t="s">
        <v>57</v>
      </c>
    </row>
    <row r="3" spans="1:7" x14ac:dyDescent="0.25">
      <c r="A3" s="8" t="s">
        <v>48</v>
      </c>
    </row>
    <row r="4" spans="1:7" x14ac:dyDescent="0.25">
      <c r="B4" s="11" t="s">
        <v>91</v>
      </c>
    </row>
    <row r="5" spans="1:7" x14ac:dyDescent="0.25">
      <c r="B5" s="11" t="s">
        <v>49</v>
      </c>
    </row>
    <row r="7" spans="1:7" x14ac:dyDescent="0.25">
      <c r="A7" s="8" t="s">
        <v>50</v>
      </c>
    </row>
    <row r="8" spans="1:7" x14ac:dyDescent="0.25">
      <c r="B8" s="11" t="s">
        <v>51</v>
      </c>
      <c r="C8" s="27" t="s">
        <v>152</v>
      </c>
    </row>
    <row r="10" spans="1:7" x14ac:dyDescent="0.25">
      <c r="A10" s="8" t="s">
        <v>52</v>
      </c>
    </row>
    <row r="11" spans="1:7" x14ac:dyDescent="0.25">
      <c r="B11" s="11" t="s">
        <v>53</v>
      </c>
    </row>
    <row r="14" spans="1:7" x14ac:dyDescent="0.25">
      <c r="A14" s="8" t="s">
        <v>54</v>
      </c>
    </row>
    <row r="15" spans="1:7" x14ac:dyDescent="0.25">
      <c r="B15" s="11" t="s">
        <v>55</v>
      </c>
    </row>
    <row r="16" spans="1:7" x14ac:dyDescent="0.25">
      <c r="B16" s="11" t="s">
        <v>56</v>
      </c>
      <c r="G16" s="28" t="s">
        <v>92</v>
      </c>
    </row>
  </sheetData>
  <hyperlinks>
    <hyperlink ref="C8" r:id="rId1" display=" http://www.screener.in/exc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showGridLines="0" topLeftCell="L1" zoomScaleNormal="100" workbookViewId="0">
      <selection activeCell="T64" sqref="T64"/>
    </sheetView>
  </sheetViews>
  <sheetFormatPr defaultRowHeight="15" x14ac:dyDescent="0.25"/>
  <sheetData>
    <row r="1" spans="1:7" x14ac:dyDescent="0.25">
      <c r="A1" s="33" t="str">
        <f>'Data Sheet Cons'!B1</f>
        <v>GFL LTD</v>
      </c>
      <c r="G1">
        <f>'Data Sheet Cons'!B8</f>
        <v>71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pane xSplit="1" ySplit="1" topLeftCell="B53" activePane="bottomRight" state="frozen"/>
      <selection activeCell="C4" sqref="C4"/>
      <selection pane="topRight" activeCell="C4" sqref="C4"/>
      <selection pane="bottomLeft" activeCell="C4" sqref="C4"/>
      <selection pane="bottomRight" activeCell="B73" sqref="B73:J73"/>
    </sheetView>
  </sheetViews>
  <sheetFormatPr defaultRowHeight="15" x14ac:dyDescent="0.25"/>
  <cols>
    <col min="1" max="1" width="27.7109375" style="5" bestFit="1" customWidth="1"/>
    <col min="2" max="11" width="13.5703125" style="5" bestFit="1" customWidth="1"/>
    <col min="12" max="16384" width="9.140625" style="5"/>
  </cols>
  <sheetData>
    <row r="1" spans="1:11" s="1" customFormat="1" x14ac:dyDescent="0.25">
      <c r="A1" s="1" t="s">
        <v>0</v>
      </c>
      <c r="B1" s="1" t="s">
        <v>64</v>
      </c>
      <c r="E1" s="63" t="str">
        <f>IF(B2&lt;&gt;B3, "A NEW VERSION OF THE WORKSHEET IS AVAILABLE", "")</f>
        <v/>
      </c>
      <c r="F1" s="63"/>
      <c r="G1" s="63"/>
      <c r="H1" s="63"/>
      <c r="I1" s="63"/>
      <c r="J1" s="63"/>
      <c r="K1" s="63"/>
    </row>
    <row r="2" spans="1:11" x14ac:dyDescent="0.25">
      <c r="A2" s="1" t="s">
        <v>62</v>
      </c>
      <c r="B2" s="5">
        <v>2.1</v>
      </c>
      <c r="E2" s="64" t="s">
        <v>36</v>
      </c>
      <c r="F2" s="64"/>
      <c r="G2" s="64"/>
      <c r="H2" s="64"/>
      <c r="I2" s="64"/>
      <c r="J2" s="64"/>
      <c r="K2" s="64"/>
    </row>
    <row r="3" spans="1:11" x14ac:dyDescent="0.25">
      <c r="A3" s="1" t="s">
        <v>63</v>
      </c>
      <c r="B3" s="5">
        <v>2.1</v>
      </c>
    </row>
    <row r="4" spans="1:11" x14ac:dyDescent="0.25">
      <c r="A4" s="1"/>
    </row>
    <row r="5" spans="1:11" x14ac:dyDescent="0.25">
      <c r="A5" s="1" t="s">
        <v>65</v>
      </c>
    </row>
    <row r="6" spans="1:11" x14ac:dyDescent="0.25">
      <c r="A6" s="5" t="s">
        <v>42</v>
      </c>
      <c r="B6" s="5">
        <f>IF(B9&gt;0, B9/B8, 0)</f>
        <v>10.985070422535212</v>
      </c>
    </row>
    <row r="7" spans="1:11" x14ac:dyDescent="0.25">
      <c r="A7" s="5" t="s">
        <v>31</v>
      </c>
      <c r="B7">
        <v>1</v>
      </c>
    </row>
    <row r="8" spans="1:11" x14ac:dyDescent="0.25">
      <c r="A8" s="5" t="s">
        <v>43</v>
      </c>
      <c r="B8">
        <v>71</v>
      </c>
    </row>
    <row r="9" spans="1:11" x14ac:dyDescent="0.25">
      <c r="A9" s="5" t="s">
        <v>80</v>
      </c>
      <c r="B9">
        <v>779.94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40999</v>
      </c>
      <c r="C16" s="16">
        <v>41364</v>
      </c>
      <c r="D16" s="16">
        <v>41729</v>
      </c>
      <c r="E16" s="16">
        <v>42094</v>
      </c>
      <c r="F16" s="16">
        <v>42460</v>
      </c>
      <c r="G16" s="16">
        <v>42825</v>
      </c>
      <c r="H16" s="16">
        <v>43190</v>
      </c>
      <c r="I16" s="16">
        <v>43555</v>
      </c>
      <c r="J16" s="16">
        <v>43921</v>
      </c>
      <c r="K16" s="16">
        <v>44286</v>
      </c>
    </row>
    <row r="17" spans="1:11" s="9" customFormat="1" x14ac:dyDescent="0.25">
      <c r="A17" s="9" t="s">
        <v>6</v>
      </c>
      <c r="B17">
        <v>2815.96</v>
      </c>
      <c r="C17">
        <v>3146.94</v>
      </c>
      <c r="D17">
        <v>3431.3</v>
      </c>
      <c r="E17">
        <v>5310.31</v>
      </c>
      <c r="F17">
        <v>6971.51</v>
      </c>
      <c r="G17">
        <v>6288.4</v>
      </c>
      <c r="H17">
        <v>3892.56</v>
      </c>
      <c r="I17">
        <v>2968.84</v>
      </c>
      <c r="J17">
        <v>2703.64</v>
      </c>
      <c r="K17">
        <v>106.98</v>
      </c>
    </row>
    <row r="18" spans="1:11" s="9" customFormat="1" x14ac:dyDescent="0.25">
      <c r="A18" s="5" t="s">
        <v>81</v>
      </c>
      <c r="B18">
        <v>709.55</v>
      </c>
      <c r="C18">
        <v>941.34</v>
      </c>
      <c r="D18">
        <v>1467.65</v>
      </c>
      <c r="E18">
        <v>2352.4699999999998</v>
      </c>
      <c r="F18">
        <v>3188.24</v>
      </c>
      <c r="G18">
        <v>2251.5500000000002</v>
      </c>
      <c r="H18">
        <v>524.58000000000004</v>
      </c>
      <c r="I18">
        <v>883.44</v>
      </c>
      <c r="J18">
        <v>217.2</v>
      </c>
      <c r="K18">
        <v>7.88</v>
      </c>
    </row>
    <row r="19" spans="1:11" s="9" customFormat="1" x14ac:dyDescent="0.25">
      <c r="A19" s="5" t="s">
        <v>82</v>
      </c>
      <c r="B19">
        <v>103.27</v>
      </c>
      <c r="C19">
        <v>76.680000000000007</v>
      </c>
      <c r="D19">
        <v>94.11</v>
      </c>
      <c r="E19">
        <v>231.83</v>
      </c>
      <c r="F19">
        <v>-95.7</v>
      </c>
      <c r="G19">
        <v>23.83</v>
      </c>
      <c r="H19">
        <v>-127.48</v>
      </c>
      <c r="I19">
        <v>45.69</v>
      </c>
      <c r="J19">
        <v>-71.69</v>
      </c>
      <c r="K19"/>
    </row>
    <row r="20" spans="1:11" s="9" customFormat="1" x14ac:dyDescent="0.25">
      <c r="A20" s="5" t="s">
        <v>83</v>
      </c>
      <c r="B20">
        <v>314.82</v>
      </c>
      <c r="C20">
        <v>339.91</v>
      </c>
      <c r="D20">
        <v>354.69</v>
      </c>
      <c r="E20">
        <v>418.74</v>
      </c>
      <c r="F20">
        <v>420.66</v>
      </c>
      <c r="G20">
        <v>445.88</v>
      </c>
      <c r="H20">
        <v>505.49</v>
      </c>
      <c r="I20">
        <v>108.05</v>
      </c>
      <c r="J20">
        <v>119.08</v>
      </c>
      <c r="K20"/>
    </row>
    <row r="21" spans="1:11" s="9" customFormat="1" x14ac:dyDescent="0.25">
      <c r="A21" s="5" t="s">
        <v>84</v>
      </c>
      <c r="B21">
        <v>436.06</v>
      </c>
      <c r="C21">
        <v>664.97</v>
      </c>
      <c r="D21">
        <v>724.05</v>
      </c>
      <c r="E21">
        <v>1051.5</v>
      </c>
      <c r="F21">
        <v>485.39</v>
      </c>
      <c r="G21">
        <v>688.38</v>
      </c>
      <c r="H21">
        <v>545.20000000000005</v>
      </c>
      <c r="I21">
        <v>339.3</v>
      </c>
      <c r="J21">
        <v>277.76</v>
      </c>
      <c r="K21"/>
    </row>
    <row r="22" spans="1:11" s="9" customFormat="1" x14ac:dyDescent="0.25">
      <c r="A22" s="5" t="s">
        <v>85</v>
      </c>
      <c r="B22">
        <v>140.37</v>
      </c>
      <c r="C22">
        <v>154.88999999999999</v>
      </c>
      <c r="D22">
        <v>170.87</v>
      </c>
      <c r="E22">
        <v>227.32</v>
      </c>
      <c r="F22">
        <v>280.81</v>
      </c>
      <c r="G22">
        <v>336.58</v>
      </c>
      <c r="H22">
        <v>352.1</v>
      </c>
      <c r="I22">
        <v>214.73</v>
      </c>
      <c r="J22">
        <v>238.91</v>
      </c>
      <c r="K22">
        <v>89.04</v>
      </c>
    </row>
    <row r="23" spans="1:11" s="9" customFormat="1" x14ac:dyDescent="0.25">
      <c r="A23" s="5" t="s">
        <v>86</v>
      </c>
      <c r="B23">
        <v>247.1</v>
      </c>
      <c r="C23">
        <v>317.82</v>
      </c>
      <c r="D23">
        <v>327.76</v>
      </c>
      <c r="E23">
        <v>423.45</v>
      </c>
      <c r="F23">
        <v>729.72</v>
      </c>
      <c r="G23">
        <v>749.34</v>
      </c>
      <c r="H23">
        <v>786.97</v>
      </c>
      <c r="I23">
        <v>869.74</v>
      </c>
      <c r="J23">
        <v>694.67</v>
      </c>
      <c r="K23"/>
    </row>
    <row r="24" spans="1:11" s="9" customFormat="1" x14ac:dyDescent="0.25">
      <c r="A24" s="5" t="s">
        <v>87</v>
      </c>
      <c r="B24">
        <v>-138.55000000000001</v>
      </c>
      <c r="C24">
        <v>-212.64</v>
      </c>
      <c r="D24">
        <v>-117.77</v>
      </c>
      <c r="E24">
        <v>57.9</v>
      </c>
      <c r="F24">
        <v>467.87</v>
      </c>
      <c r="G24">
        <v>686.58</v>
      </c>
      <c r="H24">
        <v>325.68</v>
      </c>
      <c r="I24">
        <v>137.66999999999999</v>
      </c>
      <c r="J24">
        <v>607.46</v>
      </c>
      <c r="K24">
        <v>56.61</v>
      </c>
    </row>
    <row r="25" spans="1:11" s="9" customFormat="1" x14ac:dyDescent="0.25">
      <c r="A25" s="9" t="s">
        <v>9</v>
      </c>
      <c r="B25">
        <v>46.81</v>
      </c>
      <c r="C25">
        <v>31.19</v>
      </c>
      <c r="D25">
        <v>45.41</v>
      </c>
      <c r="E25">
        <v>318.39999999999998</v>
      </c>
      <c r="F25">
        <v>91.39</v>
      </c>
      <c r="G25">
        <v>-84.82</v>
      </c>
      <c r="H25">
        <v>132.79</v>
      </c>
      <c r="I25">
        <v>1282.1300000000001</v>
      </c>
      <c r="J25">
        <v>44.55</v>
      </c>
      <c r="K25">
        <v>43.96</v>
      </c>
    </row>
    <row r="26" spans="1:11" s="9" customFormat="1" x14ac:dyDescent="0.25">
      <c r="A26" s="9" t="s">
        <v>10</v>
      </c>
      <c r="B26">
        <v>149.02000000000001</v>
      </c>
      <c r="C26">
        <v>170.66</v>
      </c>
      <c r="D26">
        <v>200.44</v>
      </c>
      <c r="E26">
        <v>284.75</v>
      </c>
      <c r="F26">
        <v>324.52999999999997</v>
      </c>
      <c r="G26">
        <v>348.7</v>
      </c>
      <c r="H26">
        <v>299.22000000000003</v>
      </c>
      <c r="I26">
        <v>168.68</v>
      </c>
      <c r="J26">
        <v>354.16</v>
      </c>
      <c r="K26">
        <v>283.22000000000003</v>
      </c>
    </row>
    <row r="27" spans="1:11" s="9" customFormat="1" x14ac:dyDescent="0.25">
      <c r="A27" s="9" t="s">
        <v>11</v>
      </c>
      <c r="B27">
        <v>89.09</v>
      </c>
      <c r="C27">
        <v>132.02000000000001</v>
      </c>
      <c r="D27">
        <v>178.92</v>
      </c>
      <c r="E27">
        <v>218.77</v>
      </c>
      <c r="F27">
        <v>217.68</v>
      </c>
      <c r="G27">
        <v>278.99</v>
      </c>
      <c r="H27">
        <v>279.20999999999998</v>
      </c>
      <c r="I27">
        <v>167.48</v>
      </c>
      <c r="J27">
        <v>445.22</v>
      </c>
      <c r="K27">
        <v>252.55</v>
      </c>
    </row>
    <row r="28" spans="1:11" s="9" customFormat="1" x14ac:dyDescent="0.25">
      <c r="A28" s="9" t="s">
        <v>12</v>
      </c>
      <c r="B28">
        <v>1018.58</v>
      </c>
      <c r="C28">
        <v>745.84</v>
      </c>
      <c r="D28">
        <v>264.20999999999998</v>
      </c>
      <c r="E28">
        <v>825.64</v>
      </c>
      <c r="F28">
        <v>852.3</v>
      </c>
      <c r="G28">
        <v>441.41</v>
      </c>
      <c r="H28">
        <v>279.42</v>
      </c>
      <c r="I28">
        <v>1407.57</v>
      </c>
      <c r="J28">
        <v>-277.95999999999998</v>
      </c>
      <c r="K28">
        <v>-538.36</v>
      </c>
    </row>
    <row r="29" spans="1:11" s="9" customFormat="1" x14ac:dyDescent="0.25">
      <c r="A29" s="9" t="s">
        <v>13</v>
      </c>
      <c r="B29">
        <v>242.81</v>
      </c>
      <c r="C29">
        <v>193.67</v>
      </c>
      <c r="D29">
        <v>37.64</v>
      </c>
      <c r="E29">
        <v>158.52000000000001</v>
      </c>
      <c r="F29">
        <v>242.96</v>
      </c>
      <c r="G29">
        <v>226.9</v>
      </c>
      <c r="H29">
        <v>39.36</v>
      </c>
      <c r="I29">
        <v>58.47</v>
      </c>
      <c r="J29">
        <v>-41.5</v>
      </c>
      <c r="K29">
        <v>-108.38</v>
      </c>
    </row>
    <row r="30" spans="1:11" s="9" customFormat="1" x14ac:dyDescent="0.25">
      <c r="A30" s="9" t="s">
        <v>14</v>
      </c>
      <c r="B30">
        <v>780.05</v>
      </c>
      <c r="C30">
        <v>543.36</v>
      </c>
      <c r="D30">
        <v>186.1</v>
      </c>
      <c r="E30">
        <v>585.27</v>
      </c>
      <c r="F30">
        <v>399.32</v>
      </c>
      <c r="G30">
        <v>88.12</v>
      </c>
      <c r="H30">
        <v>253.51</v>
      </c>
      <c r="I30">
        <v>1304.8900000000001</v>
      </c>
      <c r="J30">
        <v>-123.38</v>
      </c>
      <c r="K30">
        <v>-231.72</v>
      </c>
    </row>
    <row r="31" spans="1:11" s="9" customFormat="1" x14ac:dyDescent="0.25">
      <c r="A31" s="9" t="s">
        <v>71</v>
      </c>
      <c r="B31">
        <v>38.46</v>
      </c>
      <c r="C31">
        <v>38.46</v>
      </c>
      <c r="D31">
        <v>38.46</v>
      </c>
      <c r="E31">
        <v>38.46</v>
      </c>
      <c r="F31">
        <v>38.46</v>
      </c>
      <c r="G31">
        <v>38.46</v>
      </c>
      <c r="H31">
        <v>38.46</v>
      </c>
      <c r="I31"/>
      <c r="J31"/>
      <c r="K31"/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43465</v>
      </c>
      <c r="C41" s="16">
        <v>43555</v>
      </c>
      <c r="D41" s="16">
        <v>43646</v>
      </c>
      <c r="E41" s="16">
        <v>43738</v>
      </c>
      <c r="F41" s="16">
        <v>43830</v>
      </c>
      <c r="G41" s="16">
        <v>43921</v>
      </c>
      <c r="H41" s="16">
        <v>44012</v>
      </c>
      <c r="I41" s="16">
        <v>44104</v>
      </c>
      <c r="J41" s="16">
        <v>44196</v>
      </c>
      <c r="K41" s="16">
        <v>44286</v>
      </c>
    </row>
    <row r="42" spans="1:11" s="9" customFormat="1" x14ac:dyDescent="0.25">
      <c r="A42" s="9" t="s">
        <v>6</v>
      </c>
      <c r="B42">
        <v>826.78</v>
      </c>
      <c r="C42">
        <v>658.83</v>
      </c>
      <c r="D42">
        <v>803.57</v>
      </c>
      <c r="E42">
        <v>661.09</v>
      </c>
      <c r="F42">
        <v>512.91999999999996</v>
      </c>
      <c r="G42">
        <v>371.71</v>
      </c>
      <c r="H42">
        <v>98.49</v>
      </c>
      <c r="I42">
        <v>0.69</v>
      </c>
      <c r="J42">
        <v>15.11</v>
      </c>
      <c r="K42">
        <v>90.9</v>
      </c>
    </row>
    <row r="43" spans="1:11" s="9" customFormat="1" x14ac:dyDescent="0.25">
      <c r="A43" s="9" t="s">
        <v>7</v>
      </c>
      <c r="B43">
        <v>682.44</v>
      </c>
      <c r="C43">
        <v>580.79</v>
      </c>
      <c r="D43">
        <v>611.33000000000004</v>
      </c>
      <c r="E43">
        <v>495.47</v>
      </c>
      <c r="F43">
        <v>371.71</v>
      </c>
      <c r="G43">
        <v>437.14</v>
      </c>
      <c r="H43">
        <v>90.27</v>
      </c>
      <c r="I43">
        <v>-39.08</v>
      </c>
      <c r="J43">
        <v>26.12</v>
      </c>
      <c r="K43">
        <v>104.37</v>
      </c>
    </row>
    <row r="44" spans="1:11" s="9" customFormat="1" x14ac:dyDescent="0.25">
      <c r="A44" s="9" t="s">
        <v>9</v>
      </c>
      <c r="B44">
        <v>120.98</v>
      </c>
      <c r="C44">
        <v>580.02</v>
      </c>
      <c r="D44">
        <v>9.0500000000000007</v>
      </c>
      <c r="E44">
        <v>10.210000000000001</v>
      </c>
      <c r="F44">
        <v>5.5</v>
      </c>
      <c r="G44">
        <v>5.17</v>
      </c>
      <c r="H44">
        <v>8.82</v>
      </c>
      <c r="I44">
        <v>6.35</v>
      </c>
      <c r="J44">
        <v>8.31</v>
      </c>
      <c r="K44">
        <v>25.41</v>
      </c>
    </row>
    <row r="45" spans="1:11" s="9" customFormat="1" x14ac:dyDescent="0.25">
      <c r="A45" s="9" t="s">
        <v>10</v>
      </c>
      <c r="B45">
        <v>43.2</v>
      </c>
      <c r="C45">
        <v>43.57</v>
      </c>
      <c r="D45">
        <v>80.11</v>
      </c>
      <c r="E45">
        <v>85.94</v>
      </c>
      <c r="F45">
        <v>64.849999999999994</v>
      </c>
      <c r="G45">
        <v>74.040000000000006</v>
      </c>
      <c r="H45">
        <v>94.1</v>
      </c>
      <c r="I45">
        <v>71.42</v>
      </c>
      <c r="J45">
        <v>70.94</v>
      </c>
      <c r="K45">
        <v>70.11</v>
      </c>
    </row>
    <row r="46" spans="1:11" s="9" customFormat="1" x14ac:dyDescent="0.25">
      <c r="A46" s="9" t="s">
        <v>11</v>
      </c>
      <c r="B46">
        <v>43.72</v>
      </c>
      <c r="C46">
        <v>42.46</v>
      </c>
      <c r="D46">
        <v>93.11</v>
      </c>
      <c r="E46">
        <v>103.93</v>
      </c>
      <c r="F46">
        <v>54.17</v>
      </c>
      <c r="G46">
        <v>61.44</v>
      </c>
      <c r="H46">
        <v>123.11</v>
      </c>
      <c r="I46">
        <v>64.510000000000005</v>
      </c>
      <c r="J46">
        <v>62.31</v>
      </c>
      <c r="K46">
        <v>62.01</v>
      </c>
    </row>
    <row r="47" spans="1:11" s="9" customFormat="1" x14ac:dyDescent="0.25">
      <c r="A47" s="9" t="s">
        <v>12</v>
      </c>
      <c r="B47">
        <v>178.4</v>
      </c>
      <c r="C47">
        <v>572.03</v>
      </c>
      <c r="D47">
        <v>28.07</v>
      </c>
      <c r="E47">
        <v>-14.04</v>
      </c>
      <c r="F47">
        <v>27.69</v>
      </c>
      <c r="G47">
        <v>-195.74</v>
      </c>
      <c r="H47">
        <v>-200.17</v>
      </c>
      <c r="I47">
        <v>-89.81</v>
      </c>
      <c r="J47">
        <v>-135.94999999999999</v>
      </c>
      <c r="K47">
        <v>-120.18</v>
      </c>
    </row>
    <row r="48" spans="1:11" s="9" customFormat="1" x14ac:dyDescent="0.25">
      <c r="A48" s="9" t="s">
        <v>13</v>
      </c>
      <c r="B48">
        <v>22.92</v>
      </c>
      <c r="C48">
        <v>-5.62</v>
      </c>
      <c r="D48">
        <v>8.9499999999999993</v>
      </c>
      <c r="E48">
        <v>-7.1</v>
      </c>
      <c r="F48">
        <v>19.22</v>
      </c>
      <c r="G48">
        <v>61.39</v>
      </c>
      <c r="H48">
        <v>-61.52</v>
      </c>
      <c r="I48">
        <v>-22.79</v>
      </c>
      <c r="J48">
        <v>-34.270000000000003</v>
      </c>
      <c r="K48">
        <v>-27.02</v>
      </c>
    </row>
    <row r="49" spans="1:11" s="9" customFormat="1" x14ac:dyDescent="0.25">
      <c r="A49" s="9" t="s">
        <v>14</v>
      </c>
      <c r="B49">
        <v>137.68</v>
      </c>
      <c r="C49">
        <v>579.54999999999995</v>
      </c>
      <c r="D49">
        <v>12.64</v>
      </c>
      <c r="E49">
        <v>-3.72</v>
      </c>
      <c r="F49">
        <v>4.0999999999999996</v>
      </c>
      <c r="G49">
        <v>-136.41</v>
      </c>
      <c r="H49">
        <v>-73.03</v>
      </c>
      <c r="I49">
        <v>-35.61</v>
      </c>
      <c r="J49">
        <v>-50.57</v>
      </c>
      <c r="K49">
        <v>-43.05</v>
      </c>
    </row>
    <row r="50" spans="1:11" x14ac:dyDescent="0.25">
      <c r="A50" s="9" t="s">
        <v>8</v>
      </c>
      <c r="B50">
        <v>144.34</v>
      </c>
      <c r="C50">
        <v>78.040000000000006</v>
      </c>
      <c r="D50">
        <v>192.24</v>
      </c>
      <c r="E50">
        <v>165.62</v>
      </c>
      <c r="F50">
        <v>141.21</v>
      </c>
      <c r="G50">
        <v>-65.430000000000007</v>
      </c>
      <c r="H50">
        <v>8.2200000000000006</v>
      </c>
      <c r="I50">
        <v>39.770000000000003</v>
      </c>
      <c r="J50">
        <v>-11.01</v>
      </c>
      <c r="K50">
        <v>-13.47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40999</v>
      </c>
      <c r="C56" s="16">
        <v>41364</v>
      </c>
      <c r="D56" s="16">
        <v>41729</v>
      </c>
      <c r="E56" s="16">
        <v>42094</v>
      </c>
      <c r="F56" s="16">
        <v>42460</v>
      </c>
      <c r="G56" s="16">
        <v>42825</v>
      </c>
      <c r="H56" s="16">
        <v>43190</v>
      </c>
      <c r="I56" s="16">
        <v>43555</v>
      </c>
      <c r="J56" s="16">
        <v>43921</v>
      </c>
      <c r="K56" s="16">
        <v>44286</v>
      </c>
    </row>
    <row r="57" spans="1:11" x14ac:dyDescent="0.25">
      <c r="A57" s="9" t="s">
        <v>24</v>
      </c>
      <c r="B57">
        <v>10.99</v>
      </c>
      <c r="C57">
        <v>10.99</v>
      </c>
      <c r="D57">
        <v>10.99</v>
      </c>
      <c r="E57">
        <v>10.99</v>
      </c>
      <c r="F57">
        <v>10.99</v>
      </c>
      <c r="G57">
        <v>10.99</v>
      </c>
      <c r="H57">
        <v>10.99</v>
      </c>
      <c r="I57">
        <v>10.99</v>
      </c>
      <c r="J57">
        <v>10.99</v>
      </c>
      <c r="K57">
        <v>10.99</v>
      </c>
    </row>
    <row r="58" spans="1:11" x14ac:dyDescent="0.25">
      <c r="A58" s="9" t="s">
        <v>25</v>
      </c>
      <c r="B58">
        <v>2707.1</v>
      </c>
      <c r="C58">
        <v>3148.18</v>
      </c>
      <c r="D58">
        <v>3285.99</v>
      </c>
      <c r="E58">
        <v>4224.2700000000004</v>
      </c>
      <c r="F58">
        <v>4442.6000000000004</v>
      </c>
      <c r="G58">
        <v>4507.2700000000004</v>
      </c>
      <c r="H58">
        <v>4755.8100000000004</v>
      </c>
      <c r="I58">
        <v>5965.84</v>
      </c>
      <c r="J58">
        <v>2167.75</v>
      </c>
      <c r="K58">
        <v>361.6</v>
      </c>
    </row>
    <row r="59" spans="1:11" x14ac:dyDescent="0.25">
      <c r="A59" s="9" t="s">
        <v>72</v>
      </c>
      <c r="B59">
        <v>1551.7</v>
      </c>
      <c r="C59">
        <v>2134.39</v>
      </c>
      <c r="D59">
        <v>2302.31</v>
      </c>
      <c r="E59">
        <v>2565.42</v>
      </c>
      <c r="F59">
        <v>2972.77</v>
      </c>
      <c r="G59">
        <v>3307.96</v>
      </c>
      <c r="H59">
        <v>2019.49</v>
      </c>
      <c r="I59">
        <v>1220.1600000000001</v>
      </c>
      <c r="J59">
        <v>3764.73</v>
      </c>
      <c r="K59">
        <v>2808.36</v>
      </c>
    </row>
    <row r="60" spans="1:11" x14ac:dyDescent="0.25">
      <c r="A60" s="9" t="s">
        <v>73</v>
      </c>
      <c r="B60">
        <v>914.21</v>
      </c>
      <c r="C60">
        <v>1098.55</v>
      </c>
      <c r="D60">
        <v>1482.38</v>
      </c>
      <c r="E60">
        <v>2562.8000000000002</v>
      </c>
      <c r="F60">
        <v>3053.08</v>
      </c>
      <c r="G60">
        <v>3104.54</v>
      </c>
      <c r="H60">
        <v>2966.47</v>
      </c>
      <c r="I60">
        <v>4334.03</v>
      </c>
      <c r="J60">
        <v>3637.47</v>
      </c>
      <c r="K60">
        <v>702.4</v>
      </c>
    </row>
    <row r="61" spans="1:11" s="1" customFormat="1" x14ac:dyDescent="0.25">
      <c r="A61" s="1" t="s">
        <v>26</v>
      </c>
      <c r="B61">
        <v>5184</v>
      </c>
      <c r="C61">
        <v>6392.11</v>
      </c>
      <c r="D61">
        <v>7081.67</v>
      </c>
      <c r="E61">
        <v>9363.48</v>
      </c>
      <c r="F61">
        <v>10479.44</v>
      </c>
      <c r="G61">
        <v>10930.76</v>
      </c>
      <c r="H61">
        <v>9752.76</v>
      </c>
      <c r="I61">
        <v>11531.02</v>
      </c>
      <c r="J61">
        <v>9580.94</v>
      </c>
      <c r="K61">
        <v>3883.35</v>
      </c>
    </row>
    <row r="62" spans="1:11" x14ac:dyDescent="0.25">
      <c r="A62" s="9" t="s">
        <v>27</v>
      </c>
      <c r="B62">
        <v>2696.45</v>
      </c>
      <c r="C62">
        <v>3607.1</v>
      </c>
      <c r="D62">
        <v>3728.58</v>
      </c>
      <c r="E62">
        <v>4230.75</v>
      </c>
      <c r="F62">
        <v>4600.3500000000004</v>
      </c>
      <c r="G62">
        <v>3504.67</v>
      </c>
      <c r="H62">
        <v>3813.33</v>
      </c>
      <c r="I62">
        <v>2052.34</v>
      </c>
      <c r="J62">
        <v>4518.1400000000003</v>
      </c>
      <c r="K62">
        <v>3083.47</v>
      </c>
    </row>
    <row r="63" spans="1:11" x14ac:dyDescent="0.25">
      <c r="A63" s="9" t="s">
        <v>28</v>
      </c>
      <c r="B63">
        <v>740.94</v>
      </c>
      <c r="C63">
        <v>522.99</v>
      </c>
      <c r="D63">
        <v>762.61</v>
      </c>
      <c r="E63">
        <v>403.36</v>
      </c>
      <c r="F63">
        <v>238.41</v>
      </c>
      <c r="G63">
        <v>410.21</v>
      </c>
      <c r="H63">
        <v>724.32</v>
      </c>
      <c r="I63">
        <v>522.15</v>
      </c>
      <c r="J63">
        <v>150.05000000000001</v>
      </c>
      <c r="K63">
        <v>56.95</v>
      </c>
    </row>
    <row r="64" spans="1:11" x14ac:dyDescent="0.25">
      <c r="A64" s="9" t="s">
        <v>29</v>
      </c>
      <c r="B64">
        <v>184.31</v>
      </c>
      <c r="C64">
        <v>347.98</v>
      </c>
      <c r="D64">
        <v>369.47</v>
      </c>
      <c r="E64">
        <v>159.19999999999999</v>
      </c>
      <c r="F64">
        <v>404.18</v>
      </c>
      <c r="G64">
        <v>678.09</v>
      </c>
      <c r="H64">
        <v>524.04</v>
      </c>
      <c r="I64">
        <v>148.83000000000001</v>
      </c>
      <c r="J64">
        <v>122.14</v>
      </c>
      <c r="K64">
        <v>22.13</v>
      </c>
    </row>
    <row r="65" spans="1:11" x14ac:dyDescent="0.25">
      <c r="A65" s="9" t="s">
        <v>74</v>
      </c>
      <c r="B65">
        <v>1562.3</v>
      </c>
      <c r="C65">
        <v>1914.04</v>
      </c>
      <c r="D65">
        <v>2221.0100000000002</v>
      </c>
      <c r="E65">
        <v>4570.17</v>
      </c>
      <c r="F65">
        <v>5236.5</v>
      </c>
      <c r="G65">
        <v>6337.79</v>
      </c>
      <c r="H65">
        <v>4691.07</v>
      </c>
      <c r="I65">
        <v>8807.7000000000007</v>
      </c>
      <c r="J65">
        <v>4790.6099999999997</v>
      </c>
      <c r="K65">
        <v>720.8</v>
      </c>
    </row>
    <row r="66" spans="1:11" s="1" customFormat="1" x14ac:dyDescent="0.25">
      <c r="A66" s="1" t="s">
        <v>26</v>
      </c>
      <c r="B66">
        <v>5184</v>
      </c>
      <c r="C66">
        <v>6392.11</v>
      </c>
      <c r="D66">
        <v>7081.67</v>
      </c>
      <c r="E66">
        <v>9363.48</v>
      </c>
      <c r="F66">
        <v>10479.44</v>
      </c>
      <c r="G66">
        <v>10930.76</v>
      </c>
      <c r="H66">
        <v>9752.76</v>
      </c>
      <c r="I66">
        <v>11531.02</v>
      </c>
      <c r="J66">
        <v>9580.94</v>
      </c>
      <c r="K66">
        <v>3883.35</v>
      </c>
    </row>
    <row r="67" spans="1:11" s="9" customFormat="1" x14ac:dyDescent="0.25">
      <c r="A67" s="9" t="s">
        <v>79</v>
      </c>
      <c r="B67">
        <v>290.29000000000002</v>
      </c>
      <c r="C67">
        <v>888.69</v>
      </c>
      <c r="D67">
        <v>949.68</v>
      </c>
      <c r="E67">
        <v>1863.52</v>
      </c>
      <c r="F67">
        <v>2878.65</v>
      </c>
      <c r="G67">
        <v>2774.69</v>
      </c>
      <c r="H67">
        <v>1943.69</v>
      </c>
      <c r="I67">
        <v>1549</v>
      </c>
      <c r="J67">
        <v>1381.64</v>
      </c>
      <c r="K67">
        <v>17.78</v>
      </c>
    </row>
    <row r="68" spans="1:11" x14ac:dyDescent="0.25">
      <c r="A68" s="9" t="s">
        <v>45</v>
      </c>
      <c r="B68">
        <v>533.1</v>
      </c>
      <c r="C68">
        <v>514.13</v>
      </c>
      <c r="D68">
        <v>629.48</v>
      </c>
      <c r="E68">
        <v>870.4</v>
      </c>
      <c r="F68">
        <v>936.49</v>
      </c>
      <c r="G68">
        <v>1058.53</v>
      </c>
      <c r="H68">
        <v>1313.94</v>
      </c>
      <c r="I68">
        <v>955.94</v>
      </c>
      <c r="J68">
        <v>1207.47</v>
      </c>
      <c r="K68">
        <v>10.34</v>
      </c>
    </row>
    <row r="69" spans="1:11" x14ac:dyDescent="0.25">
      <c r="A69" s="5" t="s">
        <v>88</v>
      </c>
      <c r="B69">
        <v>291.12</v>
      </c>
      <c r="C69">
        <v>59.13</v>
      </c>
      <c r="D69">
        <v>52.74</v>
      </c>
      <c r="E69">
        <v>1117.28</v>
      </c>
      <c r="F69">
        <v>573.04999999999995</v>
      </c>
      <c r="G69">
        <v>496.19</v>
      </c>
      <c r="H69">
        <v>195.33</v>
      </c>
      <c r="I69">
        <v>165.43</v>
      </c>
      <c r="J69">
        <v>209.1</v>
      </c>
      <c r="K69">
        <v>79.989999999999995</v>
      </c>
    </row>
    <row r="70" spans="1:11" x14ac:dyDescent="0.25">
      <c r="A70" s="5" t="s">
        <v>75</v>
      </c>
      <c r="B70">
        <v>109850000</v>
      </c>
      <c r="C70">
        <v>109850000</v>
      </c>
      <c r="D70">
        <v>109850000</v>
      </c>
      <c r="E70">
        <v>109850000</v>
      </c>
      <c r="F70">
        <v>109850000</v>
      </c>
      <c r="G70">
        <v>109850000</v>
      </c>
      <c r="H70">
        <v>109850000</v>
      </c>
      <c r="I70">
        <v>109850000</v>
      </c>
      <c r="J70">
        <v>109850000</v>
      </c>
      <c r="K70"/>
    </row>
    <row r="71" spans="1:11" x14ac:dyDescent="0.25">
      <c r="A71" s="5" t="s">
        <v>76</v>
      </c>
      <c r="D71"/>
    </row>
    <row r="72" spans="1:11" x14ac:dyDescent="0.25">
      <c r="A72" s="5" t="s">
        <v>89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</row>
    <row r="73" spans="1:11" x14ac:dyDescent="0.25">
      <c r="B73" s="5">
        <f>B59*100</f>
        <v>155170</v>
      </c>
      <c r="C73" s="5">
        <f t="shared" ref="C73:K73" si="0">C59*100</f>
        <v>213439</v>
      </c>
      <c r="D73" s="5">
        <f t="shared" si="0"/>
        <v>230231</v>
      </c>
      <c r="E73" s="5">
        <f t="shared" si="0"/>
        <v>256542</v>
      </c>
      <c r="F73" s="5">
        <f t="shared" si="0"/>
        <v>297277</v>
      </c>
      <c r="G73" s="5">
        <f t="shared" si="0"/>
        <v>330796</v>
      </c>
      <c r="H73" s="5">
        <f t="shared" si="0"/>
        <v>201949</v>
      </c>
      <c r="I73" s="5">
        <f t="shared" si="0"/>
        <v>122016.00000000001</v>
      </c>
      <c r="J73" s="5">
        <f t="shared" si="0"/>
        <v>376473</v>
      </c>
      <c r="K73" s="5">
        <f t="shared" si="0"/>
        <v>280836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40999</v>
      </c>
      <c r="C81" s="16">
        <v>41364</v>
      </c>
      <c r="D81" s="16">
        <v>41729</v>
      </c>
      <c r="E81" s="16">
        <v>42094</v>
      </c>
      <c r="F81" s="16">
        <v>42460</v>
      </c>
      <c r="G81" s="16">
        <v>42825</v>
      </c>
      <c r="H81" s="16">
        <v>43190</v>
      </c>
      <c r="I81" s="16">
        <v>43555</v>
      </c>
      <c r="J81" s="16">
        <v>43921</v>
      </c>
      <c r="K81" s="16">
        <v>44286</v>
      </c>
    </row>
    <row r="82" spans="1:11" s="1" customFormat="1" x14ac:dyDescent="0.25">
      <c r="A82" s="9" t="s">
        <v>32</v>
      </c>
      <c r="B82">
        <v>572.02</v>
      </c>
      <c r="C82">
        <v>284.20999999999998</v>
      </c>
      <c r="D82">
        <v>542.21</v>
      </c>
      <c r="E82">
        <v>149.11000000000001</v>
      </c>
      <c r="F82">
        <v>379.49</v>
      </c>
      <c r="G82">
        <v>731.69</v>
      </c>
      <c r="H82">
        <v>951.84</v>
      </c>
      <c r="I82">
        <v>995.61</v>
      </c>
      <c r="J82">
        <v>1214.23</v>
      </c>
      <c r="K82" s="32">
        <v>-155.75</v>
      </c>
    </row>
    <row r="83" spans="1:11" s="9" customFormat="1" x14ac:dyDescent="0.25">
      <c r="A83" s="9" t="s">
        <v>33</v>
      </c>
      <c r="B83">
        <v>-928.98</v>
      </c>
      <c r="C83">
        <v>-889.79</v>
      </c>
      <c r="D83">
        <v>-471.17</v>
      </c>
      <c r="E83">
        <v>248.34</v>
      </c>
      <c r="F83">
        <v>-1469.94</v>
      </c>
      <c r="G83">
        <v>-674.44</v>
      </c>
      <c r="H83">
        <v>589.29</v>
      </c>
      <c r="I83">
        <v>-955.73</v>
      </c>
      <c r="J83">
        <v>-608.24</v>
      </c>
      <c r="K83" s="32">
        <v>73.8</v>
      </c>
    </row>
    <row r="84" spans="1:11" s="9" customFormat="1" x14ac:dyDescent="0.25">
      <c r="A84" s="9" t="s">
        <v>34</v>
      </c>
      <c r="B84">
        <v>601.37</v>
      </c>
      <c r="C84">
        <v>372.42</v>
      </c>
      <c r="D84">
        <v>-93.46</v>
      </c>
      <c r="E84">
        <v>658.7</v>
      </c>
      <c r="F84">
        <v>135.52000000000001</v>
      </c>
      <c r="G84">
        <v>53.2</v>
      </c>
      <c r="H84">
        <v>-1668.06</v>
      </c>
      <c r="I84">
        <v>-79.39</v>
      </c>
      <c r="J84">
        <v>-629.23</v>
      </c>
      <c r="K84" s="32">
        <v>56.01</v>
      </c>
    </row>
    <row r="85" spans="1:11" s="1" customFormat="1" x14ac:dyDescent="0.25">
      <c r="A85" s="9" t="s">
        <v>35</v>
      </c>
      <c r="B85">
        <v>244.41</v>
      </c>
      <c r="C85">
        <v>-233.16</v>
      </c>
      <c r="D85">
        <v>-22.42</v>
      </c>
      <c r="E85">
        <v>1056.1500000000001</v>
      </c>
      <c r="F85">
        <v>-954.93</v>
      </c>
      <c r="G85">
        <v>110.45</v>
      </c>
      <c r="H85">
        <v>-126.93</v>
      </c>
      <c r="I85">
        <v>-39.51</v>
      </c>
      <c r="J85">
        <v>-23.24</v>
      </c>
      <c r="K85" s="32">
        <v>-25.94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78</v>
      </c>
      <c r="B90">
        <v>73.61</v>
      </c>
      <c r="C90">
        <v>43.1</v>
      </c>
      <c r="D90">
        <v>46.06</v>
      </c>
      <c r="E90">
        <v>101.61</v>
      </c>
      <c r="F90">
        <v>74.37</v>
      </c>
      <c r="G90">
        <v>109.42</v>
      </c>
      <c r="H90">
        <v>114.67</v>
      </c>
      <c r="I90">
        <v>159.05000000000001</v>
      </c>
      <c r="J90">
        <v>76.27</v>
      </c>
      <c r="K90">
        <v>72.95</v>
      </c>
    </row>
    <row r="92" spans="1:11" s="1" customFormat="1" x14ac:dyDescent="0.25">
      <c r="A92" s="1" t="s">
        <v>77</v>
      </c>
    </row>
    <row r="93" spans="1:11" x14ac:dyDescent="0.25">
      <c r="A93" s="5" t="s">
        <v>90</v>
      </c>
      <c r="B93" s="31">
        <v>10.99</v>
      </c>
      <c r="C93" s="31">
        <v>10.99</v>
      </c>
      <c r="D93" s="31">
        <v>10.99</v>
      </c>
      <c r="E93" s="31">
        <v>10.99</v>
      </c>
      <c r="F93" s="31">
        <v>10.99</v>
      </c>
      <c r="G93" s="31">
        <v>10.99</v>
      </c>
      <c r="H93" s="31">
        <v>10.99</v>
      </c>
      <c r="I93" s="31">
        <v>10.99</v>
      </c>
      <c r="J93" s="31">
        <v>10.99</v>
      </c>
      <c r="K93" s="31">
        <v>10.99</v>
      </c>
    </row>
  </sheetData>
  <mergeCells count="2">
    <mergeCell ref="E1:K1"/>
    <mergeCell ref="E2:K2"/>
  </mergeCells>
  <conditionalFormatting sqref="E1:K1">
    <cfRule type="cellIs" dxfId="7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8"/>
  <sheetViews>
    <sheetView zoomScaleSheetLayoutView="100" workbookViewId="0">
      <pane xSplit="1" ySplit="4" topLeftCell="B19" activePane="bottomRight" state="frozen"/>
      <selection activeCell="I2" sqref="I2"/>
      <selection pane="topRight" activeCell="I2" sqref="I2"/>
      <selection pane="bottomLeft" activeCell="I2" sqref="I2"/>
      <selection pane="bottomRight" activeCell="C38" sqref="C38:K38"/>
    </sheetView>
  </sheetViews>
  <sheetFormatPr defaultRowHeight="15" x14ac:dyDescent="0.25"/>
  <cols>
    <col min="1" max="1" width="20.7109375" style="6" customWidth="1"/>
    <col min="2" max="6" width="13.5703125" style="6" customWidth="1"/>
    <col min="7" max="7" width="14.85546875" style="6" bestFit="1" customWidth="1"/>
    <col min="8" max="11" width="13.5703125" style="6" customWidth="1"/>
    <col min="12" max="12" width="13.28515625" style="6" customWidth="1"/>
    <col min="13" max="14" width="12.140625" style="6" customWidth="1"/>
    <col min="15" max="16384" width="9.140625" style="6"/>
  </cols>
  <sheetData>
    <row r="1" spans="1:15" s="8" customFormat="1" x14ac:dyDescent="0.25">
      <c r="A1" s="8" t="str">
        <f>'Data Sheet Cons'!B1</f>
        <v>GFL LTD</v>
      </c>
      <c r="H1" t="str">
        <f>UPDATE</f>
        <v/>
      </c>
      <c r="J1" s="3"/>
      <c r="K1" s="3"/>
      <c r="M1" s="8" t="s">
        <v>1</v>
      </c>
      <c r="O1" s="6" t="s">
        <v>149</v>
      </c>
    </row>
    <row r="2" spans="1:15" x14ac:dyDescent="0.25">
      <c r="O2" s="6">
        <f>YEARFRAC(B3,K3)</f>
        <v>9</v>
      </c>
    </row>
    <row r="3" spans="1:15" s="2" customFormat="1" x14ac:dyDescent="0.25">
      <c r="A3" s="15" t="s">
        <v>2</v>
      </c>
      <c r="B3" s="16">
        <f>'Data Sheet Cons'!B16</f>
        <v>40999</v>
      </c>
      <c r="C3" s="16">
        <f>'Data Sheet Cons'!C16</f>
        <v>41364</v>
      </c>
      <c r="D3" s="16">
        <f>'Data Sheet Cons'!D16</f>
        <v>41729</v>
      </c>
      <c r="E3" s="16">
        <f>'Data Sheet Cons'!E16</f>
        <v>42094</v>
      </c>
      <c r="F3" s="16">
        <f>'Data Sheet Cons'!F16</f>
        <v>42460</v>
      </c>
      <c r="G3" s="16">
        <f>'Data Sheet Cons'!G16</f>
        <v>42825</v>
      </c>
      <c r="H3" s="16">
        <f>'Data Sheet Cons'!H16</f>
        <v>43190</v>
      </c>
      <c r="I3" s="16">
        <f>'Data Sheet Cons'!I16</f>
        <v>43555</v>
      </c>
      <c r="J3" s="16">
        <f>'Data Sheet Cons'!J16</f>
        <v>43921</v>
      </c>
      <c r="K3" s="16">
        <f>'Data Sheet Cons'!K16</f>
        <v>44286</v>
      </c>
      <c r="L3" s="17" t="s">
        <v>3</v>
      </c>
      <c r="M3" s="17" t="s">
        <v>4</v>
      </c>
      <c r="N3" s="17" t="s">
        <v>5</v>
      </c>
      <c r="O3" s="17" t="s">
        <v>148</v>
      </c>
    </row>
    <row r="4" spans="1:15" s="8" customFormat="1" x14ac:dyDescent="0.25">
      <c r="A4" s="8" t="s">
        <v>6</v>
      </c>
      <c r="B4" s="1">
        <f>'Data Sheet Cons'!B17</f>
        <v>2815.96</v>
      </c>
      <c r="C4" s="1">
        <f>'Data Sheet Cons'!C17</f>
        <v>3146.94</v>
      </c>
      <c r="D4" s="1">
        <f>'Data Sheet Cons'!D17</f>
        <v>3431.3</v>
      </c>
      <c r="E4" s="1">
        <f>'Data Sheet Cons'!E17</f>
        <v>5310.31</v>
      </c>
      <c r="F4" s="1">
        <f>'Data Sheet Cons'!F17</f>
        <v>6971.51</v>
      </c>
      <c r="G4" s="1">
        <f>'Data Sheet Cons'!G17</f>
        <v>6288.4</v>
      </c>
      <c r="H4" s="1">
        <f>'Data Sheet Cons'!H17</f>
        <v>3892.56</v>
      </c>
      <c r="I4" s="1">
        <f>'Data Sheet Cons'!I17</f>
        <v>2968.84</v>
      </c>
      <c r="J4" s="1">
        <f>'Data Sheet Cons'!J17</f>
        <v>2703.64</v>
      </c>
      <c r="K4" s="1">
        <f>'Data Sheet Cons'!K17</f>
        <v>106.98</v>
      </c>
      <c r="L4" s="1">
        <f>SUM('Quarters Cons'!H4:K4)</f>
        <v>205.19</v>
      </c>
      <c r="M4" s="1">
        <f>$K4+M23*K4</f>
        <v>205.19</v>
      </c>
      <c r="N4" s="1">
        <f>$K4+N23*L4</f>
        <v>-36.287955927038311</v>
      </c>
      <c r="O4" s="43" t="str">
        <f>IF(((Annual[[#This Row],[Column11]]/Annual[[#This Row],[Column2]])^(1/$O$2)-1)&gt;0,((Annual[[#This Row],[Column11]]/Annual[[#This Row],[Column2]])^(1/$O$2)-1),"-Ve")</f>
        <v>-Ve</v>
      </c>
    </row>
    <row r="5" spans="1:15" x14ac:dyDescent="0.25">
      <c r="A5" s="6" t="s">
        <v>7</v>
      </c>
      <c r="B5" s="9">
        <f>SUM('Data Sheet Cons'!B18,'Data Sheet Cons'!B20:B24, -1*'Data Sheet Cons'!B19)</f>
        <v>1606.0799999999997</v>
      </c>
      <c r="C5" s="9">
        <f>SUM('Data Sheet Cons'!C18,'Data Sheet Cons'!C20:C24, -1*'Data Sheet Cons'!C19)</f>
        <v>2129.6100000000006</v>
      </c>
      <c r="D5" s="9">
        <f>SUM('Data Sheet Cons'!D18,'Data Sheet Cons'!D20:D24, -1*'Data Sheet Cons'!D19)</f>
        <v>2833.1400000000003</v>
      </c>
      <c r="E5" s="9">
        <f>SUM('Data Sheet Cons'!E18,'Data Sheet Cons'!E20:E24, -1*'Data Sheet Cons'!E19)</f>
        <v>4299.55</v>
      </c>
      <c r="F5" s="9">
        <f>SUM('Data Sheet Cons'!F18,'Data Sheet Cons'!F20:F24, -1*'Data Sheet Cons'!F19)</f>
        <v>5668.3899999999994</v>
      </c>
      <c r="G5" s="9">
        <f>SUM('Data Sheet Cons'!G18,'Data Sheet Cons'!G20:G24, -1*'Data Sheet Cons'!G19)</f>
        <v>5134.4800000000005</v>
      </c>
      <c r="H5" s="9">
        <f>SUM('Data Sheet Cons'!H18,'Data Sheet Cons'!H20:H24, -1*'Data Sheet Cons'!H19)</f>
        <v>3167.5</v>
      </c>
      <c r="I5" s="9">
        <f>SUM('Data Sheet Cons'!I18,'Data Sheet Cons'!I20:I24, -1*'Data Sheet Cons'!I19)</f>
        <v>2507.2400000000002</v>
      </c>
      <c r="J5" s="9">
        <f>SUM('Data Sheet Cons'!J18,'Data Sheet Cons'!J20:J24, -1*'Data Sheet Cons'!J19)</f>
        <v>2226.77</v>
      </c>
      <c r="K5" s="9">
        <f>SUM('Data Sheet Cons'!K18,'Data Sheet Cons'!K20:K24, -1*'Data Sheet Cons'!K19)</f>
        <v>153.53</v>
      </c>
      <c r="L5" s="9">
        <f>SUM('Quarters Cons'!H5:K5)</f>
        <v>181.68</v>
      </c>
      <c r="M5" s="9">
        <f>M4-M6</f>
        <v>171.8712021711371</v>
      </c>
      <c r="N5" s="9">
        <f>N4-N6</f>
        <v>-32.130200462129345</v>
      </c>
      <c r="O5" s="44" t="str">
        <f>IF(((Annual[[#This Row],[Column11]]/Annual[[#This Row],[Column2]])^(1/$O$2)-1)&gt;0,((Annual[[#This Row],[Column11]]/Annual[[#This Row],[Column2]])^(1/$O$2)-1),"-Ve")</f>
        <v>-Ve</v>
      </c>
    </row>
    <row r="6" spans="1:15" s="8" customFormat="1" x14ac:dyDescent="0.25">
      <c r="A6" s="8" t="s">
        <v>8</v>
      </c>
      <c r="B6" s="1">
        <f>B4-B5</f>
        <v>1209.8800000000003</v>
      </c>
      <c r="C6" s="1">
        <f t="shared" ref="C6:K6" si="0">C4-C5</f>
        <v>1017.3299999999995</v>
      </c>
      <c r="D6" s="1">
        <f t="shared" si="0"/>
        <v>598.15999999999985</v>
      </c>
      <c r="E6" s="1">
        <f t="shared" si="0"/>
        <v>1010.7600000000002</v>
      </c>
      <c r="F6" s="1">
        <f t="shared" si="0"/>
        <v>1303.1200000000008</v>
      </c>
      <c r="G6" s="1">
        <f t="shared" si="0"/>
        <v>1153.9199999999992</v>
      </c>
      <c r="H6" s="1">
        <f t="shared" si="0"/>
        <v>725.06</v>
      </c>
      <c r="I6" s="1">
        <f t="shared" si="0"/>
        <v>461.59999999999991</v>
      </c>
      <c r="J6" s="1">
        <f t="shared" si="0"/>
        <v>476.86999999999989</v>
      </c>
      <c r="K6" s="1">
        <f t="shared" si="0"/>
        <v>-46.55</v>
      </c>
      <c r="L6" s="1">
        <f>SUM('Quarters Cons'!H6:K6)</f>
        <v>23.510000000000005</v>
      </c>
      <c r="M6" s="1">
        <f>M4*M24</f>
        <v>33.318797828862905</v>
      </c>
      <c r="N6" s="1">
        <f>N4*N24</f>
        <v>-4.1577554649089663</v>
      </c>
      <c r="O6" s="45" t="str">
        <f>IF(((Annual[[#This Row],[Column11]]/Annual[[#This Row],[Column2]])^(1/$O$2)-1)&gt;0,((Annual[[#This Row],[Column11]]/Annual[[#This Row],[Column2]])^(1/$O$2)-1),"-Ve")</f>
        <v>-Ve</v>
      </c>
    </row>
    <row r="7" spans="1:15" x14ac:dyDescent="0.25">
      <c r="A7" s="6" t="s">
        <v>9</v>
      </c>
      <c r="B7" s="9">
        <f>'Data Sheet Cons'!B25</f>
        <v>46.81</v>
      </c>
      <c r="C7" s="9">
        <f>'Data Sheet Cons'!C25</f>
        <v>31.19</v>
      </c>
      <c r="D7" s="9">
        <f>'Data Sheet Cons'!D25</f>
        <v>45.41</v>
      </c>
      <c r="E7" s="9">
        <f>'Data Sheet Cons'!E25</f>
        <v>318.39999999999998</v>
      </c>
      <c r="F7" s="9">
        <f>'Data Sheet Cons'!F25</f>
        <v>91.39</v>
      </c>
      <c r="G7" s="9">
        <f>'Data Sheet Cons'!G25</f>
        <v>-84.82</v>
      </c>
      <c r="H7" s="9">
        <f>'Data Sheet Cons'!H25</f>
        <v>132.79</v>
      </c>
      <c r="I7" s="9">
        <f>'Data Sheet Cons'!I25</f>
        <v>1282.1300000000001</v>
      </c>
      <c r="J7" s="9">
        <f>'Data Sheet Cons'!J25</f>
        <v>44.55</v>
      </c>
      <c r="K7" s="9">
        <f>'Data Sheet Cons'!K25</f>
        <v>43.96</v>
      </c>
      <c r="L7" s="9">
        <f>SUM('Quarters Cons'!H7:K7)</f>
        <v>48.89</v>
      </c>
      <c r="M7" s="9">
        <v>0</v>
      </c>
      <c r="N7" s="9">
        <v>0</v>
      </c>
      <c r="O7" s="44" t="str">
        <f>IF(((Annual[[#This Row],[Column11]]/Annual[[#This Row],[Column2]])^(1/$O$2)-1)&gt;0,((Annual[[#This Row],[Column11]]/Annual[[#This Row],[Column2]])^(1/$O$2)-1),"-Ve")</f>
        <v>-Ve</v>
      </c>
    </row>
    <row r="8" spans="1:15" x14ac:dyDescent="0.25">
      <c r="A8" s="6" t="s">
        <v>10</v>
      </c>
      <c r="B8" s="9">
        <f>'Data Sheet Cons'!B26</f>
        <v>149.02000000000001</v>
      </c>
      <c r="C8" s="9">
        <f>'Data Sheet Cons'!C26</f>
        <v>170.66</v>
      </c>
      <c r="D8" s="9">
        <f>'Data Sheet Cons'!D26</f>
        <v>200.44</v>
      </c>
      <c r="E8" s="9">
        <f>'Data Sheet Cons'!E26</f>
        <v>284.75</v>
      </c>
      <c r="F8" s="9">
        <f>'Data Sheet Cons'!F26</f>
        <v>324.52999999999997</v>
      </c>
      <c r="G8" s="9">
        <f>'Data Sheet Cons'!G26</f>
        <v>348.7</v>
      </c>
      <c r="H8" s="9">
        <f>'Data Sheet Cons'!H26</f>
        <v>299.22000000000003</v>
      </c>
      <c r="I8" s="9">
        <f>'Data Sheet Cons'!I26</f>
        <v>168.68</v>
      </c>
      <c r="J8" s="9">
        <f>'Data Sheet Cons'!J26</f>
        <v>354.16</v>
      </c>
      <c r="K8" s="9">
        <f>'Data Sheet Cons'!K26</f>
        <v>283.22000000000003</v>
      </c>
      <c r="L8" s="9">
        <f>SUM('Quarters Cons'!H8:K8)</f>
        <v>306.57</v>
      </c>
      <c r="M8" s="9">
        <f>+$L8</f>
        <v>306.57</v>
      </c>
      <c r="N8" s="9">
        <f>+$L8</f>
        <v>306.57</v>
      </c>
      <c r="O8" s="44">
        <f>IF(((Annual[[#This Row],[Column11]]/Annual[[#This Row],[Column2]])^(1/$O$2)-1)&gt;0,((Annual[[#This Row],[Column11]]/Annual[[#This Row],[Column2]])^(1/$O$2)-1),"-Ve")</f>
        <v>7.3956264136659122E-2</v>
      </c>
    </row>
    <row r="9" spans="1:15" x14ac:dyDescent="0.25">
      <c r="A9" s="6" t="s">
        <v>11</v>
      </c>
      <c r="B9" s="9">
        <f>'Data Sheet Cons'!B27</f>
        <v>89.09</v>
      </c>
      <c r="C9" s="9">
        <f>'Data Sheet Cons'!C27</f>
        <v>132.02000000000001</v>
      </c>
      <c r="D9" s="9">
        <f>'Data Sheet Cons'!D27</f>
        <v>178.92</v>
      </c>
      <c r="E9" s="9">
        <f>'Data Sheet Cons'!E27</f>
        <v>218.77</v>
      </c>
      <c r="F9" s="9">
        <f>'Data Sheet Cons'!F27</f>
        <v>217.68</v>
      </c>
      <c r="G9" s="9">
        <f>'Data Sheet Cons'!G27</f>
        <v>278.99</v>
      </c>
      <c r="H9" s="9">
        <f>'Data Sheet Cons'!H27</f>
        <v>279.20999999999998</v>
      </c>
      <c r="I9" s="9">
        <f>'Data Sheet Cons'!I27</f>
        <v>167.48</v>
      </c>
      <c r="J9" s="9">
        <f>'Data Sheet Cons'!J27</f>
        <v>445.22</v>
      </c>
      <c r="K9" s="9">
        <f>'Data Sheet Cons'!K27</f>
        <v>252.55</v>
      </c>
      <c r="L9" s="9">
        <f>SUM('Quarters Cons'!H9:K9)</f>
        <v>311.94</v>
      </c>
      <c r="M9" s="9">
        <f>+$L9</f>
        <v>311.94</v>
      </c>
      <c r="N9" s="9">
        <f>+$L9</f>
        <v>311.94</v>
      </c>
      <c r="O9" s="44">
        <f>IF(((Annual[[#This Row],[Column11]]/Annual[[#This Row],[Column2]])^(1/$O$2)-1)&gt;0,((Annual[[#This Row],[Column11]]/Annual[[#This Row],[Column2]])^(1/$O$2)-1),"-Ve")</f>
        <v>0.12274162398068067</v>
      </c>
    </row>
    <row r="10" spans="1:15" x14ac:dyDescent="0.25">
      <c r="A10" s="6" t="s">
        <v>12</v>
      </c>
      <c r="B10" s="9">
        <f>'Data Sheet Cons'!B28</f>
        <v>1018.58</v>
      </c>
      <c r="C10" s="9">
        <f>'Data Sheet Cons'!C28</f>
        <v>745.84</v>
      </c>
      <c r="D10" s="9">
        <f>'Data Sheet Cons'!D28</f>
        <v>264.20999999999998</v>
      </c>
      <c r="E10" s="9">
        <f>'Data Sheet Cons'!E28</f>
        <v>825.64</v>
      </c>
      <c r="F10" s="9">
        <f>'Data Sheet Cons'!F28</f>
        <v>852.3</v>
      </c>
      <c r="G10" s="9">
        <f>'Data Sheet Cons'!G28</f>
        <v>441.41</v>
      </c>
      <c r="H10" s="9">
        <f>'Data Sheet Cons'!H28</f>
        <v>279.42</v>
      </c>
      <c r="I10" s="9">
        <f>'Data Sheet Cons'!I28</f>
        <v>1407.57</v>
      </c>
      <c r="J10" s="9">
        <f>'Data Sheet Cons'!J28</f>
        <v>-277.95999999999998</v>
      </c>
      <c r="K10" s="9">
        <f>'Data Sheet Cons'!K28</f>
        <v>-538.36</v>
      </c>
      <c r="L10" s="9">
        <f>SUM('Quarters Cons'!H10:K10)</f>
        <v>-546.11</v>
      </c>
      <c r="M10" s="9">
        <f>M6+M7-SUM(M8:M9)</f>
        <v>-585.19120217113709</v>
      </c>
      <c r="N10" s="9">
        <f>N6+N7-SUM(N8:N9)</f>
        <v>-622.66775546490896</v>
      </c>
      <c r="O10" s="44" t="str">
        <f>IF(((Annual[[#This Row],[Column11]]/Annual[[#This Row],[Column2]])^(1/$O$2)-1)&gt;0,((Annual[[#This Row],[Column11]]/Annual[[#This Row],[Column2]])^(1/$O$2)-1),"-Ve")</f>
        <v>-Ve</v>
      </c>
    </row>
    <row r="11" spans="1:15" x14ac:dyDescent="0.25">
      <c r="A11" s="6" t="s">
        <v>13</v>
      </c>
      <c r="B11" s="9">
        <f>'Data Sheet Cons'!B29</f>
        <v>242.81</v>
      </c>
      <c r="C11" s="9">
        <f>'Data Sheet Cons'!C29</f>
        <v>193.67</v>
      </c>
      <c r="D11" s="9">
        <f>'Data Sheet Cons'!D29</f>
        <v>37.64</v>
      </c>
      <c r="E11" s="9">
        <f>'Data Sheet Cons'!E29</f>
        <v>158.52000000000001</v>
      </c>
      <c r="F11" s="9">
        <f>'Data Sheet Cons'!F29</f>
        <v>242.96</v>
      </c>
      <c r="G11" s="9">
        <f>'Data Sheet Cons'!G29</f>
        <v>226.9</v>
      </c>
      <c r="H11" s="9">
        <f>'Data Sheet Cons'!H29</f>
        <v>39.36</v>
      </c>
      <c r="I11" s="9">
        <f>'Data Sheet Cons'!I29</f>
        <v>58.47</v>
      </c>
      <c r="J11" s="9">
        <f>'Data Sheet Cons'!J29</f>
        <v>-41.5</v>
      </c>
      <c r="K11" s="9">
        <f>'Data Sheet Cons'!K29</f>
        <v>-108.38</v>
      </c>
      <c r="L11" s="9">
        <f>SUM('Quarters Cons'!H11:K11)</f>
        <v>-145.60000000000002</v>
      </c>
      <c r="M11" s="10">
        <f>IF($L10&gt;0,$L11/$L10,0)</f>
        <v>0</v>
      </c>
      <c r="N11" s="10">
        <f>IF($L10&gt;0,$L11/$L10,0)</f>
        <v>0</v>
      </c>
      <c r="O11" s="44" t="str">
        <f>IF(((Annual[[#This Row],[Column11]]/Annual[[#This Row],[Column2]])^(1/$O$2)-1)&gt;0,((Annual[[#This Row],[Column11]]/Annual[[#This Row],[Column2]])^(1/$O$2)-1),"-Ve")</f>
        <v>-Ve</v>
      </c>
    </row>
    <row r="12" spans="1:15" s="8" customFormat="1" x14ac:dyDescent="0.25">
      <c r="A12" s="8" t="s">
        <v>14</v>
      </c>
      <c r="B12" s="1">
        <f>'Data Sheet Cons'!B30</f>
        <v>780.05</v>
      </c>
      <c r="C12" s="1">
        <f>'Data Sheet Cons'!C30</f>
        <v>543.36</v>
      </c>
      <c r="D12" s="1">
        <f>'Data Sheet Cons'!D30</f>
        <v>186.1</v>
      </c>
      <c r="E12" s="1">
        <f>'Data Sheet Cons'!E30</f>
        <v>585.27</v>
      </c>
      <c r="F12" s="1">
        <f>'Data Sheet Cons'!F30</f>
        <v>399.32</v>
      </c>
      <c r="G12" s="1">
        <f>'Data Sheet Cons'!G30</f>
        <v>88.12</v>
      </c>
      <c r="H12" s="1">
        <f>'Data Sheet Cons'!H30</f>
        <v>253.51</v>
      </c>
      <c r="I12" s="1">
        <f>'Data Sheet Cons'!I30</f>
        <v>1304.8900000000001</v>
      </c>
      <c r="J12" s="1">
        <f>'Data Sheet Cons'!J30</f>
        <v>-123.38</v>
      </c>
      <c r="K12" s="1">
        <f>'Data Sheet Cons'!K30</f>
        <v>-231.72</v>
      </c>
      <c r="L12" s="1">
        <f>SUM('Quarters Cons'!H12:K12)</f>
        <v>-202.26</v>
      </c>
      <c r="M12" s="1">
        <f>M10-M11*M10</f>
        <v>-585.19120217113709</v>
      </c>
      <c r="N12" s="1">
        <f>N10-N11*N10</f>
        <v>-622.66775546490896</v>
      </c>
      <c r="O12" s="45" t="str">
        <f>IF(((Annual[[#This Row],[Column11]]/Annual[[#This Row],[Column2]])^(1/$O$2)-1)&gt;0,((Annual[[#This Row],[Column11]]/Annual[[#This Row],[Column2]])^(1/$O$2)-1),"-Ve")</f>
        <v>-Ve</v>
      </c>
    </row>
    <row r="13" spans="1:15" x14ac:dyDescent="0.25">
      <c r="A13" s="11" t="s">
        <v>58</v>
      </c>
      <c r="B13" s="9">
        <f>IF('Data Sheet Cons'!B93&gt;0,B12/'Data Sheet Cons'!B93,0)</f>
        <v>70.978161965423112</v>
      </c>
      <c r="C13" s="9">
        <f>IF('Data Sheet Cons'!C93&gt;0,C12/'Data Sheet Cons'!C93,0)</f>
        <v>49.44131028207461</v>
      </c>
      <c r="D13" s="9">
        <f>IF('Data Sheet Cons'!D93&gt;0,D12/'Data Sheet Cons'!D93,0)</f>
        <v>16.933575978161965</v>
      </c>
      <c r="E13" s="9">
        <f>IF('Data Sheet Cons'!E93&gt;0,E12/'Data Sheet Cons'!E93,0)</f>
        <v>53.254777070063689</v>
      </c>
      <c r="F13" s="9">
        <f>IF('Data Sheet Cons'!F93&gt;0,F12/'Data Sheet Cons'!F93,0)</f>
        <v>36.334849863512282</v>
      </c>
      <c r="G13" s="9">
        <f>IF('Data Sheet Cons'!G93&gt;0,G12/'Data Sheet Cons'!G93,0)</f>
        <v>8.0181983621474071</v>
      </c>
      <c r="H13" s="9">
        <f>IF('Data Sheet Cons'!H93&gt;0,H12/'Data Sheet Cons'!H93,0)</f>
        <v>23.067333939945403</v>
      </c>
      <c r="I13" s="9">
        <f>IF('Data Sheet Cons'!I93&gt;0,I12/'Data Sheet Cons'!I93,0)</f>
        <v>118.73430391264787</v>
      </c>
      <c r="J13" s="9">
        <f>IF('Data Sheet Cons'!J93&gt;0,J12/'Data Sheet Cons'!J93,0)</f>
        <v>-11.226569608735213</v>
      </c>
      <c r="K13" s="9">
        <f>IF('Data Sheet Cons'!K93&gt;0,K12/'Data Sheet Cons'!K93,0)</f>
        <v>-21.08462238398544</v>
      </c>
      <c r="L13" s="9">
        <f>IF('Data Sheet Cons'!$B6&gt;0,'Profit &amp; Loss Cons'!L12/'Data Sheet Cons'!$B6,0)</f>
        <v>-18.412262481729361</v>
      </c>
      <c r="M13" s="9">
        <f>IF('Data Sheet Cons'!$B6&gt;0,'Profit &amp; Loss Cons'!M12/'Data Sheet Cons'!$B6,0)</f>
        <v>-53.271502108047706</v>
      </c>
      <c r="N13" s="9">
        <f>IF('Data Sheet Cons'!$B6&gt;0,'Profit &amp; Loss Cons'!N12/'Data Sheet Cons'!$B6,0)</f>
        <v>-56.683091825023119</v>
      </c>
      <c r="O13" s="44" t="str">
        <f>IF(((Annual[[#This Row],[Column11]]/Annual[[#This Row],[Column2]])^(1/$O$2)-1)&gt;0,((Annual[[#This Row],[Column11]]/Annual[[#This Row],[Column2]])^(1/$O$2)-1),"-Ve")</f>
        <v>-Ve</v>
      </c>
    </row>
    <row r="14" spans="1:15" x14ac:dyDescent="0.25">
      <c r="A14" s="6" t="s">
        <v>16</v>
      </c>
      <c r="B14" s="9">
        <f>IF(B15&gt;0,B15/B13,"")</f>
        <v>1.037079546182937</v>
      </c>
      <c r="C14" s="9">
        <f t="shared" ref="C14:K14" si="1">IF(C15&gt;0,C15/C13,"")</f>
        <v>0.87174065076560669</v>
      </c>
      <c r="D14" s="9">
        <f t="shared" si="1"/>
        <v>2.7200397635679745</v>
      </c>
      <c r="E14" s="9">
        <f t="shared" si="1"/>
        <v>1.9079978471474706</v>
      </c>
      <c r="F14" s="9">
        <f t="shared" si="1"/>
        <v>2.0467953020134231</v>
      </c>
      <c r="G14" s="9">
        <f t="shared" si="1"/>
        <v>13.64645710394916</v>
      </c>
      <c r="H14" s="9">
        <f t="shared" si="1"/>
        <v>4.9710989704548147</v>
      </c>
      <c r="I14" s="9">
        <f t="shared" si="1"/>
        <v>1.3395454789292585</v>
      </c>
      <c r="J14" s="9">
        <f t="shared" si="1"/>
        <v>-6.7937048143945535</v>
      </c>
      <c r="K14" s="9">
        <f t="shared" si="1"/>
        <v>-3.4598675125151046</v>
      </c>
      <c r="L14" s="9">
        <f>IF(L13&gt;0,L15/L13,0)</f>
        <v>0</v>
      </c>
      <c r="M14" s="9">
        <f>M25</f>
        <v>1.3395454789292585</v>
      </c>
      <c r="N14" s="9">
        <f>N25</f>
        <v>0</v>
      </c>
      <c r="O14" s="44" t="str">
        <f>IF(((Annual[[#This Row],[Column11]]/Annual[[#This Row],[Column2]])^(1/$O$2)-1)&gt;0,((Annual[[#This Row],[Column11]]/Annual[[#This Row],[Column2]])^(1/$O$2)-1),"-Ve")</f>
        <v>-Ve</v>
      </c>
    </row>
    <row r="15" spans="1:15" s="8" customFormat="1" x14ac:dyDescent="0.25">
      <c r="A15" s="8" t="s">
        <v>59</v>
      </c>
      <c r="B15" s="1">
        <f>'Data Sheet Cons'!B90</f>
        <v>73.61</v>
      </c>
      <c r="C15" s="1">
        <f>'Data Sheet Cons'!C90</f>
        <v>43.1</v>
      </c>
      <c r="D15" s="1">
        <f>'Data Sheet Cons'!D90</f>
        <v>46.06</v>
      </c>
      <c r="E15" s="1">
        <f>'Data Sheet Cons'!E90</f>
        <v>101.61</v>
      </c>
      <c r="F15" s="1">
        <f>'Data Sheet Cons'!F90</f>
        <v>74.37</v>
      </c>
      <c r="G15" s="1">
        <f>'Data Sheet Cons'!G90</f>
        <v>109.42</v>
      </c>
      <c r="H15" s="1">
        <f>'Data Sheet Cons'!H90</f>
        <v>114.67</v>
      </c>
      <c r="I15" s="1">
        <f>'Data Sheet Cons'!I90</f>
        <v>159.05000000000001</v>
      </c>
      <c r="J15" s="1">
        <f>'Data Sheet Cons'!J90</f>
        <v>76.27</v>
      </c>
      <c r="K15" s="1">
        <f>'Data Sheet Cons'!K90</f>
        <v>72.95</v>
      </c>
      <c r="L15" s="1">
        <f>'Data Sheet Cons'!B8</f>
        <v>71</v>
      </c>
      <c r="M15" s="12">
        <f>M13*M14</f>
        <v>-71.359599804605764</v>
      </c>
      <c r="N15" s="13">
        <f>N13*N14</f>
        <v>0</v>
      </c>
      <c r="O15" s="45" t="str">
        <f>IF(((Annual[[#This Row],[Column11]]/Annual[[#This Row],[Column2]])^(1/$O$2)-1)&gt;0,((Annual[[#This Row],[Column11]]/Annual[[#This Row],[Column2]])^(1/$O$2)-1),"-Ve")</f>
        <v>-Ve</v>
      </c>
    </row>
    <row r="17" spans="1:15" s="8" customFormat="1" x14ac:dyDescent="0.25">
      <c r="A17" s="8" t="s">
        <v>15</v>
      </c>
    </row>
    <row r="18" spans="1:15" x14ac:dyDescent="0.25">
      <c r="A18" s="6" t="s">
        <v>17</v>
      </c>
      <c r="B18" s="7">
        <f>IF('Data Sheet Cons'!B30&gt;0, 'Data Sheet Cons'!B31/'Data Sheet Cons'!B30, 0)</f>
        <v>4.9304531760784566E-2</v>
      </c>
      <c r="C18" s="7">
        <f>IF('Data Sheet Cons'!C30&gt;0, 'Data Sheet Cons'!C31/'Data Sheet Cons'!C30, 0)</f>
        <v>7.0781802120141346E-2</v>
      </c>
      <c r="D18" s="7">
        <f>IF('Data Sheet Cons'!D30&gt;0, 'Data Sheet Cons'!D31/'Data Sheet Cons'!D30, 0)</f>
        <v>0.20666308436324557</v>
      </c>
      <c r="E18" s="7">
        <f>IF('Data Sheet Cons'!E30&gt;0, 'Data Sheet Cons'!E31/'Data Sheet Cons'!E30, 0)</f>
        <v>6.5713260546414479E-2</v>
      </c>
      <c r="F18" s="7">
        <f>IF('Data Sheet Cons'!F30&gt;0, 'Data Sheet Cons'!F31/'Data Sheet Cons'!F30, 0)</f>
        <v>9.631373334668937E-2</v>
      </c>
      <c r="G18" s="7">
        <f>IF('Data Sheet Cons'!G30&gt;0, 'Data Sheet Cons'!G31/'Data Sheet Cons'!G30, 0)</f>
        <v>0.43645029505220151</v>
      </c>
      <c r="H18" s="7">
        <f>IF('Data Sheet Cons'!H30&gt;0, 'Data Sheet Cons'!H31/'Data Sheet Cons'!H30, 0)</f>
        <v>0.15170999171630312</v>
      </c>
      <c r="I18" s="7">
        <f>IF('Data Sheet Cons'!I30&gt;0, 'Data Sheet Cons'!I31/'Data Sheet Cons'!I30, 0)</f>
        <v>0</v>
      </c>
      <c r="J18" s="7">
        <f>IF('Data Sheet Cons'!J30&gt;0, 'Data Sheet Cons'!J31/'Data Sheet Cons'!J30, 0)</f>
        <v>0</v>
      </c>
      <c r="K18" s="7">
        <f>IF('Data Sheet Cons'!K30&gt;0, 'Data Sheet Cons'!K31/'Data Sheet Cons'!K30, 0)</f>
        <v>0</v>
      </c>
    </row>
    <row r="19" spans="1:15" x14ac:dyDescent="0.25">
      <c r="A19" s="6" t="s">
        <v>18</v>
      </c>
      <c r="B19" s="7">
        <f>IF(B6&gt;0,B6/B4,0)</f>
        <v>0.42965098936064444</v>
      </c>
      <c r="C19" s="7">
        <f t="shared" ref="C19:K19" si="2">IF(C6&gt;0,C6/C4,0)</f>
        <v>0.32327594425060519</v>
      </c>
      <c r="D19" s="7">
        <f t="shared" si="2"/>
        <v>0.17432460000582864</v>
      </c>
      <c r="E19" s="7">
        <f t="shared" si="2"/>
        <v>0.19033917040624751</v>
      </c>
      <c r="F19" s="7">
        <f t="shared" si="2"/>
        <v>0.18692076752382206</v>
      </c>
      <c r="G19" s="7">
        <f t="shared" si="2"/>
        <v>0.18349977736785181</v>
      </c>
      <c r="H19" s="7">
        <f t="shared" si="2"/>
        <v>0.18626816285426556</v>
      </c>
      <c r="I19" s="7">
        <f t="shared" si="2"/>
        <v>0.15548160224195304</v>
      </c>
      <c r="J19" s="7">
        <f t="shared" si="2"/>
        <v>0.17638073116243283</v>
      </c>
      <c r="K19" s="7">
        <f t="shared" si="2"/>
        <v>0</v>
      </c>
      <c r="L19" s="7">
        <f>IF(L6&gt;0,L6/L4,0)</f>
        <v>0.11457673375895513</v>
      </c>
    </row>
    <row r="20" spans="1:1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5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5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66</v>
      </c>
      <c r="I22" s="16" t="s">
        <v>67</v>
      </c>
      <c r="J22" s="16" t="s">
        <v>68</v>
      </c>
      <c r="K22" s="16" t="s">
        <v>69</v>
      </c>
      <c r="L22" s="17" t="s">
        <v>70</v>
      </c>
      <c r="M22" s="17" t="s">
        <v>20</v>
      </c>
      <c r="N22" s="17" t="s">
        <v>21</v>
      </c>
    </row>
    <row r="23" spans="1:15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-0.30467757734401302</v>
      </c>
      <c r="I23" s="7">
        <f>IF(D4=0,"",POWER($K4/D4,1/7)-1)</f>
        <v>-0.3906948578260947</v>
      </c>
      <c r="J23" s="7">
        <f>IF(F4=0,"",POWER($K4/F4,1/5)-1)</f>
        <v>-0.56629428216892719</v>
      </c>
      <c r="K23" s="7">
        <f>IF(H4=0,"",POWER($K4/H4, 1/3)-1)</f>
        <v>-0.69822094608430385</v>
      </c>
      <c r="L23" s="7">
        <f>IF(ISERROR(MAX(IF(J4=0,"",(K4-J4)/J4),IF(K4=0,"",(L4-K4)/K4))),"",MAX(IF(J4=0,"",(K4-J4)/J4),IF(K4=0,"",(L4-K4)/K4)))</f>
        <v>0.91802206019816779</v>
      </c>
      <c r="M23" s="22">
        <f>MAX(K23:L23)</f>
        <v>0.91802206019816779</v>
      </c>
      <c r="N23" s="22">
        <f>MIN(H23:L23)</f>
        <v>-0.69822094608430385</v>
      </c>
    </row>
    <row r="24" spans="1:15" x14ac:dyDescent="0.25">
      <c r="G24" s="6" t="s">
        <v>18</v>
      </c>
      <c r="H24" s="7">
        <f>IF(SUM(B4:$K$4)=0,"",SUMPRODUCT(B19:$K$19,B4:$K$4)/SUM(B4:$K$4))</f>
        <v>0.2114094744348827</v>
      </c>
      <c r="I24" s="7">
        <f>IF(SUM(E4:$K$4)=0,"",SUMPRODUCT(E19:$K$19,E4:$K$4)/SUM(E4:$K$4))</f>
        <v>0.18168990844918814</v>
      </c>
      <c r="J24" s="7">
        <f>IF(SUM(G4:$K$4)=0,"",SUMPRODUCT(G19:$K$19,G4:$K$4)/SUM(G4:$K$4))</f>
        <v>0.17652730943170664</v>
      </c>
      <c r="K24" s="7">
        <f>IF(SUM(I4:$K$4)=0, "", SUMPRODUCT(I19:$K$19,I4:$K$4)/SUM(I4:$K$4))</f>
        <v>0.16238022237371658</v>
      </c>
      <c r="L24" s="7">
        <f>L19</f>
        <v>0.11457673375895513</v>
      </c>
      <c r="M24" s="22">
        <f>MAX(K24:L24)</f>
        <v>0.16238022237371658</v>
      </c>
      <c r="N24" s="22">
        <f>MIN(H24:L24)</f>
        <v>0.11457673375895513</v>
      </c>
    </row>
    <row r="25" spans="1:15" x14ac:dyDescent="0.25">
      <c r="G25" s="6" t="s">
        <v>23</v>
      </c>
      <c r="H25" s="9">
        <f>IF(ISERROR(AVERAGEIF(B14:$L14,"&gt;0")),"",AVERAGEIF(B14:$L14,"&gt;0"))</f>
        <v>3.5675943328763311</v>
      </c>
      <c r="I25" s="9">
        <f>IF(ISERROR(AVERAGEIF(E14:$L14,"&gt;0")),"",AVERAGEIF(E14:$L14,"&gt;0"))</f>
        <v>4.7823789404988251</v>
      </c>
      <c r="J25" s="9">
        <f>IF(ISERROR(AVERAGEIF(G14:$L14,"&gt;0")),"",AVERAGEIF(G14:$L14,"&gt;0"))</f>
        <v>6.6523671844444117</v>
      </c>
      <c r="K25" s="9">
        <f>IF(ISERROR(AVERAGEIF(I14:$L14,"&gt;0")),"",AVERAGEIF(I14:$L14,"&gt;0"))</f>
        <v>1.3395454789292585</v>
      </c>
      <c r="L25" s="9">
        <f>L14</f>
        <v>0</v>
      </c>
      <c r="M25" s="1">
        <f>MAX(K25:L25)</f>
        <v>1.3395454789292585</v>
      </c>
      <c r="N25" s="1">
        <f>MIN(H25:L25)</f>
        <v>0</v>
      </c>
    </row>
    <row r="28" spans="1:15" x14ac:dyDescent="0.25">
      <c r="A28" s="6" t="s">
        <v>101</v>
      </c>
      <c r="B28" s="37">
        <f>B12/B4</f>
        <v>0.27701032685123367</v>
      </c>
      <c r="C28" s="37">
        <f t="shared" ref="C28:K28" si="3">C12/C4</f>
        <v>0.17266296783542107</v>
      </c>
      <c r="D28" s="37">
        <f t="shared" si="3"/>
        <v>5.4236003846938476E-2</v>
      </c>
      <c r="E28" s="37">
        <f t="shared" si="3"/>
        <v>0.11021390464963438</v>
      </c>
      <c r="F28" s="37">
        <f t="shared" si="3"/>
        <v>5.7278839161099958E-2</v>
      </c>
      <c r="G28" s="37">
        <f t="shared" si="3"/>
        <v>1.4013103492144267E-2</v>
      </c>
      <c r="H28" s="37">
        <f t="shared" si="3"/>
        <v>6.5126806009412827E-2</v>
      </c>
      <c r="I28" s="37">
        <f t="shared" si="3"/>
        <v>0.43952857008124385</v>
      </c>
      <c r="J28" s="37">
        <f t="shared" si="3"/>
        <v>-4.5634773860425207E-2</v>
      </c>
      <c r="K28" s="37">
        <f t="shared" si="3"/>
        <v>-2.1660123387549075</v>
      </c>
      <c r="L28" s="37"/>
    </row>
    <row r="29" spans="1:15" x14ac:dyDescent="0.25">
      <c r="A29" s="6" t="s">
        <v>102</v>
      </c>
      <c r="B29" s="37">
        <f>(B12-B7)/B4</f>
        <v>0.26038722140939502</v>
      </c>
      <c r="C29" s="37">
        <f t="shared" ref="C29:K29" si="4">(C12-C7)/C4</f>
        <v>0.16275175249607554</v>
      </c>
      <c r="D29" s="37">
        <f t="shared" si="4"/>
        <v>4.1001952612712382E-2</v>
      </c>
      <c r="E29" s="37">
        <f t="shared" si="4"/>
        <v>5.0255069854678917E-2</v>
      </c>
      <c r="F29" s="37">
        <f t="shared" si="4"/>
        <v>4.4169770967839105E-2</v>
      </c>
      <c r="G29" s="37">
        <f t="shared" si="4"/>
        <v>2.7501431206666243E-2</v>
      </c>
      <c r="H29" s="37">
        <f t="shared" si="4"/>
        <v>3.1013009433380603E-2</v>
      </c>
      <c r="I29" s="37">
        <f t="shared" si="4"/>
        <v>7.6662939060373712E-3</v>
      </c>
      <c r="J29" s="37">
        <f t="shared" si="4"/>
        <v>-6.2112559364412429E-2</v>
      </c>
      <c r="K29" s="37">
        <f t="shared" si="4"/>
        <v>-2.5769302673396894</v>
      </c>
      <c r="L29" s="37"/>
    </row>
    <row r="30" spans="1:15" x14ac:dyDescent="0.25">
      <c r="A30" s="6" t="s">
        <v>107</v>
      </c>
      <c r="B30" s="34">
        <f>(B12-B7)</f>
        <v>733.24</v>
      </c>
      <c r="C30" s="34">
        <f t="shared" ref="C30:K30" si="5">(C12-C7)</f>
        <v>512.16999999999996</v>
      </c>
      <c r="D30" s="34">
        <f t="shared" si="5"/>
        <v>140.69</v>
      </c>
      <c r="E30" s="34">
        <f t="shared" si="5"/>
        <v>266.87</v>
      </c>
      <c r="F30" s="34">
        <f t="shared" si="5"/>
        <v>307.93</v>
      </c>
      <c r="G30" s="34">
        <f t="shared" si="5"/>
        <v>172.94</v>
      </c>
      <c r="H30" s="34">
        <f t="shared" si="5"/>
        <v>120.72</v>
      </c>
      <c r="I30" s="34">
        <f t="shared" si="5"/>
        <v>22.759999999999991</v>
      </c>
      <c r="J30" s="34">
        <f t="shared" si="5"/>
        <v>-167.93</v>
      </c>
      <c r="K30" s="34">
        <f t="shared" si="5"/>
        <v>-275.68</v>
      </c>
      <c r="L30" s="37"/>
      <c r="O30" s="46" t="str">
        <f>IF(((K30/B30)^(1/$O$2)-1)&gt;0,((K30/B30)^(1/$O$2)-1),"-ve")</f>
        <v>-ve</v>
      </c>
    </row>
    <row r="31" spans="1:15" x14ac:dyDescent="0.25">
      <c r="A31" s="6" t="s">
        <v>104</v>
      </c>
      <c r="B31" s="34">
        <f>(B4-'Data Sheet Cons'!B18+'Data Sheet Cons'!B19)</f>
        <v>2209.6799999999998</v>
      </c>
      <c r="C31" s="34">
        <f>(C4-'Data Sheet Cons'!C18+'Data Sheet Cons'!C19)</f>
        <v>2282.2799999999997</v>
      </c>
      <c r="D31" s="34">
        <f>(D4-'Data Sheet Cons'!D18+'Data Sheet Cons'!D19)</f>
        <v>2057.7600000000002</v>
      </c>
      <c r="E31" s="34">
        <f>(E4-'Data Sheet Cons'!E18+'Data Sheet Cons'!E19)</f>
        <v>3189.6700000000005</v>
      </c>
      <c r="F31" s="34">
        <f>(F4-'Data Sheet Cons'!F18+'Data Sheet Cons'!F19)</f>
        <v>3687.5700000000006</v>
      </c>
      <c r="G31" s="34">
        <f>(G4-'Data Sheet Cons'!G18+'Data Sheet Cons'!G19)</f>
        <v>4060.6799999999994</v>
      </c>
      <c r="H31" s="34">
        <f>(H4-'Data Sheet Cons'!H18+'Data Sheet Cons'!H19)</f>
        <v>3240.5</v>
      </c>
      <c r="I31" s="34">
        <f>(I4-'Data Sheet Cons'!I18+'Data Sheet Cons'!I19)</f>
        <v>2131.09</v>
      </c>
      <c r="J31" s="34">
        <f>(J4-'Data Sheet Cons'!J18+'Data Sheet Cons'!J19)</f>
        <v>2414.75</v>
      </c>
      <c r="K31" s="34">
        <f>(K4-'Data Sheet Cons'!K18+'Data Sheet Cons'!K19)</f>
        <v>99.100000000000009</v>
      </c>
      <c r="L31" s="37"/>
      <c r="O31" s="46" t="str">
        <f>IF(((K31/B31)^(1/$O$2)-1)&gt;0,((K31/B31)^(1/$O$2)-1),"-ve")</f>
        <v>-ve</v>
      </c>
    </row>
    <row r="32" spans="1:15" x14ac:dyDescent="0.25">
      <c r="A32" s="6" t="s">
        <v>103</v>
      </c>
      <c r="B32" s="37">
        <f>(B4-'Data Sheet Cons'!B18)/B4</f>
        <v>0.74802554013551326</v>
      </c>
      <c r="C32" s="37">
        <f>(C4-'Data Sheet Cons'!C18)/C4</f>
        <v>0.70087132261816232</v>
      </c>
      <c r="D32" s="37">
        <f>(D4-'Data Sheet Cons'!D18)/D4</f>
        <v>0.5722758138314924</v>
      </c>
      <c r="E32" s="37">
        <f>(E4-'Data Sheet Cons'!E18)/E4</f>
        <v>0.55699949720449471</v>
      </c>
      <c r="F32" s="37">
        <f>(F4-'Data Sheet Cons'!F18)/F4</f>
        <v>0.54267583349948578</v>
      </c>
      <c r="G32" s="37">
        <f>(G4-'Data Sheet Cons'!G18)/G4</f>
        <v>0.64195184784682902</v>
      </c>
      <c r="H32" s="37">
        <f>(H4-'Data Sheet Cons'!H18)/H4</f>
        <v>0.86523521795425118</v>
      </c>
      <c r="I32" s="37">
        <f>(I4-'Data Sheet Cons'!I18)/I4</f>
        <v>0.70242923161908355</v>
      </c>
      <c r="J32" s="37">
        <f>(J4-'Data Sheet Cons'!J18)/J4</f>
        <v>0.9196638605731533</v>
      </c>
      <c r="K32" s="37">
        <f>(K4-'Data Sheet Cons'!K18)/K4</f>
        <v>0.9263413722191064</v>
      </c>
    </row>
    <row r="33" spans="1:15" x14ac:dyDescent="0.25">
      <c r="A33" s="29" t="s">
        <v>93</v>
      </c>
      <c r="B33" s="34">
        <f>B6+B7</f>
        <v>1256.6900000000003</v>
      </c>
      <c r="C33" s="34">
        <f t="shared" ref="C33:K33" si="6">C6+C7</f>
        <v>1048.5199999999995</v>
      </c>
      <c r="D33" s="34">
        <f t="shared" si="6"/>
        <v>643.56999999999982</v>
      </c>
      <c r="E33" s="34">
        <f t="shared" si="6"/>
        <v>1329.1600000000003</v>
      </c>
      <c r="F33" s="34">
        <f t="shared" si="6"/>
        <v>1394.5100000000009</v>
      </c>
      <c r="G33" s="34">
        <f t="shared" si="6"/>
        <v>1069.0999999999992</v>
      </c>
      <c r="H33" s="34">
        <f t="shared" si="6"/>
        <v>857.84999999999991</v>
      </c>
      <c r="I33" s="34">
        <f t="shared" si="6"/>
        <v>1743.73</v>
      </c>
      <c r="J33" s="34">
        <f t="shared" si="6"/>
        <v>521.41999999999985</v>
      </c>
      <c r="K33" s="34">
        <f t="shared" si="6"/>
        <v>-2.5899999999999963</v>
      </c>
      <c r="O33" s="46" t="str">
        <f>IF(((K33/B33)^(1/$O$2)-1)&gt;0,((K33/B33)^(1/$O$2)-1),"-ve")</f>
        <v>-ve</v>
      </c>
    </row>
    <row r="34" spans="1:15" x14ac:dyDescent="0.25">
      <c r="A34" s="29" t="s">
        <v>108</v>
      </c>
      <c r="B34" s="37">
        <f>B33/B4</f>
        <v>0.44627409480248309</v>
      </c>
      <c r="C34" s="37">
        <f t="shared" ref="C34:K34" si="7">C33/C4</f>
        <v>0.33318715958995071</v>
      </c>
      <c r="D34" s="37">
        <f t="shared" si="7"/>
        <v>0.18755865124005472</v>
      </c>
      <c r="E34" s="37">
        <f t="shared" si="7"/>
        <v>0.25029800520120299</v>
      </c>
      <c r="F34" s="37">
        <f t="shared" si="7"/>
        <v>0.20002983571708294</v>
      </c>
      <c r="G34" s="37">
        <f t="shared" si="7"/>
        <v>0.17001144965332982</v>
      </c>
      <c r="H34" s="37">
        <f t="shared" si="7"/>
        <v>0.22038195943029779</v>
      </c>
      <c r="I34" s="37">
        <f t="shared" si="7"/>
        <v>0.58734387841715952</v>
      </c>
      <c r="J34" s="37">
        <f t="shared" si="7"/>
        <v>0.19285851666642004</v>
      </c>
      <c r="K34" s="37">
        <f t="shared" si="7"/>
        <v>-2.4210132735090636E-2</v>
      </c>
    </row>
    <row r="35" spans="1:15" x14ac:dyDescent="0.25">
      <c r="A35" s="29" t="s">
        <v>112</v>
      </c>
      <c r="B35" s="37">
        <f>'Data Sheet Cons'!B20/'Data Sheet Cons'!B17</f>
        <v>0.11179846304635009</v>
      </c>
      <c r="C35" s="37">
        <f>'Data Sheet Cons'!C20/'Data Sheet Cons'!C17</f>
        <v>0.10801286328941766</v>
      </c>
      <c r="D35" s="37">
        <f>'Data Sheet Cons'!D20/'Data Sheet Cons'!D17</f>
        <v>0.10336898551569375</v>
      </c>
      <c r="E35" s="37">
        <f>'Data Sheet Cons'!E20/'Data Sheet Cons'!E17</f>
        <v>7.8854153523993886E-2</v>
      </c>
      <c r="F35" s="37">
        <f>'Data Sheet Cons'!F20/'Data Sheet Cons'!F17</f>
        <v>6.033986898103854E-2</v>
      </c>
      <c r="G35" s="37">
        <f>'Data Sheet Cons'!G20/'Data Sheet Cons'!G17</f>
        <v>7.0905158704916996E-2</v>
      </c>
      <c r="H35" s="37">
        <f>'Data Sheet Cons'!H20/'Data Sheet Cons'!H17</f>
        <v>0.12986055449370082</v>
      </c>
      <c r="I35" s="37">
        <f>'Data Sheet Cons'!I20/'Data Sheet Cons'!I17</f>
        <v>3.6394686140041224E-2</v>
      </c>
      <c r="J35" s="37">
        <f>'Data Sheet Cons'!J20/'Data Sheet Cons'!J17</f>
        <v>4.4044325427941594E-2</v>
      </c>
      <c r="K35" s="37">
        <f>'Data Sheet Cons'!K20/'Data Sheet Cons'!K17</f>
        <v>0</v>
      </c>
    </row>
    <row r="36" spans="1:15" x14ac:dyDescent="0.25">
      <c r="A36" s="29" t="s">
        <v>113</v>
      </c>
      <c r="B36" s="37">
        <f>'Data Sheet Cons'!B22/'Data Sheet Cons'!B17</f>
        <v>4.9848009204676205E-2</v>
      </c>
      <c r="C36" s="37">
        <f>'Data Sheet Cons'!C22/'Data Sheet Cons'!C17</f>
        <v>4.9219241548933243E-2</v>
      </c>
      <c r="D36" s="37">
        <f>'Data Sheet Cons'!D22/'Data Sheet Cons'!D17</f>
        <v>4.9797452860431905E-2</v>
      </c>
      <c r="E36" s="37">
        <f>'Data Sheet Cons'!E22/'Data Sheet Cons'!E17</f>
        <v>4.2807293736147223E-2</v>
      </c>
      <c r="F36" s="37">
        <f>'Data Sheet Cons'!F22/'Data Sheet Cons'!F17</f>
        <v>4.0279652471272361E-2</v>
      </c>
      <c r="G36" s="37">
        <f>'Data Sheet Cons'!G22/'Data Sheet Cons'!G17</f>
        <v>5.3523948858215126E-2</v>
      </c>
      <c r="H36" s="37">
        <f>'Data Sheet Cons'!H22/'Data Sheet Cons'!H17</f>
        <v>9.0454610847360103E-2</v>
      </c>
      <c r="I36" s="37">
        <f>'Data Sheet Cons'!I22/'Data Sheet Cons'!I17</f>
        <v>7.2327912585386872E-2</v>
      </c>
      <c r="J36" s="37">
        <f>'Data Sheet Cons'!J22/'Data Sheet Cons'!J17</f>
        <v>8.8366054652246603E-2</v>
      </c>
      <c r="K36" s="37">
        <f>'Data Sheet Cons'!K22/'Data Sheet Cons'!K17</f>
        <v>0.83230510375771172</v>
      </c>
    </row>
    <row r="37" spans="1:15" x14ac:dyDescent="0.25">
      <c r="A37" s="29" t="s">
        <v>120</v>
      </c>
      <c r="B37" s="37">
        <f>B11/B10</f>
        <v>0.23838088319032377</v>
      </c>
      <c r="C37" s="37">
        <f t="shared" ref="C37:K37" si="8">C11/C10</f>
        <v>0.25966695269762952</v>
      </c>
      <c r="D37" s="37">
        <f t="shared" si="8"/>
        <v>0.14246243518413385</v>
      </c>
      <c r="E37" s="37">
        <f t="shared" si="8"/>
        <v>0.19199651179690908</v>
      </c>
      <c r="F37" s="37">
        <f t="shared" si="8"/>
        <v>0.28506394462043882</v>
      </c>
      <c r="G37" s="37">
        <f t="shared" si="8"/>
        <v>0.51403457103373285</v>
      </c>
      <c r="H37" s="37">
        <f t="shared" si="8"/>
        <v>0.14086321666308782</v>
      </c>
      <c r="I37" s="37">
        <f t="shared" si="8"/>
        <v>4.153967475862657E-2</v>
      </c>
      <c r="J37" s="37">
        <f t="shared" si="8"/>
        <v>0.14930205785005038</v>
      </c>
      <c r="K37" s="37">
        <f t="shared" si="8"/>
        <v>0.20131510513411099</v>
      </c>
    </row>
    <row r="38" spans="1:15" x14ac:dyDescent="0.25">
      <c r="A38" s="29" t="s">
        <v>151</v>
      </c>
      <c r="B38" s="53">
        <f>'Data Sheet Cons'!B31*10^7/'Data Sheet Cons'!B70</f>
        <v>3.5011379153390987</v>
      </c>
      <c r="C38" s="53">
        <f>'Data Sheet Cons'!C31*10^7/'Data Sheet Cons'!C70</f>
        <v>3.5011379153390987</v>
      </c>
      <c r="D38" s="53">
        <f>'Data Sheet Cons'!D31*10^7/'Data Sheet Cons'!D70</f>
        <v>3.5011379153390987</v>
      </c>
      <c r="E38" s="53">
        <f>'Data Sheet Cons'!E31*10^7/'Data Sheet Cons'!E70</f>
        <v>3.5011379153390987</v>
      </c>
      <c r="F38" s="53">
        <f>'Data Sheet Cons'!F31*10^7/'Data Sheet Cons'!F70</f>
        <v>3.5011379153390987</v>
      </c>
      <c r="G38" s="53">
        <f>'Data Sheet Cons'!G31*10^7/'Data Sheet Cons'!G70</f>
        <v>3.5011379153390987</v>
      </c>
      <c r="H38" s="53">
        <f>'Data Sheet Cons'!H31*10^7/'Data Sheet Cons'!H70</f>
        <v>3.5011379153390987</v>
      </c>
      <c r="I38" s="53">
        <f>'Data Sheet Cons'!I31*10^7/'Data Sheet Cons'!I70</f>
        <v>0</v>
      </c>
      <c r="J38" s="53">
        <f>'Data Sheet Cons'!J31*10^7/'Data Sheet Cons'!J70</f>
        <v>0</v>
      </c>
      <c r="K38" s="53" t="e">
        <f>'Data Sheet Cons'!K31*10^7/'Data Sheet Cons'!K70</f>
        <v>#DIV/0!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64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L23" sqref="L23"/>
    </sheetView>
  </sheetViews>
  <sheetFormatPr defaultRowHeight="15" x14ac:dyDescent="0.25"/>
  <cols>
    <col min="1" max="1" width="22.85546875" style="11" bestFit="1" customWidth="1"/>
    <col min="2" max="2" width="13.5703125" style="11" customWidth="1"/>
    <col min="3" max="11" width="15.5703125" style="11" customWidth="1"/>
    <col min="12" max="16384" width="9.140625" style="11"/>
  </cols>
  <sheetData>
    <row r="1" spans="1:12" s="8" customFormat="1" x14ac:dyDescent="0.25">
      <c r="A1" s="8" t="str">
        <f>'Profit &amp; Loss Cons'!A1</f>
        <v>GFL LTD</v>
      </c>
      <c r="E1" t="str">
        <f>UPDATE</f>
        <v/>
      </c>
      <c r="G1"/>
      <c r="J1" s="4" t="s">
        <v>1</v>
      </c>
      <c r="K1" s="4"/>
      <c r="L1" s="6" t="s">
        <v>149</v>
      </c>
    </row>
    <row r="2" spans="1:12" x14ac:dyDescent="0.25">
      <c r="G2" s="8"/>
      <c r="H2" s="8"/>
      <c r="L2" s="6">
        <f>YEARFRAC(K3,B3)</f>
        <v>9</v>
      </c>
    </row>
    <row r="3" spans="1:12" s="18" customFormat="1" x14ac:dyDescent="0.25">
      <c r="A3" s="15" t="s">
        <v>2</v>
      </c>
      <c r="B3" s="16">
        <f>'Data Sheet Cons'!B56</f>
        <v>40999</v>
      </c>
      <c r="C3" s="16">
        <f>'Data Sheet Cons'!C56</f>
        <v>41364</v>
      </c>
      <c r="D3" s="16">
        <f>'Data Sheet Cons'!D56</f>
        <v>41729</v>
      </c>
      <c r="E3" s="16">
        <f>'Data Sheet Cons'!E56</f>
        <v>42094</v>
      </c>
      <c r="F3" s="16">
        <f>'Data Sheet Cons'!F56</f>
        <v>42460</v>
      </c>
      <c r="G3" s="16">
        <f>'Data Sheet Cons'!G56</f>
        <v>42825</v>
      </c>
      <c r="H3" s="16">
        <f>'Data Sheet Cons'!H56</f>
        <v>43190</v>
      </c>
      <c r="I3" s="16">
        <f>'Data Sheet Cons'!I56</f>
        <v>43555</v>
      </c>
      <c r="J3" s="16">
        <f>'Data Sheet Cons'!J56</f>
        <v>43921</v>
      </c>
      <c r="K3" s="16">
        <f>'Data Sheet Cons'!K56</f>
        <v>44286</v>
      </c>
      <c r="L3" s="17" t="s">
        <v>148</v>
      </c>
    </row>
    <row r="4" spans="1:12" x14ac:dyDescent="0.25">
      <c r="A4" s="6" t="s">
        <v>24</v>
      </c>
      <c r="B4" s="19">
        <f>'Data Sheet Cons'!B57</f>
        <v>10.99</v>
      </c>
      <c r="C4" s="19">
        <f>'Data Sheet Cons'!C57</f>
        <v>10.99</v>
      </c>
      <c r="D4" s="19">
        <f>'Data Sheet Cons'!D57</f>
        <v>10.99</v>
      </c>
      <c r="E4" s="19">
        <f>'Data Sheet Cons'!E57</f>
        <v>10.99</v>
      </c>
      <c r="F4" s="19">
        <f>'Data Sheet Cons'!F57</f>
        <v>10.99</v>
      </c>
      <c r="G4" s="19">
        <f>'Data Sheet Cons'!G57</f>
        <v>10.99</v>
      </c>
      <c r="H4" s="19">
        <f>'Data Sheet Cons'!H57</f>
        <v>10.99</v>
      </c>
      <c r="I4" s="19">
        <f>'Data Sheet Cons'!I57</f>
        <v>10.99</v>
      </c>
      <c r="J4" s="19">
        <f>'Data Sheet Cons'!J57</f>
        <v>10.99</v>
      </c>
      <c r="K4" s="19">
        <f>'Data Sheet Cons'!K57</f>
        <v>10.99</v>
      </c>
      <c r="L4" s="39" t="str">
        <f>IF(((K4/B4)^(1/$L$2)-1)&gt;0, ((K4/B4)^(1/$L$2)-1),"-ve")</f>
        <v>-ve</v>
      </c>
    </row>
    <row r="5" spans="1:12" s="6" customFormat="1" x14ac:dyDescent="0.25">
      <c r="A5" s="6" t="s">
        <v>25</v>
      </c>
      <c r="B5" s="19">
        <f>'Data Sheet Cons'!B58</f>
        <v>2707.1</v>
      </c>
      <c r="C5" s="19">
        <f>'Data Sheet Cons'!C58</f>
        <v>3148.18</v>
      </c>
      <c r="D5" s="19">
        <f>'Data Sheet Cons'!D58</f>
        <v>3285.99</v>
      </c>
      <c r="E5" s="19">
        <f>'Data Sheet Cons'!E58</f>
        <v>4224.2700000000004</v>
      </c>
      <c r="F5" s="19">
        <f>'Data Sheet Cons'!F58</f>
        <v>4442.6000000000004</v>
      </c>
      <c r="G5" s="19">
        <f>'Data Sheet Cons'!G58</f>
        <v>4507.2700000000004</v>
      </c>
      <c r="H5" s="19">
        <f>'Data Sheet Cons'!H58</f>
        <v>4755.8100000000004</v>
      </c>
      <c r="I5" s="19">
        <f>'Data Sheet Cons'!I58</f>
        <v>5965.84</v>
      </c>
      <c r="J5" s="19">
        <f>'Data Sheet Cons'!J58</f>
        <v>2167.75</v>
      </c>
      <c r="K5" s="19">
        <f>'Data Sheet Cons'!K58</f>
        <v>361.6</v>
      </c>
      <c r="L5" s="39" t="str">
        <f>IF(((K5/B5)^(1/$L$2)-1)&gt;0, ((K5/B5)^(1/$L$2)-1),"-ve")</f>
        <v>-ve</v>
      </c>
    </row>
    <row r="6" spans="1:12" x14ac:dyDescent="0.25">
      <c r="A6" s="11" t="s">
        <v>72</v>
      </c>
      <c r="B6" s="19">
        <f>'Data Sheet Cons'!B59</f>
        <v>1551.7</v>
      </c>
      <c r="C6" s="19">
        <f>'Data Sheet Cons'!C59</f>
        <v>2134.39</v>
      </c>
      <c r="D6" s="19">
        <f>'Data Sheet Cons'!D59</f>
        <v>2302.31</v>
      </c>
      <c r="E6" s="19">
        <f>'Data Sheet Cons'!E59</f>
        <v>2565.42</v>
      </c>
      <c r="F6" s="19">
        <f>'Data Sheet Cons'!F59</f>
        <v>2972.77</v>
      </c>
      <c r="G6" s="19">
        <f>'Data Sheet Cons'!G59</f>
        <v>3307.96</v>
      </c>
      <c r="H6" s="19">
        <f>'Data Sheet Cons'!H59</f>
        <v>2019.49</v>
      </c>
      <c r="I6" s="19">
        <f>'Data Sheet Cons'!I59</f>
        <v>1220.1600000000001</v>
      </c>
      <c r="J6" s="19">
        <f>'Data Sheet Cons'!J59</f>
        <v>3764.73</v>
      </c>
      <c r="K6" s="19">
        <f>'Data Sheet Cons'!K59</f>
        <v>2808.36</v>
      </c>
      <c r="L6" s="39">
        <f>IF(((K6/B6)^(1/$L$2)-1)&gt;0, ((K6/B6)^(1/$L$2)-1),"-ve")</f>
        <v>6.8137652012877581E-2</v>
      </c>
    </row>
    <row r="7" spans="1:12" s="6" customFormat="1" x14ac:dyDescent="0.25">
      <c r="A7" s="11" t="s">
        <v>73</v>
      </c>
      <c r="B7" s="19">
        <f>'Data Sheet Cons'!B60</f>
        <v>914.21</v>
      </c>
      <c r="C7" s="19">
        <f>'Data Sheet Cons'!C60</f>
        <v>1098.55</v>
      </c>
      <c r="D7" s="19">
        <f>'Data Sheet Cons'!D60</f>
        <v>1482.38</v>
      </c>
      <c r="E7" s="19">
        <f>'Data Sheet Cons'!E60</f>
        <v>2562.8000000000002</v>
      </c>
      <c r="F7" s="19">
        <f>'Data Sheet Cons'!F60</f>
        <v>3053.08</v>
      </c>
      <c r="G7" s="19">
        <f>'Data Sheet Cons'!G60</f>
        <v>3104.54</v>
      </c>
      <c r="H7" s="19">
        <f>'Data Sheet Cons'!H60</f>
        <v>2966.47</v>
      </c>
      <c r="I7" s="19">
        <f>'Data Sheet Cons'!I60</f>
        <v>4334.03</v>
      </c>
      <c r="J7" s="19">
        <f>'Data Sheet Cons'!J60</f>
        <v>3637.47</v>
      </c>
      <c r="K7" s="19">
        <f>'Data Sheet Cons'!K60</f>
        <v>702.4</v>
      </c>
      <c r="L7" s="39" t="str">
        <f>IF(((K7/B7)^(1/$L$2)-1)&gt;0, ((K7/B7)^(1/$L$2)-1),"-ve")</f>
        <v>-ve</v>
      </c>
    </row>
    <row r="8" spans="1:12" s="8" customFormat="1" x14ac:dyDescent="0.25">
      <c r="A8" s="8" t="s">
        <v>26</v>
      </c>
      <c r="B8" s="20">
        <f>'Data Sheet Cons'!B61</f>
        <v>5184</v>
      </c>
      <c r="C8" s="20">
        <f>'Data Sheet Cons'!C61</f>
        <v>6392.11</v>
      </c>
      <c r="D8" s="20">
        <f>'Data Sheet Cons'!D61</f>
        <v>7081.67</v>
      </c>
      <c r="E8" s="20">
        <f>'Data Sheet Cons'!E61</f>
        <v>9363.48</v>
      </c>
      <c r="F8" s="20">
        <f>'Data Sheet Cons'!F61</f>
        <v>10479.44</v>
      </c>
      <c r="G8" s="20">
        <f>'Data Sheet Cons'!G61</f>
        <v>10930.76</v>
      </c>
      <c r="H8" s="20">
        <f>'Data Sheet Cons'!H61</f>
        <v>9752.76</v>
      </c>
      <c r="I8" s="20">
        <f>'Data Sheet Cons'!I61</f>
        <v>11531.02</v>
      </c>
      <c r="J8" s="20">
        <f>'Data Sheet Cons'!J61</f>
        <v>9580.94</v>
      </c>
      <c r="K8" s="20">
        <f>'Data Sheet Cons'!K61</f>
        <v>3883.35</v>
      </c>
      <c r="L8" s="39" t="str">
        <f>IF(((K8/B8)^(1/$L$2)-1)&gt;0, ((K8/B8)^(1/$L$2)-1),"-ve")</f>
        <v>-ve</v>
      </c>
    </row>
    <row r="9" spans="1:12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2" x14ac:dyDescent="0.25">
      <c r="A10" s="6" t="s">
        <v>27</v>
      </c>
      <c r="B10" s="19">
        <f>'Data Sheet Cons'!B62</f>
        <v>2696.45</v>
      </c>
      <c r="C10" s="19">
        <f>'Data Sheet Cons'!C62</f>
        <v>3607.1</v>
      </c>
      <c r="D10" s="19">
        <f>'Data Sheet Cons'!D62</f>
        <v>3728.58</v>
      </c>
      <c r="E10" s="19">
        <f>'Data Sheet Cons'!E62</f>
        <v>4230.75</v>
      </c>
      <c r="F10" s="19">
        <f>'Data Sheet Cons'!F62</f>
        <v>4600.3500000000004</v>
      </c>
      <c r="G10" s="19">
        <f>'Data Sheet Cons'!G62</f>
        <v>3504.67</v>
      </c>
      <c r="H10" s="19">
        <f>'Data Sheet Cons'!H62</f>
        <v>3813.33</v>
      </c>
      <c r="I10" s="19">
        <f>'Data Sheet Cons'!I62</f>
        <v>2052.34</v>
      </c>
      <c r="J10" s="19">
        <f>'Data Sheet Cons'!J62</f>
        <v>4518.1400000000003</v>
      </c>
      <c r="K10" s="19">
        <f>'Data Sheet Cons'!K62</f>
        <v>3083.47</v>
      </c>
      <c r="L10" s="39">
        <f>IF(((K10/B10)^(1/$L$2)-1)&gt;0, ((K10/B10)^(1/$L$2)-1),"-ve")</f>
        <v>1.5013756803973433E-2</v>
      </c>
    </row>
    <row r="11" spans="1:12" x14ac:dyDescent="0.25">
      <c r="A11" s="6" t="s">
        <v>28</v>
      </c>
      <c r="B11" s="19">
        <f>'Data Sheet Cons'!B63</f>
        <v>740.94</v>
      </c>
      <c r="C11" s="19">
        <f>'Data Sheet Cons'!C63</f>
        <v>522.99</v>
      </c>
      <c r="D11" s="19">
        <f>'Data Sheet Cons'!D63</f>
        <v>762.61</v>
      </c>
      <c r="E11" s="19">
        <f>'Data Sheet Cons'!E63</f>
        <v>403.36</v>
      </c>
      <c r="F11" s="19">
        <f>'Data Sheet Cons'!F63</f>
        <v>238.41</v>
      </c>
      <c r="G11" s="19">
        <f>'Data Sheet Cons'!G63</f>
        <v>410.21</v>
      </c>
      <c r="H11" s="19">
        <f>'Data Sheet Cons'!H63</f>
        <v>724.32</v>
      </c>
      <c r="I11" s="19">
        <f>'Data Sheet Cons'!I63</f>
        <v>522.15</v>
      </c>
      <c r="J11" s="19">
        <f>'Data Sheet Cons'!J63</f>
        <v>150.05000000000001</v>
      </c>
      <c r="K11" s="19">
        <f>'Data Sheet Cons'!K63</f>
        <v>56.95</v>
      </c>
      <c r="L11" s="39" t="str">
        <f>IF(((K11/B11)^(1/$L$2)-1)&gt;0, ((K11/B11)^(1/$L$2)-1),"-ve")</f>
        <v>-ve</v>
      </c>
    </row>
    <row r="12" spans="1:12" x14ac:dyDescent="0.25">
      <c r="A12" s="6" t="s">
        <v>29</v>
      </c>
      <c r="B12" s="19">
        <f>'Data Sheet Cons'!B64</f>
        <v>184.31</v>
      </c>
      <c r="C12" s="19">
        <f>'Data Sheet Cons'!C64</f>
        <v>347.98</v>
      </c>
      <c r="D12" s="19">
        <f>'Data Sheet Cons'!D64</f>
        <v>369.47</v>
      </c>
      <c r="E12" s="19">
        <f>'Data Sheet Cons'!E64</f>
        <v>159.19999999999999</v>
      </c>
      <c r="F12" s="19">
        <f>'Data Sheet Cons'!F64</f>
        <v>404.18</v>
      </c>
      <c r="G12" s="19">
        <f>'Data Sheet Cons'!G64</f>
        <v>678.09</v>
      </c>
      <c r="H12" s="19">
        <f>'Data Sheet Cons'!H64</f>
        <v>524.04</v>
      </c>
      <c r="I12" s="19">
        <f>'Data Sheet Cons'!I64</f>
        <v>148.83000000000001</v>
      </c>
      <c r="J12" s="19">
        <f>'Data Sheet Cons'!J64</f>
        <v>122.14</v>
      </c>
      <c r="K12" s="19">
        <f>'Data Sheet Cons'!K64</f>
        <v>22.13</v>
      </c>
      <c r="L12" s="39" t="str">
        <f>IF(((K12/B12)^(1/$L$2)-1)&gt;0, ((K12/B12)^(1/$L$2)-1),"-ve")</f>
        <v>-ve</v>
      </c>
    </row>
    <row r="13" spans="1:12" x14ac:dyDescent="0.25">
      <c r="A13" s="11" t="s">
        <v>74</v>
      </c>
      <c r="B13" s="19">
        <f>'Data Sheet Cons'!B65</f>
        <v>1562.3</v>
      </c>
      <c r="C13" s="19">
        <f>'Data Sheet Cons'!C65</f>
        <v>1914.04</v>
      </c>
      <c r="D13" s="19">
        <f>'Data Sheet Cons'!D65</f>
        <v>2221.0100000000002</v>
      </c>
      <c r="E13" s="19">
        <f>'Data Sheet Cons'!E65</f>
        <v>4570.17</v>
      </c>
      <c r="F13" s="19">
        <f>'Data Sheet Cons'!F65</f>
        <v>5236.5</v>
      </c>
      <c r="G13" s="19">
        <f>'Data Sheet Cons'!G65</f>
        <v>6337.79</v>
      </c>
      <c r="H13" s="19">
        <f>'Data Sheet Cons'!H65</f>
        <v>4691.07</v>
      </c>
      <c r="I13" s="19">
        <f>'Data Sheet Cons'!I65</f>
        <v>8807.7000000000007</v>
      </c>
      <c r="J13" s="19">
        <f>'Data Sheet Cons'!J65</f>
        <v>4790.6099999999997</v>
      </c>
      <c r="K13" s="19">
        <f>'Data Sheet Cons'!K65</f>
        <v>720.8</v>
      </c>
      <c r="L13" s="39" t="str">
        <f>IF(((K13/B13)^(1/$L$2)-1)&gt;0, ((K13/B13)^(1/$L$2)-1),"-ve")</f>
        <v>-ve</v>
      </c>
    </row>
    <row r="14" spans="1:12" s="8" customFormat="1" x14ac:dyDescent="0.25">
      <c r="A14" s="8" t="s">
        <v>26</v>
      </c>
      <c r="B14" s="19">
        <f>'Data Sheet Cons'!B66</f>
        <v>5184</v>
      </c>
      <c r="C14" s="19">
        <f>'Data Sheet Cons'!C66</f>
        <v>6392.11</v>
      </c>
      <c r="D14" s="19">
        <f>'Data Sheet Cons'!D66</f>
        <v>7081.67</v>
      </c>
      <c r="E14" s="19">
        <f>'Data Sheet Cons'!E66</f>
        <v>9363.48</v>
      </c>
      <c r="F14" s="19">
        <f>'Data Sheet Cons'!F66</f>
        <v>10479.44</v>
      </c>
      <c r="G14" s="19">
        <f>'Data Sheet Cons'!G66</f>
        <v>10930.76</v>
      </c>
      <c r="H14" s="19">
        <f>'Data Sheet Cons'!H66</f>
        <v>9752.76</v>
      </c>
      <c r="I14" s="19">
        <f>'Data Sheet Cons'!I66</f>
        <v>11531.02</v>
      </c>
      <c r="J14" s="19">
        <f>'Data Sheet Cons'!J66</f>
        <v>9580.94</v>
      </c>
      <c r="K14" s="19">
        <f>'Data Sheet Cons'!K66</f>
        <v>3883.35</v>
      </c>
      <c r="L14" s="39" t="str">
        <f>IF(((K14/B14)^(1/$L$2)-1)&gt;0, ((K14/B14)^(1/$L$2)-1),"-ve")</f>
        <v>-ve</v>
      </c>
    </row>
    <row r="15" spans="1:12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2" x14ac:dyDescent="0.25">
      <c r="A16" s="29" t="s">
        <v>30</v>
      </c>
      <c r="B16" s="21">
        <f>B13-B7</f>
        <v>648.08999999999992</v>
      </c>
      <c r="C16" s="21">
        <f t="shared" ref="C16:K16" si="0">C13-C7</f>
        <v>815.49</v>
      </c>
      <c r="D16" s="21">
        <f t="shared" si="0"/>
        <v>738.63000000000011</v>
      </c>
      <c r="E16" s="21">
        <f t="shared" si="0"/>
        <v>2007.37</v>
      </c>
      <c r="F16" s="21">
        <f t="shared" si="0"/>
        <v>2183.42</v>
      </c>
      <c r="G16" s="21">
        <f t="shared" si="0"/>
        <v>3233.25</v>
      </c>
      <c r="H16" s="21">
        <f t="shared" si="0"/>
        <v>1724.6</v>
      </c>
      <c r="I16" s="21">
        <f t="shared" si="0"/>
        <v>4473.670000000001</v>
      </c>
      <c r="J16" s="21">
        <f t="shared" si="0"/>
        <v>1153.1399999999999</v>
      </c>
      <c r="K16" s="21">
        <f t="shared" si="0"/>
        <v>18.399999999999977</v>
      </c>
      <c r="L16" s="39" t="str">
        <f>IF(((K16/B16)^(1/$L$2)-1)&gt;0, ((K16/B16)^(1/$L$2)-1),"-ve")</f>
        <v>-ve</v>
      </c>
    </row>
    <row r="17" spans="1:12" x14ac:dyDescent="0.25">
      <c r="A17" s="11" t="s">
        <v>44</v>
      </c>
      <c r="B17" s="21">
        <f>'Data Sheet Cons'!B67</f>
        <v>290.29000000000002</v>
      </c>
      <c r="C17" s="21">
        <f>'Data Sheet Cons'!C67</f>
        <v>888.69</v>
      </c>
      <c r="D17" s="21">
        <f>'Data Sheet Cons'!D67</f>
        <v>949.68</v>
      </c>
      <c r="E17" s="21">
        <f>'Data Sheet Cons'!E67</f>
        <v>1863.52</v>
      </c>
      <c r="F17" s="21">
        <f>'Data Sheet Cons'!F67</f>
        <v>2878.65</v>
      </c>
      <c r="G17" s="21">
        <f>'Data Sheet Cons'!G67</f>
        <v>2774.69</v>
      </c>
      <c r="H17" s="21">
        <f>'Data Sheet Cons'!H67</f>
        <v>1943.69</v>
      </c>
      <c r="I17" s="21">
        <f>'Data Sheet Cons'!I67</f>
        <v>1549</v>
      </c>
      <c r="J17" s="21">
        <f>'Data Sheet Cons'!J67</f>
        <v>1381.64</v>
      </c>
      <c r="K17" s="21">
        <f>'Data Sheet Cons'!K67</f>
        <v>17.78</v>
      </c>
      <c r="L17" s="39" t="str">
        <f>IF(((K17/B17)^(1/$L$2)-1)&gt;0, ((K17/B17)^(1/$L$2)-1),"-ve")</f>
        <v>-ve</v>
      </c>
    </row>
    <row r="18" spans="1:12" x14ac:dyDescent="0.25">
      <c r="A18" s="11" t="s">
        <v>45</v>
      </c>
      <c r="B18" s="21">
        <f>'Data Sheet Cons'!B68</f>
        <v>533.1</v>
      </c>
      <c r="C18" s="21">
        <f>'Data Sheet Cons'!C68</f>
        <v>514.13</v>
      </c>
      <c r="D18" s="21">
        <f>'Data Sheet Cons'!D68</f>
        <v>629.48</v>
      </c>
      <c r="E18" s="21">
        <f>'Data Sheet Cons'!E68</f>
        <v>870.4</v>
      </c>
      <c r="F18" s="21">
        <f>'Data Sheet Cons'!F68</f>
        <v>936.49</v>
      </c>
      <c r="G18" s="21">
        <f>'Data Sheet Cons'!G68</f>
        <v>1058.53</v>
      </c>
      <c r="H18" s="21">
        <f>'Data Sheet Cons'!H68</f>
        <v>1313.94</v>
      </c>
      <c r="I18" s="21">
        <f>'Data Sheet Cons'!I68</f>
        <v>955.94</v>
      </c>
      <c r="J18" s="21">
        <f>'Data Sheet Cons'!J68</f>
        <v>1207.47</v>
      </c>
      <c r="K18" s="21">
        <f>'Data Sheet Cons'!K68</f>
        <v>10.34</v>
      </c>
      <c r="L18" s="39" t="str">
        <f>IF(((K18/B18)^(1/$L$2)-1)&gt;0, ((K18/B18)^(1/$L$2)-1),"-ve")</f>
        <v>-ve</v>
      </c>
    </row>
    <row r="20" spans="1:12" x14ac:dyDescent="0.25">
      <c r="A20" s="11" t="s">
        <v>46</v>
      </c>
      <c r="B20" s="5">
        <f>IF('Profit &amp; Loss Cons'!B4&gt;0,'Balance Sheet Cons'!B17/('Profit &amp; Loss Cons'!B4/365),0)</f>
        <v>37.626901660534955</v>
      </c>
      <c r="C20" s="5">
        <f>IF('Profit &amp; Loss Cons'!C4&gt;0,'Balance Sheet Cons'!C17/('Profit &amp; Loss Cons'!C4/365),0)</f>
        <v>103.07532078781293</v>
      </c>
      <c r="D20" s="5">
        <f>IF('Profit &amp; Loss Cons'!D4&gt;0,'Balance Sheet Cons'!D17/('Profit &amp; Loss Cons'!D4/365),0)</f>
        <v>101.02095415731647</v>
      </c>
      <c r="E20" s="5">
        <f>IF('Profit &amp; Loss Cons'!E4&gt;0,'Balance Sheet Cons'!E17/('Profit &amp; Loss Cons'!E4/365),0)</f>
        <v>128.08758810690901</v>
      </c>
      <c r="F20" s="5">
        <f>IF('Profit &amp; Loss Cons'!F4&gt;0,'Balance Sheet Cons'!F17/('Profit &amp; Loss Cons'!F4/365),0)</f>
        <v>150.71444349932798</v>
      </c>
      <c r="G20" s="5">
        <f>IF('Profit &amp; Loss Cons'!G4&gt;0,'Balance Sheet Cons'!G17/('Profit &amp; Loss Cons'!G4/365),0)</f>
        <v>161.05239011513265</v>
      </c>
      <c r="H20" s="5">
        <f>IF('Profit &amp; Loss Cons'!H4&gt;0,'Balance Sheet Cons'!H17/('Profit &amp; Loss Cons'!H4/365),0)</f>
        <v>182.25713926053805</v>
      </c>
      <c r="I20" s="5">
        <f>IF('Profit &amp; Loss Cons'!I4&gt;0,'Balance Sheet Cons'!I17/('Profit &amp; Loss Cons'!I4/365),0)</f>
        <v>190.43970035434717</v>
      </c>
      <c r="J20" s="5">
        <f>IF('Profit &amp; Loss Cons'!J4&gt;0,'Balance Sheet Cons'!J17/('Profit &amp; Loss Cons'!J4/365),0)</f>
        <v>186.52579485434455</v>
      </c>
      <c r="K20" s="5">
        <f>IF('Profit &amp; Loss Cons'!K4&gt;0,'Balance Sheet Cons'!K17/('Profit &amp; Loss Cons'!K4/365),0)</f>
        <v>60.662740699196114</v>
      </c>
    </row>
    <row r="21" spans="1:12" x14ac:dyDescent="0.25">
      <c r="A21" s="11" t="s">
        <v>147</v>
      </c>
      <c r="B21" s="5">
        <f>ROUND(365/B22,0)</f>
        <v>69</v>
      </c>
      <c r="C21" s="5">
        <f t="shared" ref="C21:K21" si="1">ROUND(365/C22,0)</f>
        <v>60</v>
      </c>
      <c r="D21" s="5">
        <f t="shared" si="1"/>
        <v>67</v>
      </c>
      <c r="E21" s="5">
        <f t="shared" si="1"/>
        <v>60</v>
      </c>
      <c r="F21" s="5">
        <f t="shared" si="1"/>
        <v>49</v>
      </c>
      <c r="G21" s="5">
        <f t="shared" si="1"/>
        <v>61</v>
      </c>
      <c r="H21" s="5">
        <f t="shared" si="1"/>
        <v>123</v>
      </c>
      <c r="I21" s="5">
        <f t="shared" si="1"/>
        <v>118</v>
      </c>
      <c r="J21" s="5">
        <f t="shared" si="1"/>
        <v>163</v>
      </c>
      <c r="K21" s="5">
        <f t="shared" si="1"/>
        <v>35</v>
      </c>
    </row>
    <row r="22" spans="1:12" x14ac:dyDescent="0.25">
      <c r="A22" s="11" t="s">
        <v>47</v>
      </c>
      <c r="B22" s="5">
        <f>IF('Balance Sheet Cons'!B18&gt;0,'Profit &amp; Loss Cons'!B4/'Balance Sheet Cons'!B18,0)</f>
        <v>5.2822359782404797</v>
      </c>
      <c r="C22" s="5">
        <f>IF('Balance Sheet Cons'!C18&gt;0,'Profit &amp; Loss Cons'!C4/'Balance Sheet Cons'!C18,0)</f>
        <v>6.1209032734911402</v>
      </c>
      <c r="D22" s="5">
        <f>IF('Balance Sheet Cons'!D18&gt;0,'Profit &amp; Loss Cons'!D4/'Balance Sheet Cons'!D18,0)</f>
        <v>5.4510071805299614</v>
      </c>
      <c r="E22" s="5">
        <f>IF('Balance Sheet Cons'!E18&gt;0,'Profit &amp; Loss Cons'!E4/'Balance Sheet Cons'!E18,0)</f>
        <v>6.100999540441177</v>
      </c>
      <c r="F22" s="5">
        <f>IF('Balance Sheet Cons'!F18&gt;0,'Profit &amp; Loss Cons'!F4/'Balance Sheet Cons'!F18,0)</f>
        <v>7.444297322982627</v>
      </c>
      <c r="G22" s="5">
        <f>IF('Balance Sheet Cons'!G18&gt;0,'Profit &amp; Loss Cons'!G4/'Balance Sheet Cons'!G18,0)</f>
        <v>5.9406913360981735</v>
      </c>
      <c r="H22" s="5">
        <f>IF('Balance Sheet Cons'!H18&gt;0,'Profit &amp; Loss Cons'!H4/'Balance Sheet Cons'!H18,0)</f>
        <v>2.9625097036394354</v>
      </c>
      <c r="I22" s="5">
        <f>IF('Balance Sheet Cons'!I18&gt;0,'Profit &amp; Loss Cons'!I4/'Balance Sheet Cons'!I18,0)</f>
        <v>3.1056760884574346</v>
      </c>
      <c r="J22" s="5">
        <f>IF('Balance Sheet Cons'!J18&gt;0,'Profit &amp; Loss Cons'!J4/'Balance Sheet Cons'!J18,0)</f>
        <v>2.2390949671627451</v>
      </c>
      <c r="K22" s="5">
        <f>IF('Balance Sheet Cons'!K18&gt;0,'Profit &amp; Loss Cons'!K4/'Balance Sheet Cons'!K18,0)</f>
        <v>10.346228239845262</v>
      </c>
    </row>
    <row r="24" spans="1:12" s="8" customFormat="1" x14ac:dyDescent="0.25">
      <c r="A24" s="8" t="s">
        <v>60</v>
      </c>
      <c r="B24" s="14">
        <f>IF(SUM('Balance Sheet Cons'!B4:B5)&gt;0,'Profit &amp; Loss Cons'!B12/SUM('Balance Sheet Cons'!B4:B5),"")</f>
        <v>0.28698461051694391</v>
      </c>
      <c r="C24" s="14">
        <f>IF(SUM('Balance Sheet Cons'!C4:C5)&gt;0,'Profit &amp; Loss Cons'!C12/SUM('Balance Sheet Cons'!C4:C5),"")</f>
        <v>0.1719945428704375</v>
      </c>
      <c r="D24" s="14">
        <f>IF(SUM('Balance Sheet Cons'!D4:D5)&gt;0,'Profit &amp; Loss Cons'!D12/SUM('Balance Sheet Cons'!D4:D5),"")</f>
        <v>5.6445595666337077E-2</v>
      </c>
      <c r="E24" s="14">
        <f>IF(SUM('Balance Sheet Cons'!E4:E5)&gt;0,'Profit &amp; Loss Cons'!E12/SUM('Balance Sheet Cons'!E4:E5),"")</f>
        <v>0.13818986319612017</v>
      </c>
      <c r="F24" s="14">
        <f>IF(SUM('Balance Sheet Cons'!F4:F5)&gt;0,'Profit &amp; Loss Cons'!F12/SUM('Balance Sheet Cons'!F4:F5),"")</f>
        <v>8.9662496996804814E-2</v>
      </c>
      <c r="G24" s="14">
        <f>IF(SUM('Balance Sheet Cons'!G4:G5)&gt;0,'Profit &amp; Loss Cons'!G12/SUM('Balance Sheet Cons'!G4:G5),"")</f>
        <v>1.9503083045243081E-2</v>
      </c>
      <c r="H24" s="14">
        <f>IF(SUM('Balance Sheet Cons'!H4:H5)&gt;0,'Profit &amp; Loss Cons'!H12/SUM('Balance Sheet Cons'!H4:H5),"")</f>
        <v>5.3182428463539475E-2</v>
      </c>
      <c r="I24" s="14">
        <f>IF(SUM('Balance Sheet Cons'!I4:I5)&gt;0,'Profit &amp; Loss Cons'!I12/SUM('Balance Sheet Cons'!I4:I5),"")</f>
        <v>0.21832476413081853</v>
      </c>
      <c r="J24" s="14">
        <f>IF(SUM('Balance Sheet Cons'!J4:J5)&gt;0,'Profit &amp; Loss Cons'!J12/SUM('Balance Sheet Cons'!J4:J5),"")</f>
        <v>-5.6629060833325688E-2</v>
      </c>
      <c r="K24" s="14">
        <f>IF(SUM('Balance Sheet Cons'!K4:K5)&gt;0,'Profit &amp; Loss Cons'!K12/SUM('Balance Sheet Cons'!K4:K5),"")</f>
        <v>-0.62191685230414118</v>
      </c>
      <c r="L24" s="47">
        <f>AVERAGE(B24:K24)</f>
        <v>3.5574147174877779E-2</v>
      </c>
    </row>
    <row r="25" spans="1:12" s="8" customFormat="1" x14ac:dyDescent="0.25">
      <c r="A25" s="8" t="s">
        <v>61</v>
      </c>
      <c r="B25" s="14">
        <f>B39/B38</f>
        <v>0.33118754746542128</v>
      </c>
      <c r="C25" s="14">
        <f t="shared" ref="C25:K25" si="2">C39/C38</f>
        <v>0.19849454731277374</v>
      </c>
      <c r="D25" s="14">
        <f t="shared" si="2"/>
        <v>9.9196142558778302E-2</v>
      </c>
      <c r="E25" s="14">
        <f t="shared" si="2"/>
        <v>0.16742383923361528</v>
      </c>
      <c r="F25" s="14">
        <f t="shared" si="2"/>
        <v>0.15772645593821724</v>
      </c>
      <c r="G25" s="14">
        <f t="shared" si="2"/>
        <v>0.10691726823708209</v>
      </c>
      <c r="H25" s="14">
        <f t="shared" si="2"/>
        <v>0.10087343104734078</v>
      </c>
      <c r="I25" s="14">
        <f t="shared" si="2"/>
        <v>0.24134961484888925</v>
      </c>
      <c r="J25" s="14">
        <f t="shared" si="2"/>
        <v>2.94924602558858E-2</v>
      </c>
      <c r="K25" s="14">
        <f t="shared" si="2"/>
        <v>0</v>
      </c>
      <c r="L25" s="47">
        <f>AVERAGE(B25:K25)</f>
        <v>0.14326613068980035</v>
      </c>
    </row>
    <row r="26" spans="1:12" s="18" customFormat="1" x14ac:dyDescent="0.25">
      <c r="A26" s="18" t="s">
        <v>97</v>
      </c>
      <c r="B26" s="35">
        <f>'Profit &amp; Loss Cons'!B4/('Balance Sheet Cons'!B10)</f>
        <v>1.0443212371822213</v>
      </c>
      <c r="C26" s="35">
        <f>'Profit &amp; Loss Cons'!C4/('Balance Sheet Cons'!C10)</f>
        <v>0.87242937539851961</v>
      </c>
      <c r="D26" s="35">
        <f>'Profit &amp; Loss Cons'!D4/('Balance Sheet Cons'!D10)</f>
        <v>0.9202699150883179</v>
      </c>
      <c r="E26" s="35">
        <f>'Profit &amp; Loss Cons'!E4/('Balance Sheet Cons'!E10)</f>
        <v>1.2551698871358508</v>
      </c>
      <c r="F26" s="35">
        <f>'Profit &amp; Loss Cons'!F4/('Balance Sheet Cons'!F10)</f>
        <v>1.5154303476909365</v>
      </c>
      <c r="G26" s="35">
        <f>'Profit &amp; Loss Cons'!G4/('Balance Sheet Cons'!G10)</f>
        <v>1.794291616614403</v>
      </c>
      <c r="H26" s="35">
        <f>'Profit &amp; Loss Cons'!H4/('Balance Sheet Cons'!H10)</f>
        <v>1.0207771160639127</v>
      </c>
      <c r="I26" s="35">
        <f>'Profit &amp; Loss Cons'!I4/('Balance Sheet Cons'!I10)</f>
        <v>1.446563434908446</v>
      </c>
      <c r="J26" s="35">
        <f>'Profit &amp; Loss Cons'!J4/('Balance Sheet Cons'!J10)</f>
        <v>0.59839668536167534</v>
      </c>
      <c r="K26" s="35">
        <f>'Profit &amp; Loss Cons'!K4/('Balance Sheet Cons'!K10)</f>
        <v>3.4694678398038574E-2</v>
      </c>
      <c r="L26" s="48">
        <f>AVERAGE(B26:K26)</f>
        <v>1.0502344293842323</v>
      </c>
    </row>
    <row r="27" spans="1:12" x14ac:dyDescent="0.25">
      <c r="A27" s="18" t="s">
        <v>98</v>
      </c>
      <c r="B27" s="36">
        <f>('Profit &amp; Loss Cons'!B10+'Profit &amp; Loss Cons'!B9+'Profit &amp; Loss Cons'!B8)/'Profit &amp; Loss Cons'!B9</f>
        <v>14.105848018857335</v>
      </c>
      <c r="C27" s="36">
        <f>('Profit &amp; Loss Cons'!C10+'Profit &amp; Loss Cons'!C9+'Profit &amp; Loss Cons'!C8)/'Profit &amp; Loss Cons'!C9</f>
        <v>7.9421299803060137</v>
      </c>
      <c r="D27" s="36">
        <f>('Profit &amp; Loss Cons'!D10+'Profit &amp; Loss Cons'!D9+'Profit &amp; Loss Cons'!D8)/'Profit &amp; Loss Cons'!D9</f>
        <v>3.5969707131678961</v>
      </c>
      <c r="E27" s="36">
        <f>('Profit &amp; Loss Cons'!E10+'Profit &amp; Loss Cons'!E9+'Profit &amp; Loss Cons'!E8)/'Profit &amp; Loss Cons'!E9</f>
        <v>6.0756045161585224</v>
      </c>
      <c r="F27" s="36">
        <f>('Profit &amp; Loss Cons'!F10+'Profit &amp; Loss Cons'!F9+'Profit &amp; Loss Cons'!F8)/'Profit &amp; Loss Cons'!F9</f>
        <v>6.4062385152517454</v>
      </c>
      <c r="G27" s="36">
        <f>('Profit &amp; Loss Cons'!G10+'Profit &amp; Loss Cons'!G9+'Profit &amp; Loss Cons'!G8)/'Profit &amp; Loss Cons'!G9</f>
        <v>3.8320369905731391</v>
      </c>
      <c r="H27" s="36">
        <f>('Profit &amp; Loss Cons'!H10+'Profit &amp; Loss Cons'!H9+'Profit &amp; Loss Cons'!H8)/'Profit &amp; Loss Cons'!H9</f>
        <v>3.0724186096486519</v>
      </c>
      <c r="I27" s="36">
        <f>('Profit &amp; Loss Cons'!I10+'Profit &amp; Loss Cons'!I9+'Profit &amp; Loss Cons'!I8)/'Profit &amp; Loss Cons'!I9</f>
        <v>10.411571530929066</v>
      </c>
      <c r="J27" s="36">
        <f>('Profit &amp; Loss Cons'!J10+'Profit &amp; Loss Cons'!J9+'Profit &amp; Loss Cons'!J8)/'Profit &amp; Loss Cons'!J9</f>
        <v>1.171151340910112</v>
      </c>
      <c r="K27" s="36">
        <f>('Profit &amp; Loss Cons'!K10+'Profit &amp; Loss Cons'!K9+'Profit &amp; Loss Cons'!K8)/'Profit &amp; Loss Cons'!K9</f>
        <v>-1.0255394971292714E-2</v>
      </c>
    </row>
    <row r="28" spans="1:12" x14ac:dyDescent="0.25">
      <c r="A28" s="18" t="s">
        <v>99</v>
      </c>
      <c r="B28" s="36">
        <f t="shared" ref="B28:K28" si="3">B4+B5</f>
        <v>2718.0899999999997</v>
      </c>
      <c r="C28" s="36">
        <f t="shared" si="3"/>
        <v>3159.1699999999996</v>
      </c>
      <c r="D28" s="36">
        <f t="shared" si="3"/>
        <v>3296.9799999999996</v>
      </c>
      <c r="E28" s="36">
        <f t="shared" si="3"/>
        <v>4235.26</v>
      </c>
      <c r="F28" s="36">
        <f t="shared" si="3"/>
        <v>4453.59</v>
      </c>
      <c r="G28" s="36">
        <f t="shared" si="3"/>
        <v>4518.26</v>
      </c>
      <c r="H28" s="36">
        <f t="shared" si="3"/>
        <v>4766.8</v>
      </c>
      <c r="I28" s="36">
        <f t="shared" si="3"/>
        <v>5976.83</v>
      </c>
      <c r="J28" s="36">
        <f t="shared" si="3"/>
        <v>2178.7399999999998</v>
      </c>
      <c r="K28" s="36">
        <f t="shared" si="3"/>
        <v>372.59000000000003</v>
      </c>
      <c r="L28" s="39" t="str">
        <f>IF(((K28/B28)^(1/$L$2)-1)&gt;0, ((K28/B28)^(1/$L$2)-1),"-ve")</f>
        <v>-ve</v>
      </c>
    </row>
    <row r="29" spans="1:12" x14ac:dyDescent="0.25">
      <c r="A29" s="18" t="s">
        <v>105</v>
      </c>
      <c r="B29" s="36">
        <f>'Data Sheet Cons'!B70*'Data Sheet Cons'!B90/10^7</f>
        <v>808.60585000000003</v>
      </c>
      <c r="C29" s="36">
        <f>'Data Sheet Cons'!C70*'Data Sheet Cons'!C90/10^7</f>
        <v>473.45350000000002</v>
      </c>
      <c r="D29" s="36">
        <f>'Data Sheet Cons'!D70*'Data Sheet Cons'!D90/10^7</f>
        <v>505.96910000000003</v>
      </c>
      <c r="E29" s="36">
        <f>'Data Sheet Cons'!E70*'Data Sheet Cons'!E90/10^7</f>
        <v>1116.1858500000001</v>
      </c>
      <c r="F29" s="36">
        <f>'Data Sheet Cons'!F70*'Data Sheet Cons'!F90/10^7</f>
        <v>816.95445000000007</v>
      </c>
      <c r="G29" s="36">
        <f>'Data Sheet Cons'!G70*'Data Sheet Cons'!G90/10^7</f>
        <v>1201.9786999999999</v>
      </c>
      <c r="H29" s="36">
        <f>'Data Sheet Cons'!H70*'Data Sheet Cons'!H90/10^7</f>
        <v>1259.64995</v>
      </c>
      <c r="I29" s="36">
        <f>'Data Sheet Cons'!I70*'Data Sheet Cons'!I90/10^7</f>
        <v>1747.16425</v>
      </c>
      <c r="J29" s="36">
        <f>'Data Sheet Cons'!J70*'Data Sheet Cons'!J90/10^7</f>
        <v>837.82595000000003</v>
      </c>
      <c r="K29" s="36">
        <f>'Data Sheet Cons'!K70*'Data Sheet Cons'!K90/10^7</f>
        <v>0</v>
      </c>
      <c r="L29" s="39" t="str">
        <f>IF(((K29/B29)^(1/$L$2)-1)&gt;0, ((K29/B29)^(1/$L$2)-1),"-ve")</f>
        <v>-ve</v>
      </c>
    </row>
    <row r="30" spans="1:12" x14ac:dyDescent="0.25">
      <c r="A30" s="18" t="s">
        <v>126</v>
      </c>
      <c r="B30" s="36">
        <f>B29/B28</f>
        <v>0.29749046205239715</v>
      </c>
      <c r="C30" s="36">
        <f t="shared" ref="C30:K30" si="4">C29/C28</f>
        <v>0.14986642061047684</v>
      </c>
      <c r="D30" s="36">
        <f t="shared" si="4"/>
        <v>0.15346441288694504</v>
      </c>
      <c r="E30" s="36">
        <f t="shared" si="4"/>
        <v>0.26354600425947877</v>
      </c>
      <c r="F30" s="36">
        <f t="shared" si="4"/>
        <v>0.18343728318053526</v>
      </c>
      <c r="G30" s="36">
        <f t="shared" si="4"/>
        <v>0.26602689973573895</v>
      </c>
      <c r="H30" s="36">
        <f t="shared" si="4"/>
        <v>0.26425483552907608</v>
      </c>
      <c r="I30" s="36">
        <f t="shared" si="4"/>
        <v>0.29232289524714605</v>
      </c>
      <c r="J30" s="36">
        <f t="shared" si="4"/>
        <v>0.38454609085985481</v>
      </c>
      <c r="K30" s="36">
        <f t="shared" si="4"/>
        <v>0</v>
      </c>
      <c r="L30" s="49">
        <f t="shared" ref="L30:L35" si="5">AVERAGE(B30:K30)</f>
        <v>0.22549553043616485</v>
      </c>
    </row>
    <row r="31" spans="1:12" x14ac:dyDescent="0.25">
      <c r="A31" s="18" t="s">
        <v>23</v>
      </c>
      <c r="B31" s="36">
        <f>'Profit &amp; Loss Cons'!B14</f>
        <v>1.037079546182937</v>
      </c>
      <c r="C31" s="36">
        <f>'Profit &amp; Loss Cons'!C14</f>
        <v>0.87174065076560669</v>
      </c>
      <c r="D31" s="36">
        <f>'Profit &amp; Loss Cons'!D14</f>
        <v>2.7200397635679745</v>
      </c>
      <c r="E31" s="36">
        <f>'Profit &amp; Loss Cons'!E14</f>
        <v>1.9079978471474706</v>
      </c>
      <c r="F31" s="36">
        <f>'Profit &amp; Loss Cons'!F14</f>
        <v>2.0467953020134231</v>
      </c>
      <c r="G31" s="36">
        <f>'Profit &amp; Loss Cons'!G14</f>
        <v>13.64645710394916</v>
      </c>
      <c r="H31" s="36">
        <f>'Profit &amp; Loss Cons'!H14</f>
        <v>4.9710989704548147</v>
      </c>
      <c r="I31" s="36">
        <f>'Profit &amp; Loss Cons'!I14</f>
        <v>1.3395454789292585</v>
      </c>
      <c r="J31" s="36">
        <f>'Profit &amp; Loss Cons'!J14</f>
        <v>-6.7937048143945535</v>
      </c>
      <c r="K31" s="36">
        <f>'Profit &amp; Loss Cons'!K14</f>
        <v>-3.4598675125151046</v>
      </c>
      <c r="L31" s="49">
        <f t="shared" si="5"/>
        <v>1.8287182336100991</v>
      </c>
    </row>
    <row r="32" spans="1:12" x14ac:dyDescent="0.25">
      <c r="A32" s="18" t="s">
        <v>106</v>
      </c>
      <c r="B32" s="36">
        <f t="shared" ref="B32:K32" si="6">B6/(B4+B5)</f>
        <v>0.57087881563892295</v>
      </c>
      <c r="C32" s="36">
        <f t="shared" si="6"/>
        <v>0.67561732986828826</v>
      </c>
      <c r="D32" s="36">
        <f t="shared" si="6"/>
        <v>0.6983087552851398</v>
      </c>
      <c r="E32" s="36">
        <f t="shared" si="6"/>
        <v>0.60572904615064949</v>
      </c>
      <c r="F32" s="36">
        <f t="shared" si="6"/>
        <v>0.66749970248720691</v>
      </c>
      <c r="G32" s="36">
        <f t="shared" si="6"/>
        <v>0.73213139571427932</v>
      </c>
      <c r="H32" s="36">
        <f t="shared" si="6"/>
        <v>0.42365738021314087</v>
      </c>
      <c r="I32" s="36">
        <f t="shared" si="6"/>
        <v>0.20414835288940794</v>
      </c>
      <c r="J32" s="36">
        <f t="shared" si="6"/>
        <v>1.7279390840577584</v>
      </c>
      <c r="K32" s="36">
        <f t="shared" si="6"/>
        <v>7.5374003596446491</v>
      </c>
      <c r="L32" s="47">
        <f t="shared" si="5"/>
        <v>1.3843310221949443</v>
      </c>
    </row>
    <row r="33" spans="1:12" x14ac:dyDescent="0.25">
      <c r="A33" s="18" t="s">
        <v>94</v>
      </c>
      <c r="B33" s="38">
        <f>'Profit &amp; Loss Cons'!B12/'Balance Sheet Cons'!B14</f>
        <v>0.15047260802469134</v>
      </c>
      <c r="C33" s="38">
        <f>'Profit &amp; Loss Cons'!C12/'Balance Sheet Cons'!C14</f>
        <v>8.5004794973803643E-2</v>
      </c>
      <c r="D33" s="38">
        <f>'Profit &amp; Loss Cons'!D12/'Balance Sheet Cons'!D14</f>
        <v>2.627911213033084E-2</v>
      </c>
      <c r="E33" s="38">
        <f>'Profit &amp; Loss Cons'!E12/'Balance Sheet Cons'!E14</f>
        <v>6.2505606889746115E-2</v>
      </c>
      <c r="F33" s="38">
        <f>'Profit &amp; Loss Cons'!F12/'Balance Sheet Cons'!F14</f>
        <v>3.8105089584939654E-2</v>
      </c>
      <c r="G33" s="38">
        <f>'Profit &amp; Loss Cons'!G12/'Balance Sheet Cons'!G14</f>
        <v>8.0616535355272651E-3</v>
      </c>
      <c r="H33" s="38">
        <f>'Profit &amp; Loss Cons'!H12/'Balance Sheet Cons'!H14</f>
        <v>2.5993667433629044E-2</v>
      </c>
      <c r="I33" s="38">
        <f>'Profit &amp; Loss Cons'!I12/'Balance Sheet Cons'!I14</f>
        <v>0.11316344954739477</v>
      </c>
      <c r="J33" s="38">
        <f>'Profit &amp; Loss Cons'!J12/'Balance Sheet Cons'!J14</f>
        <v>-1.2877650835930503E-2</v>
      </c>
      <c r="K33" s="38">
        <f>'Profit &amp; Loss Cons'!K12/'Balance Sheet Cons'!K14</f>
        <v>-5.9670130171115145E-2</v>
      </c>
      <c r="L33" s="47">
        <f t="shared" si="5"/>
        <v>4.3703820111301687E-2</v>
      </c>
    </row>
    <row r="34" spans="1:12" x14ac:dyDescent="0.25">
      <c r="A34" s="29" t="s">
        <v>114</v>
      </c>
      <c r="B34" s="37">
        <f>'Data Sheet Cons'!B69/('Data Sheet Cons'!B67+'Data Sheet Cons'!B68+'Data Sheet Cons'!B69)</f>
        <v>0.26120896178589692</v>
      </c>
      <c r="C34" s="37">
        <f>'Data Sheet Cons'!C69/('Data Sheet Cons'!C67+'Data Sheet Cons'!C68+'Data Sheet Cons'!C69)</f>
        <v>4.0445979684667732E-2</v>
      </c>
      <c r="D34" s="37">
        <f>'Data Sheet Cons'!D69/('Data Sheet Cons'!D67+'Data Sheet Cons'!D68+'Data Sheet Cons'!D69)</f>
        <v>3.2318156749800847E-2</v>
      </c>
      <c r="E34" s="37">
        <f>'Data Sheet Cons'!E69/('Data Sheet Cons'!E67+'Data Sheet Cons'!E68+'Data Sheet Cons'!E69)</f>
        <v>0.29011217282924806</v>
      </c>
      <c r="F34" s="37">
        <f>'Data Sheet Cons'!F69/('Data Sheet Cons'!F67+'Data Sheet Cons'!F68+'Data Sheet Cons'!F69)</f>
        <v>0.1305891495126692</v>
      </c>
      <c r="G34" s="37">
        <f>'Data Sheet Cons'!G69/('Data Sheet Cons'!G67+'Data Sheet Cons'!G68+'Data Sheet Cons'!G69)</f>
        <v>0.1146091499765557</v>
      </c>
      <c r="H34" s="37">
        <f>'Data Sheet Cons'!H69/('Data Sheet Cons'!H67+'Data Sheet Cons'!H68+'Data Sheet Cons'!H69)</f>
        <v>5.6568856864834809E-2</v>
      </c>
      <c r="I34" s="37">
        <f>'Data Sheet Cons'!I69/('Data Sheet Cons'!I67+'Data Sheet Cons'!I68+'Data Sheet Cons'!I69)</f>
        <v>6.1950216636645863E-2</v>
      </c>
      <c r="J34" s="37">
        <f>'Data Sheet Cons'!J69/('Data Sheet Cons'!J67+'Data Sheet Cons'!J68+'Data Sheet Cons'!J69)</f>
        <v>7.472634291207593E-2</v>
      </c>
      <c r="K34" s="37">
        <f>'Data Sheet Cons'!K69/('Data Sheet Cons'!K67+'Data Sheet Cons'!K68+'Data Sheet Cons'!K69)</f>
        <v>0.7398945518453427</v>
      </c>
      <c r="L34" s="47">
        <f t="shared" si="5"/>
        <v>0.18024235387977378</v>
      </c>
    </row>
    <row r="35" spans="1:12" x14ac:dyDescent="0.25">
      <c r="A35" s="29" t="s">
        <v>115</v>
      </c>
      <c r="B35" s="36">
        <f>'Profit &amp; Loss Cons'!B4/'Data Sheet Cons'!B67</f>
        <v>9.7005063901615625</v>
      </c>
      <c r="C35" s="36">
        <f>'Profit &amp; Loss Cons'!C4/'Data Sheet Cons'!C67</f>
        <v>3.5410998210849676</v>
      </c>
      <c r="D35" s="36">
        <f>'Profit &amp; Loss Cons'!D4/'Data Sheet Cons'!D67</f>
        <v>3.6131117850223236</v>
      </c>
      <c r="E35" s="36">
        <f>'Profit &amp; Loss Cons'!E4/'Data Sheet Cons'!E67</f>
        <v>2.8496125611745518</v>
      </c>
      <c r="F35" s="36">
        <f>'Profit &amp; Loss Cons'!F4/'Data Sheet Cons'!F67</f>
        <v>2.4217984124502805</v>
      </c>
      <c r="G35" s="36">
        <f>'Profit &amp; Loss Cons'!G4/'Data Sheet Cons'!G67</f>
        <v>2.2663432671757926</v>
      </c>
      <c r="H35" s="36">
        <f>'Profit &amp; Loss Cons'!H4/'Data Sheet Cons'!H67</f>
        <v>2.0026650340332046</v>
      </c>
      <c r="I35" s="36">
        <f>'Profit &amp; Loss Cons'!I4/'Data Sheet Cons'!I67</f>
        <v>1.9166171723692706</v>
      </c>
      <c r="J35" s="36">
        <f>'Profit &amp; Loss Cons'!J4/'Data Sheet Cons'!J67</f>
        <v>1.9568339075301813</v>
      </c>
      <c r="K35" s="36">
        <f>'Profit &amp; Loss Cons'!K4/'Data Sheet Cons'!K67</f>
        <v>6.0168728908886386</v>
      </c>
      <c r="L35" s="49">
        <f t="shared" si="5"/>
        <v>3.6285461241890773</v>
      </c>
    </row>
    <row r="36" spans="1:12" x14ac:dyDescent="0.25">
      <c r="A36" s="29" t="s">
        <v>116</v>
      </c>
      <c r="C36" s="36">
        <f t="shared" ref="C36:K36" si="7">AVERAGE(B6:C6)</f>
        <v>1843.0450000000001</v>
      </c>
      <c r="D36" s="36">
        <f t="shared" si="7"/>
        <v>2218.35</v>
      </c>
      <c r="E36" s="36">
        <f t="shared" si="7"/>
        <v>2433.8649999999998</v>
      </c>
      <c r="F36" s="36">
        <f t="shared" si="7"/>
        <v>2769.0950000000003</v>
      </c>
      <c r="G36" s="36">
        <f t="shared" si="7"/>
        <v>3140.3649999999998</v>
      </c>
      <c r="H36" s="36">
        <f t="shared" si="7"/>
        <v>2663.7249999999999</v>
      </c>
      <c r="I36" s="36">
        <f t="shared" si="7"/>
        <v>1619.825</v>
      </c>
      <c r="J36" s="36">
        <f t="shared" si="7"/>
        <v>2492.4450000000002</v>
      </c>
      <c r="K36" s="36">
        <f t="shared" si="7"/>
        <v>3286.5450000000001</v>
      </c>
    </row>
    <row r="37" spans="1:12" x14ac:dyDescent="0.25">
      <c r="A37" s="29" t="s">
        <v>117</v>
      </c>
      <c r="C37" s="39">
        <f>'Profit &amp; Loss Cons'!C9/'Balance Sheet Cons'!C36</f>
        <v>7.1631457723495634E-2</v>
      </c>
      <c r="D37" s="39">
        <f>'Profit &amp; Loss Cons'!D9/'Balance Sheet Cons'!D36</f>
        <v>8.0654540536885519E-2</v>
      </c>
      <c r="E37" s="39">
        <f>'Profit &amp; Loss Cons'!E9/'Balance Sheet Cons'!E36</f>
        <v>8.9885840011668702E-2</v>
      </c>
      <c r="F37" s="39">
        <f>'Profit &amp; Loss Cons'!F9/'Balance Sheet Cons'!F36</f>
        <v>7.8610520765809766E-2</v>
      </c>
      <c r="G37" s="39">
        <f>'Profit &amp; Loss Cons'!G9/'Balance Sheet Cons'!G36</f>
        <v>8.8839991529647042E-2</v>
      </c>
      <c r="H37" s="39">
        <f>'Profit &amp; Loss Cons'!H9/'Balance Sheet Cons'!H36</f>
        <v>0.10481937887732404</v>
      </c>
      <c r="I37" s="39">
        <f>'Profit &amp; Loss Cons'!I9/'Balance Sheet Cons'!I36</f>
        <v>0.10339388514191347</v>
      </c>
      <c r="J37" s="39">
        <f>'Profit &amp; Loss Cons'!J9/'Balance Sheet Cons'!J36</f>
        <v>0.17862781325164648</v>
      </c>
      <c r="K37" s="39">
        <f>'Profit &amp; Loss Cons'!K9/'Balance Sheet Cons'!K36</f>
        <v>7.6843615407669763E-2</v>
      </c>
    </row>
    <row r="38" spans="1:12" x14ac:dyDescent="0.25">
      <c r="A38" s="29" t="s">
        <v>118</v>
      </c>
      <c r="B38" s="11">
        <f t="shared" ref="B38:K38" si="8">IF(B10+B16&gt;0,B10+B16,0)</f>
        <v>3344.54</v>
      </c>
      <c r="C38" s="11">
        <f t="shared" si="8"/>
        <v>4422.59</v>
      </c>
      <c r="D38" s="11">
        <f t="shared" si="8"/>
        <v>4467.21</v>
      </c>
      <c r="E38" s="11">
        <f t="shared" si="8"/>
        <v>6238.12</v>
      </c>
      <c r="F38" s="11">
        <f t="shared" si="8"/>
        <v>6783.77</v>
      </c>
      <c r="G38" s="11">
        <f t="shared" si="8"/>
        <v>6737.92</v>
      </c>
      <c r="H38" s="11">
        <f t="shared" si="8"/>
        <v>5537.93</v>
      </c>
      <c r="I38" s="11">
        <f t="shared" si="8"/>
        <v>6526.0100000000011</v>
      </c>
      <c r="J38" s="11">
        <f t="shared" si="8"/>
        <v>5671.2800000000007</v>
      </c>
      <c r="K38" s="11">
        <f t="shared" si="8"/>
        <v>3101.87</v>
      </c>
      <c r="L38" s="39" t="str">
        <f>IF(((K38/B38)^(1/$L$2)-1)&gt;0, ((K38/B38)^(1/$L$2)-1),"-ve")</f>
        <v>-ve</v>
      </c>
    </row>
    <row r="39" spans="1:12" x14ac:dyDescent="0.25">
      <c r="A39" s="29" t="s">
        <v>119</v>
      </c>
      <c r="B39" s="36">
        <f>IF('Profit &amp; Loss Cons'!B10+'Profit &amp; Loss Cons'!B9&gt;0, 'Profit &amp; Loss Cons'!B10+'Profit &amp; Loss Cons'!B9, 0)</f>
        <v>1107.67</v>
      </c>
      <c r="C39" s="36">
        <f>IF('Profit &amp; Loss Cons'!C10+'Profit &amp; Loss Cons'!C9&gt;0, 'Profit &amp; Loss Cons'!C10+'Profit &amp; Loss Cons'!C9, 0)</f>
        <v>877.86</v>
      </c>
      <c r="D39" s="36">
        <f>IF('Profit &amp; Loss Cons'!D10+'Profit &amp; Loss Cons'!D9&gt;0, 'Profit &amp; Loss Cons'!D10+'Profit &amp; Loss Cons'!D9, 0)</f>
        <v>443.13</v>
      </c>
      <c r="E39" s="36">
        <f>IF('Profit &amp; Loss Cons'!E10+'Profit &amp; Loss Cons'!E9&gt;0, 'Profit &amp; Loss Cons'!E10+'Profit &amp; Loss Cons'!E9, 0)</f>
        <v>1044.4100000000001</v>
      </c>
      <c r="F39" s="36">
        <f>IF('Profit &amp; Loss Cons'!F10+'Profit &amp; Loss Cons'!F9&gt;0, 'Profit &amp; Loss Cons'!F10+'Profit &amp; Loss Cons'!F9, 0)</f>
        <v>1069.98</v>
      </c>
      <c r="G39" s="36">
        <f>IF('Profit &amp; Loss Cons'!G10+'Profit &amp; Loss Cons'!G9&gt;0, 'Profit &amp; Loss Cons'!G10+'Profit &amp; Loss Cons'!G9, 0)</f>
        <v>720.40000000000009</v>
      </c>
      <c r="H39" s="36">
        <f>IF('Profit &amp; Loss Cons'!H10+'Profit &amp; Loss Cons'!H9&gt;0, 'Profit &amp; Loss Cons'!H10+'Profit &amp; Loss Cons'!H9, 0)</f>
        <v>558.63</v>
      </c>
      <c r="I39" s="36">
        <f>IF('Profit &amp; Loss Cons'!I10+'Profit &amp; Loss Cons'!I9&gt;0, 'Profit &amp; Loss Cons'!I10+'Profit &amp; Loss Cons'!I9, 0)</f>
        <v>1575.05</v>
      </c>
      <c r="J39" s="36">
        <f>IF('Profit &amp; Loss Cons'!J10+'Profit &amp; Loss Cons'!J9&gt;0, 'Profit &amp; Loss Cons'!J10+'Profit &amp; Loss Cons'!J9, 0)</f>
        <v>167.26000000000005</v>
      </c>
      <c r="K39" s="36">
        <f>IF('Profit &amp; Loss Cons'!K10+'Profit &amp; Loss Cons'!K9&gt;0, 'Profit &amp; Loss Cons'!K10+'Profit &amp; Loss Cons'!K9, 0)</f>
        <v>0</v>
      </c>
      <c r="L39" s="39" t="str">
        <f>IF(((K39/B39)^(1/$L$2)-1)&gt;0, ((K39/B39)^(1/$L$2)-1),"-ve")</f>
        <v>-ve</v>
      </c>
    </row>
    <row r="40" spans="1:12" x14ac:dyDescent="0.25">
      <c r="A40" s="29" t="s">
        <v>121</v>
      </c>
      <c r="B40" s="36">
        <f>B39-'Profit &amp; Loss Cons'!B9</f>
        <v>1018.58</v>
      </c>
      <c r="C40" s="36">
        <f>C39-'Profit &amp; Loss Cons'!C9</f>
        <v>745.84</v>
      </c>
      <c r="D40" s="36">
        <f>D39-'Profit &amp; Loss Cons'!D9</f>
        <v>264.21000000000004</v>
      </c>
      <c r="E40" s="36">
        <f>E39-'Profit &amp; Loss Cons'!E9</f>
        <v>825.6400000000001</v>
      </c>
      <c r="F40" s="36">
        <f>F39-'Profit &amp; Loss Cons'!F9</f>
        <v>852.3</v>
      </c>
      <c r="G40" s="36">
        <f>G39-'Profit &amp; Loss Cons'!G9</f>
        <v>441.41000000000008</v>
      </c>
      <c r="H40" s="36">
        <f>H39-'Profit &amp; Loss Cons'!H9</f>
        <v>279.42</v>
      </c>
      <c r="I40" s="36">
        <f>I39-'Profit &amp; Loss Cons'!I9</f>
        <v>1407.57</v>
      </c>
      <c r="J40" s="36">
        <f>J39-'Profit &amp; Loss Cons'!J9</f>
        <v>-277.95999999999998</v>
      </c>
      <c r="K40" s="36">
        <f>K39-'Profit &amp; Loss Cons'!K9</f>
        <v>-252.55</v>
      </c>
      <c r="L40" s="39" t="str">
        <f>IF(((K40/B40)^(1/$L$2)-1)&gt;0, ((K40/B40)^(1/$L$2)-1),"-ve")</f>
        <v>-ve</v>
      </c>
    </row>
    <row r="41" spans="1:12" x14ac:dyDescent="0.25">
      <c r="A41" s="29" t="s">
        <v>122</v>
      </c>
      <c r="B41" s="36">
        <f>B40*(1-'Profit &amp; Loss Cons'!B37)</f>
        <v>775.77</v>
      </c>
      <c r="C41" s="36">
        <f>C40*(1-'Profit &amp; Loss Cons'!C37)</f>
        <v>552.17000000000007</v>
      </c>
      <c r="D41" s="36">
        <f>D40*(1-'Profit &amp; Loss Cons'!D37)</f>
        <v>226.57000000000002</v>
      </c>
      <c r="E41" s="36">
        <f>E40*(1-'Profit &amp; Loss Cons'!E37)</f>
        <v>667.12</v>
      </c>
      <c r="F41" s="36">
        <f>F40*(1-'Profit &amp; Loss Cons'!F37)</f>
        <v>609.33999999999992</v>
      </c>
      <c r="G41" s="36">
        <f>G40*(1-'Profit &amp; Loss Cons'!G37)</f>
        <v>214.51000000000002</v>
      </c>
      <c r="H41" s="36">
        <f>H40*(1-'Profit &amp; Loss Cons'!H37)</f>
        <v>240.06</v>
      </c>
      <c r="I41" s="36">
        <f>I40*(1-'Profit &amp; Loss Cons'!I37)</f>
        <v>1349.1</v>
      </c>
      <c r="J41" s="36">
        <f>J40*(1-'Profit &amp; Loss Cons'!J37)</f>
        <v>-236.45999999999998</v>
      </c>
      <c r="K41" s="36">
        <f>K40*(1-'Profit &amp; Loss Cons'!K37)</f>
        <v>-201.70787019838028</v>
      </c>
      <c r="L41" s="39" t="str">
        <f>IF(((K41/B41)^(1/$L$2)-1)&gt;0, ((K41/B41)^(1/$L$2)-1),"-ve")</f>
        <v>-ve</v>
      </c>
    </row>
    <row r="42" spans="1:12" x14ac:dyDescent="0.25">
      <c r="A42" s="29" t="s">
        <v>123</v>
      </c>
      <c r="B42" s="36">
        <f t="shared" ref="B42:K42" si="9">B29+B6</f>
        <v>2360.3058500000002</v>
      </c>
      <c r="C42" s="36">
        <f t="shared" si="9"/>
        <v>2607.8434999999999</v>
      </c>
      <c r="D42" s="36">
        <f t="shared" si="9"/>
        <v>2808.2790999999997</v>
      </c>
      <c r="E42" s="36">
        <f t="shared" si="9"/>
        <v>3681.6058499999999</v>
      </c>
      <c r="F42" s="36">
        <f t="shared" si="9"/>
        <v>3789.7244500000002</v>
      </c>
      <c r="G42" s="36">
        <f t="shared" si="9"/>
        <v>4509.9386999999997</v>
      </c>
      <c r="H42" s="36">
        <f t="shared" si="9"/>
        <v>3279.1399499999998</v>
      </c>
      <c r="I42" s="36">
        <f t="shared" si="9"/>
        <v>2967.3242500000001</v>
      </c>
      <c r="J42" s="36">
        <f t="shared" si="9"/>
        <v>4602.5559499999999</v>
      </c>
      <c r="K42" s="36">
        <f t="shared" si="9"/>
        <v>2808.36</v>
      </c>
      <c r="L42" s="39">
        <f>IF(((K42/B42)^(1/$L$2)-1)&gt;0, ((K42/B42)^(1/$L$2)-1),"-ve")</f>
        <v>1.9499849984518924E-2</v>
      </c>
    </row>
    <row r="43" spans="1:12" x14ac:dyDescent="0.25">
      <c r="A43" s="29" t="s">
        <v>124</v>
      </c>
      <c r="B43" s="38">
        <f>B41/B42</f>
        <v>0.32867350644409066</v>
      </c>
      <c r="C43" s="38">
        <f t="shared" ref="C43:K43" si="10">C41/C42</f>
        <v>0.21173433145048776</v>
      </c>
      <c r="D43" s="38">
        <f t="shared" si="10"/>
        <v>8.0679302851344101E-2</v>
      </c>
      <c r="E43" s="38">
        <f t="shared" si="10"/>
        <v>0.18120353649481516</v>
      </c>
      <c r="F43" s="38">
        <f t="shared" si="10"/>
        <v>0.16078741555998877</v>
      </c>
      <c r="G43" s="38">
        <f t="shared" si="10"/>
        <v>4.7563839393205062E-2</v>
      </c>
      <c r="H43" s="38">
        <f t="shared" si="10"/>
        <v>7.3208220344483932E-2</v>
      </c>
      <c r="I43" s="38">
        <f t="shared" si="10"/>
        <v>0.45465203204536875</v>
      </c>
      <c r="J43" s="38">
        <f t="shared" si="10"/>
        <v>-5.1375801308835796E-2</v>
      </c>
      <c r="K43" s="38">
        <f t="shared" si="10"/>
        <v>-7.1824078892442661E-2</v>
      </c>
      <c r="L43" s="47">
        <f t="shared" ref="L43:L44" si="11">AVERAGE(B43:K43)</f>
        <v>0.14153023043825055</v>
      </c>
    </row>
    <row r="44" spans="1:12" x14ac:dyDescent="0.25">
      <c r="A44" s="29" t="s">
        <v>125</v>
      </c>
      <c r="B44" s="38">
        <f>B41/B38</f>
        <v>0.23195118013239488</v>
      </c>
      <c r="C44" s="38">
        <f t="shared" ref="C44:K44" si="12">C41/C38</f>
        <v>0.12485217937905166</v>
      </c>
      <c r="D44" s="38">
        <f t="shared" si="12"/>
        <v>5.0718457381676713E-2</v>
      </c>
      <c r="E44" s="38">
        <f t="shared" si="12"/>
        <v>0.10694247625887286</v>
      </c>
      <c r="F44" s="38">
        <f t="shared" si="12"/>
        <v>8.982321039775816E-2</v>
      </c>
      <c r="G44" s="38">
        <f t="shared" si="12"/>
        <v>3.1836234327507602E-2</v>
      </c>
      <c r="H44" s="38">
        <f t="shared" si="12"/>
        <v>4.3348326901929059E-2</v>
      </c>
      <c r="I44" s="38">
        <f t="shared" si="12"/>
        <v>0.20672662162638422</v>
      </c>
      <c r="J44" s="38">
        <f t="shared" si="12"/>
        <v>-4.1694291235840931E-2</v>
      </c>
      <c r="K44" s="38">
        <f t="shared" si="12"/>
        <v>-6.5027828438451729E-2</v>
      </c>
      <c r="L44" s="47">
        <f t="shared" si="11"/>
        <v>7.7947656673128266E-2</v>
      </c>
    </row>
    <row r="45" spans="1:12" x14ac:dyDescent="0.25">
      <c r="A45" s="29" t="s">
        <v>127</v>
      </c>
      <c r="B45" s="36">
        <f>B29+B6-'Data Sheet Cons'!B69</f>
        <v>2069.1858500000003</v>
      </c>
      <c r="C45" s="36">
        <f>C29+C6-'Data Sheet Cons'!C69</f>
        <v>2548.7134999999998</v>
      </c>
      <c r="D45" s="36">
        <f>D29+D6-'Data Sheet Cons'!D69</f>
        <v>2755.5391</v>
      </c>
      <c r="E45" s="36">
        <f>E29+E6-'Data Sheet Cons'!E69</f>
        <v>2564.3258500000002</v>
      </c>
      <c r="F45" s="36">
        <f>F29+F6-'Data Sheet Cons'!F69</f>
        <v>3216.6744500000004</v>
      </c>
      <c r="G45" s="36">
        <f>G29+G6-'Data Sheet Cons'!G69</f>
        <v>4013.7486999999996</v>
      </c>
      <c r="H45" s="36">
        <f>H29+H6-'Data Sheet Cons'!H69</f>
        <v>3083.8099499999998</v>
      </c>
      <c r="I45" s="36">
        <f>I29+I6-'Data Sheet Cons'!I69</f>
        <v>2801.8942500000003</v>
      </c>
      <c r="J45" s="36">
        <f>J29+J6-'Data Sheet Cons'!J69</f>
        <v>4393.4559499999996</v>
      </c>
      <c r="K45" s="36">
        <f>K29+K6-'Data Sheet Cons'!K69</f>
        <v>2728.3700000000003</v>
      </c>
      <c r="L45" s="39">
        <f>IF(((K45/B45)^(1/$L$2)-1)&gt;0, ((K45/B45)^(1/$L$2)-1),"-ve")</f>
        <v>3.1204650351827512E-2</v>
      </c>
    </row>
    <row r="46" spans="1:12" x14ac:dyDescent="0.25">
      <c r="A46" s="29" t="s">
        <v>93</v>
      </c>
      <c r="B46" s="36">
        <f>'Profit &amp; Loss Cons'!B33</f>
        <v>1256.6900000000003</v>
      </c>
      <c r="C46" s="36">
        <f>'Profit &amp; Loss Cons'!C33</f>
        <v>1048.5199999999995</v>
      </c>
      <c r="D46" s="36">
        <f>'Profit &amp; Loss Cons'!D33</f>
        <v>643.56999999999982</v>
      </c>
      <c r="E46" s="36">
        <f>'Profit &amp; Loss Cons'!E33</f>
        <v>1329.1600000000003</v>
      </c>
      <c r="F46" s="36">
        <f>'Profit &amp; Loss Cons'!F33</f>
        <v>1394.5100000000009</v>
      </c>
      <c r="G46" s="36">
        <f>'Profit &amp; Loss Cons'!G33</f>
        <v>1069.0999999999992</v>
      </c>
      <c r="H46" s="36">
        <f>'Profit &amp; Loss Cons'!H33</f>
        <v>857.84999999999991</v>
      </c>
      <c r="I46" s="36">
        <f>'Profit &amp; Loss Cons'!I33</f>
        <v>1743.73</v>
      </c>
      <c r="J46" s="36">
        <f>'Profit &amp; Loss Cons'!J33</f>
        <v>521.41999999999985</v>
      </c>
      <c r="K46" s="36">
        <f>'Profit &amp; Loss Cons'!K33</f>
        <v>-2.5899999999999963</v>
      </c>
      <c r="L46" s="39" t="str">
        <f>IF(((K46/B46)^(1/$L$2)-1)&gt;0, ((K46/B46)^(1/$L$2)-1),"-ve")</f>
        <v>-ve</v>
      </c>
    </row>
    <row r="47" spans="1:12" x14ac:dyDescent="0.25">
      <c r="A47" s="29" t="s">
        <v>128</v>
      </c>
      <c r="B47" s="36">
        <f>B45/B46</f>
        <v>1.6465364170957038</v>
      </c>
      <c r="C47" s="36">
        <f t="shared" ref="C47:K47" si="13">C45/C46</f>
        <v>2.4307724220806479</v>
      </c>
      <c r="D47" s="36">
        <f t="shared" si="13"/>
        <v>4.281646285563343</v>
      </c>
      <c r="E47" s="36">
        <f t="shared" si="13"/>
        <v>1.9292830434259227</v>
      </c>
      <c r="F47" s="36">
        <f t="shared" si="13"/>
        <v>2.3066700489777761</v>
      </c>
      <c r="G47" s="36">
        <f t="shared" si="13"/>
        <v>3.7543248526798267</v>
      </c>
      <c r="H47" s="36">
        <f t="shared" si="13"/>
        <v>3.5948125546424201</v>
      </c>
      <c r="I47" s="36">
        <f t="shared" si="13"/>
        <v>1.6068395049692328</v>
      </c>
      <c r="J47" s="36">
        <f t="shared" si="13"/>
        <v>8.4259444401825796</v>
      </c>
      <c r="K47" s="36">
        <f t="shared" si="13"/>
        <v>-1053.424710424712</v>
      </c>
      <c r="L47" s="49">
        <f>AVERAGE(B47:K47)</f>
        <v>-102.34478808550946</v>
      </c>
    </row>
    <row r="48" spans="1:12" x14ac:dyDescent="0.25">
      <c r="A48" s="29" t="s">
        <v>131</v>
      </c>
      <c r="B48" s="11">
        <f>'Profit &amp; Loss Cons'!B12*(1-'Profit &amp; Loss Cons'!B18)</f>
        <v>741.59</v>
      </c>
      <c r="C48" s="11">
        <f>'Profit &amp; Loss Cons'!C12*(1-'Profit &amp; Loss Cons'!C18)</f>
        <v>504.9</v>
      </c>
      <c r="D48" s="11">
        <f>'Profit &amp; Loss Cons'!D12*(1-'Profit &amp; Loss Cons'!D18)</f>
        <v>147.63999999999999</v>
      </c>
      <c r="E48" s="11">
        <f>'Profit &amp; Loss Cons'!E12*(1-'Profit &amp; Loss Cons'!E18)</f>
        <v>546.80999999999995</v>
      </c>
      <c r="F48" s="11">
        <f>'Profit &amp; Loss Cons'!F12*(1-'Profit &amp; Loss Cons'!F18)</f>
        <v>360.86</v>
      </c>
      <c r="G48" s="11">
        <f>'Profit &amp; Loss Cons'!G12*(1-'Profit &amp; Loss Cons'!G18)</f>
        <v>49.660000000000004</v>
      </c>
      <c r="H48" s="11">
        <f>'Profit &amp; Loss Cons'!H12*(1-'Profit &amp; Loss Cons'!H18)</f>
        <v>215.04999999999998</v>
      </c>
      <c r="I48" s="11">
        <f>'Profit &amp; Loss Cons'!I12*(1-'Profit &amp; Loss Cons'!I18)</f>
        <v>1304.8900000000001</v>
      </c>
      <c r="J48" s="11">
        <f>'Profit &amp; Loss Cons'!J12*(1-'Profit &amp; Loss Cons'!J18)</f>
        <v>-123.38</v>
      </c>
      <c r="K48" s="11">
        <f>'Profit &amp; Loss Cons'!K12*(1-'Profit &amp; Loss Cons'!K18)</f>
        <v>-231.72</v>
      </c>
      <c r="L48" s="39" t="str">
        <f>IF(((K48/B48)^(1/$L$2)-1)&gt;0, ((K48/B48)^(1/$L$2)-1),"-ve")</f>
        <v>-ve</v>
      </c>
    </row>
    <row r="49" spans="1:11" x14ac:dyDescent="0.25">
      <c r="A49" s="29"/>
    </row>
    <row r="50" spans="1:11" x14ac:dyDescent="0.25">
      <c r="A50" s="29"/>
      <c r="B50" s="36"/>
      <c r="C50" s="36"/>
      <c r="D50" s="36"/>
      <c r="E50" s="36"/>
      <c r="F50" s="36"/>
      <c r="H50" s="36" t="s">
        <v>139</v>
      </c>
      <c r="I50" s="36" t="s">
        <v>138</v>
      </c>
      <c r="J50" s="36" t="s">
        <v>137</v>
      </c>
      <c r="K50" s="36" t="s">
        <v>136</v>
      </c>
    </row>
    <row r="51" spans="1:11" x14ac:dyDescent="0.25">
      <c r="A51" s="29" t="s">
        <v>129</v>
      </c>
      <c r="H51" s="36">
        <f>K45-J45</f>
        <v>-1665.0859499999992</v>
      </c>
      <c r="I51" s="36">
        <f>K45-H45</f>
        <v>-355.4399499999995</v>
      </c>
      <c r="J51" s="36">
        <f>K45-F45</f>
        <v>-488.30445000000009</v>
      </c>
      <c r="K51" s="36">
        <f>K45-B45</f>
        <v>659.18415000000005</v>
      </c>
    </row>
    <row r="52" spans="1:11" x14ac:dyDescent="0.25">
      <c r="A52" s="29" t="s">
        <v>130</v>
      </c>
      <c r="H52" s="36">
        <f>K29-J29</f>
        <v>-837.82595000000003</v>
      </c>
      <c r="I52" s="36">
        <f>K29-H29</f>
        <v>-1259.64995</v>
      </c>
      <c r="J52" s="36">
        <f>K29-F29</f>
        <v>-816.95445000000007</v>
      </c>
      <c r="K52" s="36">
        <f>K29-B29</f>
        <v>-808.60585000000003</v>
      </c>
    </row>
    <row r="53" spans="1:11" x14ac:dyDescent="0.25">
      <c r="A53" s="29" t="s">
        <v>140</v>
      </c>
      <c r="H53" s="11">
        <f>K48</f>
        <v>-231.72</v>
      </c>
      <c r="I53" s="11">
        <f>SUM(I48:K48)</f>
        <v>949.79000000000019</v>
      </c>
      <c r="J53" s="11">
        <f>SUM(G48:K48)</f>
        <v>1214.5000000000002</v>
      </c>
      <c r="K53" s="11">
        <f>SUM(B48:K48)</f>
        <v>3516.3000000000006</v>
      </c>
    </row>
    <row r="54" spans="1:11" x14ac:dyDescent="0.25">
      <c r="A54" s="29" t="s">
        <v>132</v>
      </c>
      <c r="H54" s="40">
        <f>H52/H53</f>
        <v>3.6156825047471086</v>
      </c>
      <c r="I54" s="40">
        <f t="shared" ref="I54:K54" si="14">I52/I53</f>
        <v>-1.3262404847387315</v>
      </c>
      <c r="J54" s="40">
        <f t="shared" si="14"/>
        <v>-0.67266731165088511</v>
      </c>
      <c r="K54" s="40">
        <f t="shared" si="14"/>
        <v>-0.22995928959417566</v>
      </c>
    </row>
    <row r="55" spans="1:11" x14ac:dyDescent="0.25">
      <c r="A55" s="29" t="s">
        <v>133</v>
      </c>
      <c r="H55" s="36">
        <f>K39-J39</f>
        <v>-167.26000000000005</v>
      </c>
      <c r="I55" s="36">
        <f>K39-H39</f>
        <v>-558.63</v>
      </c>
      <c r="J55" s="36">
        <f>K39-F39</f>
        <v>-1069.98</v>
      </c>
      <c r="K55" s="36">
        <f>K39-B39</f>
        <v>-1107.67</v>
      </c>
    </row>
    <row r="56" spans="1:11" x14ac:dyDescent="0.25">
      <c r="A56" s="29" t="s">
        <v>134</v>
      </c>
      <c r="H56" s="36">
        <f>K38-J38</f>
        <v>-2569.4100000000008</v>
      </c>
      <c r="I56" s="36">
        <f>K38-H38</f>
        <v>-2436.0600000000004</v>
      </c>
      <c r="J56" s="36">
        <f>K38-F38</f>
        <v>-3681.9000000000005</v>
      </c>
      <c r="K56" s="36">
        <f>K38-B38</f>
        <v>-242.67000000000007</v>
      </c>
    </row>
    <row r="57" spans="1:11" x14ac:dyDescent="0.25">
      <c r="A57" s="29" t="s">
        <v>135</v>
      </c>
      <c r="H57" s="41">
        <f>IF(H55/H56&lt;0,"N.A.",H55/H56)</f>
        <v>6.5096656430853772E-2</v>
      </c>
      <c r="I57" s="41">
        <f>IF(I55/I56&lt;0,"N.A.",I55/I56)</f>
        <v>0.22931701189625867</v>
      </c>
      <c r="J57" s="41">
        <f>IF(J55/J56&lt;0,"N.A.",J55/J56)</f>
        <v>0.29060539395420837</v>
      </c>
      <c r="K57" s="41">
        <f>IF(K55/K56&lt;0,"N.A.",K55/K56)</f>
        <v>4.5645114764907069</v>
      </c>
    </row>
    <row r="59" spans="1:11" x14ac:dyDescent="0.25">
      <c r="A59" s="18" t="s">
        <v>141</v>
      </c>
      <c r="B59" s="36">
        <f>B60*1.2+B61*1.4+B62*3.3+B63*0.6+B64*1</f>
        <v>2.223009743441358</v>
      </c>
      <c r="C59" s="36">
        <f t="shared" ref="C59:K59" si="15">C60*1.2+C61*1.4+C62*3.3+C63*0.6+C64*1</f>
        <v>1.8325701685358982</v>
      </c>
      <c r="D59" s="36">
        <f t="shared" si="15"/>
        <v>1.5086769730868566</v>
      </c>
      <c r="E59" s="36">
        <f t="shared" si="15"/>
        <v>1.8955982722235751</v>
      </c>
      <c r="F59" s="36">
        <f t="shared" si="15"/>
        <v>1.8925019533486522</v>
      </c>
      <c r="G59" s="36">
        <f t="shared" si="15"/>
        <v>1.7909994565794143</v>
      </c>
      <c r="H59" s="36">
        <f t="shared" si="15"/>
        <v>1.5605308620329015</v>
      </c>
      <c r="I59" s="36">
        <f t="shared" si="15"/>
        <v>1.9890160237342402</v>
      </c>
      <c r="J59" s="36">
        <f t="shared" si="15"/>
        <v>0.85345608781601801</v>
      </c>
      <c r="K59" s="36">
        <f t="shared" si="15"/>
        <v>0.16359586439543178</v>
      </c>
    </row>
    <row r="60" spans="1:11" x14ac:dyDescent="0.25">
      <c r="A60" s="18" t="s">
        <v>142</v>
      </c>
      <c r="B60" s="36">
        <f t="shared" ref="B60:K60" si="16">(B16)/B8</f>
        <v>0.12501736111111109</v>
      </c>
      <c r="C60" s="36">
        <f t="shared" si="16"/>
        <v>0.12757759174982911</v>
      </c>
      <c r="D60" s="36">
        <f t="shared" si="16"/>
        <v>0.10430166895661618</v>
      </c>
      <c r="E60" s="36">
        <f t="shared" si="16"/>
        <v>0.21438290037464702</v>
      </c>
      <c r="F60" s="36">
        <f t="shared" si="16"/>
        <v>0.20835273640576213</v>
      </c>
      <c r="G60" s="36">
        <f t="shared" si="16"/>
        <v>0.29579370510376224</v>
      </c>
      <c r="H60" s="36">
        <f t="shared" si="16"/>
        <v>0.17683199422522444</v>
      </c>
      <c r="I60" s="36">
        <f t="shared" si="16"/>
        <v>0.3879682803429359</v>
      </c>
      <c r="J60" s="36">
        <f t="shared" si="16"/>
        <v>0.12035771020380044</v>
      </c>
      <c r="K60" s="36">
        <f t="shared" si="16"/>
        <v>4.7381770893687091E-3</v>
      </c>
    </row>
    <row r="61" spans="1:11" x14ac:dyDescent="0.25">
      <c r="A61" s="18" t="s">
        <v>143</v>
      </c>
      <c r="B61" s="42">
        <f t="shared" ref="B61:K61" si="17">B5/B14</f>
        <v>0.52220293209876545</v>
      </c>
      <c r="C61" s="42">
        <f t="shared" si="17"/>
        <v>0.49251029785157013</v>
      </c>
      <c r="D61" s="42">
        <f t="shared" si="17"/>
        <v>0.4640134318599991</v>
      </c>
      <c r="E61" s="42">
        <f t="shared" si="17"/>
        <v>0.45114316472080901</v>
      </c>
      <c r="F61" s="42">
        <f t="shared" si="17"/>
        <v>0.42393486674860492</v>
      </c>
      <c r="G61" s="42">
        <f t="shared" si="17"/>
        <v>0.41234735736581907</v>
      </c>
      <c r="H61" s="42">
        <f t="shared" si="17"/>
        <v>0.48763734573597634</v>
      </c>
      <c r="I61" s="42">
        <f t="shared" si="17"/>
        <v>0.51737313784903671</v>
      </c>
      <c r="J61" s="42">
        <f t="shared" si="17"/>
        <v>0.22625650510283959</v>
      </c>
      <c r="K61" s="42">
        <f t="shared" si="17"/>
        <v>9.3115480191072145E-2</v>
      </c>
    </row>
    <row r="62" spans="1:11" x14ac:dyDescent="0.25">
      <c r="A62" s="18" t="s">
        <v>144</v>
      </c>
      <c r="B62" s="42">
        <f t="shared" ref="B62:K62" si="18">B39/B8</f>
        <v>0.21367091049382717</v>
      </c>
      <c r="C62" s="42">
        <f t="shared" si="18"/>
        <v>0.1373349332223632</v>
      </c>
      <c r="D62" s="42">
        <f t="shared" si="18"/>
        <v>6.2574223311732971E-2</v>
      </c>
      <c r="E62" s="42">
        <f t="shared" si="18"/>
        <v>0.11154079466181378</v>
      </c>
      <c r="F62" s="42">
        <f t="shared" si="18"/>
        <v>0.10210278411823533</v>
      </c>
      <c r="G62" s="42">
        <f t="shared" si="18"/>
        <v>6.5905755866929663E-2</v>
      </c>
      <c r="H62" s="42">
        <f t="shared" si="18"/>
        <v>5.7279170204126831E-2</v>
      </c>
      <c r="I62" s="42">
        <f t="shared" si="18"/>
        <v>0.13659242634216226</v>
      </c>
      <c r="J62" s="42">
        <f t="shared" si="18"/>
        <v>1.7457577231461636E-2</v>
      </c>
      <c r="K62" s="42">
        <f t="shared" si="18"/>
        <v>0</v>
      </c>
    </row>
    <row r="63" spans="1:11" x14ac:dyDescent="0.25">
      <c r="A63" s="18" t="s">
        <v>145</v>
      </c>
      <c r="B63" s="42">
        <f>'Balance Sheet Cons'!B29/'Balance Sheet Cons'!B8</f>
        <v>0.15598106674382717</v>
      </c>
      <c r="C63" s="42">
        <f>'Balance Sheet Cons'!C29/'Balance Sheet Cons'!C8</f>
        <v>7.4068421851313584E-2</v>
      </c>
      <c r="D63" s="42">
        <f>'Balance Sheet Cons'!D29/'Balance Sheet Cons'!D8</f>
        <v>7.1447709367988069E-2</v>
      </c>
      <c r="E63" s="42">
        <f>'Balance Sheet Cons'!E29/'Balance Sheet Cons'!E8</f>
        <v>0.11920630470722425</v>
      </c>
      <c r="F63" s="42">
        <f>'Balance Sheet Cons'!F29/'Balance Sheet Cons'!F8</f>
        <v>7.7957834578946963E-2</v>
      </c>
      <c r="G63" s="42">
        <f>'Balance Sheet Cons'!G29/'Balance Sheet Cons'!G8</f>
        <v>0.10996295774493264</v>
      </c>
      <c r="H63" s="42">
        <f>'Balance Sheet Cons'!H29/'Balance Sheet Cons'!H8</f>
        <v>0.12915830493111694</v>
      </c>
      <c r="I63" s="42">
        <f>'Balance Sheet Cons'!I29/'Balance Sheet Cons'!I8</f>
        <v>0.15151862107601929</v>
      </c>
      <c r="J63" s="42">
        <f>'Balance Sheet Cons'!J29/'Balance Sheet Cons'!J8</f>
        <v>8.7447155498312279E-2</v>
      </c>
      <c r="K63" s="42">
        <f>'Balance Sheet Cons'!K29/'Balance Sheet Cons'!K8</f>
        <v>0</v>
      </c>
    </row>
    <row r="64" spans="1:11" x14ac:dyDescent="0.25">
      <c r="A64" s="18" t="s">
        <v>146</v>
      </c>
      <c r="B64" s="42">
        <f>'Profit &amp; Loss Cons'!B4/'Balance Sheet Cons'!B14</f>
        <v>0.54320216049382719</v>
      </c>
      <c r="C64" s="42">
        <f>'Profit &amp; Loss Cons'!C4/'Balance Sheet Cons'!C14</f>
        <v>0.49231630869931842</v>
      </c>
      <c r="D64" s="42">
        <f>'Profit &amp; Loss Cons'!D4/'Balance Sheet Cons'!D14</f>
        <v>0.48453260318540686</v>
      </c>
      <c r="E64" s="42">
        <f>'Profit &amp; Loss Cons'!E4/'Balance Sheet Cons'!E14</f>
        <v>0.56712995595654614</v>
      </c>
      <c r="F64" s="42">
        <f>'Profit &amp; Loss Cons'!F4/'Balance Sheet Cons'!F14</f>
        <v>0.66525596787614605</v>
      </c>
      <c r="G64" s="42">
        <f>'Profit &amp; Loss Cons'!G4/'Balance Sheet Cons'!G14</f>
        <v>0.5752939411349256</v>
      </c>
      <c r="H64" s="42">
        <f>'Profit &amp; Loss Cons'!H4/'Balance Sheet Cons'!H14</f>
        <v>0.39912394029997661</v>
      </c>
      <c r="I64" s="42">
        <f>'Profit &amp; Loss Cons'!I4/'Balance Sheet Cons'!I14</f>
        <v>0.25746551475931878</v>
      </c>
      <c r="J64" s="42">
        <f>'Profit &amp; Loss Cons'!J4/'Balance Sheet Cons'!J14</f>
        <v>0.2821894302646713</v>
      </c>
      <c r="K64" s="42">
        <f>'Profit &amp; Loss Cons'!K4/'Balance Sheet Cons'!K14</f>
        <v>2.7548379620688325E-2</v>
      </c>
    </row>
  </sheetData>
  <conditionalFormatting sqref="B59:K59">
    <cfRule type="cellIs" dxfId="6" priority="1" stopIfTrue="1" operator="lessThan">
      <formula>1.8</formula>
    </cfRule>
    <cfRule type="cellIs" dxfId="5" priority="2" stopIfTrue="1" operator="greaterThan">
      <formula>3</formula>
    </cfRule>
    <cfRule type="cellIs" dxfId="4" priority="3" operator="between">
      <formula>1.8</formula>
      <formula>3</formula>
    </cfRule>
  </conditionalFormatting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 x14ac:dyDescent="0.25"/>
  <cols>
    <col min="1" max="1" width="20.7109375" style="6" customWidth="1"/>
    <col min="2" max="11" width="13.5703125" style="6" bestFit="1" customWidth="1"/>
    <col min="12" max="16384" width="9.140625" style="6"/>
  </cols>
  <sheetData>
    <row r="1" spans="1:11" s="8" customFormat="1" x14ac:dyDescent="0.25">
      <c r="A1" s="8" t="str">
        <f>'Profit &amp; Loss Cons'!A1</f>
        <v>GFL LTD</v>
      </c>
      <c r="E1" t="str">
        <f>UPDATE</f>
        <v/>
      </c>
      <c r="J1" s="4" t="s">
        <v>1</v>
      </c>
      <c r="K1" s="4"/>
    </row>
    <row r="3" spans="1:11" s="2" customFormat="1" x14ac:dyDescent="0.25">
      <c r="A3" s="15" t="s">
        <v>2</v>
      </c>
      <c r="B3" s="16">
        <f>'Data Sheet Cons'!B41</f>
        <v>43465</v>
      </c>
      <c r="C3" s="16">
        <f>'Data Sheet Cons'!C41</f>
        <v>43555</v>
      </c>
      <c r="D3" s="16">
        <f>'Data Sheet Cons'!D41</f>
        <v>43646</v>
      </c>
      <c r="E3" s="16">
        <f>'Data Sheet Cons'!E41</f>
        <v>43738</v>
      </c>
      <c r="F3" s="16">
        <f>'Data Sheet Cons'!F41</f>
        <v>43830</v>
      </c>
      <c r="G3" s="16">
        <f>'Data Sheet Cons'!G41</f>
        <v>43921</v>
      </c>
      <c r="H3" s="16">
        <f>'Data Sheet Cons'!H41</f>
        <v>44012</v>
      </c>
      <c r="I3" s="16">
        <f>'Data Sheet Cons'!I41</f>
        <v>44104</v>
      </c>
      <c r="J3" s="16">
        <f>'Data Sheet Cons'!J41</f>
        <v>44196</v>
      </c>
      <c r="K3" s="16">
        <f>'Data Sheet Cons'!K41</f>
        <v>44286</v>
      </c>
    </row>
    <row r="4" spans="1:11" s="8" customFormat="1" x14ac:dyDescent="0.25">
      <c r="A4" s="8" t="s">
        <v>6</v>
      </c>
      <c r="B4" s="1">
        <f>'Data Sheet Cons'!B42</f>
        <v>826.78</v>
      </c>
      <c r="C4" s="1">
        <f>'Data Sheet Cons'!C42</f>
        <v>658.83</v>
      </c>
      <c r="D4" s="1">
        <f>'Data Sheet Cons'!D42</f>
        <v>803.57</v>
      </c>
      <c r="E4" s="1">
        <f>'Data Sheet Cons'!E42</f>
        <v>661.09</v>
      </c>
      <c r="F4" s="1">
        <f>'Data Sheet Cons'!F42</f>
        <v>512.91999999999996</v>
      </c>
      <c r="G4" s="1">
        <f>'Data Sheet Cons'!G42</f>
        <v>371.71</v>
      </c>
      <c r="H4" s="1">
        <f>'Data Sheet Cons'!H42</f>
        <v>98.49</v>
      </c>
      <c r="I4" s="1">
        <f>'Data Sheet Cons'!I42</f>
        <v>0.69</v>
      </c>
      <c r="J4" s="1">
        <f>'Data Sheet Cons'!J42</f>
        <v>15.11</v>
      </c>
      <c r="K4" s="1">
        <f>'Data Sheet Cons'!K42</f>
        <v>90.9</v>
      </c>
    </row>
    <row r="5" spans="1:11" x14ac:dyDescent="0.25">
      <c r="A5" s="6" t="s">
        <v>7</v>
      </c>
      <c r="B5" s="9">
        <f>'Data Sheet Cons'!B43</f>
        <v>682.44</v>
      </c>
      <c r="C5" s="9">
        <f>'Data Sheet Cons'!C43</f>
        <v>580.79</v>
      </c>
      <c r="D5" s="9">
        <f>'Data Sheet Cons'!D43</f>
        <v>611.33000000000004</v>
      </c>
      <c r="E5" s="9">
        <f>'Data Sheet Cons'!E43</f>
        <v>495.47</v>
      </c>
      <c r="F5" s="9">
        <f>'Data Sheet Cons'!F43</f>
        <v>371.71</v>
      </c>
      <c r="G5" s="9">
        <f>'Data Sheet Cons'!G43</f>
        <v>437.14</v>
      </c>
      <c r="H5" s="9">
        <f>'Data Sheet Cons'!H43</f>
        <v>90.27</v>
      </c>
      <c r="I5" s="9">
        <f>'Data Sheet Cons'!I43</f>
        <v>-39.08</v>
      </c>
      <c r="J5" s="9">
        <f>'Data Sheet Cons'!J43</f>
        <v>26.12</v>
      </c>
      <c r="K5" s="9">
        <f>'Data Sheet Cons'!K43</f>
        <v>104.37</v>
      </c>
    </row>
    <row r="6" spans="1:11" s="8" customFormat="1" x14ac:dyDescent="0.25">
      <c r="A6" s="8" t="s">
        <v>8</v>
      </c>
      <c r="B6" s="1">
        <f>'Data Sheet Cons'!B50</f>
        <v>144.34</v>
      </c>
      <c r="C6" s="1">
        <f>'Data Sheet Cons'!C50</f>
        <v>78.040000000000006</v>
      </c>
      <c r="D6" s="1">
        <f>'Data Sheet Cons'!D50</f>
        <v>192.24</v>
      </c>
      <c r="E6" s="1">
        <f>'Data Sheet Cons'!E50</f>
        <v>165.62</v>
      </c>
      <c r="F6" s="1">
        <f>'Data Sheet Cons'!F50</f>
        <v>141.21</v>
      </c>
      <c r="G6" s="1">
        <f>'Data Sheet Cons'!G50</f>
        <v>-65.430000000000007</v>
      </c>
      <c r="H6" s="1">
        <f>'Data Sheet Cons'!H50</f>
        <v>8.2200000000000006</v>
      </c>
      <c r="I6" s="1">
        <f>'Data Sheet Cons'!I50</f>
        <v>39.770000000000003</v>
      </c>
      <c r="J6" s="1">
        <f>'Data Sheet Cons'!J50</f>
        <v>-11.01</v>
      </c>
      <c r="K6" s="1">
        <f>'Data Sheet Cons'!K50</f>
        <v>-13.47</v>
      </c>
    </row>
    <row r="7" spans="1:11" x14ac:dyDescent="0.25">
      <c r="A7" s="6" t="s">
        <v>9</v>
      </c>
      <c r="B7" s="9">
        <f>'Data Sheet Cons'!B44</f>
        <v>120.98</v>
      </c>
      <c r="C7" s="9">
        <f>'Data Sheet Cons'!C44</f>
        <v>580.02</v>
      </c>
      <c r="D7" s="9">
        <f>'Data Sheet Cons'!D44</f>
        <v>9.0500000000000007</v>
      </c>
      <c r="E7" s="9">
        <f>'Data Sheet Cons'!E44</f>
        <v>10.210000000000001</v>
      </c>
      <c r="F7" s="9">
        <f>'Data Sheet Cons'!F44</f>
        <v>5.5</v>
      </c>
      <c r="G7" s="9">
        <f>'Data Sheet Cons'!G44</f>
        <v>5.17</v>
      </c>
      <c r="H7" s="9">
        <f>'Data Sheet Cons'!H44</f>
        <v>8.82</v>
      </c>
      <c r="I7" s="9">
        <f>'Data Sheet Cons'!I44</f>
        <v>6.35</v>
      </c>
      <c r="J7" s="9">
        <f>'Data Sheet Cons'!J44</f>
        <v>8.31</v>
      </c>
      <c r="K7" s="9">
        <f>'Data Sheet Cons'!K44</f>
        <v>25.41</v>
      </c>
    </row>
    <row r="8" spans="1:11" x14ac:dyDescent="0.25">
      <c r="A8" s="6" t="s">
        <v>10</v>
      </c>
      <c r="B8" s="9">
        <f>'Data Sheet Cons'!B45</f>
        <v>43.2</v>
      </c>
      <c r="C8" s="9">
        <f>'Data Sheet Cons'!C45</f>
        <v>43.57</v>
      </c>
      <c r="D8" s="9">
        <f>'Data Sheet Cons'!D45</f>
        <v>80.11</v>
      </c>
      <c r="E8" s="9">
        <f>'Data Sheet Cons'!E45</f>
        <v>85.94</v>
      </c>
      <c r="F8" s="9">
        <f>'Data Sheet Cons'!F45</f>
        <v>64.849999999999994</v>
      </c>
      <c r="G8" s="9">
        <f>'Data Sheet Cons'!G45</f>
        <v>74.040000000000006</v>
      </c>
      <c r="H8" s="9">
        <f>'Data Sheet Cons'!H45</f>
        <v>94.1</v>
      </c>
      <c r="I8" s="9">
        <f>'Data Sheet Cons'!I45</f>
        <v>71.42</v>
      </c>
      <c r="J8" s="9">
        <f>'Data Sheet Cons'!J45</f>
        <v>70.94</v>
      </c>
      <c r="K8" s="9">
        <f>'Data Sheet Cons'!K45</f>
        <v>70.11</v>
      </c>
    </row>
    <row r="9" spans="1:11" x14ac:dyDescent="0.25">
      <c r="A9" s="6" t="s">
        <v>11</v>
      </c>
      <c r="B9" s="9">
        <f>'Data Sheet Cons'!B46</f>
        <v>43.72</v>
      </c>
      <c r="C9" s="9">
        <f>'Data Sheet Cons'!C46</f>
        <v>42.46</v>
      </c>
      <c r="D9" s="9">
        <f>'Data Sheet Cons'!D46</f>
        <v>93.11</v>
      </c>
      <c r="E9" s="9">
        <f>'Data Sheet Cons'!E46</f>
        <v>103.93</v>
      </c>
      <c r="F9" s="9">
        <f>'Data Sheet Cons'!F46</f>
        <v>54.17</v>
      </c>
      <c r="G9" s="9">
        <f>'Data Sheet Cons'!G46</f>
        <v>61.44</v>
      </c>
      <c r="H9" s="9">
        <f>'Data Sheet Cons'!H46</f>
        <v>123.11</v>
      </c>
      <c r="I9" s="9">
        <f>'Data Sheet Cons'!I46</f>
        <v>64.510000000000005</v>
      </c>
      <c r="J9" s="9">
        <f>'Data Sheet Cons'!J46</f>
        <v>62.31</v>
      </c>
      <c r="K9" s="9">
        <f>'Data Sheet Cons'!K46</f>
        <v>62.01</v>
      </c>
    </row>
    <row r="10" spans="1:11" x14ac:dyDescent="0.25">
      <c r="A10" s="6" t="s">
        <v>12</v>
      </c>
      <c r="B10" s="9">
        <f>'Data Sheet Cons'!B47</f>
        <v>178.4</v>
      </c>
      <c r="C10" s="9">
        <f>'Data Sheet Cons'!C47</f>
        <v>572.03</v>
      </c>
      <c r="D10" s="9">
        <f>'Data Sheet Cons'!D47</f>
        <v>28.07</v>
      </c>
      <c r="E10" s="9">
        <f>'Data Sheet Cons'!E47</f>
        <v>-14.04</v>
      </c>
      <c r="F10" s="9">
        <f>'Data Sheet Cons'!F47</f>
        <v>27.69</v>
      </c>
      <c r="G10" s="9">
        <f>'Data Sheet Cons'!G47</f>
        <v>-195.74</v>
      </c>
      <c r="H10" s="9">
        <f>'Data Sheet Cons'!H47</f>
        <v>-200.17</v>
      </c>
      <c r="I10" s="9">
        <f>'Data Sheet Cons'!I47</f>
        <v>-89.81</v>
      </c>
      <c r="J10" s="9">
        <f>'Data Sheet Cons'!J47</f>
        <v>-135.94999999999999</v>
      </c>
      <c r="K10" s="9">
        <f>'Data Sheet Cons'!K47</f>
        <v>-120.18</v>
      </c>
    </row>
    <row r="11" spans="1:11" x14ac:dyDescent="0.25">
      <c r="A11" s="6" t="s">
        <v>13</v>
      </c>
      <c r="B11" s="9">
        <f>'Data Sheet Cons'!B48</f>
        <v>22.92</v>
      </c>
      <c r="C11" s="9">
        <f>'Data Sheet Cons'!C48</f>
        <v>-5.62</v>
      </c>
      <c r="D11" s="9">
        <f>'Data Sheet Cons'!D48</f>
        <v>8.9499999999999993</v>
      </c>
      <c r="E11" s="9">
        <f>'Data Sheet Cons'!E48</f>
        <v>-7.1</v>
      </c>
      <c r="F11" s="9">
        <f>'Data Sheet Cons'!F48</f>
        <v>19.22</v>
      </c>
      <c r="G11" s="9">
        <f>'Data Sheet Cons'!G48</f>
        <v>61.39</v>
      </c>
      <c r="H11" s="9">
        <f>'Data Sheet Cons'!H48</f>
        <v>-61.52</v>
      </c>
      <c r="I11" s="9">
        <f>'Data Sheet Cons'!I48</f>
        <v>-22.79</v>
      </c>
      <c r="J11" s="9">
        <f>'Data Sheet Cons'!J48</f>
        <v>-34.270000000000003</v>
      </c>
      <c r="K11" s="9">
        <f>'Data Sheet Cons'!K48</f>
        <v>-27.02</v>
      </c>
    </row>
    <row r="12" spans="1:11" s="8" customFormat="1" x14ac:dyDescent="0.25">
      <c r="A12" s="8" t="s">
        <v>14</v>
      </c>
      <c r="B12" s="1">
        <f>'Data Sheet Cons'!B49</f>
        <v>137.68</v>
      </c>
      <c r="C12" s="1">
        <f>'Data Sheet Cons'!C49</f>
        <v>579.54999999999995</v>
      </c>
      <c r="D12" s="1">
        <f>'Data Sheet Cons'!D49</f>
        <v>12.64</v>
      </c>
      <c r="E12" s="1">
        <f>'Data Sheet Cons'!E49</f>
        <v>-3.72</v>
      </c>
      <c r="F12" s="1">
        <f>'Data Sheet Cons'!F49</f>
        <v>4.0999999999999996</v>
      </c>
      <c r="G12" s="1">
        <f>'Data Sheet Cons'!G49</f>
        <v>-136.41</v>
      </c>
      <c r="H12" s="1">
        <f>'Data Sheet Cons'!H49</f>
        <v>-73.03</v>
      </c>
      <c r="I12" s="1">
        <f>'Data Sheet Cons'!I49</f>
        <v>-35.61</v>
      </c>
      <c r="J12" s="1">
        <f>'Data Sheet Cons'!J49</f>
        <v>-50.57</v>
      </c>
      <c r="K12" s="1">
        <f>'Data Sheet Cons'!K49</f>
        <v>-43.05</v>
      </c>
    </row>
    <row r="14" spans="1:11" s="8" customFormat="1" x14ac:dyDescent="0.25">
      <c r="A14" s="2" t="s">
        <v>18</v>
      </c>
      <c r="B14" s="14">
        <f>IF(B4&gt;0,B6/B4,"")</f>
        <v>0.17458090423087158</v>
      </c>
      <c r="C14" s="14">
        <f t="shared" ref="C14:K14" si="0">IF(C4&gt;0,C6/C4,"")</f>
        <v>0.11845240805670659</v>
      </c>
      <c r="D14" s="14">
        <f t="shared" si="0"/>
        <v>0.23923242530208944</v>
      </c>
      <c r="E14" s="14">
        <f t="shared" si="0"/>
        <v>0.25052564703746844</v>
      </c>
      <c r="F14" s="14">
        <f t="shared" si="0"/>
        <v>0.27530609061842004</v>
      </c>
      <c r="G14" s="14">
        <f t="shared" si="0"/>
        <v>-0.17602432003443547</v>
      </c>
      <c r="H14" s="14">
        <f t="shared" si="0"/>
        <v>8.3460249771550421E-2</v>
      </c>
      <c r="I14" s="14">
        <f t="shared" si="0"/>
        <v>57.637681159420296</v>
      </c>
      <c r="J14" s="14">
        <f t="shared" si="0"/>
        <v>-0.72865651886168104</v>
      </c>
      <c r="K14" s="14">
        <f t="shared" si="0"/>
        <v>-0.1481848184818482</v>
      </c>
    </row>
    <row r="16" spans="1:11" x14ac:dyDescent="0.25">
      <c r="A16" s="6" t="s">
        <v>109</v>
      </c>
      <c r="B16" s="34">
        <f>B6+B7</f>
        <v>265.32</v>
      </c>
      <c r="C16" s="34">
        <f t="shared" ref="C16:K16" si="1">C6+C7</f>
        <v>658.06</v>
      </c>
      <c r="D16" s="34">
        <f t="shared" si="1"/>
        <v>201.29000000000002</v>
      </c>
      <c r="E16" s="34">
        <f t="shared" si="1"/>
        <v>175.83</v>
      </c>
      <c r="F16" s="34">
        <f t="shared" si="1"/>
        <v>146.71</v>
      </c>
      <c r="G16" s="34">
        <f t="shared" si="1"/>
        <v>-60.260000000000005</v>
      </c>
      <c r="H16" s="34">
        <f t="shared" si="1"/>
        <v>17.04</v>
      </c>
      <c r="I16" s="34">
        <f t="shared" si="1"/>
        <v>46.120000000000005</v>
      </c>
      <c r="J16" s="34">
        <f t="shared" si="1"/>
        <v>-2.6999999999999993</v>
      </c>
      <c r="K16" s="34">
        <f t="shared" si="1"/>
        <v>11.94</v>
      </c>
    </row>
    <row r="17" spans="1:11" x14ac:dyDescent="0.25">
      <c r="A17" s="6" t="s">
        <v>110</v>
      </c>
      <c r="B17" s="37">
        <f>B16/B4</f>
        <v>0.32090761750405189</v>
      </c>
      <c r="C17" s="37">
        <f t="shared" ref="C17:K17" si="2">C16/C4</f>
        <v>0.99883126147868173</v>
      </c>
      <c r="D17" s="37">
        <f t="shared" si="2"/>
        <v>0.25049466754607563</v>
      </c>
      <c r="E17" s="37">
        <f t="shared" si="2"/>
        <v>0.26596983769229604</v>
      </c>
      <c r="F17" s="37">
        <f t="shared" si="2"/>
        <v>0.28602901037198786</v>
      </c>
      <c r="G17" s="37">
        <f t="shared" si="2"/>
        <v>-0.16211562777434024</v>
      </c>
      <c r="H17" s="37">
        <f t="shared" si="2"/>
        <v>0.17301248857752055</v>
      </c>
      <c r="I17" s="37">
        <f t="shared" si="2"/>
        <v>66.840579710144937</v>
      </c>
      <c r="J17" s="37">
        <f t="shared" si="2"/>
        <v>-0.17868960953011248</v>
      </c>
      <c r="K17" s="37">
        <f t="shared" si="2"/>
        <v>0.13135313531353135</v>
      </c>
    </row>
    <row r="18" spans="1:11" x14ac:dyDescent="0.25">
      <c r="A18" s="6" t="s">
        <v>111</v>
      </c>
      <c r="B18" s="37">
        <f>B12/B4</f>
        <v>0.16652555698009144</v>
      </c>
      <c r="C18" s="37">
        <f t="shared" ref="C18:K18" si="3">C12/C4</f>
        <v>0.87966546757130049</v>
      </c>
      <c r="D18" s="37">
        <f t="shared" si="3"/>
        <v>1.5729805741876875E-2</v>
      </c>
      <c r="E18" s="37">
        <f t="shared" si="3"/>
        <v>-5.6270704442662875E-3</v>
      </c>
      <c r="F18" s="37">
        <f t="shared" si="3"/>
        <v>7.9934492708414566E-3</v>
      </c>
      <c r="G18" s="37">
        <f t="shared" si="3"/>
        <v>-0.36697963466142963</v>
      </c>
      <c r="H18" s="37">
        <f t="shared" si="3"/>
        <v>-0.74149659863945583</v>
      </c>
      <c r="I18" s="37">
        <f t="shared" si="3"/>
        <v>-51.608695652173914</v>
      </c>
      <c r="J18" s="37">
        <f t="shared" si="3"/>
        <v>-3.3467902051621445</v>
      </c>
      <c r="K18" s="37">
        <f t="shared" si="3"/>
        <v>-0.47359735973597356</v>
      </c>
    </row>
    <row r="19" spans="1:11" x14ac:dyDescent="0.25">
      <c r="A19" s="29" t="s">
        <v>58</v>
      </c>
      <c r="B19" s="34">
        <f>B12/('Data Sheet Cons'!$B$6)</f>
        <v>12.53337436213042</v>
      </c>
      <c r="C19" s="34">
        <f>C12/('Data Sheet Cons'!$B$6)</f>
        <v>52.757968561684223</v>
      </c>
      <c r="D19" s="34">
        <f>D12/('Data Sheet Cons'!$B$6)</f>
        <v>1.1506526143036644</v>
      </c>
      <c r="E19" s="34">
        <f>E12/('Data Sheet Cons'!$B$6)</f>
        <v>-0.33864143395645818</v>
      </c>
      <c r="F19" s="34">
        <f>F12/('Data Sheet Cons'!$B$6)</f>
        <v>0.37323383850039737</v>
      </c>
      <c r="G19" s="34">
        <f>G12/('Data Sheet Cons'!$B$6)</f>
        <v>-12.417762904838833</v>
      </c>
      <c r="H19" s="34">
        <f>H12/('Data Sheet Cons'!$B$6)</f>
        <v>-6.6481139574839085</v>
      </c>
      <c r="I19" s="34">
        <f>I12/('Data Sheet Cons'!$B$6)</f>
        <v>-3.2416724363412568</v>
      </c>
      <c r="J19" s="34">
        <f>J12/('Data Sheet Cons'!$B$6)</f>
        <v>-4.6035207836500236</v>
      </c>
      <c r="K19" s="34">
        <f>K12/('Data Sheet Cons'!$B$6)</f>
        <v>-3.9189553042541725</v>
      </c>
    </row>
    <row r="22" spans="1:11" s="30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4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14" sqref="A14"/>
    </sheetView>
  </sheetViews>
  <sheetFormatPr defaultRowHeight="15" x14ac:dyDescent="0.25"/>
  <cols>
    <col min="1" max="1" width="26.85546875" style="6" bestFit="1" customWidth="1"/>
    <col min="2" max="6" width="13.5703125" style="6" customWidth="1"/>
    <col min="7" max="11" width="13.5703125" style="6" bestFit="1" customWidth="1"/>
    <col min="12" max="12" width="9.140625" style="6"/>
    <col min="13" max="13" width="10" style="6" bestFit="1" customWidth="1"/>
    <col min="14" max="16384" width="9.140625" style="6"/>
  </cols>
  <sheetData>
    <row r="1" spans="1:13" s="8" customFormat="1" x14ac:dyDescent="0.25">
      <c r="A1" s="8" t="str">
        <f>'Balance Sheet Cons'!A1</f>
        <v>GFL LTD</v>
      </c>
      <c r="E1" t="str">
        <f>UPDATE</f>
        <v/>
      </c>
      <c r="F1"/>
      <c r="J1" s="4" t="s">
        <v>1</v>
      </c>
      <c r="K1" s="4"/>
      <c r="L1" s="6" t="s">
        <v>149</v>
      </c>
    </row>
    <row r="2" spans="1:13" x14ac:dyDescent="0.25">
      <c r="L2" s="6">
        <f>YEARFRAC(K3,B3)</f>
        <v>9</v>
      </c>
    </row>
    <row r="3" spans="1:13" s="2" customFormat="1" x14ac:dyDescent="0.25">
      <c r="A3" s="15" t="s">
        <v>2</v>
      </c>
      <c r="B3" s="16">
        <f>'Data Sheet Cons'!B81</f>
        <v>40999</v>
      </c>
      <c r="C3" s="16">
        <f>'Data Sheet Cons'!C81</f>
        <v>41364</v>
      </c>
      <c r="D3" s="16">
        <f>'Data Sheet Cons'!D81</f>
        <v>41729</v>
      </c>
      <c r="E3" s="16">
        <f>'Data Sheet Cons'!E81</f>
        <v>42094</v>
      </c>
      <c r="F3" s="16">
        <f>'Data Sheet Cons'!F81</f>
        <v>42460</v>
      </c>
      <c r="G3" s="16">
        <f>'Data Sheet Cons'!G81</f>
        <v>42825</v>
      </c>
      <c r="H3" s="16">
        <f>'Data Sheet Cons'!H81</f>
        <v>43190</v>
      </c>
      <c r="I3" s="16">
        <f>'Data Sheet Cons'!I81</f>
        <v>43555</v>
      </c>
      <c r="J3" s="16">
        <f>'Data Sheet Cons'!J81</f>
        <v>43921</v>
      </c>
      <c r="K3" s="16">
        <f>'Data Sheet Cons'!K81</f>
        <v>44286</v>
      </c>
      <c r="L3" s="17" t="s">
        <v>148</v>
      </c>
    </row>
    <row r="4" spans="1:13" s="8" customFormat="1" x14ac:dyDescent="0.25">
      <c r="A4" s="8" t="s">
        <v>32</v>
      </c>
      <c r="B4" s="1">
        <f>'Data Sheet Cons'!B82</f>
        <v>572.02</v>
      </c>
      <c r="C4" s="1">
        <f>'Data Sheet Cons'!C82</f>
        <v>284.20999999999998</v>
      </c>
      <c r="D4" s="1">
        <f>'Data Sheet Cons'!D82</f>
        <v>542.21</v>
      </c>
      <c r="E4" s="1">
        <f>'Data Sheet Cons'!E82</f>
        <v>149.11000000000001</v>
      </c>
      <c r="F4" s="1">
        <f>'Data Sheet Cons'!F82</f>
        <v>379.49</v>
      </c>
      <c r="G4" s="1">
        <f>'Data Sheet Cons'!G82</f>
        <v>731.69</v>
      </c>
      <c r="H4" s="1">
        <f>'Data Sheet Cons'!H82</f>
        <v>951.84</v>
      </c>
      <c r="I4" s="1">
        <f>'Data Sheet Cons'!I82</f>
        <v>995.61</v>
      </c>
      <c r="J4" s="1">
        <f>'Data Sheet Cons'!J82</f>
        <v>1214.23</v>
      </c>
      <c r="K4" s="1">
        <f>'Data Sheet Cons'!K82</f>
        <v>-155.75</v>
      </c>
      <c r="L4" s="8" t="str">
        <f>IF((K4/B4)^(1/$L$2)-1&gt;0,(K4/B4)^(1/$L$2)-1,"-ve")</f>
        <v>-ve</v>
      </c>
      <c r="M4" s="51">
        <f>SUM(B4:K4)</f>
        <v>5664.66</v>
      </c>
    </row>
    <row r="5" spans="1:13" x14ac:dyDescent="0.25">
      <c r="A5" s="6" t="s">
        <v>33</v>
      </c>
      <c r="B5" s="9">
        <f>'Data Sheet Cons'!B83</f>
        <v>-928.98</v>
      </c>
      <c r="C5" s="9">
        <f>'Data Sheet Cons'!C83</f>
        <v>-889.79</v>
      </c>
      <c r="D5" s="9">
        <f>'Data Sheet Cons'!D83</f>
        <v>-471.17</v>
      </c>
      <c r="E5" s="9">
        <f>'Data Sheet Cons'!E83</f>
        <v>248.34</v>
      </c>
      <c r="F5" s="9">
        <f>'Data Sheet Cons'!F83</f>
        <v>-1469.94</v>
      </c>
      <c r="G5" s="9">
        <f>'Data Sheet Cons'!G83</f>
        <v>-674.44</v>
      </c>
      <c r="H5" s="9">
        <f>'Data Sheet Cons'!H83</f>
        <v>589.29</v>
      </c>
      <c r="I5" s="9">
        <f>'Data Sheet Cons'!I83</f>
        <v>-955.73</v>
      </c>
      <c r="J5" s="9">
        <f>'Data Sheet Cons'!J83</f>
        <v>-608.24</v>
      </c>
      <c r="K5" s="9">
        <f>'Data Sheet Cons'!K83</f>
        <v>73.8</v>
      </c>
      <c r="L5" s="8" t="str">
        <f>IF((K5/B5)^(1/$L$2)-1&gt;0,(K5/B5)^(1/$L$2)-1,"-ve")</f>
        <v>-ve</v>
      </c>
    </row>
    <row r="6" spans="1:13" x14ac:dyDescent="0.25">
      <c r="A6" s="6" t="s">
        <v>34</v>
      </c>
      <c r="B6" s="9">
        <f>'Data Sheet Cons'!B84</f>
        <v>601.37</v>
      </c>
      <c r="C6" s="9">
        <f>'Data Sheet Cons'!C84</f>
        <v>372.42</v>
      </c>
      <c r="D6" s="9">
        <f>'Data Sheet Cons'!D84</f>
        <v>-93.46</v>
      </c>
      <c r="E6" s="9">
        <f>'Data Sheet Cons'!E84</f>
        <v>658.7</v>
      </c>
      <c r="F6" s="9">
        <f>'Data Sheet Cons'!F84</f>
        <v>135.52000000000001</v>
      </c>
      <c r="G6" s="9">
        <f>'Data Sheet Cons'!G84</f>
        <v>53.2</v>
      </c>
      <c r="H6" s="9">
        <f>'Data Sheet Cons'!H84</f>
        <v>-1668.06</v>
      </c>
      <c r="I6" s="9">
        <f>'Data Sheet Cons'!I84</f>
        <v>-79.39</v>
      </c>
      <c r="J6" s="9">
        <f>'Data Sheet Cons'!J84</f>
        <v>-629.23</v>
      </c>
      <c r="K6" s="9">
        <f>'Data Sheet Cons'!K84</f>
        <v>56.01</v>
      </c>
      <c r="L6" s="14" t="str">
        <f>IF((K6/B6)^(1/$L$2)-1&gt;0,(K6/B6)^(1/$L$2)-1,"-ve")</f>
        <v>-ve</v>
      </c>
    </row>
    <row r="7" spans="1:13" s="8" customFormat="1" x14ac:dyDescent="0.25">
      <c r="A7" s="8" t="s">
        <v>35</v>
      </c>
      <c r="B7" s="1">
        <f>'Data Sheet Cons'!B85</f>
        <v>244.41</v>
      </c>
      <c r="C7" s="1">
        <f>'Data Sheet Cons'!C85</f>
        <v>-233.16</v>
      </c>
      <c r="D7" s="1">
        <f>'Data Sheet Cons'!D85</f>
        <v>-22.42</v>
      </c>
      <c r="E7" s="1">
        <f>'Data Sheet Cons'!E85</f>
        <v>1056.1500000000001</v>
      </c>
      <c r="F7" s="1">
        <f>'Data Sheet Cons'!F85</f>
        <v>-954.93</v>
      </c>
      <c r="G7" s="1">
        <f>'Data Sheet Cons'!G85</f>
        <v>110.45</v>
      </c>
      <c r="H7" s="1">
        <f>'Data Sheet Cons'!H85</f>
        <v>-126.93</v>
      </c>
      <c r="I7" s="1">
        <f>'Data Sheet Cons'!I85</f>
        <v>-39.51</v>
      </c>
      <c r="J7" s="1">
        <f>'Data Sheet Cons'!J85</f>
        <v>-23.24</v>
      </c>
      <c r="K7" s="1">
        <f>'Data Sheet Cons'!K85</f>
        <v>-25.94</v>
      </c>
      <c r="L7" s="14" t="str">
        <f>IF((K7/B7)^(1/$L$2)-1&gt;0,(K7/B7)^(1/$L$2)-1,"-ve")</f>
        <v>-ve</v>
      </c>
    </row>
    <row r="8" spans="1:13" x14ac:dyDescent="0.25">
      <c r="A8" s="2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3" x14ac:dyDescent="0.25">
      <c r="A9" s="29" t="s">
        <v>96</v>
      </c>
      <c r="C9" s="34">
        <f>'Balance Sheet Cons'!C16-'Balance Sheet Cons'!B16</f>
        <v>167.40000000000009</v>
      </c>
      <c r="D9" s="34">
        <f>'Balance Sheet Cons'!D16-'Balance Sheet Cons'!C16</f>
        <v>-76.8599999999999</v>
      </c>
      <c r="E9" s="34">
        <f>'Balance Sheet Cons'!E16-'Balance Sheet Cons'!D16</f>
        <v>1268.7399999999998</v>
      </c>
      <c r="F9" s="34">
        <f>'Balance Sheet Cons'!F16-'Balance Sheet Cons'!E16</f>
        <v>176.05000000000018</v>
      </c>
      <c r="G9" s="34">
        <f>'Balance Sheet Cons'!G16-'Balance Sheet Cons'!F16</f>
        <v>1049.83</v>
      </c>
      <c r="H9" s="34">
        <f>'Balance Sheet Cons'!H16-'Balance Sheet Cons'!G16</f>
        <v>-1508.65</v>
      </c>
      <c r="I9" s="34">
        <f>'Balance Sheet Cons'!I16-'Balance Sheet Cons'!H16</f>
        <v>2749.0700000000011</v>
      </c>
      <c r="J9" s="34">
        <f>'Balance Sheet Cons'!J16-'Balance Sheet Cons'!I16</f>
        <v>-3320.5300000000011</v>
      </c>
      <c r="K9" s="34">
        <f>'Balance Sheet Cons'!K16-'Balance Sheet Cons'!J16</f>
        <v>-1134.7399999999998</v>
      </c>
      <c r="L9" s="14" t="e">
        <f>IF(((K9/C9)^(1/($L$2-1)))-1&gt;0,((K9/C9)^(1/($L$2-1)))-1,"-ve")</f>
        <v>#NUM!</v>
      </c>
    </row>
    <row r="10" spans="1:13" x14ac:dyDescent="0.25">
      <c r="A10" s="29" t="s">
        <v>95</v>
      </c>
      <c r="C10" s="34">
        <f>'Balance Sheet Cons'!C10+'Balance Sheet Cons'!C11-'Balance Sheet Cons'!B10-'Balance Sheet Cons'!B11+'Profit &amp; Loss Cons'!C8</f>
        <v>863.36000000000024</v>
      </c>
      <c r="D10" s="34">
        <f>'Balance Sheet Cons'!D10+'Balance Sheet Cons'!D11-'Balance Sheet Cons'!C10-'Balance Sheet Cons'!C11+'Profit &amp; Loss Cons'!D8</f>
        <v>561.53999999999974</v>
      </c>
      <c r="E10" s="34">
        <f>'Balance Sheet Cons'!E10+'Balance Sheet Cons'!E11-'Balance Sheet Cons'!D10-'Balance Sheet Cons'!D11+'Profit &amp; Loss Cons'!E8</f>
        <v>427.66999999999973</v>
      </c>
      <c r="F10" s="34">
        <f>'Balance Sheet Cons'!F10+'Balance Sheet Cons'!F11-'Balance Sheet Cons'!E10-'Balance Sheet Cons'!E11+'Profit &amp; Loss Cons'!F8</f>
        <v>529.18000000000018</v>
      </c>
      <c r="G10" s="34">
        <f>'Balance Sheet Cons'!G10+'Balance Sheet Cons'!G11-'Balance Sheet Cons'!F10-'Balance Sheet Cons'!F11+'Profit &amp; Loss Cons'!G8</f>
        <v>-575.18000000000029</v>
      </c>
      <c r="H10" s="34">
        <f>'Balance Sheet Cons'!H10+'Balance Sheet Cons'!H11-'Balance Sheet Cons'!G10-'Balance Sheet Cons'!G11+'Profit &amp; Loss Cons'!H8</f>
        <v>921.98999999999955</v>
      </c>
      <c r="I10" s="34">
        <f>'Balance Sheet Cons'!I10+'Balance Sheet Cons'!I11-'Balance Sheet Cons'!H10-'Balance Sheet Cons'!H11+'Profit &amp; Loss Cons'!I8</f>
        <v>-1794.4799999999998</v>
      </c>
      <c r="J10" s="34">
        <f>'Balance Sheet Cons'!J10+'Balance Sheet Cons'!J11-'Balance Sheet Cons'!I10-'Balance Sheet Cons'!I11+'Profit &amp; Loss Cons'!J8</f>
        <v>2447.86</v>
      </c>
      <c r="K10" s="34">
        <f>'Balance Sheet Cons'!K10+'Balance Sheet Cons'!K11-'Balance Sheet Cons'!J10-'Balance Sheet Cons'!J11+'Profit &amp; Loss Cons'!K8</f>
        <v>-1244.5500000000006</v>
      </c>
      <c r="L10" s="14" t="e">
        <f t="shared" ref="L10:L11" si="0">IF(((K10/C10)^(1/($L$2-1)))-1&gt;0,((K10/C10)^(1/($L$2-1)))-1,"-ve")</f>
        <v>#NUM!</v>
      </c>
    </row>
    <row r="11" spans="1:13" x14ac:dyDescent="0.25">
      <c r="A11" s="29" t="s">
        <v>100</v>
      </c>
      <c r="C11" s="34">
        <f>C4-C9-C10</f>
        <v>-746.55000000000041</v>
      </c>
      <c r="D11" s="34">
        <f t="shared" ref="D11:K11" si="1">D4-D9-D10</f>
        <v>57.5300000000002</v>
      </c>
      <c r="E11" s="34">
        <f t="shared" si="1"/>
        <v>-1547.2999999999993</v>
      </c>
      <c r="F11" s="34">
        <f t="shared" si="1"/>
        <v>-325.74000000000035</v>
      </c>
      <c r="G11" s="34">
        <f t="shared" si="1"/>
        <v>257.04000000000042</v>
      </c>
      <c r="H11" s="34">
        <f t="shared" si="1"/>
        <v>1538.5000000000007</v>
      </c>
      <c r="I11" s="34">
        <f t="shared" si="1"/>
        <v>41.019999999998845</v>
      </c>
      <c r="J11" s="34">
        <f t="shared" si="1"/>
        <v>2086.900000000001</v>
      </c>
      <c r="K11" s="34">
        <f t="shared" si="1"/>
        <v>2223.5400000000004</v>
      </c>
      <c r="L11" s="14" t="e">
        <f t="shared" si="0"/>
        <v>#NUM!</v>
      </c>
    </row>
    <row r="13" spans="1:13" x14ac:dyDescent="0.25">
      <c r="A13" s="29" t="s">
        <v>14</v>
      </c>
      <c r="B13" s="34">
        <f>'Profit &amp; Loss Cons'!B12</f>
        <v>780.05</v>
      </c>
      <c r="C13" s="34">
        <f>'Profit &amp; Loss Cons'!C12</f>
        <v>543.36</v>
      </c>
      <c r="D13" s="34">
        <f>'Profit &amp; Loss Cons'!D12</f>
        <v>186.1</v>
      </c>
      <c r="E13" s="34">
        <f>'Profit &amp; Loss Cons'!E12</f>
        <v>585.27</v>
      </c>
      <c r="F13" s="34">
        <f>'Profit &amp; Loss Cons'!F12</f>
        <v>399.32</v>
      </c>
      <c r="G13" s="34">
        <f>'Profit &amp; Loss Cons'!G12</f>
        <v>88.12</v>
      </c>
      <c r="H13" s="34">
        <f>'Profit &amp; Loss Cons'!H12</f>
        <v>253.51</v>
      </c>
      <c r="I13" s="34">
        <f>'Profit &amp; Loss Cons'!I12</f>
        <v>1304.8900000000001</v>
      </c>
      <c r="J13" s="34">
        <f>'Profit &amp; Loss Cons'!J12</f>
        <v>-123.38</v>
      </c>
      <c r="K13" s="34">
        <f>'Profit &amp; Loss Cons'!K12</f>
        <v>-231.72</v>
      </c>
      <c r="L13" s="14"/>
      <c r="M13" s="34">
        <f>SUM(B13:K13)</f>
        <v>3785.52</v>
      </c>
    </row>
    <row r="14" spans="1:13" x14ac:dyDescent="0.25">
      <c r="A14" s="29" t="s">
        <v>150</v>
      </c>
      <c r="B14" s="37">
        <f>B13/B4</f>
        <v>1.3636760952414251</v>
      </c>
      <c r="C14" s="37">
        <f t="shared" ref="C14:M14" si="2">C13/C4</f>
        <v>1.9118257626403015</v>
      </c>
      <c r="D14" s="37">
        <f t="shared" si="2"/>
        <v>0.34322494974271955</v>
      </c>
      <c r="E14" s="37">
        <f t="shared" si="2"/>
        <v>3.925088860572731</v>
      </c>
      <c r="F14" s="37">
        <f t="shared" si="2"/>
        <v>1.0522543413528682</v>
      </c>
      <c r="G14" s="37">
        <f t="shared" si="2"/>
        <v>0.12043351692656726</v>
      </c>
      <c r="H14" s="37">
        <f t="shared" si="2"/>
        <v>0.26633677929063704</v>
      </c>
      <c r="I14" s="37">
        <f t="shared" si="2"/>
        <v>1.310643725956951</v>
      </c>
      <c r="J14" s="37">
        <f t="shared" si="2"/>
        <v>-0.10161172100837568</v>
      </c>
      <c r="K14" s="37">
        <f t="shared" si="2"/>
        <v>1.4877688603531301</v>
      </c>
      <c r="L14" s="50">
        <f>AVERAGE(B14:K14)</f>
        <v>1.1679641171068955</v>
      </c>
      <c r="M14" s="52">
        <f t="shared" si="2"/>
        <v>0.66826958723030161</v>
      </c>
    </row>
    <row r="24" s="29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Working</vt:lpstr>
      <vt:lpstr>Monthly price</vt:lpstr>
      <vt:lpstr>How-To-Use</vt:lpstr>
      <vt:lpstr>Overview</vt:lpstr>
      <vt:lpstr>Data Sheet Cons</vt:lpstr>
      <vt:lpstr>Profit &amp; Loss Cons</vt:lpstr>
      <vt:lpstr>Balance Sheet Cons</vt:lpstr>
      <vt:lpstr>Quarters Cons</vt:lpstr>
      <vt:lpstr>Cash Flow Cons</vt:lpstr>
      <vt:lpstr>Data Sheet SC</vt:lpstr>
      <vt:lpstr>Profit &amp; Loss SC</vt:lpstr>
      <vt:lpstr>Balance Sheet SC</vt:lpstr>
      <vt:lpstr>Quarters SC</vt:lpstr>
      <vt:lpstr>Cash Flow SC</vt:lpstr>
      <vt:lpstr>'Data Sheet SC'!UPDATE</vt:lpstr>
      <vt:lpstr>Overview!UPDATE</vt:lpstr>
      <vt:lpstr>UPDATE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Dhiraj</cp:lastModifiedBy>
  <cp:lastPrinted>2012-12-06T18:14:13Z</cp:lastPrinted>
  <dcterms:created xsi:type="dcterms:W3CDTF">2012-08-17T09:55:37Z</dcterms:created>
  <dcterms:modified xsi:type="dcterms:W3CDTF">2021-07-19T10:23:52Z</dcterms:modified>
</cp:coreProperties>
</file>