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280" windowHeight="8160" firstSheet="1" activeTab="3"/>
  </bookViews>
  <sheets>
    <sheet name="Monthly data" sheetId="2" state="hidden" r:id="rId1"/>
    <sheet name="Birtannia 1991 onwards BSE Mont" sheetId="4" r:id="rId2"/>
    <sheet name="Old Working Bonus and Divid" sheetId="1" r:id="rId3"/>
    <sheet name="Britannia past 01" sheetId="3" r:id="rId4"/>
  </sheets>
  <definedNames>
    <definedName name="_xlnm._FilterDatabase" localSheetId="1" hidden="1">'Birtannia 1991 onwards BSE Mont'!$A$1:$M$363</definedName>
    <definedName name="_xlnm._FilterDatabase" localSheetId="2" hidden="1">'Old Working Bonus and Divid'!$C$1:$F$62</definedName>
  </definedNames>
  <calcPr calcId="145621"/>
</workbook>
</file>

<file path=xl/calcChain.xml><?xml version="1.0" encoding="utf-8"?>
<calcChain xmlns="http://schemas.openxmlformats.org/spreadsheetml/2006/main">
  <c r="AG74" i="3" l="1"/>
  <c r="AG31" i="3"/>
  <c r="AG75" i="3"/>
  <c r="AE78" i="3"/>
  <c r="L85" i="3"/>
  <c r="L84" i="3"/>
  <c r="L83" i="3"/>
  <c r="L82" i="3"/>
  <c r="L81" i="3"/>
  <c r="T85" i="3"/>
  <c r="T84" i="3"/>
  <c r="T83" i="3"/>
  <c r="T82" i="3"/>
  <c r="T81" i="3"/>
  <c r="P85" i="3"/>
  <c r="P81" i="3"/>
  <c r="O81" i="3"/>
  <c r="O85" i="3"/>
  <c r="P84" i="3"/>
  <c r="P83" i="3"/>
  <c r="P82" i="3"/>
  <c r="O84" i="3"/>
  <c r="O83" i="3"/>
  <c r="O82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30" i="3"/>
  <c r="A82" i="3"/>
  <c r="A83" i="3"/>
  <c r="A84" i="3"/>
  <c r="A85" i="3"/>
  <c r="A81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AG73" i="3"/>
  <c r="C73" i="3"/>
  <c r="C72" i="3"/>
  <c r="C71" i="3"/>
  <c r="C70" i="3"/>
  <c r="C69" i="3"/>
  <c r="C68" i="3"/>
  <c r="C67" i="3"/>
  <c r="C66" i="3"/>
  <c r="P66" i="3" s="1"/>
  <c r="C65" i="3"/>
  <c r="C64" i="3"/>
  <c r="P64" i="3" s="1"/>
  <c r="C63" i="3"/>
  <c r="AC75" i="3"/>
  <c r="AC31" i="3"/>
  <c r="Z65" i="3"/>
  <c r="Z64" i="3"/>
  <c r="AB44" i="3"/>
  <c r="AB43" i="3"/>
  <c r="AB42" i="3"/>
  <c r="AB41" i="3"/>
  <c r="AB40" i="3"/>
  <c r="AB39" i="3"/>
  <c r="AB38" i="3"/>
  <c r="AB37" i="3"/>
  <c r="Z73" i="3"/>
  <c r="Z32" i="3"/>
  <c r="AC32" i="3" s="1"/>
  <c r="Z33" i="3"/>
  <c r="AC33" i="3" s="1"/>
  <c r="Z34" i="3"/>
  <c r="AC34" i="3" s="1"/>
  <c r="Z35" i="3"/>
  <c r="AC35" i="3" s="1"/>
  <c r="Z36" i="3"/>
  <c r="AC36" i="3" s="1"/>
  <c r="Z37" i="3"/>
  <c r="Z42" i="3"/>
  <c r="Z43" i="3"/>
  <c r="Z44" i="3"/>
  <c r="Z45" i="3"/>
  <c r="Z46" i="3"/>
  <c r="Z47" i="3"/>
  <c r="Z49" i="3"/>
  <c r="Z50" i="3"/>
  <c r="Z51" i="3"/>
  <c r="Z52" i="3"/>
  <c r="Z53" i="3"/>
  <c r="Z54" i="3"/>
  <c r="Z55" i="3"/>
  <c r="Z58" i="3"/>
  <c r="Z59" i="3"/>
  <c r="Z60" i="3"/>
  <c r="Z61" i="3"/>
  <c r="Z62" i="3"/>
  <c r="Z31" i="3"/>
  <c r="AC30" i="3"/>
  <c r="Y30" i="3"/>
  <c r="P73" i="3"/>
  <c r="P72" i="3"/>
  <c r="P71" i="3"/>
  <c r="P70" i="3"/>
  <c r="P69" i="3"/>
  <c r="P68" i="3"/>
  <c r="P67" i="3"/>
  <c r="P65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Q73" i="3" l="1"/>
  <c r="M73" i="3"/>
  <c r="N73" i="3"/>
  <c r="O73" i="3" s="1"/>
  <c r="S73" i="3"/>
  <c r="N68" i="3"/>
  <c r="O68" i="3" s="1"/>
  <c r="M68" i="3"/>
  <c r="N67" i="3"/>
  <c r="O67" i="3" s="1"/>
  <c r="M67" i="3"/>
  <c r="N66" i="3"/>
  <c r="M66" i="3"/>
  <c r="N65" i="3"/>
  <c r="O65" i="3" s="1"/>
  <c r="M65" i="3"/>
  <c r="N64" i="3"/>
  <c r="M64" i="3"/>
  <c r="N63" i="3"/>
  <c r="O63" i="3" s="1"/>
  <c r="M63" i="3"/>
  <c r="N62" i="3"/>
  <c r="M62" i="3"/>
  <c r="N61" i="3"/>
  <c r="O61" i="3" s="1"/>
  <c r="M61" i="3"/>
  <c r="N60" i="3"/>
  <c r="M60" i="3"/>
  <c r="N59" i="3"/>
  <c r="O59" i="3" s="1"/>
  <c r="M59" i="3"/>
  <c r="M50" i="3"/>
  <c r="M51" i="3"/>
  <c r="M52" i="3"/>
  <c r="M53" i="3"/>
  <c r="M54" i="3"/>
  <c r="M55" i="3"/>
  <c r="M56" i="3"/>
  <c r="M57" i="3"/>
  <c r="M58" i="3"/>
  <c r="T74" i="3"/>
  <c r="AG72" i="3"/>
  <c r="S72" i="3"/>
  <c r="Q72" i="3"/>
  <c r="N72" i="3"/>
  <c r="O72" i="3" s="1"/>
  <c r="M72" i="3"/>
  <c r="D72" i="3"/>
  <c r="S71" i="3"/>
  <c r="Q71" i="3"/>
  <c r="N71" i="3"/>
  <c r="O71" i="3" s="1"/>
  <c r="M71" i="3"/>
  <c r="D71" i="3"/>
  <c r="S70" i="3"/>
  <c r="Q70" i="3"/>
  <c r="N70" i="3"/>
  <c r="O70" i="3" s="1"/>
  <c r="M70" i="3"/>
  <c r="D70" i="3"/>
  <c r="S69" i="3"/>
  <c r="Q69" i="3"/>
  <c r="N69" i="3"/>
  <c r="O69" i="3" s="1"/>
  <c r="M69" i="3"/>
  <c r="D69" i="3"/>
  <c r="S68" i="3"/>
  <c r="Q68" i="3"/>
  <c r="D68" i="3"/>
  <c r="S67" i="3"/>
  <c r="Q67" i="3"/>
  <c r="D67" i="3"/>
  <c r="S66" i="3"/>
  <c r="Q66" i="3"/>
  <c r="O66" i="3"/>
  <c r="D66" i="3"/>
  <c r="S65" i="3"/>
  <c r="Q65" i="3"/>
  <c r="D65" i="3"/>
  <c r="S64" i="3"/>
  <c r="Q64" i="3"/>
  <c r="O64" i="3"/>
  <c r="D64" i="3"/>
  <c r="S63" i="3"/>
  <c r="Q63" i="3"/>
  <c r="D63" i="3"/>
  <c r="S62" i="3"/>
  <c r="Q62" i="3"/>
  <c r="O62" i="3"/>
  <c r="D62" i="3"/>
  <c r="S61" i="3"/>
  <c r="Q61" i="3"/>
  <c r="D61" i="3"/>
  <c r="S60" i="3"/>
  <c r="Q60" i="3"/>
  <c r="O60" i="3"/>
  <c r="D60" i="3"/>
  <c r="S59" i="3"/>
  <c r="Q59" i="3"/>
  <c r="D59" i="3"/>
  <c r="S58" i="3"/>
  <c r="Q58" i="3"/>
  <c r="N58" i="3"/>
  <c r="O58" i="3" s="1"/>
  <c r="D58" i="3"/>
  <c r="S57" i="3"/>
  <c r="Q57" i="3"/>
  <c r="N57" i="3"/>
  <c r="O57" i="3" s="1"/>
  <c r="D57" i="3"/>
  <c r="S56" i="3"/>
  <c r="Q56" i="3"/>
  <c r="N56" i="3"/>
  <c r="O56" i="3" s="1"/>
  <c r="D56" i="3"/>
  <c r="S55" i="3"/>
  <c r="Q55" i="3"/>
  <c r="N55" i="3"/>
  <c r="O55" i="3" s="1"/>
  <c r="D55" i="3"/>
  <c r="S54" i="3"/>
  <c r="Q54" i="3"/>
  <c r="N54" i="3"/>
  <c r="O54" i="3" s="1"/>
  <c r="D54" i="3"/>
  <c r="S53" i="3"/>
  <c r="Q53" i="3"/>
  <c r="N53" i="3"/>
  <c r="O53" i="3" s="1"/>
  <c r="D53" i="3"/>
  <c r="S52" i="3"/>
  <c r="Q52" i="3"/>
  <c r="N52" i="3"/>
  <c r="O52" i="3" s="1"/>
  <c r="D52" i="3"/>
  <c r="S51" i="3"/>
  <c r="Q51" i="3"/>
  <c r="N51" i="3"/>
  <c r="O51" i="3" s="1"/>
  <c r="D51" i="3"/>
  <c r="S50" i="3"/>
  <c r="Q50" i="3"/>
  <c r="N50" i="3"/>
  <c r="O50" i="3" s="1"/>
  <c r="D50" i="3"/>
  <c r="S49" i="3"/>
  <c r="Q49" i="3"/>
  <c r="N49" i="3"/>
  <c r="O49" i="3" s="1"/>
  <c r="M49" i="3"/>
  <c r="D49" i="3"/>
  <c r="S48" i="3"/>
  <c r="Q48" i="3"/>
  <c r="N48" i="3"/>
  <c r="M48" i="3"/>
  <c r="D48" i="3"/>
  <c r="S47" i="3"/>
  <c r="Q47" i="3"/>
  <c r="P47" i="3"/>
  <c r="O47" i="3"/>
  <c r="L47" i="3"/>
  <c r="T47" i="3" s="1"/>
  <c r="S46" i="3"/>
  <c r="Q46" i="3"/>
  <c r="P46" i="3"/>
  <c r="O46" i="3"/>
  <c r="L46" i="3"/>
  <c r="T46" i="3" s="1"/>
  <c r="S45" i="3"/>
  <c r="Q45" i="3"/>
  <c r="P45" i="3"/>
  <c r="O45" i="3"/>
  <c r="L45" i="3"/>
  <c r="T45" i="3" s="1"/>
  <c r="S44" i="3"/>
  <c r="Q44" i="3"/>
  <c r="P44" i="3"/>
  <c r="O44" i="3"/>
  <c r="L44" i="3"/>
  <c r="T44" i="3" s="1"/>
  <c r="S43" i="3"/>
  <c r="Q43" i="3"/>
  <c r="P43" i="3"/>
  <c r="O43" i="3"/>
  <c r="L43" i="3"/>
  <c r="T43" i="3" s="1"/>
  <c r="AC42" i="3"/>
  <c r="S42" i="3"/>
  <c r="Q42" i="3"/>
  <c r="P42" i="3"/>
  <c r="O42" i="3"/>
  <c r="L42" i="3"/>
  <c r="T42" i="3" s="1"/>
  <c r="AC41" i="3"/>
  <c r="S41" i="3"/>
  <c r="Q41" i="3"/>
  <c r="P41" i="3"/>
  <c r="O41" i="3"/>
  <c r="L41" i="3"/>
  <c r="T41" i="3" s="1"/>
  <c r="S40" i="3"/>
  <c r="Q40" i="3"/>
  <c r="P40" i="3"/>
  <c r="O40" i="3"/>
  <c r="L40" i="3"/>
  <c r="T40" i="3" s="1"/>
  <c r="AC39" i="3"/>
  <c r="S39" i="3"/>
  <c r="Q39" i="3"/>
  <c r="P39" i="3"/>
  <c r="O39" i="3"/>
  <c r="L39" i="3"/>
  <c r="T39" i="3" s="1"/>
  <c r="AC38" i="3"/>
  <c r="S38" i="3"/>
  <c r="Q38" i="3"/>
  <c r="P38" i="3"/>
  <c r="O38" i="3"/>
  <c r="L38" i="3"/>
  <c r="T38" i="3" s="1"/>
  <c r="AC37" i="3"/>
  <c r="S37" i="3"/>
  <c r="Q37" i="3"/>
  <c r="P37" i="3"/>
  <c r="O37" i="3"/>
  <c r="L37" i="3"/>
  <c r="T37" i="3" s="1"/>
  <c r="S36" i="3"/>
  <c r="Q36" i="3"/>
  <c r="P36" i="3"/>
  <c r="O36" i="3"/>
  <c r="L36" i="3"/>
  <c r="T36" i="3" s="1"/>
  <c r="S35" i="3"/>
  <c r="Q35" i="3"/>
  <c r="P35" i="3"/>
  <c r="O35" i="3"/>
  <c r="L35" i="3"/>
  <c r="T35" i="3" s="1"/>
  <c r="S34" i="3"/>
  <c r="Q34" i="3"/>
  <c r="P34" i="3"/>
  <c r="O34" i="3"/>
  <c r="L34" i="3"/>
  <c r="T34" i="3" s="1"/>
  <c r="S33" i="3"/>
  <c r="Q33" i="3"/>
  <c r="P33" i="3"/>
  <c r="O33" i="3"/>
  <c r="L33" i="3"/>
  <c r="T33" i="3" s="1"/>
  <c r="S32" i="3"/>
  <c r="Q32" i="3"/>
  <c r="P32" i="3"/>
  <c r="O32" i="3"/>
  <c r="L32" i="3"/>
  <c r="T32" i="3" s="1"/>
  <c r="S31" i="3"/>
  <c r="Q31" i="3"/>
  <c r="P31" i="3"/>
  <c r="O31" i="3"/>
  <c r="L31" i="3"/>
  <c r="T31" i="3" s="1"/>
  <c r="S30" i="3"/>
  <c r="Q30" i="3"/>
  <c r="P30" i="3"/>
  <c r="O30" i="3"/>
  <c r="L30" i="3"/>
  <c r="L10" i="3"/>
  <c r="L9" i="3"/>
  <c r="C9" i="3"/>
  <c r="L8" i="3"/>
  <c r="J8" i="3"/>
  <c r="F8" i="3"/>
  <c r="L7" i="3"/>
  <c r="F7" i="3"/>
  <c r="L6" i="3"/>
  <c r="F6" i="3"/>
  <c r="L5" i="3"/>
  <c r="L4" i="3"/>
  <c r="AC2" i="3"/>
  <c r="Y2" i="3"/>
  <c r="AG30" i="3" l="1"/>
  <c r="T30" i="3"/>
  <c r="AC43" i="3"/>
  <c r="AC40" i="3"/>
  <c r="L286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" i="2"/>
  <c r="AB45" i="3" l="1"/>
  <c r="AD45" i="3" s="1"/>
  <c r="AC44" i="3"/>
  <c r="Q36" i="1"/>
  <c r="AC45" i="3" l="1"/>
  <c r="AB46" i="3"/>
  <c r="AD46" i="3" s="1"/>
  <c r="P62" i="1"/>
  <c r="P63" i="1"/>
  <c r="N65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24" i="1"/>
  <c r="O56" i="1"/>
  <c r="O57" i="1"/>
  <c r="O58" i="1"/>
  <c r="O59" i="1"/>
  <c r="O60" i="1"/>
  <c r="O61" i="1"/>
  <c r="O62" i="1"/>
  <c r="O55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24" i="1"/>
  <c r="N45" i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44" i="1"/>
  <c r="N36" i="1"/>
  <c r="N37" i="1"/>
  <c r="N38" i="1" s="1"/>
  <c r="N39" i="1" s="1"/>
  <c r="N40" i="1" s="1"/>
  <c r="N41" i="1" s="1"/>
  <c r="N42" i="1" s="1"/>
  <c r="N43" i="1" s="1"/>
  <c r="N35" i="1"/>
  <c r="N34" i="1"/>
  <c r="N33" i="1"/>
  <c r="N30" i="1"/>
  <c r="N31" i="1"/>
  <c r="N32" i="1" s="1"/>
  <c r="N29" i="1"/>
  <c r="I44" i="1"/>
  <c r="I35" i="1"/>
  <c r="I33" i="1"/>
  <c r="I29" i="1"/>
  <c r="I21" i="1"/>
  <c r="H15" i="1"/>
  <c r="I16" i="1"/>
  <c r="I14" i="1"/>
  <c r="I12" i="1"/>
  <c r="H8" i="1"/>
  <c r="H7" i="1"/>
  <c r="J7" i="1" s="1"/>
  <c r="K7" i="1" s="1"/>
  <c r="M7" i="1" s="1"/>
  <c r="M3" i="1"/>
  <c r="M2" i="1"/>
  <c r="K3" i="1"/>
  <c r="J4" i="1"/>
  <c r="K4" i="1" s="1"/>
  <c r="M4" i="1" s="1"/>
  <c r="J5" i="1"/>
  <c r="K5" i="1" s="1"/>
  <c r="M5" i="1" s="1"/>
  <c r="J6" i="1"/>
  <c r="K6" i="1" s="1"/>
  <c r="M6" i="1" s="1"/>
  <c r="J3" i="1"/>
  <c r="AB47" i="3" l="1"/>
  <c r="AD47" i="3" s="1"/>
  <c r="AC46" i="3"/>
  <c r="H9" i="1"/>
  <c r="J8" i="1"/>
  <c r="K8" i="1" s="1"/>
  <c r="M8" i="1" s="1"/>
  <c r="AB48" i="3" l="1"/>
  <c r="AD48" i="3" s="1"/>
  <c r="AC47" i="3"/>
  <c r="H10" i="1"/>
  <c r="J10" i="1" s="1"/>
  <c r="K10" i="1" s="1"/>
  <c r="M10" i="1" s="1"/>
  <c r="J9" i="1"/>
  <c r="K9" i="1" s="1"/>
  <c r="M9" i="1" s="1"/>
  <c r="AB49" i="3" l="1"/>
  <c r="AD49" i="3" s="1"/>
  <c r="AC48" i="3"/>
  <c r="H11" i="1"/>
  <c r="I8" i="1"/>
  <c r="H6" i="1"/>
  <c r="H5" i="1"/>
  <c r="H4" i="1"/>
  <c r="AB50" i="3" l="1"/>
  <c r="AD50" i="3" s="1"/>
  <c r="AC49" i="3"/>
  <c r="H12" i="1"/>
  <c r="J11" i="1"/>
  <c r="K11" i="1" s="1"/>
  <c r="M11" i="1" s="1"/>
  <c r="AB51" i="3" l="1"/>
  <c r="AD51" i="3" s="1"/>
  <c r="AC50" i="3"/>
  <c r="H13" i="1"/>
  <c r="J12" i="1"/>
  <c r="K12" i="1" s="1"/>
  <c r="M12" i="1" s="1"/>
  <c r="AB52" i="3" l="1"/>
  <c r="AD52" i="3" s="1"/>
  <c r="AC51" i="3"/>
  <c r="H14" i="1"/>
  <c r="J13" i="1"/>
  <c r="K13" i="1" s="1"/>
  <c r="M13" i="1" s="1"/>
  <c r="AB53" i="3" l="1"/>
  <c r="AD53" i="3" s="1"/>
  <c r="AC52" i="3"/>
  <c r="J14" i="1"/>
  <c r="K14" i="1" s="1"/>
  <c r="M14" i="1" s="1"/>
  <c r="AB54" i="3" l="1"/>
  <c r="AD54" i="3" s="1"/>
  <c r="AC53" i="3"/>
  <c r="H16" i="1"/>
  <c r="J15" i="1"/>
  <c r="K15" i="1" s="1"/>
  <c r="M15" i="1" s="1"/>
  <c r="AC54" i="3" l="1"/>
  <c r="AB55" i="3"/>
  <c r="AD55" i="3" s="1"/>
  <c r="H17" i="1"/>
  <c r="J16" i="1"/>
  <c r="K16" i="1" s="1"/>
  <c r="M16" i="1" s="1"/>
  <c r="AB56" i="3" l="1"/>
  <c r="AD56" i="3" s="1"/>
  <c r="AC55" i="3"/>
  <c r="H18" i="1"/>
  <c r="J17" i="1"/>
  <c r="K17" i="1" s="1"/>
  <c r="M17" i="1" s="1"/>
  <c r="AB57" i="3" l="1"/>
  <c r="AD57" i="3" s="1"/>
  <c r="AC56" i="3"/>
  <c r="H19" i="1"/>
  <c r="J18" i="1"/>
  <c r="K18" i="1" s="1"/>
  <c r="M18" i="1" s="1"/>
  <c r="AB58" i="3" l="1"/>
  <c r="AD58" i="3" s="1"/>
  <c r="AC57" i="3"/>
  <c r="H20" i="1"/>
  <c r="J19" i="1"/>
  <c r="K19" i="1" s="1"/>
  <c r="M19" i="1" s="1"/>
  <c r="AB59" i="3" l="1"/>
  <c r="AD59" i="3" s="1"/>
  <c r="AC58" i="3"/>
  <c r="H21" i="1"/>
  <c r="J20" i="1"/>
  <c r="K20" i="1" s="1"/>
  <c r="M20" i="1" s="1"/>
  <c r="AB60" i="3" l="1"/>
  <c r="AD60" i="3" s="1"/>
  <c r="AC59" i="3"/>
  <c r="H22" i="1"/>
  <c r="J21" i="1"/>
  <c r="K21" i="1" s="1"/>
  <c r="M21" i="1" s="1"/>
  <c r="AB61" i="3" l="1"/>
  <c r="AD61" i="3" s="1"/>
  <c r="AC60" i="3"/>
  <c r="H23" i="1"/>
  <c r="J22" i="1"/>
  <c r="K22" i="1" s="1"/>
  <c r="M22" i="1" s="1"/>
  <c r="AB62" i="3" l="1"/>
  <c r="AC61" i="3"/>
  <c r="H24" i="1"/>
  <c r="J23" i="1"/>
  <c r="K23" i="1" s="1"/>
  <c r="M23" i="1" s="1"/>
  <c r="AB63" i="3" l="1"/>
  <c r="AD62" i="3"/>
  <c r="AC62" i="3"/>
  <c r="H25" i="1"/>
  <c r="J24" i="1"/>
  <c r="K24" i="1" s="1"/>
  <c r="M24" i="1" s="1"/>
  <c r="AD63" i="3" l="1"/>
  <c r="AC63" i="3"/>
  <c r="AB64" i="3"/>
  <c r="AD64" i="3" s="1"/>
  <c r="H26" i="1"/>
  <c r="J25" i="1"/>
  <c r="K25" i="1" s="1"/>
  <c r="M25" i="1" s="1"/>
  <c r="AB65" i="3" l="1"/>
  <c r="AC64" i="3"/>
  <c r="H27" i="1"/>
  <c r="J26" i="1"/>
  <c r="K26" i="1" s="1"/>
  <c r="M26" i="1" s="1"/>
  <c r="AD65" i="3" l="1"/>
  <c r="AC65" i="3"/>
  <c r="AB66" i="3"/>
  <c r="AD66" i="3" s="1"/>
  <c r="H28" i="1"/>
  <c r="J27" i="1"/>
  <c r="K27" i="1" s="1"/>
  <c r="M27" i="1" s="1"/>
  <c r="AC66" i="3" l="1"/>
  <c r="AB67" i="3"/>
  <c r="H29" i="1"/>
  <c r="J28" i="1"/>
  <c r="K28" i="1" s="1"/>
  <c r="M28" i="1" s="1"/>
  <c r="AD67" i="3" l="1"/>
  <c r="AC67" i="3"/>
  <c r="AB68" i="3"/>
  <c r="H30" i="1"/>
  <c r="J29" i="1"/>
  <c r="K29" i="1" s="1"/>
  <c r="M29" i="1" s="1"/>
  <c r="AC68" i="3" l="1"/>
  <c r="AD68" i="3"/>
  <c r="AB69" i="3"/>
  <c r="AD69" i="3" s="1"/>
  <c r="H31" i="1"/>
  <c r="J30" i="1"/>
  <c r="K30" i="1" s="1"/>
  <c r="M30" i="1" s="1"/>
  <c r="AC69" i="3" l="1"/>
  <c r="AB70" i="3"/>
  <c r="H32" i="1"/>
  <c r="J31" i="1"/>
  <c r="K31" i="1" s="1"/>
  <c r="M31" i="1" s="1"/>
  <c r="AC70" i="3" l="1"/>
  <c r="AD70" i="3"/>
  <c r="AB71" i="3"/>
  <c r="H33" i="1"/>
  <c r="J32" i="1"/>
  <c r="K32" i="1" s="1"/>
  <c r="M32" i="1" s="1"/>
  <c r="AD71" i="3" l="1"/>
  <c r="AB72" i="3"/>
  <c r="AC71" i="3"/>
  <c r="J33" i="1"/>
  <c r="K33" i="1" s="1"/>
  <c r="M33" i="1" s="1"/>
  <c r="H34" i="1"/>
  <c r="AC72" i="3" l="1"/>
  <c r="AD72" i="3"/>
  <c r="AB73" i="3"/>
  <c r="H35" i="1"/>
  <c r="J34" i="1"/>
  <c r="K34" i="1" s="1"/>
  <c r="M34" i="1" s="1"/>
  <c r="AC73" i="3" l="1"/>
  <c r="AC74" i="3" s="1"/>
  <c r="AD73" i="3"/>
  <c r="H36" i="1"/>
  <c r="J35" i="1"/>
  <c r="K35" i="1" s="1"/>
  <c r="M35" i="1" s="1"/>
  <c r="H37" i="1" l="1"/>
  <c r="J36" i="1"/>
  <c r="K36" i="1" s="1"/>
  <c r="M36" i="1" s="1"/>
  <c r="H38" i="1" l="1"/>
  <c r="J37" i="1"/>
  <c r="K37" i="1" s="1"/>
  <c r="M37" i="1" s="1"/>
  <c r="H39" i="1" l="1"/>
  <c r="J38" i="1"/>
  <c r="K38" i="1" s="1"/>
  <c r="M38" i="1" s="1"/>
  <c r="H40" i="1" l="1"/>
  <c r="J39" i="1"/>
  <c r="K39" i="1" s="1"/>
  <c r="M39" i="1" s="1"/>
  <c r="H41" i="1" l="1"/>
  <c r="J40" i="1"/>
  <c r="K40" i="1" s="1"/>
  <c r="M40" i="1" s="1"/>
  <c r="H42" i="1" l="1"/>
  <c r="J41" i="1"/>
  <c r="K41" i="1" s="1"/>
  <c r="M41" i="1" s="1"/>
  <c r="H43" i="1" l="1"/>
  <c r="J42" i="1"/>
  <c r="K42" i="1" s="1"/>
  <c r="M42" i="1" s="1"/>
  <c r="H44" i="1" l="1"/>
  <c r="J43" i="1"/>
  <c r="K43" i="1" s="1"/>
  <c r="M43" i="1" s="1"/>
  <c r="H45" i="1" l="1"/>
  <c r="J44" i="1"/>
  <c r="K44" i="1" s="1"/>
  <c r="M44" i="1" s="1"/>
  <c r="H46" i="1" l="1"/>
  <c r="J45" i="1"/>
  <c r="K45" i="1" s="1"/>
  <c r="M45" i="1" s="1"/>
  <c r="H47" i="1" l="1"/>
  <c r="J46" i="1"/>
  <c r="K46" i="1" s="1"/>
  <c r="M46" i="1" s="1"/>
  <c r="H48" i="1" l="1"/>
  <c r="J47" i="1"/>
  <c r="K47" i="1" s="1"/>
  <c r="M47" i="1" s="1"/>
  <c r="H49" i="1" l="1"/>
  <c r="J48" i="1"/>
  <c r="K48" i="1" s="1"/>
  <c r="M48" i="1" s="1"/>
  <c r="H50" i="1" l="1"/>
  <c r="J49" i="1"/>
  <c r="K49" i="1" s="1"/>
  <c r="M49" i="1" s="1"/>
  <c r="H51" i="1" l="1"/>
  <c r="J50" i="1"/>
  <c r="K50" i="1" s="1"/>
  <c r="M50" i="1" s="1"/>
  <c r="H52" i="1" l="1"/>
  <c r="J51" i="1"/>
  <c r="K51" i="1" s="1"/>
  <c r="M51" i="1" s="1"/>
  <c r="H53" i="1" l="1"/>
  <c r="J52" i="1"/>
  <c r="K52" i="1" s="1"/>
  <c r="M52" i="1" s="1"/>
  <c r="H54" i="1" l="1"/>
  <c r="J53" i="1"/>
  <c r="K53" i="1" s="1"/>
  <c r="M53" i="1" s="1"/>
  <c r="H55" i="1" l="1"/>
  <c r="J54" i="1"/>
  <c r="K54" i="1" s="1"/>
  <c r="M54" i="1" s="1"/>
  <c r="H56" i="1" l="1"/>
  <c r="J55" i="1"/>
  <c r="K55" i="1" s="1"/>
  <c r="M55" i="1" s="1"/>
  <c r="H57" i="1" l="1"/>
  <c r="J56" i="1"/>
  <c r="K56" i="1" s="1"/>
  <c r="M56" i="1" s="1"/>
  <c r="H58" i="1" l="1"/>
  <c r="J57" i="1"/>
  <c r="K57" i="1" s="1"/>
  <c r="M57" i="1" s="1"/>
  <c r="H59" i="1" l="1"/>
  <c r="J58" i="1"/>
  <c r="K58" i="1" s="1"/>
  <c r="M58" i="1" s="1"/>
  <c r="H60" i="1" l="1"/>
  <c r="J59" i="1"/>
  <c r="K59" i="1" s="1"/>
  <c r="M59" i="1" s="1"/>
  <c r="H61" i="1" l="1"/>
  <c r="J60" i="1"/>
  <c r="K60" i="1" s="1"/>
  <c r="M60" i="1" s="1"/>
  <c r="H62" i="1" l="1"/>
  <c r="J62" i="1" s="1"/>
  <c r="K62" i="1" s="1"/>
  <c r="M62" i="1" s="1"/>
  <c r="J61" i="1"/>
  <c r="K61" i="1" s="1"/>
  <c r="M61" i="1" s="1"/>
  <c r="M63" i="1" l="1"/>
</calcChain>
</file>

<file path=xl/comments1.xml><?xml version="1.0" encoding="utf-8"?>
<comments xmlns="http://schemas.openxmlformats.org/spreadsheetml/2006/main">
  <authors>
    <author>Dhiraj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IPO Price assumed at par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Page 824 of Calcutta Year Book 1938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Page 509 PDF file Calcutta Year book 1940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From company details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As per company details
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AR FY2005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Net Fixed Assets</t>
        </r>
      </text>
    </comment>
    <comment ref="Z51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Pre 2019 bonus</t>
        </r>
      </text>
    </comment>
    <comment ref="R7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31 Nov 2018 Split date</t>
        </r>
      </text>
    </comment>
  </commentList>
</comments>
</file>

<file path=xl/sharedStrings.xml><?xml version="1.0" encoding="utf-8"?>
<sst xmlns="http://schemas.openxmlformats.org/spreadsheetml/2006/main" count="648" uniqueCount="200">
  <si>
    <t>Bonus @ 1 : 2</t>
  </si>
  <si>
    <t>Bonus @ 4 : 9</t>
  </si>
  <si>
    <t>Bonus @ 2 : 3</t>
  </si>
  <si>
    <t>Bonus @ 3 : 5</t>
  </si>
  <si>
    <t>Bonus @ 7 : 10</t>
  </si>
  <si>
    <t>Public Issue of 18 Lacs Shares @ Rs.10 /-+Rs.5/-Premium</t>
  </si>
  <si>
    <t>Bonus @ 2 : 5</t>
  </si>
  <si>
    <t>Buy back</t>
  </si>
  <si>
    <t>Year</t>
  </si>
  <si>
    <t>Period</t>
  </si>
  <si>
    <t>Remarks</t>
  </si>
  <si>
    <t>April-March</t>
  </si>
  <si>
    <r>
      <rPr>
        <b/>
        <sz val="10"/>
        <color rgb="FF000000"/>
        <rFont val="Arial"/>
        <family val="2"/>
      </rPr>
      <t>Dividend</t>
    </r>
    <r>
      <rPr>
        <sz val="10"/>
        <color theme="1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%</t>
    </r>
  </si>
  <si>
    <r>
      <rPr>
        <b/>
        <sz val="10"/>
        <color rgb="FF000000"/>
        <rFont val="Arial"/>
        <family val="2"/>
      </rPr>
      <t>Equity</t>
    </r>
    <r>
      <rPr>
        <sz val="10"/>
        <color theme="1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'000</t>
    </r>
  </si>
  <si>
    <t>8 Sep 2010 Split in 2 Paid up from 10 paid up</t>
  </si>
  <si>
    <t>FV</t>
  </si>
  <si>
    <t>No of share</t>
  </si>
  <si>
    <t>DPS</t>
  </si>
  <si>
    <t>Proportion</t>
  </si>
  <si>
    <t>Holding FV</t>
  </si>
  <si>
    <t>April 80-June 81</t>
  </si>
  <si>
    <t>July-June</t>
  </si>
  <si>
    <t>July 84-Nov 85</t>
  </si>
  <si>
    <t>Dec-Nov</t>
  </si>
  <si>
    <t>Dec-March</t>
  </si>
  <si>
    <t>Date</t>
  </si>
  <si>
    <t>Cashflow</t>
  </si>
  <si>
    <t>Share price</t>
  </si>
  <si>
    <t>XIRR</t>
  </si>
  <si>
    <t>Public SH Holding</t>
  </si>
  <si>
    <t>Public shareholder cashflow</t>
  </si>
  <si>
    <t>High</t>
  </si>
  <si>
    <t>Low</t>
  </si>
  <si>
    <t>Close</t>
  </si>
  <si>
    <t>P/E High</t>
  </si>
  <si>
    <t>P/E Low</t>
  </si>
  <si>
    <t>P/E Close</t>
  </si>
  <si>
    <t>Volume</t>
  </si>
  <si>
    <t>Turnover </t>
  </si>
  <si>
    <t>(Rs.in Millions)</t>
  </si>
  <si>
    <t>Market Capital </t>
  </si>
  <si>
    <t>NA</t>
  </si>
  <si>
    <t>Latest Price</t>
  </si>
  <si>
    <t>Latest Equity (Rs. in Millions)</t>
  </si>
  <si>
    <t>PE ( TTM )</t>
  </si>
  <si>
    <t>P/ BV</t>
  </si>
  <si>
    <t>P / CEPS [T T M]</t>
  </si>
  <si>
    <t>EV / EBIDTA[TTM]</t>
  </si>
  <si>
    <t>Market Cap (Rs. in Millions)</t>
  </si>
  <si>
    <t>Market Cap/ Sales [TTM]</t>
  </si>
  <si>
    <t>Dividend Yield</t>
  </si>
  <si>
    <t>Dividend(%)</t>
  </si>
  <si>
    <t>ROCE (%)</t>
  </si>
  <si>
    <t>RONW (%)</t>
  </si>
  <si>
    <t>Latest EPS [ T T M]</t>
  </si>
  <si>
    <t>52 Weeks High/ Low</t>
  </si>
  <si>
    <t>Face Value (Rs.)</t>
  </si>
  <si>
    <t>Total Debt (Rs. in Millions)</t>
  </si>
  <si>
    <t>3472.05 / 2610.03</t>
  </si>
  <si>
    <t>Rs Cr Market Cap</t>
  </si>
  <si>
    <t>Price List</t>
  </si>
  <si>
    <t>Year end</t>
  </si>
  <si>
    <t>Div Rs</t>
  </si>
  <si>
    <t>Trade date</t>
  </si>
  <si>
    <t>Face Value</t>
  </si>
  <si>
    <t>UnAdjusted price</t>
  </si>
  <si>
    <t>Gross Block (Lakh)</t>
  </si>
  <si>
    <t>Dep (Lakh)</t>
  </si>
  <si>
    <t>Reserve (Lakh)</t>
  </si>
  <si>
    <t>Paidup Cap. (Lakh)</t>
  </si>
  <si>
    <t>Debt</t>
  </si>
  <si>
    <t>Net profit Rs Lakh</t>
  </si>
  <si>
    <t>BV per share</t>
  </si>
  <si>
    <t>EPS</t>
  </si>
  <si>
    <t>PE</t>
  </si>
  <si>
    <t>Div Yield</t>
  </si>
  <si>
    <t>Capital Change</t>
  </si>
  <si>
    <t>Factor</t>
  </si>
  <si>
    <t>Mkt Cap Rs Cr</t>
  </si>
  <si>
    <t>Cashflow per share</t>
  </si>
  <si>
    <t>Type</t>
  </si>
  <si>
    <t>Holding</t>
  </si>
  <si>
    <t>Total cashflow</t>
  </si>
  <si>
    <t>Net profit</t>
  </si>
  <si>
    <t>IPO Date</t>
  </si>
  <si>
    <t>IPO</t>
  </si>
  <si>
    <t>n.a.</t>
  </si>
  <si>
    <t>Bonus</t>
  </si>
  <si>
    <t>Dividend FY84</t>
  </si>
  <si>
    <t>Dividend FY85</t>
  </si>
  <si>
    <t>Dividend FY86</t>
  </si>
  <si>
    <t>Dividend FY87</t>
  </si>
  <si>
    <t>Dividend FY88</t>
  </si>
  <si>
    <t>Dividend FY89</t>
  </si>
  <si>
    <t>Dividend FY90</t>
  </si>
  <si>
    <t>Dividend FY91</t>
  </si>
  <si>
    <t>Dividend FY92</t>
  </si>
  <si>
    <t>Dividend FY93</t>
  </si>
  <si>
    <t>Dividend FY94</t>
  </si>
  <si>
    <t>Dividend FY95</t>
  </si>
  <si>
    <t>Dividend FY96</t>
  </si>
  <si>
    <t>Dividend FY97</t>
  </si>
  <si>
    <t>Dividend FY98</t>
  </si>
  <si>
    <t>Dividend FY99</t>
  </si>
  <si>
    <t>Dividend FY2000</t>
  </si>
  <si>
    <t>Dividend FY01</t>
  </si>
  <si>
    <t>Dividend FY02</t>
  </si>
  <si>
    <t>Dividend FY03</t>
  </si>
  <si>
    <t>Dividend FY04</t>
  </si>
  <si>
    <t>Dividend FY05</t>
  </si>
  <si>
    <t>Dividend FY06</t>
  </si>
  <si>
    <t>Dividend FY07</t>
  </si>
  <si>
    <t>Dividend FY08</t>
  </si>
  <si>
    <t>Dividend FY09</t>
  </si>
  <si>
    <t>Dividend FY10</t>
  </si>
  <si>
    <t>Dividend FY11</t>
  </si>
  <si>
    <t>Dividend FY12</t>
  </si>
  <si>
    <t>Dividend FY13</t>
  </si>
  <si>
    <t>Dividend FY14</t>
  </si>
  <si>
    <t>Dividend FY15</t>
  </si>
  <si>
    <t>Dividend FY16</t>
  </si>
  <si>
    <t>Dividend FY17</t>
  </si>
  <si>
    <t>Dividend FY18</t>
  </si>
  <si>
    <t>Dividend FY19</t>
  </si>
  <si>
    <t>Current market value</t>
  </si>
  <si>
    <t>Years</t>
  </si>
  <si>
    <t>BSE Listing Date</t>
  </si>
  <si>
    <t>1:1 Bonus</t>
  </si>
  <si>
    <t>5:1 Bonus</t>
  </si>
  <si>
    <t>Right issue at Rs 60 premium</t>
  </si>
  <si>
    <t>Announcement Date</t>
  </si>
  <si>
    <t>Bonus Ratio</t>
  </si>
  <si>
    <t>Record Date</t>
  </si>
  <si>
    <t>Ex-Bonus Date</t>
  </si>
  <si>
    <t>Split</t>
  </si>
  <si>
    <t>Old FV</t>
  </si>
  <si>
    <t>New FV</t>
  </si>
  <si>
    <t>Ex-Split Date</t>
  </si>
  <si>
    <t>Right</t>
  </si>
  <si>
    <t>Right Ratio</t>
  </si>
  <si>
    <t>Face Value(Rs)</t>
  </si>
  <si>
    <t>Premium(Rs)</t>
  </si>
  <si>
    <t>Ex-Right Date</t>
  </si>
  <si>
    <t>Existing Inst. Name</t>
  </si>
  <si>
    <t>Offered Inst. Name</t>
  </si>
  <si>
    <t>Equity Share</t>
  </si>
  <si>
    <t>Note: N.A.</t>
  </si>
  <si>
    <t>Dividend</t>
  </si>
  <si>
    <t>Dividends Declared</t>
  </si>
  <si>
    <t>Effective Date</t>
  </si>
  <si>
    <t>Dividend Type</t>
  </si>
  <si>
    <t>Final</t>
  </si>
  <si>
    <t>AGM and Dividend</t>
  </si>
  <si>
    <t>Interim</t>
  </si>
  <si>
    <t>AGM</t>
  </si>
  <si>
    <t>Special Interim Dividend</t>
  </si>
  <si>
    <t>Rs.2.0000 per share(100%)Dividend</t>
  </si>
  <si>
    <t>Rs.3.0000 per share(150%)Dividend</t>
  </si>
  <si>
    <t>Rs.3.0000 per share(150%)Interim Dividend</t>
  </si>
  <si>
    <t>Special</t>
  </si>
  <si>
    <t>Rs.1.0000 per share(50%)Special Dividend</t>
  </si>
  <si>
    <t>Bonus 1:2</t>
  </si>
  <si>
    <t>Month</t>
  </si>
  <si>
    <t>Open Price</t>
  </si>
  <si>
    <t>High Price</t>
  </si>
  <si>
    <t>Low Price</t>
  </si>
  <si>
    <t>Close Price</t>
  </si>
  <si>
    <t>No.of Shares</t>
  </si>
  <si>
    <t>No. of Trades</t>
  </si>
  <si>
    <t>Total Turnover (Rs.)</t>
  </si>
  <si>
    <t>Deliverable Quantity</t>
  </si>
  <si>
    <t>% Deli. Qty to Traded Qty</t>
  </si>
  <si>
    <t>Spread High-Low</t>
  </si>
  <si>
    <t>Spread Close-Open</t>
  </si>
  <si>
    <t>@</t>
  </si>
  <si>
    <t>@ Shares traded in Physical form</t>
  </si>
  <si>
    <t>IPO at premium of Rs 5</t>
  </si>
  <si>
    <t>Dividend FY83</t>
  </si>
  <si>
    <t>Dividend FY82</t>
  </si>
  <si>
    <t>Dividend FY81</t>
  </si>
  <si>
    <t>Dividend FY80</t>
  </si>
  <si>
    <t>Dividend FY79</t>
  </si>
  <si>
    <t>Dividend FY78</t>
  </si>
  <si>
    <t>Bonus 2:5</t>
  </si>
  <si>
    <t>Split in 2 Paid up</t>
  </si>
  <si>
    <t>Split in 1 Paid up</t>
  </si>
  <si>
    <t>1990-2000</t>
  </si>
  <si>
    <t>2000-2010</t>
  </si>
  <si>
    <t>2010-2020</t>
  </si>
  <si>
    <t>RONW</t>
  </si>
  <si>
    <t>Year end Value</t>
  </si>
  <si>
    <t>Period Cashflow</t>
  </si>
  <si>
    <t>Start Year</t>
  </si>
  <si>
    <t>End Year</t>
  </si>
  <si>
    <t>Period wise performance</t>
  </si>
  <si>
    <t>ROE</t>
  </si>
  <si>
    <t>XIRR during period</t>
  </si>
  <si>
    <t>Net Profit CAGR</t>
  </si>
  <si>
    <t>1978-1990</t>
  </si>
  <si>
    <t>1978-2020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</si>
</sst>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_ "/>
    <numFmt numFmtId="165" formatCode="_ * #,##0_ ;_ * \-#,##0_ ;_ * &quot;-&quot;??_ ;_ @_ "/>
    <numFmt numFmtId="166" formatCode="0.0%"/>
  </numFmts>
  <fonts count="16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3"/>
      <charset val="134"/>
    </font>
    <font>
      <sz val="11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0063A2"/>
        <bgColor indexed="64"/>
      </patternFill>
    </fill>
    <fill>
      <patternFill patternType="solid">
        <fgColor rgb="FFECF4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3" fontId="4" fillId="0" borderId="0" applyFont="0" applyFill="0" applyBorder="0" applyAlignment="0" applyProtection="0"/>
    <xf numFmtId="0" fontId="2" fillId="5" borderId="4"/>
    <xf numFmtId="43" fontId="2" fillId="5" borderId="4" applyFont="0" applyFill="0" applyBorder="0" applyAlignment="0" applyProtection="0"/>
    <xf numFmtId="0" fontId="1" fillId="5" borderId="4"/>
  </cellStyleXfs>
  <cellXfs count="106">
    <xf numFmtId="0" fontId="0" fillId="0" borderId="0" xfId="0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164" fontId="6" fillId="4" borderId="3" xfId="0" applyNumberFormat="1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164" fontId="6" fillId="4" borderId="3" xfId="0" applyNumberFormat="1" applyFont="1" applyFill="1" applyBorder="1" applyAlignment="1">
      <alignment horizontal="right" vertical="top"/>
    </xf>
    <xf numFmtId="165" fontId="6" fillId="4" borderId="3" xfId="1" applyNumberFormat="1" applyFont="1" applyFill="1" applyBorder="1" applyAlignment="1">
      <alignment horizontal="right" vertical="top"/>
    </xf>
    <xf numFmtId="165" fontId="6" fillId="3" borderId="2" xfId="1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right" vertical="top"/>
    </xf>
    <xf numFmtId="0" fontId="6" fillId="3" borderId="4" xfId="0" applyFont="1" applyFill="1" applyBorder="1" applyAlignment="1">
      <alignment horizontal="left" vertical="top"/>
    </xf>
    <xf numFmtId="165" fontId="6" fillId="4" borderId="4" xfId="1" applyNumberFormat="1" applyFont="1" applyFill="1" applyBorder="1" applyAlignment="1">
      <alignment horizontal="right" vertical="top"/>
    </xf>
    <xf numFmtId="165" fontId="0" fillId="0" borderId="0" xfId="0" applyNumberFormat="1" applyAlignment="1">
      <alignment horizontal="left" vertical="top"/>
    </xf>
    <xf numFmtId="43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43" fontId="0" fillId="0" borderId="0" xfId="0" applyNumberFormat="1" applyAlignment="1">
      <alignment horizontal="right" vertical="top"/>
    </xf>
    <xf numFmtId="0" fontId="5" fillId="0" borderId="0" xfId="0" applyFont="1" applyAlignment="1">
      <alignment horizontal="left" vertical="top"/>
    </xf>
    <xf numFmtId="10" fontId="5" fillId="0" borderId="0" xfId="0" applyNumberFormat="1" applyFont="1" applyAlignment="1">
      <alignment horizontal="right" vertical="top"/>
    </xf>
    <xf numFmtId="9" fontId="0" fillId="0" borderId="0" xfId="0" applyNumberFormat="1" applyAlignment="1">
      <alignment horizontal="left" vertical="top"/>
    </xf>
    <xf numFmtId="0" fontId="9" fillId="7" borderId="0" xfId="0" applyFont="1" applyFill="1" applyAlignment="1">
      <alignment horizontal="center" vertical="center" wrapText="1"/>
    </xf>
    <xf numFmtId="17" fontId="10" fillId="6" borderId="0" xfId="0" applyNumberFormat="1" applyFont="1" applyFill="1" applyAlignment="1">
      <alignment horizontal="center" vertical="top" wrapText="1"/>
    </xf>
    <xf numFmtId="0" fontId="10" fillId="6" borderId="0" xfId="0" applyFont="1" applyFill="1" applyAlignment="1">
      <alignment horizontal="right" vertical="top" wrapText="1"/>
    </xf>
    <xf numFmtId="17" fontId="11" fillId="8" borderId="0" xfId="0" applyNumberFormat="1" applyFont="1" applyFill="1" applyAlignment="1">
      <alignment horizontal="center" vertical="top" wrapText="1"/>
    </xf>
    <xf numFmtId="0" fontId="11" fillId="8" borderId="0" xfId="0" applyFont="1" applyFill="1" applyAlignment="1">
      <alignment horizontal="right" vertical="top" wrapText="1"/>
    </xf>
    <xf numFmtId="10" fontId="0" fillId="0" borderId="0" xfId="0" applyNumberFormat="1" applyAlignment="1">
      <alignment horizontal="left" vertical="top"/>
    </xf>
    <xf numFmtId="0" fontId="2" fillId="5" borderId="4" xfId="2"/>
    <xf numFmtId="166" fontId="2" fillId="5" borderId="4" xfId="2" applyNumberFormat="1"/>
    <xf numFmtId="0" fontId="2" fillId="5" borderId="5" xfId="2" applyBorder="1"/>
    <xf numFmtId="0" fontId="2" fillId="5" borderId="6" xfId="2" applyBorder="1"/>
    <xf numFmtId="0" fontId="2" fillId="5" borderId="7" xfId="2" applyBorder="1"/>
    <xf numFmtId="14" fontId="2" fillId="5" borderId="4" xfId="2" applyNumberFormat="1"/>
    <xf numFmtId="15" fontId="2" fillId="9" borderId="4" xfId="2" applyNumberFormat="1" applyFill="1"/>
    <xf numFmtId="14" fontId="2" fillId="5" borderId="8" xfId="2" applyNumberFormat="1" applyBorder="1"/>
    <xf numFmtId="4" fontId="2" fillId="5" borderId="4" xfId="2" applyNumberFormat="1" applyBorder="1"/>
    <xf numFmtId="0" fontId="2" fillId="5" borderId="4" xfId="2" applyBorder="1"/>
    <xf numFmtId="3" fontId="2" fillId="5" borderId="4" xfId="2" applyNumberFormat="1" applyBorder="1"/>
    <xf numFmtId="14" fontId="2" fillId="5" borderId="4" xfId="2" applyNumberFormat="1" applyBorder="1"/>
    <xf numFmtId="4" fontId="2" fillId="5" borderId="9" xfId="2" applyNumberFormat="1" applyBorder="1"/>
    <xf numFmtId="4" fontId="2" fillId="5" borderId="4" xfId="2" applyNumberFormat="1"/>
    <xf numFmtId="15" fontId="2" fillId="5" borderId="4" xfId="2" applyNumberFormat="1"/>
    <xf numFmtId="0" fontId="2" fillId="10" borderId="4" xfId="2" applyFill="1"/>
    <xf numFmtId="4" fontId="2" fillId="5" borderId="4" xfId="2" applyNumberFormat="1" applyFill="1"/>
    <xf numFmtId="3" fontId="2" fillId="5" borderId="4" xfId="2" applyNumberFormat="1" applyFill="1"/>
    <xf numFmtId="14" fontId="2" fillId="5" borderId="4" xfId="2" applyNumberFormat="1" applyFill="1"/>
    <xf numFmtId="3" fontId="2" fillId="5" borderId="4" xfId="2" applyNumberFormat="1"/>
    <xf numFmtId="0" fontId="12" fillId="5" borderId="4" xfId="2" applyFont="1"/>
    <xf numFmtId="4" fontId="12" fillId="5" borderId="4" xfId="2" applyNumberFormat="1" applyFont="1"/>
    <xf numFmtId="14" fontId="12" fillId="5" borderId="4" xfId="2" applyNumberFormat="1" applyFont="1"/>
    <xf numFmtId="14" fontId="13" fillId="9" borderId="4" xfId="2" applyNumberFormat="1" applyFont="1" applyFill="1"/>
    <xf numFmtId="165" fontId="0" fillId="5" borderId="4" xfId="3" applyNumberFormat="1" applyFont="1" applyBorder="1"/>
    <xf numFmtId="0" fontId="2" fillId="5" borderId="9" xfId="2" applyBorder="1"/>
    <xf numFmtId="4" fontId="2" fillId="5" borderId="4" xfId="2" applyNumberFormat="1" applyFont="1" applyFill="1"/>
    <xf numFmtId="14" fontId="2" fillId="9" borderId="4" xfId="2" applyNumberFormat="1" applyFill="1"/>
    <xf numFmtId="0" fontId="5" fillId="5" borderId="4" xfId="2" applyFont="1"/>
    <xf numFmtId="10" fontId="2" fillId="5" borderId="9" xfId="2" applyNumberFormat="1" applyBorder="1"/>
    <xf numFmtId="10" fontId="2" fillId="9" borderId="4" xfId="2" applyNumberFormat="1" applyFill="1" applyBorder="1"/>
    <xf numFmtId="10" fontId="2" fillId="9" borderId="9" xfId="2" applyNumberFormat="1" applyFill="1" applyBorder="1"/>
    <xf numFmtId="14" fontId="2" fillId="5" borderId="10" xfId="2" applyNumberFormat="1" applyBorder="1"/>
    <xf numFmtId="0" fontId="2" fillId="5" borderId="11" xfId="2" applyBorder="1"/>
    <xf numFmtId="3" fontId="2" fillId="9" borderId="11" xfId="2" applyNumberFormat="1" applyFill="1" applyBorder="1"/>
    <xf numFmtId="3" fontId="2" fillId="9" borderId="12" xfId="2" applyNumberFormat="1" applyFill="1" applyBorder="1"/>
    <xf numFmtId="17" fontId="2" fillId="5" borderId="4" xfId="2" applyNumberFormat="1"/>
    <xf numFmtId="0" fontId="5" fillId="5" borderId="4" xfId="2" applyFont="1" applyAlignment="1"/>
    <xf numFmtId="14" fontId="2" fillId="5" borderId="4" xfId="2" applyNumberFormat="1" applyFont="1"/>
    <xf numFmtId="20" fontId="2" fillId="5" borderId="4" xfId="2" applyNumberFormat="1"/>
    <xf numFmtId="20" fontId="5" fillId="5" borderId="4" xfId="2" applyNumberFormat="1" applyFont="1"/>
    <xf numFmtId="9" fontId="2" fillId="5" borderId="4" xfId="2" applyNumberFormat="1"/>
    <xf numFmtId="14" fontId="2" fillId="11" borderId="4" xfId="2" applyNumberFormat="1" applyFill="1"/>
    <xf numFmtId="4" fontId="2" fillId="11" borderId="4" xfId="2" applyNumberFormat="1" applyFont="1" applyFill="1"/>
    <xf numFmtId="0" fontId="2" fillId="11" borderId="4" xfId="2" applyFill="1"/>
    <xf numFmtId="4" fontId="2" fillId="11" borderId="4" xfId="2" applyNumberFormat="1" applyFill="1"/>
    <xf numFmtId="3" fontId="2" fillId="11" borderId="4" xfId="2" applyNumberFormat="1" applyFill="1"/>
    <xf numFmtId="166" fontId="2" fillId="11" borderId="4" xfId="2" applyNumberFormat="1" applyFill="1"/>
    <xf numFmtId="14" fontId="2" fillId="12" borderId="4" xfId="2" applyNumberFormat="1" applyFill="1"/>
    <xf numFmtId="4" fontId="2" fillId="12" borderId="4" xfId="2" applyNumberFormat="1" applyFont="1" applyFill="1"/>
    <xf numFmtId="0" fontId="2" fillId="12" borderId="4" xfId="2" applyFill="1"/>
    <xf numFmtId="4" fontId="2" fillId="12" borderId="4" xfId="2" applyNumberFormat="1" applyFill="1"/>
    <xf numFmtId="3" fontId="2" fillId="12" borderId="4" xfId="2" applyNumberFormat="1" applyFill="1"/>
    <xf numFmtId="166" fontId="2" fillId="12" borderId="4" xfId="2" applyNumberFormat="1" applyFill="1"/>
    <xf numFmtId="14" fontId="2" fillId="13" borderId="4" xfId="2" applyNumberFormat="1" applyFill="1"/>
    <xf numFmtId="4" fontId="2" fillId="13" borderId="4" xfId="2" applyNumberFormat="1" applyFont="1" applyFill="1"/>
    <xf numFmtId="0" fontId="2" fillId="13" borderId="4" xfId="2" applyFill="1"/>
    <xf numFmtId="4" fontId="2" fillId="13" borderId="4" xfId="2" applyNumberFormat="1" applyFill="1"/>
    <xf numFmtId="3" fontId="2" fillId="13" borderId="4" xfId="2" applyNumberFormat="1" applyFill="1"/>
    <xf numFmtId="166" fontId="2" fillId="13" borderId="4" xfId="2" applyNumberFormat="1" applyFill="1"/>
    <xf numFmtId="0" fontId="1" fillId="5" borderId="4" xfId="4"/>
    <xf numFmtId="17" fontId="1" fillId="5" borderId="4" xfId="4" applyNumberFormat="1"/>
    <xf numFmtId="4" fontId="1" fillId="11" borderId="4" xfId="2" applyNumberFormat="1" applyFont="1" applyFill="1"/>
    <xf numFmtId="4" fontId="12" fillId="11" borderId="4" xfId="2" applyNumberFormat="1" applyFont="1" applyFill="1"/>
    <xf numFmtId="0" fontId="1" fillId="5" borderId="4" xfId="2" applyFont="1"/>
    <xf numFmtId="0" fontId="1" fillId="5" borderId="4" xfId="2" applyFont="1" applyBorder="1"/>
    <xf numFmtId="165" fontId="0" fillId="14" borderId="4" xfId="3" applyNumberFormat="1" applyFont="1" applyFill="1" applyBorder="1"/>
    <xf numFmtId="0" fontId="2" fillId="0" borderId="4" xfId="2" applyFill="1" applyBorder="1"/>
    <xf numFmtId="0" fontId="2" fillId="14" borderId="4" xfId="2" applyFill="1" applyBorder="1"/>
    <xf numFmtId="3" fontId="2" fillId="0" borderId="4" xfId="2" applyNumberFormat="1" applyFill="1" applyBorder="1"/>
    <xf numFmtId="0" fontId="0" fillId="9" borderId="0" xfId="0" applyFill="1" applyAlignment="1"/>
    <xf numFmtId="15" fontId="2" fillId="0" borderId="4" xfId="2" applyNumberFormat="1" applyFill="1" applyBorder="1"/>
    <xf numFmtId="14" fontId="5" fillId="5" borderId="13" xfId="2" applyNumberFormat="1" applyFont="1" applyBorder="1"/>
    <xf numFmtId="0" fontId="5" fillId="5" borderId="13" xfId="2" applyFont="1" applyBorder="1"/>
    <xf numFmtId="3" fontId="5" fillId="0" borderId="13" xfId="2" applyNumberFormat="1" applyFont="1" applyFill="1" applyBorder="1"/>
    <xf numFmtId="14" fontId="1" fillId="5" borderId="13" xfId="2" applyNumberFormat="1" applyFont="1" applyBorder="1"/>
    <xf numFmtId="4" fontId="2" fillId="5" borderId="13" xfId="2" applyNumberFormat="1" applyBorder="1"/>
    <xf numFmtId="166" fontId="2" fillId="0" borderId="13" xfId="2" applyNumberFormat="1" applyFill="1" applyBorder="1"/>
    <xf numFmtId="0" fontId="9" fillId="7" borderId="0" xfId="0" applyFont="1" applyFill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workbookViewId="0">
      <selection activeCell="D3" sqref="D3"/>
    </sheetView>
  </sheetViews>
  <sheetFormatPr defaultRowHeight="15"/>
  <cols>
    <col min="2" max="3" width="9.140625" hidden="1" customWidth="1"/>
    <col min="4" max="4" width="9.140625" customWidth="1"/>
    <col min="5" max="8" width="9.140625" hidden="1" customWidth="1"/>
    <col min="9" max="10" width="0" hidden="1" customWidth="1"/>
  </cols>
  <sheetData>
    <row r="1" spans="1:22" ht="33.75">
      <c r="A1" s="105" t="s">
        <v>8</v>
      </c>
      <c r="B1" s="105" t="s">
        <v>31</v>
      </c>
      <c r="C1" s="105" t="s">
        <v>32</v>
      </c>
      <c r="D1" s="105" t="s">
        <v>33</v>
      </c>
      <c r="E1" s="105" t="s">
        <v>34</v>
      </c>
      <c r="F1" s="105" t="s">
        <v>35</v>
      </c>
      <c r="G1" s="105" t="s">
        <v>36</v>
      </c>
      <c r="H1" s="105" t="s">
        <v>37</v>
      </c>
      <c r="I1" s="21" t="s">
        <v>38</v>
      </c>
      <c r="J1" s="21" t="s">
        <v>40</v>
      </c>
      <c r="K1" s="21" t="s">
        <v>59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t="s">
        <v>47</v>
      </c>
      <c r="U1" t="s">
        <v>48</v>
      </c>
      <c r="V1" t="s">
        <v>49</v>
      </c>
    </row>
    <row r="2" spans="1:22" ht="33.75">
      <c r="A2" s="105"/>
      <c r="B2" s="105"/>
      <c r="C2" s="105"/>
      <c r="D2" s="105"/>
      <c r="E2" s="105"/>
      <c r="F2" s="105"/>
      <c r="G2" s="105"/>
      <c r="H2" s="105"/>
      <c r="I2" s="21" t="s">
        <v>39</v>
      </c>
      <c r="J2" s="21" t="s">
        <v>39</v>
      </c>
      <c r="O2">
        <v>2743.55</v>
      </c>
      <c r="P2">
        <v>240.32</v>
      </c>
      <c r="Q2">
        <v>56.88</v>
      </c>
      <c r="R2">
        <v>15.5</v>
      </c>
      <c r="S2">
        <v>50.01</v>
      </c>
      <c r="T2">
        <v>34</v>
      </c>
      <c r="U2">
        <v>659325.26</v>
      </c>
      <c r="V2">
        <v>6.01</v>
      </c>
    </row>
    <row r="3" spans="1:22">
      <c r="A3" s="22">
        <v>43617</v>
      </c>
      <c r="B3" s="23">
        <v>3009.9</v>
      </c>
      <c r="C3" s="23">
        <v>2701</v>
      </c>
      <c r="D3" s="23">
        <v>2743.55</v>
      </c>
      <c r="E3" s="23">
        <v>64.099999999999994</v>
      </c>
      <c r="F3" s="23">
        <v>58.38</v>
      </c>
      <c r="G3" s="23">
        <v>58.75</v>
      </c>
      <c r="H3" s="23">
        <v>411253</v>
      </c>
      <c r="I3" s="23">
        <v>1181.96</v>
      </c>
      <c r="J3" s="23">
        <v>659325.26</v>
      </c>
      <c r="K3" s="9">
        <f>J3/10</f>
        <v>65932.525999999998</v>
      </c>
      <c r="O3" t="s">
        <v>50</v>
      </c>
      <c r="P3" t="s">
        <v>51</v>
      </c>
      <c r="Q3" t="s">
        <v>52</v>
      </c>
      <c r="R3" t="s">
        <v>53</v>
      </c>
      <c r="S3" t="s">
        <v>54</v>
      </c>
      <c r="T3" t="s">
        <v>55</v>
      </c>
      <c r="U3" t="s">
        <v>56</v>
      </c>
      <c r="V3" t="s">
        <v>57</v>
      </c>
    </row>
    <row r="4" spans="1:22">
      <c r="A4" s="24">
        <v>43586</v>
      </c>
      <c r="B4" s="25">
        <v>2965.35</v>
      </c>
      <c r="C4" s="25">
        <v>2616.4499999999998</v>
      </c>
      <c r="D4" s="25">
        <v>2932.9</v>
      </c>
      <c r="E4" s="25">
        <v>62.81</v>
      </c>
      <c r="F4" s="25">
        <v>56.81</v>
      </c>
      <c r="G4" s="25">
        <v>62.81</v>
      </c>
      <c r="H4" s="25">
        <v>686927</v>
      </c>
      <c r="I4" s="25">
        <v>1895.42</v>
      </c>
      <c r="J4" s="25">
        <v>704829.52</v>
      </c>
      <c r="K4" s="9">
        <f t="shared" ref="K4:K67" si="0">J4/10</f>
        <v>70482.952000000005</v>
      </c>
      <c r="O4" s="26">
        <v>5.4999999999999997E-3</v>
      </c>
      <c r="P4">
        <v>1500</v>
      </c>
      <c r="Q4">
        <v>47.48</v>
      </c>
      <c r="R4">
        <v>33</v>
      </c>
      <c r="S4">
        <v>48.23</v>
      </c>
      <c r="T4" t="s">
        <v>58</v>
      </c>
      <c r="U4">
        <v>1</v>
      </c>
      <c r="V4">
        <v>2007</v>
      </c>
    </row>
    <row r="5" spans="1:22">
      <c r="A5" s="22">
        <v>43556</v>
      </c>
      <c r="B5" s="23">
        <v>3107.45</v>
      </c>
      <c r="C5" s="23">
        <v>2879.15</v>
      </c>
      <c r="D5" s="23">
        <v>2893.1</v>
      </c>
      <c r="E5" s="23">
        <v>68.14</v>
      </c>
      <c r="F5" s="23">
        <v>64.540000000000006</v>
      </c>
      <c r="G5" s="23">
        <v>64.540000000000006</v>
      </c>
      <c r="H5" s="23">
        <v>396648</v>
      </c>
      <c r="I5" s="23">
        <v>1181.06</v>
      </c>
      <c r="J5" s="23">
        <v>695264.86</v>
      </c>
      <c r="K5" s="9">
        <f t="shared" si="0"/>
        <v>69526.486000000004</v>
      </c>
    </row>
    <row r="6" spans="1:22">
      <c r="A6" s="24">
        <v>43525</v>
      </c>
      <c r="B6" s="25">
        <v>3179.3</v>
      </c>
      <c r="C6" s="25">
        <v>3008.1</v>
      </c>
      <c r="D6" s="25">
        <v>3081.95</v>
      </c>
      <c r="E6" s="25">
        <v>70.27</v>
      </c>
      <c r="F6" s="25">
        <v>67.569999999999993</v>
      </c>
      <c r="G6" s="25">
        <v>68.760000000000005</v>
      </c>
      <c r="H6" s="25">
        <v>371996</v>
      </c>
      <c r="I6" s="25">
        <v>1153.27</v>
      </c>
      <c r="J6" s="25">
        <v>740648.97</v>
      </c>
      <c r="K6" s="9">
        <f t="shared" si="0"/>
        <v>74064.896999999997</v>
      </c>
    </row>
    <row r="7" spans="1:22">
      <c r="A7" s="22">
        <v>43497</v>
      </c>
      <c r="B7" s="23">
        <v>3317</v>
      </c>
      <c r="C7" s="23">
        <v>2758.95</v>
      </c>
      <c r="D7" s="23">
        <v>3059.95</v>
      </c>
      <c r="E7" s="23">
        <v>72.819999999999993</v>
      </c>
      <c r="F7" s="23">
        <v>63.82</v>
      </c>
      <c r="G7" s="23">
        <v>68.27</v>
      </c>
      <c r="H7" s="23">
        <v>435115</v>
      </c>
      <c r="I7" s="23">
        <v>1323.6</v>
      </c>
      <c r="J7" s="23">
        <v>735361.96</v>
      </c>
      <c r="K7" s="9">
        <f t="shared" si="0"/>
        <v>73536.195999999996</v>
      </c>
    </row>
    <row r="8" spans="1:22">
      <c r="A8" s="24">
        <v>43466</v>
      </c>
      <c r="B8" s="25">
        <v>3270.4</v>
      </c>
      <c r="C8" s="25">
        <v>3064.55</v>
      </c>
      <c r="D8" s="25">
        <v>3195.95</v>
      </c>
      <c r="E8" s="25">
        <v>75.5</v>
      </c>
      <c r="F8" s="25">
        <v>72.47</v>
      </c>
      <c r="G8" s="25">
        <v>75.03</v>
      </c>
      <c r="H8" s="25">
        <v>382536</v>
      </c>
      <c r="I8" s="25">
        <v>1196.51</v>
      </c>
      <c r="J8" s="25">
        <v>768045.25</v>
      </c>
      <c r="K8" s="9">
        <f t="shared" si="0"/>
        <v>76804.524999999994</v>
      </c>
    </row>
    <row r="9" spans="1:22">
      <c r="A9" s="22">
        <v>43435</v>
      </c>
      <c r="B9" s="23">
        <v>3245.1</v>
      </c>
      <c r="C9" s="23">
        <v>2933.85</v>
      </c>
      <c r="D9" s="23">
        <v>3118.4</v>
      </c>
      <c r="E9" s="23">
        <v>75.92</v>
      </c>
      <c r="F9" s="23">
        <v>69.989999999999995</v>
      </c>
      <c r="G9" s="23">
        <v>73.209999999999994</v>
      </c>
      <c r="H9" s="23">
        <v>681212</v>
      </c>
      <c r="I9" s="23">
        <v>2108.64</v>
      </c>
      <c r="J9" s="23">
        <v>749408.57</v>
      </c>
      <c r="K9" s="9">
        <f t="shared" si="0"/>
        <v>74940.856999999989</v>
      </c>
    </row>
    <row r="10" spans="1:22">
      <c r="A10" s="24">
        <v>43405</v>
      </c>
      <c r="B10" s="25">
        <v>3193</v>
      </c>
      <c r="C10" s="25">
        <v>2775.58</v>
      </c>
      <c r="D10" s="25">
        <v>3159.25</v>
      </c>
      <c r="E10" s="25">
        <v>74.17</v>
      </c>
      <c r="F10" s="25">
        <v>65.569999999999993</v>
      </c>
      <c r="G10" s="25">
        <v>74.17</v>
      </c>
      <c r="H10" s="25">
        <v>176272</v>
      </c>
      <c r="I10" s="25">
        <v>924.52</v>
      </c>
      <c r="J10" s="25">
        <v>759225.57</v>
      </c>
      <c r="K10" s="9">
        <f t="shared" si="0"/>
        <v>75922.557000000001</v>
      </c>
    </row>
    <row r="11" spans="1:22">
      <c r="A11" s="22">
        <v>43374</v>
      </c>
      <c r="B11" s="23">
        <v>2965.5</v>
      </c>
      <c r="C11" s="23">
        <v>2610.0300000000002</v>
      </c>
      <c r="D11" s="23">
        <v>2817.28</v>
      </c>
      <c r="E11" s="23">
        <v>68.430000000000007</v>
      </c>
      <c r="F11" s="23">
        <v>62.42</v>
      </c>
      <c r="G11" s="23">
        <v>66.14</v>
      </c>
      <c r="H11" s="23">
        <v>205766</v>
      </c>
      <c r="I11" s="23">
        <v>1140.23</v>
      </c>
      <c r="J11" s="23">
        <v>677042.72</v>
      </c>
      <c r="K11" s="9">
        <f t="shared" si="0"/>
        <v>67704.271999999997</v>
      </c>
    </row>
    <row r="12" spans="1:22">
      <c r="A12" s="24">
        <v>43344</v>
      </c>
      <c r="B12" s="25">
        <v>3404.93</v>
      </c>
      <c r="C12" s="25">
        <v>2680.5</v>
      </c>
      <c r="D12" s="25">
        <v>2900.45</v>
      </c>
      <c r="E12" s="25">
        <v>77.05</v>
      </c>
      <c r="F12" s="25">
        <v>65.75</v>
      </c>
      <c r="G12" s="25">
        <v>68.09</v>
      </c>
      <c r="H12" s="25">
        <v>335953</v>
      </c>
      <c r="I12" s="25">
        <v>1994.66</v>
      </c>
      <c r="J12" s="25">
        <v>697031.2</v>
      </c>
      <c r="K12" s="9">
        <f t="shared" si="0"/>
        <v>69703.12</v>
      </c>
    </row>
    <row r="13" spans="1:22">
      <c r="A13" s="22">
        <v>43313</v>
      </c>
      <c r="B13" s="23">
        <v>3472.05</v>
      </c>
      <c r="C13" s="23">
        <v>3085</v>
      </c>
      <c r="D13" s="23">
        <v>3366.7</v>
      </c>
      <c r="E13" s="23">
        <v>83.94</v>
      </c>
      <c r="F13" s="23">
        <v>75.540000000000006</v>
      </c>
      <c r="G13" s="23">
        <v>82.1</v>
      </c>
      <c r="H13" s="23">
        <v>333687</v>
      </c>
      <c r="I13" s="23">
        <v>2184.71</v>
      </c>
      <c r="J13" s="23">
        <v>809079.6</v>
      </c>
      <c r="K13" s="9">
        <f t="shared" si="0"/>
        <v>80907.959999999992</v>
      </c>
    </row>
    <row r="14" spans="1:22">
      <c r="A14" s="24">
        <v>43282</v>
      </c>
      <c r="B14" s="25">
        <v>3282.98</v>
      </c>
      <c r="C14" s="25">
        <v>3089.1</v>
      </c>
      <c r="D14" s="25">
        <v>3265.03</v>
      </c>
      <c r="E14" s="25">
        <v>79.63</v>
      </c>
      <c r="F14" s="25">
        <v>75.91</v>
      </c>
      <c r="G14" s="25">
        <v>79.56</v>
      </c>
      <c r="H14" s="25">
        <v>128207</v>
      </c>
      <c r="I14" s="25">
        <v>819.33</v>
      </c>
      <c r="J14" s="25">
        <v>783992.24</v>
      </c>
      <c r="K14" s="9">
        <f t="shared" si="0"/>
        <v>78399.224000000002</v>
      </c>
    </row>
    <row r="15" spans="1:22">
      <c r="A15" s="22">
        <v>43252</v>
      </c>
      <c r="B15" s="23">
        <v>3118.53</v>
      </c>
      <c r="C15" s="23">
        <v>2859.5</v>
      </c>
      <c r="D15" s="23">
        <v>3098.2</v>
      </c>
      <c r="E15" s="23">
        <v>75.489999999999995</v>
      </c>
      <c r="F15" s="23">
        <v>70.22</v>
      </c>
      <c r="G15" s="23">
        <v>75.489999999999995</v>
      </c>
      <c r="H15" s="23">
        <v>165436</v>
      </c>
      <c r="I15" s="23">
        <v>982.27</v>
      </c>
      <c r="J15" s="23">
        <v>743934.5</v>
      </c>
      <c r="K15" s="9">
        <f t="shared" si="0"/>
        <v>74393.45</v>
      </c>
    </row>
    <row r="16" spans="1:22">
      <c r="A16" s="24">
        <v>43221</v>
      </c>
      <c r="B16" s="25">
        <v>3005.9</v>
      </c>
      <c r="C16" s="25">
        <v>2645.38</v>
      </c>
      <c r="D16" s="25">
        <v>2965.28</v>
      </c>
      <c r="E16" s="25">
        <v>75.12</v>
      </c>
      <c r="F16" s="25">
        <v>67.69</v>
      </c>
      <c r="G16" s="25">
        <v>75.12</v>
      </c>
      <c r="H16" s="25">
        <v>139725</v>
      </c>
      <c r="I16" s="25">
        <v>775.83</v>
      </c>
      <c r="J16" s="25">
        <v>712016.78</v>
      </c>
      <c r="K16" s="9">
        <f t="shared" si="0"/>
        <v>71201.678</v>
      </c>
    </row>
    <row r="17" spans="1:11">
      <c r="A17" s="22">
        <v>43191</v>
      </c>
      <c r="B17" s="23">
        <v>2767.48</v>
      </c>
      <c r="C17" s="23">
        <v>2492.33</v>
      </c>
      <c r="D17" s="23">
        <v>2753.38</v>
      </c>
      <c r="E17" s="23">
        <v>69.75</v>
      </c>
      <c r="F17" s="23">
        <v>63.63</v>
      </c>
      <c r="G17" s="23">
        <v>69.75</v>
      </c>
      <c r="H17" s="23">
        <v>104689</v>
      </c>
      <c r="I17" s="23">
        <v>552.16999999999996</v>
      </c>
      <c r="J17" s="23">
        <v>661135.71</v>
      </c>
      <c r="K17" s="9">
        <f t="shared" si="0"/>
        <v>66113.570999999996</v>
      </c>
    </row>
    <row r="18" spans="1:11">
      <c r="A18" s="24">
        <v>43160</v>
      </c>
      <c r="B18" s="25">
        <v>2499.48</v>
      </c>
      <c r="C18" s="25">
        <v>2362.1999999999998</v>
      </c>
      <c r="D18" s="25">
        <v>2485.73</v>
      </c>
      <c r="E18" s="25">
        <v>62.97</v>
      </c>
      <c r="F18" s="25">
        <v>60.9</v>
      </c>
      <c r="G18" s="25">
        <v>62.97</v>
      </c>
      <c r="H18" s="25">
        <v>346393</v>
      </c>
      <c r="I18" s="25">
        <v>1681.79</v>
      </c>
      <c r="J18" s="25">
        <v>596868.05000000005</v>
      </c>
      <c r="K18" s="9">
        <f t="shared" si="0"/>
        <v>59686.805000000008</v>
      </c>
    </row>
    <row r="19" spans="1:11">
      <c r="A19" s="22">
        <v>43132</v>
      </c>
      <c r="B19" s="23">
        <v>2528.63</v>
      </c>
      <c r="C19" s="23">
        <v>2200</v>
      </c>
      <c r="D19" s="23">
        <v>2492.4299999999998</v>
      </c>
      <c r="E19" s="23">
        <v>66.5</v>
      </c>
      <c r="F19" s="23">
        <v>60.4</v>
      </c>
      <c r="G19" s="23">
        <v>66.5</v>
      </c>
      <c r="H19" s="23">
        <v>160188</v>
      </c>
      <c r="I19" s="23">
        <v>761.35</v>
      </c>
      <c r="J19" s="23">
        <v>598476.84</v>
      </c>
      <c r="K19" s="9">
        <f t="shared" si="0"/>
        <v>59847.683999999994</v>
      </c>
    </row>
    <row r="20" spans="1:11">
      <c r="A20" s="24">
        <v>43101</v>
      </c>
      <c r="B20" s="25">
        <v>2395</v>
      </c>
      <c r="C20" s="25">
        <v>2300</v>
      </c>
      <c r="D20" s="25">
        <v>2336.25</v>
      </c>
      <c r="E20" s="25">
        <v>63.26</v>
      </c>
      <c r="F20" s="25">
        <v>61.69</v>
      </c>
      <c r="G20" s="25">
        <v>62.34</v>
      </c>
      <c r="H20" s="25">
        <v>524750</v>
      </c>
      <c r="I20" s="25">
        <v>2445.2600000000002</v>
      </c>
      <c r="J20" s="25">
        <v>560976.37</v>
      </c>
      <c r="K20" s="9">
        <f t="shared" si="0"/>
        <v>56097.637000000002</v>
      </c>
    </row>
    <row r="21" spans="1:11">
      <c r="A21" s="22">
        <v>43070</v>
      </c>
      <c r="B21" s="23">
        <v>2481.85</v>
      </c>
      <c r="C21" s="23">
        <v>2300.4499999999998</v>
      </c>
      <c r="D21" s="23">
        <v>2357.88</v>
      </c>
      <c r="E21" s="23">
        <v>65.599999999999994</v>
      </c>
      <c r="F21" s="23">
        <v>62.37</v>
      </c>
      <c r="G21" s="23">
        <v>62.91</v>
      </c>
      <c r="H21" s="23">
        <v>414574</v>
      </c>
      <c r="I21" s="23">
        <v>2006.91</v>
      </c>
      <c r="J21" s="23">
        <v>566168.93000000005</v>
      </c>
      <c r="K21" s="9">
        <f t="shared" si="0"/>
        <v>56616.893000000004</v>
      </c>
    </row>
    <row r="22" spans="1:11">
      <c r="A22" s="24">
        <v>43040</v>
      </c>
      <c r="B22" s="25">
        <v>2463</v>
      </c>
      <c r="C22" s="25">
        <v>2295.65</v>
      </c>
      <c r="D22" s="25">
        <v>2391.38</v>
      </c>
      <c r="E22" s="25">
        <v>67.989999999999995</v>
      </c>
      <c r="F22" s="25">
        <v>64.58</v>
      </c>
      <c r="G22" s="25">
        <v>66.59</v>
      </c>
      <c r="H22" s="25">
        <v>152104</v>
      </c>
      <c r="I22" s="25">
        <v>724.73</v>
      </c>
      <c r="J22" s="25">
        <v>574212.89</v>
      </c>
      <c r="K22" s="9">
        <f t="shared" si="0"/>
        <v>57421.289000000004</v>
      </c>
    </row>
    <row r="23" spans="1:11">
      <c r="A23" s="22">
        <v>43009</v>
      </c>
      <c r="B23" s="23">
        <v>2384.6</v>
      </c>
      <c r="C23" s="23">
        <v>2152.5</v>
      </c>
      <c r="D23" s="23">
        <v>2324.6799999999998</v>
      </c>
      <c r="E23" s="23">
        <v>66</v>
      </c>
      <c r="F23" s="23">
        <v>60.4</v>
      </c>
      <c r="G23" s="23">
        <v>64.739999999999995</v>
      </c>
      <c r="H23" s="23">
        <v>93712</v>
      </c>
      <c r="I23" s="23">
        <v>427.38</v>
      </c>
      <c r="J23" s="23">
        <v>558197</v>
      </c>
      <c r="K23" s="9">
        <f t="shared" si="0"/>
        <v>55819.7</v>
      </c>
    </row>
    <row r="24" spans="1:11">
      <c r="A24" s="24">
        <v>42979</v>
      </c>
      <c r="B24" s="25">
        <v>2204.2800000000002</v>
      </c>
      <c r="C24" s="25">
        <v>2076.2800000000002</v>
      </c>
      <c r="D24" s="25">
        <v>2172.0300000000002</v>
      </c>
      <c r="E24" s="25">
        <v>61.13</v>
      </c>
      <c r="F24" s="25">
        <v>58.7</v>
      </c>
      <c r="G24" s="25">
        <v>60.49</v>
      </c>
      <c r="H24" s="25">
        <v>176982</v>
      </c>
      <c r="I24" s="25">
        <v>760.53</v>
      </c>
      <c r="J24" s="25">
        <v>521542.94</v>
      </c>
      <c r="K24" s="9">
        <f t="shared" si="0"/>
        <v>52154.294000000002</v>
      </c>
    </row>
    <row r="25" spans="1:11">
      <c r="A25" s="22">
        <v>42948</v>
      </c>
      <c r="B25" s="23">
        <v>2175.48</v>
      </c>
      <c r="C25" s="23">
        <v>1918.53</v>
      </c>
      <c r="D25" s="23">
        <v>2106.2800000000002</v>
      </c>
      <c r="E25" s="23">
        <v>61.12</v>
      </c>
      <c r="F25" s="23">
        <v>54.93</v>
      </c>
      <c r="G25" s="23">
        <v>59.89</v>
      </c>
      <c r="H25" s="23">
        <v>271467</v>
      </c>
      <c r="I25" s="23">
        <v>1127.97</v>
      </c>
      <c r="J25" s="23">
        <v>505755.16</v>
      </c>
      <c r="K25" s="9">
        <f t="shared" si="0"/>
        <v>50575.515999999996</v>
      </c>
    </row>
    <row r="26" spans="1:11">
      <c r="A26" s="24">
        <v>42917</v>
      </c>
      <c r="B26" s="25">
        <v>1976.18</v>
      </c>
      <c r="C26" s="25">
        <v>1830.5</v>
      </c>
      <c r="D26" s="25">
        <v>1960.93</v>
      </c>
      <c r="E26" s="25">
        <v>55.76</v>
      </c>
      <c r="F26" s="25">
        <v>52.46</v>
      </c>
      <c r="G26" s="25">
        <v>55.76</v>
      </c>
      <c r="H26" s="25">
        <v>207314</v>
      </c>
      <c r="I26" s="25">
        <v>781.36</v>
      </c>
      <c r="J26" s="25">
        <v>470853.97</v>
      </c>
      <c r="K26" s="9">
        <f t="shared" si="0"/>
        <v>47085.396999999997</v>
      </c>
    </row>
    <row r="27" spans="1:11">
      <c r="A27" s="22">
        <v>42887</v>
      </c>
      <c r="B27" s="23">
        <v>1855.73</v>
      </c>
      <c r="C27" s="23">
        <v>1762.5</v>
      </c>
      <c r="D27" s="23">
        <v>1847.33</v>
      </c>
      <c r="E27" s="23">
        <v>52.53</v>
      </c>
      <c r="F27" s="23">
        <v>50.64</v>
      </c>
      <c r="G27" s="23">
        <v>52.53</v>
      </c>
      <c r="H27" s="23">
        <v>283284</v>
      </c>
      <c r="I27" s="23">
        <v>1027.6600000000001</v>
      </c>
      <c r="J27" s="23">
        <v>443576.53</v>
      </c>
      <c r="K27" s="9">
        <f t="shared" si="0"/>
        <v>44357.653000000006</v>
      </c>
    </row>
    <row r="28" spans="1:11">
      <c r="A28" s="24">
        <v>42856</v>
      </c>
      <c r="B28" s="25">
        <v>1898.15</v>
      </c>
      <c r="C28" s="25">
        <v>1686</v>
      </c>
      <c r="D28" s="25">
        <v>1766.53</v>
      </c>
      <c r="E28" s="25">
        <v>53.41</v>
      </c>
      <c r="F28" s="25">
        <v>48.54</v>
      </c>
      <c r="G28" s="25">
        <v>50.25</v>
      </c>
      <c r="H28" s="25">
        <v>234854</v>
      </c>
      <c r="I28" s="25">
        <v>837.59</v>
      </c>
      <c r="J28" s="25">
        <v>423968.88</v>
      </c>
      <c r="K28" s="9">
        <f t="shared" si="0"/>
        <v>42396.887999999999</v>
      </c>
    </row>
    <row r="29" spans="1:11">
      <c r="A29" s="22">
        <v>42826</v>
      </c>
      <c r="B29" s="23">
        <v>1825</v>
      </c>
      <c r="C29" s="23">
        <v>1660</v>
      </c>
      <c r="D29" s="23">
        <v>1813.7</v>
      </c>
      <c r="E29" s="23">
        <v>51.59</v>
      </c>
      <c r="F29" s="23">
        <v>47.63</v>
      </c>
      <c r="G29" s="23">
        <v>51.59</v>
      </c>
      <c r="H29" s="23">
        <v>176743</v>
      </c>
      <c r="I29" s="23">
        <v>606.66</v>
      </c>
      <c r="J29" s="23">
        <v>435290.96</v>
      </c>
      <c r="K29" s="9">
        <f t="shared" si="0"/>
        <v>43529.096000000005</v>
      </c>
    </row>
    <row r="30" spans="1:11">
      <c r="A30" s="24">
        <v>42795</v>
      </c>
      <c r="B30" s="25">
        <v>1722</v>
      </c>
      <c r="C30" s="25">
        <v>1526</v>
      </c>
      <c r="D30" s="25">
        <v>1691.45</v>
      </c>
      <c r="E30" s="25">
        <v>48.46</v>
      </c>
      <c r="F30" s="25">
        <v>43.51</v>
      </c>
      <c r="G30" s="25">
        <v>48.12</v>
      </c>
      <c r="H30" s="25">
        <v>625991</v>
      </c>
      <c r="I30" s="25">
        <v>2051.0100000000002</v>
      </c>
      <c r="J30" s="25">
        <v>405950.76</v>
      </c>
      <c r="K30" s="9">
        <f t="shared" si="0"/>
        <v>40595.076000000001</v>
      </c>
    </row>
    <row r="31" spans="1:11">
      <c r="A31" s="22">
        <v>42767</v>
      </c>
      <c r="B31" s="23">
        <v>1646.63</v>
      </c>
      <c r="C31" s="23">
        <v>1556</v>
      </c>
      <c r="D31" s="23">
        <v>1614.6</v>
      </c>
      <c r="E31" s="23">
        <v>46.87</v>
      </c>
      <c r="F31" s="23">
        <v>45.56</v>
      </c>
      <c r="G31" s="23">
        <v>46.06</v>
      </c>
      <c r="H31" s="23">
        <v>172366</v>
      </c>
      <c r="I31" s="23">
        <v>557.36</v>
      </c>
      <c r="J31" s="23">
        <v>387506.63</v>
      </c>
      <c r="K31" s="9">
        <f t="shared" si="0"/>
        <v>38750.663</v>
      </c>
    </row>
    <row r="32" spans="1:11">
      <c r="A32" s="24">
        <v>42736</v>
      </c>
      <c r="B32" s="25">
        <v>1580.25</v>
      </c>
      <c r="C32" s="25">
        <v>1416.45</v>
      </c>
      <c r="D32" s="25">
        <v>1563.58</v>
      </c>
      <c r="E32" s="25">
        <v>44.9</v>
      </c>
      <c r="F32" s="25">
        <v>40.67</v>
      </c>
      <c r="G32" s="25">
        <v>44.6</v>
      </c>
      <c r="H32" s="25">
        <v>237820</v>
      </c>
      <c r="I32" s="25">
        <v>717.56</v>
      </c>
      <c r="J32" s="25">
        <v>375260.55</v>
      </c>
      <c r="K32" s="9">
        <f t="shared" si="0"/>
        <v>37526.055</v>
      </c>
    </row>
    <row r="33" spans="1:11">
      <c r="A33" s="22">
        <v>42705</v>
      </c>
      <c r="B33" s="23">
        <v>1543.5</v>
      </c>
      <c r="C33" s="23">
        <v>1388</v>
      </c>
      <c r="D33" s="23">
        <v>1441.1</v>
      </c>
      <c r="E33" s="23">
        <v>43.75</v>
      </c>
      <c r="F33" s="23">
        <v>40.01</v>
      </c>
      <c r="G33" s="23">
        <v>41.11</v>
      </c>
      <c r="H33" s="23">
        <v>554039</v>
      </c>
      <c r="I33" s="23">
        <v>1624.49</v>
      </c>
      <c r="J33" s="23">
        <v>345866.35</v>
      </c>
      <c r="K33" s="9">
        <f t="shared" si="0"/>
        <v>34586.634999999995</v>
      </c>
    </row>
    <row r="34" spans="1:11">
      <c r="A34" s="24">
        <v>42675</v>
      </c>
      <c r="B34" s="25">
        <v>1689.68</v>
      </c>
      <c r="C34" s="25">
        <v>1390.5</v>
      </c>
      <c r="D34" s="25">
        <v>1518.8</v>
      </c>
      <c r="E34" s="25">
        <v>48.29</v>
      </c>
      <c r="F34" s="25">
        <v>42.03</v>
      </c>
      <c r="G34" s="25">
        <v>44.1</v>
      </c>
      <c r="H34" s="25">
        <v>417714</v>
      </c>
      <c r="I34" s="25">
        <v>1291.98</v>
      </c>
      <c r="J34" s="25">
        <v>364514.48</v>
      </c>
      <c r="K34" s="9">
        <f t="shared" si="0"/>
        <v>36451.447999999997</v>
      </c>
    </row>
    <row r="35" spans="1:11">
      <c r="A35" s="22">
        <v>42644</v>
      </c>
      <c r="B35" s="23">
        <v>1762.5</v>
      </c>
      <c r="C35" s="23">
        <v>1588.5</v>
      </c>
      <c r="D35" s="23">
        <v>1656.28</v>
      </c>
      <c r="E35" s="23">
        <v>50.57</v>
      </c>
      <c r="F35" s="23">
        <v>46.6</v>
      </c>
      <c r="G35" s="23">
        <v>48.09</v>
      </c>
      <c r="H35" s="23">
        <v>232977</v>
      </c>
      <c r="I35" s="23">
        <v>775.85</v>
      </c>
      <c r="J35" s="23">
        <v>397508.7</v>
      </c>
      <c r="K35" s="9">
        <f t="shared" si="0"/>
        <v>39750.870000000003</v>
      </c>
    </row>
    <row r="36" spans="1:11">
      <c r="A36" s="24">
        <v>42614</v>
      </c>
      <c r="B36" s="25">
        <v>1787.5</v>
      </c>
      <c r="C36" s="25">
        <v>1599.5</v>
      </c>
      <c r="D36" s="25">
        <v>1683.4</v>
      </c>
      <c r="E36" s="25">
        <v>51.31</v>
      </c>
      <c r="F36" s="25">
        <v>47.66</v>
      </c>
      <c r="G36" s="25">
        <v>48.88</v>
      </c>
      <c r="H36" s="25">
        <v>252960</v>
      </c>
      <c r="I36" s="25">
        <v>869.23</v>
      </c>
      <c r="J36" s="25">
        <v>404018.74</v>
      </c>
      <c r="K36" s="9">
        <f t="shared" si="0"/>
        <v>40401.873999999996</v>
      </c>
    </row>
    <row r="37" spans="1:11">
      <c r="A37" s="22">
        <v>42583</v>
      </c>
      <c r="B37" s="23">
        <v>1748.5</v>
      </c>
      <c r="C37" s="23">
        <v>1405.58</v>
      </c>
      <c r="D37" s="23">
        <v>1726.9</v>
      </c>
      <c r="E37" s="23">
        <v>51.61</v>
      </c>
      <c r="F37" s="23">
        <v>42.17</v>
      </c>
      <c r="G37" s="23">
        <v>51.52</v>
      </c>
      <c r="H37" s="23">
        <v>739101</v>
      </c>
      <c r="I37" s="23">
        <v>2363.5100000000002</v>
      </c>
      <c r="J37" s="23">
        <v>414458.81</v>
      </c>
      <c r="K37" s="9">
        <f t="shared" si="0"/>
        <v>41445.881000000001</v>
      </c>
    </row>
    <row r="38" spans="1:11">
      <c r="A38" s="24">
        <v>42552</v>
      </c>
      <c r="B38" s="25">
        <v>1472.28</v>
      </c>
      <c r="C38" s="25">
        <v>1373.7</v>
      </c>
      <c r="D38" s="25">
        <v>1464.93</v>
      </c>
      <c r="E38" s="25">
        <v>43.69</v>
      </c>
      <c r="F38" s="25">
        <v>41.19</v>
      </c>
      <c r="G38" s="25">
        <v>43.69</v>
      </c>
      <c r="H38" s="25">
        <v>255154</v>
      </c>
      <c r="I38" s="25">
        <v>723.68</v>
      </c>
      <c r="J38" s="25">
        <v>351511.14</v>
      </c>
      <c r="K38" s="9">
        <f t="shared" si="0"/>
        <v>35151.114000000001</v>
      </c>
    </row>
    <row r="39" spans="1:11">
      <c r="A39" s="22">
        <v>42522</v>
      </c>
      <c r="B39" s="23">
        <v>1410.38</v>
      </c>
      <c r="C39" s="23">
        <v>1261.95</v>
      </c>
      <c r="D39" s="23">
        <v>1378.4</v>
      </c>
      <c r="E39" s="23">
        <v>41.72</v>
      </c>
      <c r="F39" s="23">
        <v>38.270000000000003</v>
      </c>
      <c r="G39" s="23">
        <v>41.11</v>
      </c>
      <c r="H39" s="23">
        <v>377493</v>
      </c>
      <c r="I39" s="23">
        <v>1007.15</v>
      </c>
      <c r="J39" s="23">
        <v>330749.33</v>
      </c>
      <c r="K39" s="9">
        <f t="shared" si="0"/>
        <v>33074.933000000005</v>
      </c>
    </row>
    <row r="40" spans="1:11">
      <c r="A40" s="24">
        <v>42491</v>
      </c>
      <c r="B40" s="25">
        <v>1517</v>
      </c>
      <c r="C40" s="25">
        <v>1305.5999999999999</v>
      </c>
      <c r="D40" s="25">
        <v>1353</v>
      </c>
      <c r="E40" s="25">
        <v>47.22</v>
      </c>
      <c r="F40" s="25">
        <v>41.69</v>
      </c>
      <c r="G40" s="25">
        <v>42.53</v>
      </c>
      <c r="H40" s="25">
        <v>734083</v>
      </c>
      <c r="I40" s="25">
        <v>2034.77</v>
      </c>
      <c r="J40" s="25">
        <v>324654.56</v>
      </c>
      <c r="K40" s="9">
        <f t="shared" si="0"/>
        <v>32465.455999999998</v>
      </c>
    </row>
    <row r="41" spans="1:11">
      <c r="A41" s="22">
        <v>42461</v>
      </c>
      <c r="B41" s="23">
        <v>1458.5</v>
      </c>
      <c r="C41" s="23">
        <v>1304.5</v>
      </c>
      <c r="D41" s="23">
        <v>1428.6</v>
      </c>
      <c r="E41" s="23">
        <v>44.93</v>
      </c>
      <c r="F41" s="23">
        <v>41.44</v>
      </c>
      <c r="G41" s="23">
        <v>44.91</v>
      </c>
      <c r="H41" s="23">
        <v>212279</v>
      </c>
      <c r="I41" s="23">
        <v>587.85</v>
      </c>
      <c r="J41" s="23">
        <v>342794.9</v>
      </c>
      <c r="K41" s="9">
        <f t="shared" si="0"/>
        <v>34279.490000000005</v>
      </c>
    </row>
    <row r="42" spans="1:11">
      <c r="A42" s="24">
        <v>42430</v>
      </c>
      <c r="B42" s="25">
        <v>1456.25</v>
      </c>
      <c r="C42" s="25">
        <v>1261.58</v>
      </c>
      <c r="D42" s="25">
        <v>1337.78</v>
      </c>
      <c r="E42" s="25">
        <v>45.11</v>
      </c>
      <c r="F42" s="25">
        <v>40.590000000000003</v>
      </c>
      <c r="G42" s="25">
        <v>42.05</v>
      </c>
      <c r="H42" s="25">
        <v>245263</v>
      </c>
      <c r="I42" s="25">
        <v>669.41</v>
      </c>
      <c r="J42" s="25">
        <v>321001.28999999998</v>
      </c>
      <c r="K42" s="9">
        <f t="shared" si="0"/>
        <v>32100.128999999997</v>
      </c>
    </row>
    <row r="43" spans="1:11">
      <c r="A43" s="22">
        <v>42401</v>
      </c>
      <c r="B43" s="23">
        <v>1476</v>
      </c>
      <c r="C43" s="23">
        <v>1253.33</v>
      </c>
      <c r="D43" s="23">
        <v>1379.25</v>
      </c>
      <c r="E43" s="23">
        <v>48.16</v>
      </c>
      <c r="F43" s="23">
        <v>43.16</v>
      </c>
      <c r="G43" s="23">
        <v>46.35</v>
      </c>
      <c r="H43" s="23">
        <v>330009</v>
      </c>
      <c r="I43" s="23">
        <v>904.4</v>
      </c>
      <c r="J43" s="23">
        <v>330953.28999999998</v>
      </c>
      <c r="K43" s="9">
        <f t="shared" si="0"/>
        <v>33095.328999999998</v>
      </c>
    </row>
    <row r="44" spans="1:11">
      <c r="A44" s="24">
        <v>42370</v>
      </c>
      <c r="B44" s="25">
        <v>1506</v>
      </c>
      <c r="C44" s="25">
        <v>1293.98</v>
      </c>
      <c r="D44" s="25">
        <v>1341.43</v>
      </c>
      <c r="E44" s="25">
        <v>50.46</v>
      </c>
      <c r="F44" s="25">
        <v>43.72</v>
      </c>
      <c r="G44" s="25">
        <v>45.08</v>
      </c>
      <c r="H44" s="25">
        <v>245920</v>
      </c>
      <c r="I44" s="25">
        <v>695.61</v>
      </c>
      <c r="J44" s="25">
        <v>321877.12</v>
      </c>
      <c r="K44" s="9">
        <f t="shared" si="0"/>
        <v>32187.712</v>
      </c>
    </row>
    <row r="45" spans="1:11">
      <c r="A45" s="22">
        <v>42339</v>
      </c>
      <c r="B45" s="23">
        <v>1506.38</v>
      </c>
      <c r="C45" s="23">
        <v>1361.5</v>
      </c>
      <c r="D45" s="23">
        <v>1481.85</v>
      </c>
      <c r="E45" s="23">
        <v>49.93</v>
      </c>
      <c r="F45" s="23">
        <v>46.73</v>
      </c>
      <c r="G45" s="23">
        <v>49.8</v>
      </c>
      <c r="H45" s="23">
        <v>267844</v>
      </c>
      <c r="I45" s="23">
        <v>775.44</v>
      </c>
      <c r="J45" s="23">
        <v>355572.32</v>
      </c>
      <c r="K45" s="9">
        <f t="shared" si="0"/>
        <v>35557.232000000004</v>
      </c>
    </row>
    <row r="46" spans="1:11">
      <c r="A46" s="24">
        <v>42309</v>
      </c>
      <c r="B46" s="25">
        <v>1618.5</v>
      </c>
      <c r="C46" s="25">
        <v>1412.25</v>
      </c>
      <c r="D46" s="25">
        <v>1461.98</v>
      </c>
      <c r="E46" s="25">
        <v>59.92</v>
      </c>
      <c r="F46" s="25">
        <v>53.51</v>
      </c>
      <c r="G46" s="25">
        <v>55</v>
      </c>
      <c r="H46" s="25">
        <v>268954</v>
      </c>
      <c r="I46" s="25">
        <v>810.68</v>
      </c>
      <c r="J46" s="25">
        <v>350803.28</v>
      </c>
      <c r="K46" s="9">
        <f t="shared" si="0"/>
        <v>35080.328000000001</v>
      </c>
    </row>
    <row r="47" spans="1:11">
      <c r="A47" s="22">
        <v>42278</v>
      </c>
      <c r="B47" s="23">
        <v>1666.5</v>
      </c>
      <c r="C47" s="23">
        <v>1542.78</v>
      </c>
      <c r="D47" s="23">
        <v>1613.53</v>
      </c>
      <c r="E47" s="23">
        <v>62.11</v>
      </c>
      <c r="F47" s="23">
        <v>58.6</v>
      </c>
      <c r="G47" s="23">
        <v>60.7</v>
      </c>
      <c r="H47" s="23">
        <v>280872</v>
      </c>
      <c r="I47" s="23">
        <v>903.84</v>
      </c>
      <c r="J47" s="23">
        <v>387167.95</v>
      </c>
      <c r="K47" s="9">
        <f t="shared" si="0"/>
        <v>38716.794999999998</v>
      </c>
    </row>
    <row r="48" spans="1:11">
      <c r="A48" s="24">
        <v>42248</v>
      </c>
      <c r="B48" s="25">
        <v>1573.5</v>
      </c>
      <c r="C48" s="25">
        <v>1385.43</v>
      </c>
      <c r="D48" s="25">
        <v>1541.45</v>
      </c>
      <c r="E48" s="25">
        <v>57.99</v>
      </c>
      <c r="F48" s="25">
        <v>53.45</v>
      </c>
      <c r="G48" s="25">
        <v>57.99</v>
      </c>
      <c r="H48" s="25">
        <v>489655</v>
      </c>
      <c r="I48" s="25">
        <v>1447.13</v>
      </c>
      <c r="J48" s="25">
        <v>369873.44</v>
      </c>
      <c r="K48" s="9">
        <f t="shared" si="0"/>
        <v>36987.343999999997</v>
      </c>
    </row>
    <row r="49" spans="1:11">
      <c r="A49" s="22">
        <v>42217</v>
      </c>
      <c r="B49" s="23">
        <v>1717.5</v>
      </c>
      <c r="C49" s="23">
        <v>1394.4</v>
      </c>
      <c r="D49" s="23">
        <v>1464.48</v>
      </c>
      <c r="E49" s="23">
        <v>59.47</v>
      </c>
      <c r="F49" s="23">
        <v>50.52</v>
      </c>
      <c r="G49" s="23">
        <v>51.27</v>
      </c>
      <c r="H49" s="23">
        <v>702922</v>
      </c>
      <c r="I49" s="23">
        <v>2224.06</v>
      </c>
      <c r="J49" s="23">
        <v>351403.16</v>
      </c>
      <c r="K49" s="9">
        <f t="shared" si="0"/>
        <v>35140.315999999999</v>
      </c>
    </row>
    <row r="50" spans="1:11">
      <c r="A50" s="24">
        <v>42186</v>
      </c>
      <c r="B50" s="25">
        <v>1625</v>
      </c>
      <c r="C50" s="25">
        <v>1360</v>
      </c>
      <c r="D50" s="25">
        <v>1578.18</v>
      </c>
      <c r="E50" s="25">
        <v>55.26</v>
      </c>
      <c r="F50" s="25">
        <v>47.84</v>
      </c>
      <c r="G50" s="25">
        <v>55.26</v>
      </c>
      <c r="H50" s="25">
        <v>396900</v>
      </c>
      <c r="I50" s="25">
        <v>1154.93</v>
      </c>
      <c r="J50" s="25">
        <v>378685.66</v>
      </c>
      <c r="K50" s="9">
        <f t="shared" si="0"/>
        <v>37868.565999999999</v>
      </c>
    </row>
    <row r="51" spans="1:11">
      <c r="A51" s="22">
        <v>42156</v>
      </c>
      <c r="B51" s="23">
        <v>1404.5</v>
      </c>
      <c r="C51" s="23">
        <v>1210.5</v>
      </c>
      <c r="D51" s="23">
        <v>1381.68</v>
      </c>
      <c r="E51" s="23">
        <v>48.72</v>
      </c>
      <c r="F51" s="23">
        <v>43.83</v>
      </c>
      <c r="G51" s="23">
        <v>48.38</v>
      </c>
      <c r="H51" s="23">
        <v>667141</v>
      </c>
      <c r="I51" s="23">
        <v>1777.6</v>
      </c>
      <c r="J51" s="23">
        <v>331535.17</v>
      </c>
      <c r="K51" s="9">
        <f t="shared" si="0"/>
        <v>33153.517</v>
      </c>
    </row>
    <row r="52" spans="1:11">
      <c r="A52" s="24">
        <v>42125</v>
      </c>
      <c r="B52" s="25">
        <v>1342.5</v>
      </c>
      <c r="C52" s="25">
        <v>1097.5</v>
      </c>
      <c r="D52" s="25">
        <v>1274.45</v>
      </c>
      <c r="E52" s="25">
        <v>51.2</v>
      </c>
      <c r="F52" s="25">
        <v>42.47</v>
      </c>
      <c r="G52" s="25">
        <v>49.11</v>
      </c>
      <c r="H52" s="25">
        <v>661747</v>
      </c>
      <c r="I52" s="25">
        <v>1617.76</v>
      </c>
      <c r="J52" s="25">
        <v>305678.90999999997</v>
      </c>
      <c r="K52" s="9">
        <f t="shared" si="0"/>
        <v>30567.890999999996</v>
      </c>
    </row>
    <row r="53" spans="1:11">
      <c r="A53" s="22">
        <v>42095</v>
      </c>
      <c r="B53" s="23">
        <v>1188.5</v>
      </c>
      <c r="C53" s="23">
        <v>1004.5</v>
      </c>
      <c r="D53" s="23">
        <v>1096.5999999999999</v>
      </c>
      <c r="E53" s="23">
        <v>45.2</v>
      </c>
      <c r="F53" s="23">
        <v>39.85</v>
      </c>
      <c r="G53" s="23">
        <v>42.26</v>
      </c>
      <c r="H53" s="23">
        <v>305355</v>
      </c>
      <c r="I53" s="23">
        <v>670.51</v>
      </c>
      <c r="J53" s="23">
        <v>263021.3</v>
      </c>
      <c r="K53" s="9">
        <f t="shared" si="0"/>
        <v>26302.129999999997</v>
      </c>
    </row>
    <row r="54" spans="1:11">
      <c r="A54" s="24">
        <v>42064</v>
      </c>
      <c r="B54" s="25">
        <v>1124.98</v>
      </c>
      <c r="C54" s="25">
        <v>1028.25</v>
      </c>
      <c r="D54" s="25">
        <v>1079.25</v>
      </c>
      <c r="E54" s="25">
        <v>42.66</v>
      </c>
      <c r="F54" s="25">
        <v>40.5</v>
      </c>
      <c r="G54" s="25">
        <v>41.59</v>
      </c>
      <c r="H54" s="25">
        <v>284509</v>
      </c>
      <c r="I54" s="25">
        <v>614.5</v>
      </c>
      <c r="J54" s="25">
        <v>258859.87</v>
      </c>
      <c r="K54" s="9">
        <f t="shared" si="0"/>
        <v>25885.987000000001</v>
      </c>
    </row>
    <row r="55" spans="1:11">
      <c r="A55" s="22">
        <v>42036</v>
      </c>
      <c r="B55" s="23">
        <v>1057.23</v>
      </c>
      <c r="C55" s="23">
        <v>927</v>
      </c>
      <c r="D55" s="23">
        <v>1046.9000000000001</v>
      </c>
      <c r="E55" s="23">
        <v>43.88</v>
      </c>
      <c r="F55" s="23">
        <v>38.950000000000003</v>
      </c>
      <c r="G55" s="23">
        <v>43.83</v>
      </c>
      <c r="H55" s="23">
        <v>336930</v>
      </c>
      <c r="I55" s="23">
        <v>665.21</v>
      </c>
      <c r="J55" s="23">
        <v>251100.67</v>
      </c>
      <c r="K55" s="9">
        <f t="shared" si="0"/>
        <v>25110.067000000003</v>
      </c>
    </row>
    <row r="56" spans="1:11">
      <c r="A56" s="24">
        <v>42005</v>
      </c>
      <c r="B56" s="25">
        <v>1009.48</v>
      </c>
      <c r="C56" s="25">
        <v>912.5</v>
      </c>
      <c r="D56" s="25">
        <v>944.3</v>
      </c>
      <c r="E56" s="25">
        <v>41.88</v>
      </c>
      <c r="F56" s="25">
        <v>38.32</v>
      </c>
      <c r="G56" s="25">
        <v>39.53</v>
      </c>
      <c r="H56" s="25">
        <v>468899</v>
      </c>
      <c r="I56" s="25">
        <v>904.38</v>
      </c>
      <c r="J56" s="25">
        <v>226491.89</v>
      </c>
      <c r="K56" s="9">
        <f t="shared" si="0"/>
        <v>22649.189000000002</v>
      </c>
    </row>
    <row r="57" spans="1:11">
      <c r="A57" s="22">
        <v>41974</v>
      </c>
      <c r="B57" s="23">
        <v>932.5</v>
      </c>
      <c r="C57" s="23">
        <v>808.2</v>
      </c>
      <c r="D57" s="23">
        <v>920.1</v>
      </c>
      <c r="E57" s="23">
        <v>38.520000000000003</v>
      </c>
      <c r="F57" s="23">
        <v>35.25</v>
      </c>
      <c r="G57" s="23">
        <v>38.520000000000003</v>
      </c>
      <c r="H57" s="23">
        <v>533351</v>
      </c>
      <c r="I57" s="23">
        <v>954.38</v>
      </c>
      <c r="J57" s="23">
        <v>220687.48</v>
      </c>
      <c r="K57" s="9">
        <f t="shared" si="0"/>
        <v>22068.748</v>
      </c>
    </row>
    <row r="58" spans="1:11">
      <c r="A58" s="24">
        <v>41944</v>
      </c>
      <c r="B58" s="25">
        <v>865</v>
      </c>
      <c r="C58" s="25">
        <v>750.05</v>
      </c>
      <c r="D58" s="25">
        <v>824.7</v>
      </c>
      <c r="E58" s="25">
        <v>37.04</v>
      </c>
      <c r="F58" s="25">
        <v>32.94</v>
      </c>
      <c r="G58" s="25">
        <v>36.049999999999997</v>
      </c>
      <c r="H58" s="25">
        <v>331020</v>
      </c>
      <c r="I58" s="25">
        <v>540.44000000000005</v>
      </c>
      <c r="J58" s="25">
        <v>197805.64</v>
      </c>
      <c r="K58" s="9">
        <f t="shared" si="0"/>
        <v>19780.564000000002</v>
      </c>
    </row>
    <row r="59" spans="1:11">
      <c r="A59" s="22">
        <v>41913</v>
      </c>
      <c r="B59" s="23">
        <v>773.5</v>
      </c>
      <c r="C59" s="23">
        <v>650.79999999999995</v>
      </c>
      <c r="D59" s="23">
        <v>765.53</v>
      </c>
      <c r="E59" s="23">
        <v>33.46</v>
      </c>
      <c r="F59" s="23">
        <v>28.96</v>
      </c>
      <c r="G59" s="23">
        <v>33.46</v>
      </c>
      <c r="H59" s="23">
        <v>196504</v>
      </c>
      <c r="I59" s="23">
        <v>274.08999999999997</v>
      </c>
      <c r="J59" s="23">
        <v>183612.42</v>
      </c>
      <c r="K59" s="9">
        <f t="shared" si="0"/>
        <v>18361.242000000002</v>
      </c>
    </row>
    <row r="60" spans="1:11">
      <c r="A60" s="24">
        <v>41883</v>
      </c>
      <c r="B60" s="25">
        <v>755</v>
      </c>
      <c r="C60" s="25">
        <v>618.5</v>
      </c>
      <c r="D60" s="25">
        <v>698.43</v>
      </c>
      <c r="E60" s="25">
        <v>31.99</v>
      </c>
      <c r="F60" s="25">
        <v>27.47</v>
      </c>
      <c r="G60" s="25">
        <v>30.53</v>
      </c>
      <c r="H60" s="25">
        <v>257614</v>
      </c>
      <c r="I60" s="25">
        <v>352.35</v>
      </c>
      <c r="J60" s="25">
        <v>167518.37</v>
      </c>
      <c r="K60" s="9">
        <f t="shared" si="0"/>
        <v>16751.837</v>
      </c>
    </row>
    <row r="61" spans="1:11">
      <c r="A61" s="22">
        <v>41852</v>
      </c>
      <c r="B61" s="23">
        <v>655.43</v>
      </c>
      <c r="C61" s="23">
        <v>542.5</v>
      </c>
      <c r="D61" s="23">
        <v>623.08000000000004</v>
      </c>
      <c r="E61" s="23">
        <v>39.369999999999997</v>
      </c>
      <c r="F61" s="23">
        <v>34.11</v>
      </c>
      <c r="G61" s="23">
        <v>38.19</v>
      </c>
      <c r="H61" s="23">
        <v>334423</v>
      </c>
      <c r="I61" s="23">
        <v>407.65</v>
      </c>
      <c r="J61" s="23">
        <v>149445.54999999999</v>
      </c>
      <c r="K61" s="9">
        <f t="shared" si="0"/>
        <v>14944.554999999998</v>
      </c>
    </row>
    <row r="62" spans="1:11">
      <c r="A62" s="24">
        <v>41821</v>
      </c>
      <c r="B62" s="25">
        <v>575.48</v>
      </c>
      <c r="C62" s="25">
        <v>483</v>
      </c>
      <c r="D62" s="25">
        <v>572.03</v>
      </c>
      <c r="E62" s="25">
        <v>35.06</v>
      </c>
      <c r="F62" s="25">
        <v>30.03</v>
      </c>
      <c r="G62" s="25">
        <v>35.06</v>
      </c>
      <c r="H62" s="25">
        <v>742777</v>
      </c>
      <c r="I62" s="25">
        <v>757.48</v>
      </c>
      <c r="J62" s="25">
        <v>137201.13</v>
      </c>
      <c r="K62" s="9">
        <f t="shared" si="0"/>
        <v>13720.113000000001</v>
      </c>
    </row>
    <row r="63" spans="1:11">
      <c r="A63" s="22">
        <v>41791</v>
      </c>
      <c r="B63" s="23">
        <v>510.8</v>
      </c>
      <c r="C63" s="23">
        <v>436.8</v>
      </c>
      <c r="D63" s="23">
        <v>503.43</v>
      </c>
      <c r="E63" s="23">
        <v>30.85</v>
      </c>
      <c r="F63" s="23">
        <v>26.87</v>
      </c>
      <c r="G63" s="23">
        <v>30.85</v>
      </c>
      <c r="H63" s="23">
        <v>665394</v>
      </c>
      <c r="I63" s="23">
        <v>632.51</v>
      </c>
      <c r="J63" s="23">
        <v>120747.31</v>
      </c>
      <c r="K63" s="9">
        <f t="shared" si="0"/>
        <v>12074.731</v>
      </c>
    </row>
    <row r="64" spans="1:11">
      <c r="A64" s="24">
        <v>41760</v>
      </c>
      <c r="B64" s="25">
        <v>449.78</v>
      </c>
      <c r="C64" s="25">
        <v>410.5</v>
      </c>
      <c r="D64" s="25">
        <v>439.88</v>
      </c>
      <c r="E64" s="25">
        <v>28.82</v>
      </c>
      <c r="F64" s="25">
        <v>26.76</v>
      </c>
      <c r="G64" s="25">
        <v>28.53</v>
      </c>
      <c r="H64" s="25">
        <v>315802</v>
      </c>
      <c r="I64" s="25">
        <v>272.93</v>
      </c>
      <c r="J64" s="25">
        <v>105504.74</v>
      </c>
      <c r="K64" s="9">
        <f t="shared" si="0"/>
        <v>10550.474</v>
      </c>
    </row>
    <row r="65" spans="1:11">
      <c r="A65" s="22">
        <v>41730</v>
      </c>
      <c r="B65" s="23">
        <v>460.98</v>
      </c>
      <c r="C65" s="23">
        <v>415.5</v>
      </c>
      <c r="D65" s="23">
        <v>431.45</v>
      </c>
      <c r="E65" s="23">
        <v>29.57</v>
      </c>
      <c r="F65" s="23">
        <v>27.07</v>
      </c>
      <c r="G65" s="23">
        <v>27.98</v>
      </c>
      <c r="H65" s="23">
        <v>132454</v>
      </c>
      <c r="I65" s="23">
        <v>115.9</v>
      </c>
      <c r="J65" s="23">
        <v>103483.99</v>
      </c>
      <c r="K65" s="9">
        <f t="shared" si="0"/>
        <v>10348.399000000001</v>
      </c>
    </row>
    <row r="66" spans="1:11">
      <c r="A66" s="24">
        <v>41699</v>
      </c>
      <c r="B66" s="25">
        <v>449.5</v>
      </c>
      <c r="C66" s="25">
        <v>406</v>
      </c>
      <c r="D66" s="25">
        <v>421.68</v>
      </c>
      <c r="E66" s="25">
        <v>28.88</v>
      </c>
      <c r="F66" s="25">
        <v>26.52</v>
      </c>
      <c r="G66" s="25">
        <v>27.35</v>
      </c>
      <c r="H66" s="25">
        <v>175303</v>
      </c>
      <c r="I66" s="25">
        <v>150.05000000000001</v>
      </c>
      <c r="J66" s="25">
        <v>101139.44</v>
      </c>
      <c r="K66" s="9">
        <f t="shared" si="0"/>
        <v>10113.944</v>
      </c>
    </row>
    <row r="67" spans="1:11">
      <c r="A67" s="22">
        <v>41671</v>
      </c>
      <c r="B67" s="23">
        <v>461.5</v>
      </c>
      <c r="C67" s="23">
        <v>432.63</v>
      </c>
      <c r="D67" s="23">
        <v>443.6</v>
      </c>
      <c r="E67" s="23">
        <v>29.95</v>
      </c>
      <c r="F67" s="23">
        <v>28.42</v>
      </c>
      <c r="G67" s="23">
        <v>29.06</v>
      </c>
      <c r="H67" s="23">
        <v>117628</v>
      </c>
      <c r="I67" s="23">
        <v>106.16</v>
      </c>
      <c r="J67" s="23">
        <v>106398.18</v>
      </c>
      <c r="K67" s="9">
        <f t="shared" si="0"/>
        <v>10639.817999999999</v>
      </c>
    </row>
    <row r="68" spans="1:11">
      <c r="A68" s="24">
        <v>41640</v>
      </c>
      <c r="B68" s="25">
        <v>466</v>
      </c>
      <c r="C68" s="25">
        <v>420</v>
      </c>
      <c r="D68" s="25">
        <v>441.53</v>
      </c>
      <c r="E68" s="25">
        <v>30.1</v>
      </c>
      <c r="F68" s="25">
        <v>27.8</v>
      </c>
      <c r="G68" s="25">
        <v>28.92</v>
      </c>
      <c r="H68" s="25">
        <v>199235</v>
      </c>
      <c r="I68" s="25">
        <v>180.13</v>
      </c>
      <c r="J68" s="25">
        <v>105900.49</v>
      </c>
      <c r="K68" s="9">
        <f t="shared" ref="K68:K131" si="1">J68/10</f>
        <v>10590.049000000001</v>
      </c>
    </row>
    <row r="69" spans="1:11">
      <c r="A69" s="22">
        <v>41609</v>
      </c>
      <c r="B69" s="23">
        <v>468.85</v>
      </c>
      <c r="C69" s="23">
        <v>426.28</v>
      </c>
      <c r="D69" s="23">
        <v>460.2</v>
      </c>
      <c r="E69" s="23">
        <v>30.15</v>
      </c>
      <c r="F69" s="23">
        <v>28.38</v>
      </c>
      <c r="G69" s="23">
        <v>30.15</v>
      </c>
      <c r="H69" s="23">
        <v>184018</v>
      </c>
      <c r="I69" s="23">
        <v>164.72</v>
      </c>
      <c r="J69" s="23">
        <v>110379.72</v>
      </c>
      <c r="K69" s="9">
        <f t="shared" si="1"/>
        <v>11037.972</v>
      </c>
    </row>
    <row r="70" spans="1:11">
      <c r="A70" s="24">
        <v>41579</v>
      </c>
      <c r="B70" s="25">
        <v>482.68</v>
      </c>
      <c r="C70" s="25">
        <v>435</v>
      </c>
      <c r="D70" s="25">
        <v>437.88</v>
      </c>
      <c r="E70" s="25">
        <v>34.76</v>
      </c>
      <c r="F70" s="25">
        <v>32.090000000000003</v>
      </c>
      <c r="G70" s="25">
        <v>32.11</v>
      </c>
      <c r="H70" s="25">
        <v>386717</v>
      </c>
      <c r="I70" s="25">
        <v>354.24</v>
      </c>
      <c r="J70" s="25">
        <v>104937.46</v>
      </c>
      <c r="K70" s="9">
        <f t="shared" si="1"/>
        <v>10493.746000000001</v>
      </c>
    </row>
    <row r="71" spans="1:11">
      <c r="A71" s="22">
        <v>41548</v>
      </c>
      <c r="B71" s="23">
        <v>486.25</v>
      </c>
      <c r="C71" s="23">
        <v>411.5</v>
      </c>
      <c r="D71" s="23">
        <v>469.3</v>
      </c>
      <c r="E71" s="23">
        <v>34.58</v>
      </c>
      <c r="F71" s="23">
        <v>30.43</v>
      </c>
      <c r="G71" s="23">
        <v>34.42</v>
      </c>
      <c r="H71" s="23">
        <v>490631</v>
      </c>
      <c r="I71" s="23">
        <v>429.25</v>
      </c>
      <c r="J71" s="23">
        <v>112468.51</v>
      </c>
      <c r="K71" s="9">
        <f t="shared" si="1"/>
        <v>11246.850999999999</v>
      </c>
    </row>
    <row r="72" spans="1:11">
      <c r="A72" s="24">
        <v>41518</v>
      </c>
      <c r="B72" s="25">
        <v>420</v>
      </c>
      <c r="C72" s="25">
        <v>352</v>
      </c>
      <c r="D72" s="25">
        <v>411.78</v>
      </c>
      <c r="E72" s="25">
        <v>30.2</v>
      </c>
      <c r="F72" s="25">
        <v>26.24</v>
      </c>
      <c r="G72" s="25">
        <v>30.2</v>
      </c>
      <c r="H72" s="25">
        <v>608092</v>
      </c>
      <c r="I72" s="25">
        <v>458.16</v>
      </c>
      <c r="J72" s="25">
        <v>98682.55</v>
      </c>
      <c r="K72" s="9">
        <f t="shared" si="1"/>
        <v>9868.255000000001</v>
      </c>
    </row>
    <row r="73" spans="1:11">
      <c r="A73" s="22">
        <v>41487</v>
      </c>
      <c r="B73" s="23">
        <v>387.4</v>
      </c>
      <c r="C73" s="23">
        <v>329</v>
      </c>
      <c r="D73" s="23">
        <v>351.4</v>
      </c>
      <c r="E73" s="23">
        <v>32.56</v>
      </c>
      <c r="F73" s="23">
        <v>29.74</v>
      </c>
      <c r="G73" s="23">
        <v>30.43</v>
      </c>
      <c r="H73" s="23">
        <v>749724</v>
      </c>
      <c r="I73" s="23">
        <v>549.9</v>
      </c>
      <c r="J73" s="23">
        <v>84213.58</v>
      </c>
      <c r="K73" s="9">
        <f t="shared" si="1"/>
        <v>8421.3580000000002</v>
      </c>
    </row>
    <row r="74" spans="1:11">
      <c r="A74" s="24">
        <v>41456</v>
      </c>
      <c r="B74" s="25">
        <v>373.45</v>
      </c>
      <c r="C74" s="25">
        <v>332.8</v>
      </c>
      <c r="D74" s="25">
        <v>349.9</v>
      </c>
      <c r="E74" s="25">
        <v>31.44</v>
      </c>
      <c r="F74" s="25">
        <v>28.98</v>
      </c>
      <c r="G74" s="25">
        <v>30.31</v>
      </c>
      <c r="H74" s="25">
        <v>433190</v>
      </c>
      <c r="I74" s="25">
        <v>305.99</v>
      </c>
      <c r="J74" s="25">
        <v>83854.11</v>
      </c>
      <c r="K74" s="9">
        <f t="shared" si="1"/>
        <v>8385.4110000000001</v>
      </c>
    </row>
    <row r="75" spans="1:11">
      <c r="A75" s="22">
        <v>41426</v>
      </c>
      <c r="B75" s="23">
        <v>376.1</v>
      </c>
      <c r="C75" s="23">
        <v>322.45</v>
      </c>
      <c r="D75" s="23">
        <v>335.88</v>
      </c>
      <c r="E75" s="23">
        <v>30.05</v>
      </c>
      <c r="F75" s="23">
        <v>27.95</v>
      </c>
      <c r="G75" s="23">
        <v>29.06</v>
      </c>
      <c r="H75" s="23">
        <v>540801</v>
      </c>
      <c r="I75" s="23">
        <v>371.24</v>
      </c>
      <c r="J75" s="23">
        <v>80409.02</v>
      </c>
      <c r="K75" s="9">
        <f t="shared" si="1"/>
        <v>8040.902</v>
      </c>
    </row>
    <row r="76" spans="1:11">
      <c r="A76" s="24">
        <v>41395</v>
      </c>
      <c r="B76" s="25">
        <v>363.5</v>
      </c>
      <c r="C76" s="25">
        <v>278.55</v>
      </c>
      <c r="D76" s="25">
        <v>361.8</v>
      </c>
      <c r="E76" s="25">
        <v>37</v>
      </c>
      <c r="F76" s="25">
        <v>28.7</v>
      </c>
      <c r="G76" s="25">
        <v>37</v>
      </c>
      <c r="H76" s="25">
        <v>1089367</v>
      </c>
      <c r="I76" s="25">
        <v>715.85</v>
      </c>
      <c r="J76" s="25">
        <v>86543.15</v>
      </c>
      <c r="K76" s="9">
        <f t="shared" si="1"/>
        <v>8654.3149999999987</v>
      </c>
    </row>
    <row r="77" spans="1:11">
      <c r="A77" s="22">
        <v>41365</v>
      </c>
      <c r="B77" s="23">
        <v>292.5</v>
      </c>
      <c r="C77" s="23">
        <v>252.5</v>
      </c>
      <c r="D77" s="23">
        <v>289.13</v>
      </c>
      <c r="E77" s="23">
        <v>29.57</v>
      </c>
      <c r="F77" s="23">
        <v>26.24</v>
      </c>
      <c r="G77" s="23">
        <v>29.57</v>
      </c>
      <c r="H77" s="23">
        <v>702857</v>
      </c>
      <c r="I77" s="23">
        <v>390</v>
      </c>
      <c r="J77" s="23">
        <v>69159.17</v>
      </c>
      <c r="K77" s="9">
        <f t="shared" si="1"/>
        <v>6915.9169999999995</v>
      </c>
    </row>
    <row r="78" spans="1:11">
      <c r="A78" s="24">
        <v>41334</v>
      </c>
      <c r="B78" s="25">
        <v>274.10000000000002</v>
      </c>
      <c r="C78" s="25">
        <v>239.13</v>
      </c>
      <c r="D78" s="25">
        <v>262.14999999999998</v>
      </c>
      <c r="E78" s="25">
        <v>27.94</v>
      </c>
      <c r="F78" s="25">
        <v>25.47</v>
      </c>
      <c r="G78" s="25">
        <v>26.8</v>
      </c>
      <c r="H78" s="25">
        <v>189312</v>
      </c>
      <c r="I78" s="25">
        <v>98.73</v>
      </c>
      <c r="J78" s="25">
        <v>62667.38</v>
      </c>
      <c r="K78" s="9">
        <f t="shared" si="1"/>
        <v>6266.7379999999994</v>
      </c>
    </row>
    <row r="79" spans="1:11">
      <c r="A79" s="22">
        <v>41306</v>
      </c>
      <c r="B79" s="23">
        <v>297.5</v>
      </c>
      <c r="C79" s="23">
        <v>231.5</v>
      </c>
      <c r="D79" s="23">
        <v>240.15</v>
      </c>
      <c r="E79" s="23">
        <v>30.27</v>
      </c>
      <c r="F79" s="23">
        <v>27.91</v>
      </c>
      <c r="G79" s="23">
        <v>28.84</v>
      </c>
      <c r="H79" s="23">
        <v>175997</v>
      </c>
      <c r="I79" s="23">
        <v>84.19</v>
      </c>
      <c r="J79" s="23">
        <v>57408.25</v>
      </c>
      <c r="K79" s="9">
        <f t="shared" si="1"/>
        <v>5740.8249999999998</v>
      </c>
    </row>
    <row r="80" spans="1:11">
      <c r="A80" s="24">
        <v>41275</v>
      </c>
      <c r="B80" s="25">
        <v>283</v>
      </c>
      <c r="C80" s="25">
        <v>234.1</v>
      </c>
      <c r="D80" s="25">
        <v>241.78</v>
      </c>
      <c r="E80" s="25">
        <v>30.67</v>
      </c>
      <c r="F80" s="25">
        <v>28.49</v>
      </c>
      <c r="G80" s="25">
        <v>29.04</v>
      </c>
      <c r="H80" s="25">
        <v>421373</v>
      </c>
      <c r="I80" s="25">
        <v>207.78</v>
      </c>
      <c r="J80" s="25">
        <v>57796.71</v>
      </c>
      <c r="K80" s="9">
        <f t="shared" si="1"/>
        <v>5779.6710000000003</v>
      </c>
    </row>
    <row r="81" spans="1:11">
      <c r="A81" s="22">
        <v>41244</v>
      </c>
      <c r="B81" s="23">
        <v>254.63</v>
      </c>
      <c r="C81" s="23">
        <v>243.08</v>
      </c>
      <c r="D81" s="23">
        <v>249.63</v>
      </c>
      <c r="E81" s="23">
        <v>29.99</v>
      </c>
      <c r="F81" s="23">
        <v>29.31</v>
      </c>
      <c r="G81" s="23">
        <v>29.98</v>
      </c>
      <c r="H81" s="23">
        <v>127401</v>
      </c>
      <c r="I81" s="23">
        <v>63.1</v>
      </c>
      <c r="J81" s="23">
        <v>59673.26</v>
      </c>
      <c r="K81" s="9">
        <f t="shared" si="1"/>
        <v>5967.326</v>
      </c>
    </row>
    <row r="82" spans="1:11">
      <c r="A82" s="24">
        <v>41214</v>
      </c>
      <c r="B82" s="25">
        <v>252</v>
      </c>
      <c r="C82" s="25">
        <v>200</v>
      </c>
      <c r="D82" s="25">
        <v>248.18</v>
      </c>
      <c r="E82" s="25">
        <v>30.25</v>
      </c>
      <c r="F82" s="25">
        <v>28.08</v>
      </c>
      <c r="G82" s="25">
        <v>30.25</v>
      </c>
      <c r="H82" s="25">
        <v>648959</v>
      </c>
      <c r="I82" s="25">
        <v>311.37</v>
      </c>
      <c r="J82" s="25">
        <v>59326.64</v>
      </c>
      <c r="K82" s="9">
        <f t="shared" si="1"/>
        <v>5932.6639999999998</v>
      </c>
    </row>
    <row r="83" spans="1:11">
      <c r="A83" s="22">
        <v>41183</v>
      </c>
      <c r="B83" s="23">
        <v>262.39999999999998</v>
      </c>
      <c r="C83" s="23">
        <v>231.48</v>
      </c>
      <c r="D83" s="23">
        <v>241.73</v>
      </c>
      <c r="E83" s="23">
        <v>31.03</v>
      </c>
      <c r="F83" s="23">
        <v>28.81</v>
      </c>
      <c r="G83" s="23">
        <v>29.46</v>
      </c>
      <c r="H83" s="23">
        <v>817628</v>
      </c>
      <c r="I83" s="23">
        <v>400.53</v>
      </c>
      <c r="J83" s="23">
        <v>57784.76</v>
      </c>
      <c r="K83" s="9">
        <f t="shared" si="1"/>
        <v>5778.4760000000006</v>
      </c>
    </row>
    <row r="84" spans="1:11">
      <c r="A84" s="24">
        <v>41153</v>
      </c>
      <c r="B84" s="25">
        <v>254.5</v>
      </c>
      <c r="C84" s="25">
        <v>234.08</v>
      </c>
      <c r="D84" s="25">
        <v>237.98</v>
      </c>
      <c r="E84" s="25">
        <v>30.72</v>
      </c>
      <c r="F84" s="25">
        <v>28.67</v>
      </c>
      <c r="G84" s="25">
        <v>29</v>
      </c>
      <c r="H84" s="25">
        <v>785713</v>
      </c>
      <c r="I84" s="25">
        <v>381.38</v>
      </c>
      <c r="J84" s="25">
        <v>56888.31</v>
      </c>
      <c r="K84" s="9">
        <f t="shared" si="1"/>
        <v>5688.8310000000001</v>
      </c>
    </row>
    <row r="85" spans="1:11">
      <c r="A85" s="22">
        <v>41122</v>
      </c>
      <c r="B85" s="23">
        <v>252.5</v>
      </c>
      <c r="C85" s="23">
        <v>225</v>
      </c>
      <c r="D85" s="23">
        <v>251.08</v>
      </c>
      <c r="E85" s="23">
        <v>31.84</v>
      </c>
      <c r="F85" s="23">
        <v>28.73</v>
      </c>
      <c r="G85" s="23">
        <v>31.84</v>
      </c>
      <c r="H85" s="23">
        <v>726587</v>
      </c>
      <c r="I85" s="23">
        <v>354.86</v>
      </c>
      <c r="J85" s="23">
        <v>59982.23</v>
      </c>
      <c r="K85" s="9">
        <f t="shared" si="1"/>
        <v>5998.223</v>
      </c>
    </row>
    <row r="86" spans="1:11">
      <c r="A86" s="24">
        <v>41091</v>
      </c>
      <c r="B86" s="25">
        <v>276.45</v>
      </c>
      <c r="C86" s="25">
        <v>231</v>
      </c>
      <c r="D86" s="25">
        <v>232.45</v>
      </c>
      <c r="E86" s="25">
        <v>34.200000000000003</v>
      </c>
      <c r="F86" s="25">
        <v>29.48</v>
      </c>
      <c r="G86" s="25">
        <v>29.48</v>
      </c>
      <c r="H86" s="25">
        <v>348822</v>
      </c>
      <c r="I86" s="25">
        <v>182.97</v>
      </c>
      <c r="J86" s="25">
        <v>55532.68</v>
      </c>
      <c r="K86" s="9">
        <f t="shared" si="1"/>
        <v>5553.268</v>
      </c>
    </row>
    <row r="87" spans="1:11">
      <c r="A87" s="22">
        <v>41061</v>
      </c>
      <c r="B87" s="23">
        <v>274.5</v>
      </c>
      <c r="C87" s="23">
        <v>255.55</v>
      </c>
      <c r="D87" s="23">
        <v>262.39999999999998</v>
      </c>
      <c r="E87" s="23">
        <v>34.03</v>
      </c>
      <c r="F87" s="23">
        <v>32.799999999999997</v>
      </c>
      <c r="G87" s="23">
        <v>33.270000000000003</v>
      </c>
      <c r="H87" s="23">
        <v>121108</v>
      </c>
      <c r="I87" s="23">
        <v>63.87</v>
      </c>
      <c r="J87" s="23">
        <v>62687.79</v>
      </c>
      <c r="K87" s="9">
        <f t="shared" si="1"/>
        <v>6268.7790000000005</v>
      </c>
    </row>
    <row r="88" spans="1:11">
      <c r="A88" s="24">
        <v>41030</v>
      </c>
      <c r="B88" s="25">
        <v>283.48</v>
      </c>
      <c r="C88" s="25">
        <v>253.3</v>
      </c>
      <c r="D88" s="25">
        <v>266.73</v>
      </c>
      <c r="E88" s="25">
        <v>35.729999999999997</v>
      </c>
      <c r="F88" s="25">
        <v>33</v>
      </c>
      <c r="G88" s="25">
        <v>34.119999999999997</v>
      </c>
      <c r="H88" s="25">
        <v>573447</v>
      </c>
      <c r="I88" s="25">
        <v>309.25</v>
      </c>
      <c r="J88" s="25">
        <v>63721.04</v>
      </c>
      <c r="K88" s="9">
        <f t="shared" si="1"/>
        <v>6372.1040000000003</v>
      </c>
    </row>
    <row r="89" spans="1:11">
      <c r="A89" s="22">
        <v>41000</v>
      </c>
      <c r="B89" s="23">
        <v>299.95</v>
      </c>
      <c r="C89" s="23">
        <v>271.60000000000002</v>
      </c>
      <c r="D89" s="23">
        <v>280.18</v>
      </c>
      <c r="E89" s="23">
        <v>38.049999999999997</v>
      </c>
      <c r="F89" s="23">
        <v>35.74</v>
      </c>
      <c r="G89" s="23">
        <v>35.840000000000003</v>
      </c>
      <c r="H89" s="23">
        <v>1246359</v>
      </c>
      <c r="I89" s="23">
        <v>711.25</v>
      </c>
      <c r="J89" s="23">
        <v>66934.259999999995</v>
      </c>
      <c r="K89" s="9">
        <f t="shared" si="1"/>
        <v>6693.4259999999995</v>
      </c>
    </row>
    <row r="90" spans="1:11">
      <c r="A90" s="24">
        <v>40969</v>
      </c>
      <c r="B90" s="25">
        <v>298</v>
      </c>
      <c r="C90" s="25">
        <v>253.53</v>
      </c>
      <c r="D90" s="25">
        <v>296.25</v>
      </c>
      <c r="E90" s="25">
        <v>37.9</v>
      </c>
      <c r="F90" s="25">
        <v>33.57</v>
      </c>
      <c r="G90" s="25">
        <v>37.9</v>
      </c>
      <c r="H90" s="25">
        <v>846820</v>
      </c>
      <c r="I90" s="25">
        <v>492.07</v>
      </c>
      <c r="J90" s="25">
        <v>70774.61</v>
      </c>
      <c r="K90" s="9">
        <f t="shared" si="1"/>
        <v>7077.4610000000002</v>
      </c>
    </row>
    <row r="91" spans="1:11">
      <c r="A91" s="22">
        <v>40940</v>
      </c>
      <c r="B91" s="23">
        <v>273.85000000000002</v>
      </c>
      <c r="C91" s="23">
        <v>225</v>
      </c>
      <c r="D91" s="23">
        <v>257.68</v>
      </c>
      <c r="E91" s="23">
        <v>35.61</v>
      </c>
      <c r="F91" s="23">
        <v>31.23</v>
      </c>
      <c r="G91" s="23">
        <v>34.78</v>
      </c>
      <c r="H91" s="23">
        <v>515604</v>
      </c>
      <c r="I91" s="23">
        <v>263.16000000000003</v>
      </c>
      <c r="J91" s="23">
        <v>61558.98</v>
      </c>
      <c r="K91" s="9">
        <f t="shared" si="1"/>
        <v>6155.8980000000001</v>
      </c>
    </row>
    <row r="92" spans="1:11">
      <c r="A92" s="24">
        <v>40909</v>
      </c>
      <c r="B92" s="25">
        <v>233</v>
      </c>
      <c r="C92" s="25">
        <v>217.5</v>
      </c>
      <c r="D92" s="25">
        <v>225.75</v>
      </c>
      <c r="E92" s="25">
        <v>31.07</v>
      </c>
      <c r="F92" s="25">
        <v>29.51</v>
      </c>
      <c r="G92" s="25">
        <v>30.48</v>
      </c>
      <c r="H92" s="25">
        <v>114382</v>
      </c>
      <c r="I92" s="25">
        <v>51.35</v>
      </c>
      <c r="J92" s="25">
        <v>53932.04</v>
      </c>
      <c r="K92" s="9">
        <f t="shared" si="1"/>
        <v>5393.2039999999997</v>
      </c>
    </row>
    <row r="93" spans="1:11">
      <c r="A93" s="22">
        <v>40878</v>
      </c>
      <c r="B93" s="23">
        <v>238.5</v>
      </c>
      <c r="C93" s="23">
        <v>217</v>
      </c>
      <c r="D93" s="23">
        <v>224.08</v>
      </c>
      <c r="E93" s="23">
        <v>31.59</v>
      </c>
      <c r="F93" s="23">
        <v>29.58</v>
      </c>
      <c r="G93" s="23">
        <v>30.25</v>
      </c>
      <c r="H93" s="23">
        <v>696794</v>
      </c>
      <c r="I93" s="23">
        <v>323</v>
      </c>
      <c r="J93" s="23">
        <v>53531.88</v>
      </c>
      <c r="K93" s="9">
        <f t="shared" si="1"/>
        <v>5353.1880000000001</v>
      </c>
    </row>
    <row r="94" spans="1:11">
      <c r="A94" s="24">
        <v>40848</v>
      </c>
      <c r="B94" s="25">
        <v>246.5</v>
      </c>
      <c r="C94" s="25">
        <v>227.5</v>
      </c>
      <c r="D94" s="25">
        <v>234.4</v>
      </c>
      <c r="E94" s="25">
        <v>36.130000000000003</v>
      </c>
      <c r="F94" s="25">
        <v>34.630000000000003</v>
      </c>
      <c r="G94" s="25">
        <v>34.950000000000003</v>
      </c>
      <c r="H94" s="25">
        <v>221055</v>
      </c>
      <c r="I94" s="25">
        <v>105.99</v>
      </c>
      <c r="J94" s="25">
        <v>55998.54</v>
      </c>
      <c r="K94" s="9">
        <f t="shared" si="1"/>
        <v>5599.8540000000003</v>
      </c>
    </row>
    <row r="95" spans="1:11">
      <c r="A95" s="22">
        <v>40817</v>
      </c>
      <c r="B95" s="23">
        <v>237.5</v>
      </c>
      <c r="C95" s="23">
        <v>219.53</v>
      </c>
      <c r="D95" s="23">
        <v>235.28</v>
      </c>
      <c r="E95" s="23">
        <v>35.08</v>
      </c>
      <c r="F95" s="23">
        <v>33.020000000000003</v>
      </c>
      <c r="G95" s="23">
        <v>35.08</v>
      </c>
      <c r="H95" s="23">
        <v>261264</v>
      </c>
      <c r="I95" s="23">
        <v>118.56</v>
      </c>
      <c r="J95" s="23">
        <v>56207.58</v>
      </c>
      <c r="K95" s="9">
        <f t="shared" si="1"/>
        <v>5620.7579999999998</v>
      </c>
    </row>
    <row r="96" spans="1:11">
      <c r="A96" s="24">
        <v>40787</v>
      </c>
      <c r="B96" s="25">
        <v>247.5</v>
      </c>
      <c r="C96" s="25">
        <v>224.55</v>
      </c>
      <c r="D96" s="25">
        <v>234.78</v>
      </c>
      <c r="E96" s="25">
        <v>35.86</v>
      </c>
      <c r="F96" s="25">
        <v>33.81</v>
      </c>
      <c r="G96" s="25">
        <v>35</v>
      </c>
      <c r="H96" s="25">
        <v>488280</v>
      </c>
      <c r="I96" s="25">
        <v>227.77</v>
      </c>
      <c r="J96" s="25">
        <v>56088.13</v>
      </c>
      <c r="K96" s="9">
        <f t="shared" si="1"/>
        <v>5608.8130000000001</v>
      </c>
    </row>
    <row r="97" spans="1:11">
      <c r="A97" s="22">
        <v>40756</v>
      </c>
      <c r="B97" s="23">
        <v>245</v>
      </c>
      <c r="C97" s="23">
        <v>225</v>
      </c>
      <c r="D97" s="23">
        <v>242.7</v>
      </c>
      <c r="E97" s="23">
        <v>37.590000000000003</v>
      </c>
      <c r="F97" s="23">
        <v>35.61</v>
      </c>
      <c r="G97" s="23">
        <v>37.590000000000003</v>
      </c>
      <c r="H97" s="23">
        <v>215523</v>
      </c>
      <c r="I97" s="23">
        <v>102.17</v>
      </c>
      <c r="J97" s="23">
        <v>57981.43</v>
      </c>
      <c r="K97" s="9">
        <f t="shared" si="1"/>
        <v>5798.143</v>
      </c>
    </row>
    <row r="98" spans="1:11">
      <c r="A98" s="24">
        <v>40725</v>
      </c>
      <c r="B98" s="25">
        <v>249</v>
      </c>
      <c r="C98" s="25">
        <v>231.55</v>
      </c>
      <c r="D98" s="25">
        <v>241.03</v>
      </c>
      <c r="E98" s="25">
        <v>37.9</v>
      </c>
      <c r="F98" s="25">
        <v>36.369999999999997</v>
      </c>
      <c r="G98" s="25">
        <v>37.33</v>
      </c>
      <c r="H98" s="25">
        <v>326648</v>
      </c>
      <c r="I98" s="25">
        <v>157.68</v>
      </c>
      <c r="J98" s="25">
        <v>57581.27</v>
      </c>
      <c r="K98" s="9">
        <f t="shared" si="1"/>
        <v>5758.1269999999995</v>
      </c>
    </row>
    <row r="99" spans="1:11">
      <c r="A99" s="22">
        <v>40695</v>
      </c>
      <c r="B99" s="23">
        <v>243.9</v>
      </c>
      <c r="C99" s="23">
        <v>207.08</v>
      </c>
      <c r="D99" s="23">
        <v>238.75</v>
      </c>
      <c r="E99" s="23">
        <v>36.979999999999997</v>
      </c>
      <c r="F99" s="23">
        <v>32.479999999999997</v>
      </c>
      <c r="G99" s="23">
        <v>36.979999999999997</v>
      </c>
      <c r="H99" s="23">
        <v>678756</v>
      </c>
      <c r="I99" s="23">
        <v>311.92</v>
      </c>
      <c r="J99" s="23">
        <v>57037.760000000002</v>
      </c>
      <c r="K99" s="9">
        <f t="shared" si="1"/>
        <v>5703.7759999999998</v>
      </c>
    </row>
    <row r="100" spans="1:11">
      <c r="A100" s="24">
        <v>40664</v>
      </c>
      <c r="B100" s="25">
        <v>209.75</v>
      </c>
      <c r="C100" s="25">
        <v>162</v>
      </c>
      <c r="D100" s="25">
        <v>208.65</v>
      </c>
      <c r="E100" s="25">
        <v>34.31</v>
      </c>
      <c r="F100" s="25">
        <v>29.85</v>
      </c>
      <c r="G100" s="25">
        <v>34.31</v>
      </c>
      <c r="H100" s="25">
        <v>766029</v>
      </c>
      <c r="I100" s="25">
        <v>294.08</v>
      </c>
      <c r="J100" s="25">
        <v>49846.83</v>
      </c>
      <c r="K100" s="9">
        <f t="shared" si="1"/>
        <v>4984.683</v>
      </c>
    </row>
    <row r="101" spans="1:11">
      <c r="A101" s="22">
        <v>40634</v>
      </c>
      <c r="B101" s="23">
        <v>201.23</v>
      </c>
      <c r="C101" s="23">
        <v>180.5</v>
      </c>
      <c r="D101" s="23">
        <v>184.78</v>
      </c>
      <c r="E101" s="23">
        <v>31.99</v>
      </c>
      <c r="F101" s="23">
        <v>30.11</v>
      </c>
      <c r="G101" s="23">
        <v>30.38</v>
      </c>
      <c r="H101" s="23">
        <v>313189</v>
      </c>
      <c r="I101" s="23">
        <v>120.43</v>
      </c>
      <c r="J101" s="23">
        <v>44143.05</v>
      </c>
      <c r="K101" s="9">
        <f t="shared" si="1"/>
        <v>4414.3050000000003</v>
      </c>
    </row>
    <row r="102" spans="1:11">
      <c r="A102" s="24">
        <v>40603</v>
      </c>
      <c r="B102" s="25">
        <v>187</v>
      </c>
      <c r="C102" s="25">
        <v>170</v>
      </c>
      <c r="D102" s="25">
        <v>185.28</v>
      </c>
      <c r="E102" s="25">
        <v>30.46</v>
      </c>
      <c r="F102" s="25">
        <v>28.21</v>
      </c>
      <c r="G102" s="25">
        <v>30.46</v>
      </c>
      <c r="H102" s="25">
        <v>116976</v>
      </c>
      <c r="I102" s="25">
        <v>41.39</v>
      </c>
      <c r="J102" s="25">
        <v>44262.5</v>
      </c>
      <c r="K102" s="9">
        <f t="shared" si="1"/>
        <v>4426.25</v>
      </c>
    </row>
    <row r="103" spans="1:11">
      <c r="A103" s="22">
        <v>40575</v>
      </c>
      <c r="B103" s="23">
        <v>195.45</v>
      </c>
      <c r="C103" s="23">
        <v>167.05</v>
      </c>
      <c r="D103" s="23">
        <v>168.73</v>
      </c>
      <c r="E103" s="23">
        <v>54.23</v>
      </c>
      <c r="F103" s="23">
        <v>48.56</v>
      </c>
      <c r="G103" s="23">
        <v>48.56</v>
      </c>
      <c r="H103" s="23">
        <v>444631</v>
      </c>
      <c r="I103" s="23">
        <v>159.16999999999999</v>
      </c>
      <c r="J103" s="23">
        <v>40308.68</v>
      </c>
      <c r="K103" s="9">
        <f t="shared" si="1"/>
        <v>4030.8679999999999</v>
      </c>
    </row>
    <row r="104" spans="1:11">
      <c r="A104" s="24">
        <v>40544</v>
      </c>
      <c r="B104" s="25">
        <v>212</v>
      </c>
      <c r="C104" s="25">
        <v>176</v>
      </c>
      <c r="D104" s="25">
        <v>188.55</v>
      </c>
      <c r="E104" s="25">
        <v>59.2</v>
      </c>
      <c r="F104" s="25">
        <v>51.07</v>
      </c>
      <c r="G104" s="25">
        <v>54.27</v>
      </c>
      <c r="H104" s="25">
        <v>327150</v>
      </c>
      <c r="I104" s="25">
        <v>124.83</v>
      </c>
      <c r="J104" s="25">
        <v>45044.9</v>
      </c>
      <c r="K104" s="9">
        <f t="shared" si="1"/>
        <v>4504.49</v>
      </c>
    </row>
    <row r="105" spans="1:11">
      <c r="A105" s="22">
        <v>40513</v>
      </c>
      <c r="B105" s="23">
        <v>210</v>
      </c>
      <c r="C105" s="23">
        <v>195.15</v>
      </c>
      <c r="D105" s="23">
        <v>205</v>
      </c>
      <c r="E105" s="23">
        <v>59.34</v>
      </c>
      <c r="F105" s="23">
        <v>56.8</v>
      </c>
      <c r="G105" s="23">
        <v>59.01</v>
      </c>
      <c r="H105" s="23">
        <v>640729</v>
      </c>
      <c r="I105" s="23">
        <v>256.68</v>
      </c>
      <c r="J105" s="23">
        <v>48974.83</v>
      </c>
      <c r="K105" s="9">
        <f t="shared" si="1"/>
        <v>4897.4830000000002</v>
      </c>
    </row>
    <row r="106" spans="1:11">
      <c r="A106" s="24">
        <v>40483</v>
      </c>
      <c r="B106" s="25">
        <v>225.5</v>
      </c>
      <c r="C106" s="25">
        <v>195</v>
      </c>
      <c r="D106" s="25">
        <v>200.13</v>
      </c>
      <c r="E106" s="25">
        <v>70.47</v>
      </c>
      <c r="F106" s="25">
        <v>62.83</v>
      </c>
      <c r="G106" s="25">
        <v>63.95</v>
      </c>
      <c r="H106" s="25">
        <v>442047</v>
      </c>
      <c r="I106" s="25">
        <v>187.23</v>
      </c>
      <c r="J106" s="25">
        <v>47810.19</v>
      </c>
      <c r="K106" s="9">
        <f t="shared" si="1"/>
        <v>4781.0190000000002</v>
      </c>
    </row>
    <row r="107" spans="1:11">
      <c r="A107" s="22">
        <v>40452</v>
      </c>
      <c r="B107" s="23">
        <v>226.23</v>
      </c>
      <c r="C107" s="23">
        <v>206.5</v>
      </c>
      <c r="D107" s="23">
        <v>207.65</v>
      </c>
      <c r="E107" s="23">
        <v>70.86</v>
      </c>
      <c r="F107" s="23">
        <v>66.36</v>
      </c>
      <c r="G107" s="23">
        <v>66.36</v>
      </c>
      <c r="H107" s="23">
        <v>381134</v>
      </c>
      <c r="I107" s="23">
        <v>166.26</v>
      </c>
      <c r="J107" s="23">
        <v>49607.92</v>
      </c>
      <c r="K107" s="9">
        <f t="shared" si="1"/>
        <v>4960.7919999999995</v>
      </c>
    </row>
    <row r="108" spans="1:11">
      <c r="A108" s="24">
        <v>40422</v>
      </c>
      <c r="B108" s="25">
        <v>267.35000000000002</v>
      </c>
      <c r="C108" s="25">
        <v>204.13</v>
      </c>
      <c r="D108" s="25">
        <v>216.85</v>
      </c>
      <c r="E108" s="25">
        <v>77.09</v>
      </c>
      <c r="F108" s="25">
        <v>65.5</v>
      </c>
      <c r="G108" s="25">
        <v>69.3</v>
      </c>
      <c r="H108" s="25">
        <v>2004109</v>
      </c>
      <c r="I108" s="25">
        <v>976.79</v>
      </c>
      <c r="J108" s="25">
        <v>51805.82</v>
      </c>
      <c r="K108" s="9">
        <f t="shared" si="1"/>
        <v>5180.5820000000003</v>
      </c>
    </row>
    <row r="109" spans="1:11">
      <c r="A109" s="22">
        <v>40391</v>
      </c>
      <c r="B109" s="23">
        <v>238</v>
      </c>
      <c r="C109" s="23">
        <v>199.1</v>
      </c>
      <c r="D109" s="23">
        <v>204.95</v>
      </c>
      <c r="E109" s="23">
        <v>53.75</v>
      </c>
      <c r="F109" s="23">
        <v>46.95</v>
      </c>
      <c r="G109" s="23">
        <v>48.02</v>
      </c>
      <c r="H109" s="23">
        <v>331211</v>
      </c>
      <c r="I109" s="23">
        <v>719.47</v>
      </c>
      <c r="J109" s="23">
        <v>48962.89</v>
      </c>
      <c r="K109" s="9">
        <f t="shared" si="1"/>
        <v>4896.2889999999998</v>
      </c>
    </row>
    <row r="110" spans="1:11">
      <c r="A110" s="24">
        <v>40360</v>
      </c>
      <c r="B110" s="25">
        <v>200</v>
      </c>
      <c r="C110" s="25">
        <v>183.8</v>
      </c>
      <c r="D110" s="25">
        <v>196.75</v>
      </c>
      <c r="E110" s="25">
        <v>46.1</v>
      </c>
      <c r="F110" s="25">
        <v>43.49</v>
      </c>
      <c r="G110" s="25">
        <v>46.1</v>
      </c>
      <c r="H110" s="25">
        <v>87184</v>
      </c>
      <c r="I110" s="25">
        <v>168.42</v>
      </c>
      <c r="J110" s="25">
        <v>47002.7</v>
      </c>
      <c r="K110" s="9">
        <f t="shared" si="1"/>
        <v>4700.2699999999995</v>
      </c>
    </row>
    <row r="111" spans="1:11">
      <c r="A111" s="22">
        <v>40330</v>
      </c>
      <c r="B111" s="23">
        <v>192.2</v>
      </c>
      <c r="C111" s="23">
        <v>166.01</v>
      </c>
      <c r="D111" s="23">
        <v>185.78</v>
      </c>
      <c r="E111" s="23">
        <v>43.87</v>
      </c>
      <c r="F111" s="23">
        <v>39.51</v>
      </c>
      <c r="G111" s="23">
        <v>43.53</v>
      </c>
      <c r="H111" s="23">
        <v>43356</v>
      </c>
      <c r="I111" s="23">
        <v>78.86</v>
      </c>
      <c r="J111" s="23">
        <v>44383.14</v>
      </c>
      <c r="K111" s="9">
        <f t="shared" si="1"/>
        <v>4438.3140000000003</v>
      </c>
    </row>
    <row r="112" spans="1:11">
      <c r="A112" s="24">
        <v>40299</v>
      </c>
      <c r="B112" s="25">
        <v>173.08</v>
      </c>
      <c r="C112" s="25">
        <v>161.01</v>
      </c>
      <c r="D112" s="25">
        <v>170.34</v>
      </c>
      <c r="E112" s="25">
        <v>34.93</v>
      </c>
      <c r="F112" s="25">
        <v>33.53</v>
      </c>
      <c r="G112" s="25">
        <v>34.93</v>
      </c>
      <c r="H112" s="25">
        <v>16236</v>
      </c>
      <c r="I112" s="25">
        <v>27.08</v>
      </c>
      <c r="J112" s="25">
        <v>40694.5</v>
      </c>
      <c r="K112" s="9">
        <f t="shared" si="1"/>
        <v>4069.45</v>
      </c>
    </row>
    <row r="113" spans="1:11">
      <c r="A113" s="22">
        <v>40269</v>
      </c>
      <c r="B113" s="23">
        <v>174.4</v>
      </c>
      <c r="C113" s="23">
        <v>159.9</v>
      </c>
      <c r="D113" s="23">
        <v>164.03</v>
      </c>
      <c r="E113" s="23">
        <v>34.29</v>
      </c>
      <c r="F113" s="23">
        <v>32.92</v>
      </c>
      <c r="G113" s="23">
        <v>33.630000000000003</v>
      </c>
      <c r="H113" s="23">
        <v>60954</v>
      </c>
      <c r="I113" s="23">
        <v>101.17</v>
      </c>
      <c r="J113" s="23">
        <v>39187.03</v>
      </c>
      <c r="K113" s="9">
        <f t="shared" si="1"/>
        <v>3918.703</v>
      </c>
    </row>
    <row r="114" spans="1:11">
      <c r="A114" s="24">
        <v>40238</v>
      </c>
      <c r="B114" s="25">
        <v>177.5</v>
      </c>
      <c r="C114" s="25">
        <v>150.13</v>
      </c>
      <c r="D114" s="25">
        <v>159.94999999999999</v>
      </c>
      <c r="E114" s="25">
        <v>36.21</v>
      </c>
      <c r="F114" s="25">
        <v>32.119999999999997</v>
      </c>
      <c r="G114" s="25">
        <v>32.799999999999997</v>
      </c>
      <c r="H114" s="25">
        <v>39433</v>
      </c>
      <c r="I114" s="25">
        <v>65.48</v>
      </c>
      <c r="J114" s="25">
        <v>38212.32</v>
      </c>
      <c r="K114" s="9">
        <f t="shared" si="1"/>
        <v>3821.232</v>
      </c>
    </row>
    <row r="115" spans="1:11">
      <c r="A115" s="22">
        <v>40210</v>
      </c>
      <c r="B115" s="23">
        <v>169.9</v>
      </c>
      <c r="C115" s="23">
        <v>156.11000000000001</v>
      </c>
      <c r="D115" s="23">
        <v>167.13</v>
      </c>
      <c r="E115" s="23">
        <v>22.66</v>
      </c>
      <c r="F115" s="23">
        <v>21.5</v>
      </c>
      <c r="G115" s="23">
        <v>22.66</v>
      </c>
      <c r="H115" s="23">
        <v>31271</v>
      </c>
      <c r="I115" s="23">
        <v>50.53</v>
      </c>
      <c r="J115" s="23">
        <v>39927.629999999997</v>
      </c>
      <c r="K115" s="9">
        <f t="shared" si="1"/>
        <v>3992.7629999999999</v>
      </c>
    </row>
    <row r="116" spans="1:11">
      <c r="A116" s="24">
        <v>40179</v>
      </c>
      <c r="B116" s="25">
        <v>174.98</v>
      </c>
      <c r="C116" s="25">
        <v>152.5</v>
      </c>
      <c r="D116" s="25">
        <v>156.79</v>
      </c>
      <c r="E116" s="25">
        <v>22.97</v>
      </c>
      <c r="F116" s="25">
        <v>21.26</v>
      </c>
      <c r="G116" s="25">
        <v>21.26</v>
      </c>
      <c r="H116" s="25">
        <v>81680</v>
      </c>
      <c r="I116" s="25">
        <v>134.86000000000001</v>
      </c>
      <c r="J116" s="25">
        <v>37456.19</v>
      </c>
      <c r="K116" s="9">
        <f t="shared" si="1"/>
        <v>3745.6190000000001</v>
      </c>
    </row>
    <row r="117" spans="1:11">
      <c r="A117" s="22">
        <v>40148</v>
      </c>
      <c r="B117" s="23">
        <v>175</v>
      </c>
      <c r="C117" s="23">
        <v>160.6</v>
      </c>
      <c r="D117" s="23">
        <v>168.06</v>
      </c>
      <c r="E117" s="23">
        <v>22.85</v>
      </c>
      <c r="F117" s="23">
        <v>21.95</v>
      </c>
      <c r="G117" s="23">
        <v>22.79</v>
      </c>
      <c r="H117" s="23">
        <v>11653</v>
      </c>
      <c r="I117" s="23">
        <v>19.2</v>
      </c>
      <c r="J117" s="23">
        <v>40149.81</v>
      </c>
      <c r="K117" s="9">
        <f t="shared" si="1"/>
        <v>4014.9809999999998</v>
      </c>
    </row>
    <row r="118" spans="1:11">
      <c r="A118" s="24">
        <v>40118</v>
      </c>
      <c r="B118" s="25">
        <v>170</v>
      </c>
      <c r="C118" s="25">
        <v>159.15</v>
      </c>
      <c r="D118" s="25">
        <v>159.99</v>
      </c>
      <c r="E118" s="25">
        <v>20.81</v>
      </c>
      <c r="F118" s="25">
        <v>19.78</v>
      </c>
      <c r="G118" s="25">
        <v>19.78</v>
      </c>
      <c r="H118" s="25">
        <v>21595</v>
      </c>
      <c r="I118" s="25">
        <v>35.86</v>
      </c>
      <c r="J118" s="25">
        <v>38220.68</v>
      </c>
      <c r="K118" s="9">
        <f t="shared" si="1"/>
        <v>3822.0680000000002</v>
      </c>
    </row>
    <row r="119" spans="1:11">
      <c r="A119" s="22">
        <v>40087</v>
      </c>
      <c r="B119" s="23">
        <v>178.95</v>
      </c>
      <c r="C119" s="23">
        <v>152</v>
      </c>
      <c r="D119" s="23">
        <v>165.42</v>
      </c>
      <c r="E119" s="23">
        <v>21.75</v>
      </c>
      <c r="F119" s="23">
        <v>19.07</v>
      </c>
      <c r="G119" s="23">
        <v>20.45</v>
      </c>
      <c r="H119" s="23">
        <v>54803</v>
      </c>
      <c r="I119" s="23">
        <v>92.03</v>
      </c>
      <c r="J119" s="23">
        <v>39517.910000000003</v>
      </c>
      <c r="K119" s="9">
        <f t="shared" si="1"/>
        <v>3951.7910000000002</v>
      </c>
    </row>
    <row r="120" spans="1:11">
      <c r="A120" s="24">
        <v>40057</v>
      </c>
      <c r="B120" s="25">
        <v>176.5</v>
      </c>
      <c r="C120" s="25">
        <v>149.66999999999999</v>
      </c>
      <c r="D120" s="25">
        <v>157.75</v>
      </c>
      <c r="E120" s="25">
        <v>20.8</v>
      </c>
      <c r="F120" s="25">
        <v>18.71</v>
      </c>
      <c r="G120" s="25">
        <v>19.5</v>
      </c>
      <c r="H120" s="25">
        <v>49069</v>
      </c>
      <c r="I120" s="25">
        <v>77.2</v>
      </c>
      <c r="J120" s="25">
        <v>37686.730000000003</v>
      </c>
      <c r="K120" s="9">
        <f t="shared" si="1"/>
        <v>3768.6730000000002</v>
      </c>
    </row>
    <row r="121" spans="1:11">
      <c r="A121" s="22">
        <v>40026</v>
      </c>
      <c r="B121" s="23">
        <v>189</v>
      </c>
      <c r="C121" s="23">
        <v>160.66</v>
      </c>
      <c r="D121" s="23">
        <v>164.71</v>
      </c>
      <c r="E121" s="23">
        <v>23.27</v>
      </c>
      <c r="F121" s="23">
        <v>20.83</v>
      </c>
      <c r="G121" s="23">
        <v>20.99</v>
      </c>
      <c r="H121" s="23">
        <v>32692</v>
      </c>
      <c r="I121" s="23">
        <v>55.85</v>
      </c>
      <c r="J121" s="23">
        <v>39348.29</v>
      </c>
      <c r="K121" s="9">
        <f t="shared" si="1"/>
        <v>3934.8290000000002</v>
      </c>
    </row>
    <row r="122" spans="1:11">
      <c r="A122" s="24">
        <v>39995</v>
      </c>
      <c r="B122" s="25">
        <v>188.2</v>
      </c>
      <c r="C122" s="25">
        <v>153</v>
      </c>
      <c r="D122" s="25">
        <v>186.2</v>
      </c>
      <c r="E122" s="25">
        <v>23.73</v>
      </c>
      <c r="F122" s="25">
        <v>20.010000000000002</v>
      </c>
      <c r="G122" s="25">
        <v>23.73</v>
      </c>
      <c r="H122" s="25">
        <v>62870</v>
      </c>
      <c r="I122" s="25">
        <v>106.13</v>
      </c>
      <c r="J122" s="25">
        <v>44482.29</v>
      </c>
      <c r="K122" s="9">
        <f t="shared" si="1"/>
        <v>4448.2290000000003</v>
      </c>
    </row>
    <row r="123" spans="1:11">
      <c r="A123" s="22">
        <v>39965</v>
      </c>
      <c r="B123" s="23">
        <v>183</v>
      </c>
      <c r="C123" s="23">
        <v>152.51</v>
      </c>
      <c r="D123" s="23">
        <v>158.63999999999999</v>
      </c>
      <c r="E123" s="23">
        <v>21.43</v>
      </c>
      <c r="F123" s="23">
        <v>19.84</v>
      </c>
      <c r="G123" s="23">
        <v>20.22</v>
      </c>
      <c r="H123" s="23">
        <v>38452</v>
      </c>
      <c r="I123" s="23">
        <v>61.91</v>
      </c>
      <c r="J123" s="23">
        <v>37899.35</v>
      </c>
      <c r="K123" s="9">
        <f t="shared" si="1"/>
        <v>3789.9349999999999</v>
      </c>
    </row>
    <row r="124" spans="1:11">
      <c r="A124" s="24">
        <v>39934</v>
      </c>
      <c r="B124" s="25">
        <v>189</v>
      </c>
      <c r="C124" s="25">
        <v>152</v>
      </c>
      <c r="D124" s="25">
        <v>171.29</v>
      </c>
      <c r="E124" s="25">
        <v>23.1</v>
      </c>
      <c r="F124" s="25">
        <v>20.49</v>
      </c>
      <c r="G124" s="25">
        <v>22.68</v>
      </c>
      <c r="H124" s="25">
        <v>127650</v>
      </c>
      <c r="I124" s="25">
        <v>217.04</v>
      </c>
      <c r="J124" s="25">
        <v>40921.46</v>
      </c>
      <c r="K124" s="9">
        <f t="shared" si="1"/>
        <v>4092.1459999999997</v>
      </c>
    </row>
    <row r="125" spans="1:11">
      <c r="A125" s="22">
        <v>39904</v>
      </c>
      <c r="B125" s="23">
        <v>169.9</v>
      </c>
      <c r="C125" s="23">
        <v>138</v>
      </c>
      <c r="D125" s="23">
        <v>160.16999999999999</v>
      </c>
      <c r="E125" s="23">
        <v>21.21</v>
      </c>
      <c r="F125" s="23">
        <v>18.53</v>
      </c>
      <c r="G125" s="23">
        <v>21.21</v>
      </c>
      <c r="H125" s="23">
        <v>128206</v>
      </c>
      <c r="I125" s="23">
        <v>198.25</v>
      </c>
      <c r="J125" s="23">
        <v>38264.870000000003</v>
      </c>
      <c r="K125" s="9">
        <f t="shared" si="1"/>
        <v>3826.4870000000001</v>
      </c>
    </row>
    <row r="126" spans="1:11">
      <c r="A126" s="24">
        <v>39873</v>
      </c>
      <c r="B126" s="25">
        <v>141.19999999999999</v>
      </c>
      <c r="C126" s="25">
        <v>123</v>
      </c>
      <c r="D126" s="25">
        <v>140.94</v>
      </c>
      <c r="E126" s="25">
        <v>18.66</v>
      </c>
      <c r="F126" s="25">
        <v>16.29</v>
      </c>
      <c r="G126" s="25">
        <v>18.66</v>
      </c>
      <c r="H126" s="25">
        <v>45553</v>
      </c>
      <c r="I126" s="25">
        <v>62.37</v>
      </c>
      <c r="J126" s="25">
        <v>33670.800000000003</v>
      </c>
      <c r="K126" s="9">
        <f t="shared" si="1"/>
        <v>3367.0800000000004</v>
      </c>
    </row>
    <row r="127" spans="1:11">
      <c r="A127" s="22">
        <v>39845</v>
      </c>
      <c r="B127" s="23">
        <v>141</v>
      </c>
      <c r="C127" s="23">
        <v>130.13999999999999</v>
      </c>
      <c r="D127" s="23">
        <v>131.51</v>
      </c>
      <c r="E127" s="23">
        <v>16.670000000000002</v>
      </c>
      <c r="F127" s="23">
        <v>15.65</v>
      </c>
      <c r="G127" s="23">
        <v>15.65</v>
      </c>
      <c r="H127" s="23">
        <v>79268</v>
      </c>
      <c r="I127" s="23">
        <v>110.08</v>
      </c>
      <c r="J127" s="23">
        <v>31416.76</v>
      </c>
      <c r="K127" s="9">
        <f t="shared" si="1"/>
        <v>3141.6759999999999</v>
      </c>
    </row>
    <row r="128" spans="1:11">
      <c r="A128" s="24">
        <v>39814</v>
      </c>
      <c r="B128" s="25">
        <v>140</v>
      </c>
      <c r="C128" s="25">
        <v>122.49</v>
      </c>
      <c r="D128" s="25">
        <v>138.86000000000001</v>
      </c>
      <c r="E128" s="25">
        <v>16.52</v>
      </c>
      <c r="F128" s="25">
        <v>15.07</v>
      </c>
      <c r="G128" s="25">
        <v>16.52</v>
      </c>
      <c r="H128" s="25">
        <v>10451</v>
      </c>
      <c r="I128" s="25">
        <v>13.87</v>
      </c>
      <c r="J128" s="25">
        <v>33173.879999999997</v>
      </c>
      <c r="K128" s="9">
        <f t="shared" si="1"/>
        <v>3317.3879999999999</v>
      </c>
    </row>
    <row r="129" spans="1:11">
      <c r="A129" s="22">
        <v>39783</v>
      </c>
      <c r="B129" s="23">
        <v>136</v>
      </c>
      <c r="C129" s="23">
        <v>108.2</v>
      </c>
      <c r="D129" s="23">
        <v>132.49</v>
      </c>
      <c r="E129" s="23">
        <v>15.76</v>
      </c>
      <c r="F129" s="23">
        <v>13.09</v>
      </c>
      <c r="G129" s="23">
        <v>15.76</v>
      </c>
      <c r="H129" s="23">
        <v>15560</v>
      </c>
      <c r="I129" s="23">
        <v>19.27</v>
      </c>
      <c r="J129" s="23">
        <v>31652.080000000002</v>
      </c>
      <c r="K129" s="9">
        <f t="shared" si="1"/>
        <v>3165.2080000000001</v>
      </c>
    </row>
    <row r="130" spans="1:11">
      <c r="A130" s="24">
        <v>39753</v>
      </c>
      <c r="B130" s="25">
        <v>123.2</v>
      </c>
      <c r="C130" s="25">
        <v>105</v>
      </c>
      <c r="D130" s="25">
        <v>110.17</v>
      </c>
      <c r="E130" s="25">
        <v>14.2</v>
      </c>
      <c r="F130" s="25">
        <v>13.04</v>
      </c>
      <c r="G130" s="25">
        <v>13.16</v>
      </c>
      <c r="H130" s="25">
        <v>12079</v>
      </c>
      <c r="I130" s="25">
        <v>13.74</v>
      </c>
      <c r="J130" s="25">
        <v>26318.6</v>
      </c>
      <c r="K130" s="9">
        <f t="shared" si="1"/>
        <v>2631.8599999999997</v>
      </c>
    </row>
    <row r="131" spans="1:11">
      <c r="A131" s="22">
        <v>39722</v>
      </c>
      <c r="B131" s="23">
        <v>134.80000000000001</v>
      </c>
      <c r="C131" s="23">
        <v>99.13</v>
      </c>
      <c r="D131" s="23">
        <v>117.3</v>
      </c>
      <c r="E131" s="23">
        <v>15.89</v>
      </c>
      <c r="F131" s="23">
        <v>12.94</v>
      </c>
      <c r="G131" s="23">
        <v>14.01</v>
      </c>
      <c r="H131" s="23">
        <v>9981</v>
      </c>
      <c r="I131" s="23">
        <v>11.71</v>
      </c>
      <c r="J131" s="23">
        <v>28023.16</v>
      </c>
      <c r="K131" s="9">
        <f t="shared" si="1"/>
        <v>2802.3159999999998</v>
      </c>
    </row>
    <row r="132" spans="1:11">
      <c r="A132" s="24">
        <v>39692</v>
      </c>
      <c r="B132" s="25">
        <v>147.26</v>
      </c>
      <c r="C132" s="25">
        <v>120.3</v>
      </c>
      <c r="D132" s="25">
        <v>133.30000000000001</v>
      </c>
      <c r="E132" s="25">
        <v>17.45</v>
      </c>
      <c r="F132" s="25">
        <v>15.71</v>
      </c>
      <c r="G132" s="25">
        <v>15.92</v>
      </c>
      <c r="H132" s="25">
        <v>9060</v>
      </c>
      <c r="I132" s="25">
        <v>12.48</v>
      </c>
      <c r="J132" s="25">
        <v>31844.39</v>
      </c>
      <c r="K132" s="9">
        <f t="shared" ref="K132:K195" si="2">J132/10</f>
        <v>3184.4389999999999</v>
      </c>
    </row>
    <row r="133" spans="1:11">
      <c r="A133" s="22">
        <v>39661</v>
      </c>
      <c r="B133" s="23">
        <v>144.9</v>
      </c>
      <c r="C133" s="23">
        <v>134.01</v>
      </c>
      <c r="D133" s="23">
        <v>144</v>
      </c>
      <c r="E133" s="23">
        <v>17.63</v>
      </c>
      <c r="F133" s="23">
        <v>16.440000000000001</v>
      </c>
      <c r="G133" s="23">
        <v>17.63</v>
      </c>
      <c r="H133" s="23">
        <v>14356</v>
      </c>
      <c r="I133" s="23">
        <v>20.010000000000002</v>
      </c>
      <c r="J133" s="23">
        <v>34401.83</v>
      </c>
      <c r="K133" s="9">
        <f t="shared" si="2"/>
        <v>3440.183</v>
      </c>
    </row>
    <row r="134" spans="1:11">
      <c r="A134" s="24">
        <v>39630</v>
      </c>
      <c r="B134" s="25">
        <v>143.5</v>
      </c>
      <c r="C134" s="25">
        <v>130.13</v>
      </c>
      <c r="D134" s="25">
        <v>138.5</v>
      </c>
      <c r="E134" s="25">
        <v>17.22</v>
      </c>
      <c r="F134" s="25">
        <v>16.04</v>
      </c>
      <c r="G134" s="25">
        <v>16.95</v>
      </c>
      <c r="H134" s="25">
        <v>16191</v>
      </c>
      <c r="I134" s="25">
        <v>21.79</v>
      </c>
      <c r="J134" s="25">
        <v>33086.68</v>
      </c>
      <c r="K134" s="9">
        <f t="shared" si="2"/>
        <v>3308.6680000000001</v>
      </c>
    </row>
    <row r="135" spans="1:11">
      <c r="A135" s="22">
        <v>39600</v>
      </c>
      <c r="B135" s="23">
        <v>151</v>
      </c>
      <c r="C135" s="23">
        <v>137.19999999999999</v>
      </c>
      <c r="D135" s="23">
        <v>143.51</v>
      </c>
      <c r="E135" s="23">
        <v>18.29</v>
      </c>
      <c r="F135" s="23">
        <v>17.22</v>
      </c>
      <c r="G135" s="23">
        <v>17.57</v>
      </c>
      <c r="H135" s="23">
        <v>117923</v>
      </c>
      <c r="I135" s="23">
        <v>171.11</v>
      </c>
      <c r="J135" s="23">
        <v>34284.769999999997</v>
      </c>
      <c r="K135" s="9">
        <f t="shared" si="2"/>
        <v>3428.4769999999999</v>
      </c>
    </row>
    <row r="136" spans="1:11">
      <c r="A136" s="24">
        <v>39569</v>
      </c>
      <c r="B136" s="25">
        <v>151.99</v>
      </c>
      <c r="C136" s="25">
        <v>134.1</v>
      </c>
      <c r="D136" s="25">
        <v>144.88999999999999</v>
      </c>
      <c r="E136" s="25">
        <v>18.41</v>
      </c>
      <c r="F136" s="25">
        <v>16.89</v>
      </c>
      <c r="G136" s="25">
        <v>18.12</v>
      </c>
      <c r="H136" s="25">
        <v>48928</v>
      </c>
      <c r="I136" s="25">
        <v>68.069999999999993</v>
      </c>
      <c r="J136" s="25">
        <v>34613.26</v>
      </c>
      <c r="K136" s="9">
        <f t="shared" si="2"/>
        <v>3461.326</v>
      </c>
    </row>
    <row r="137" spans="1:11">
      <c r="A137" s="22">
        <v>39539</v>
      </c>
      <c r="B137" s="23">
        <v>144.4</v>
      </c>
      <c r="C137" s="23">
        <v>126.6</v>
      </c>
      <c r="D137" s="23">
        <v>135.94</v>
      </c>
      <c r="E137" s="23">
        <v>17.16</v>
      </c>
      <c r="F137" s="23">
        <v>16.02</v>
      </c>
      <c r="G137" s="23">
        <v>17</v>
      </c>
      <c r="H137" s="23">
        <v>39128</v>
      </c>
      <c r="I137" s="23">
        <v>51.82</v>
      </c>
      <c r="J137" s="23">
        <v>32475.09</v>
      </c>
      <c r="K137" s="9">
        <f t="shared" si="2"/>
        <v>3247.509</v>
      </c>
    </row>
    <row r="138" spans="1:11">
      <c r="A138" s="24">
        <v>39508</v>
      </c>
      <c r="B138" s="25">
        <v>165</v>
      </c>
      <c r="C138" s="25">
        <v>118.92</v>
      </c>
      <c r="D138" s="25">
        <v>134.91999999999999</v>
      </c>
      <c r="E138" s="25">
        <v>17.579999999999998</v>
      </c>
      <c r="F138" s="25">
        <v>15.58</v>
      </c>
      <c r="G138" s="25">
        <v>16.87</v>
      </c>
      <c r="H138" s="25">
        <v>66727</v>
      </c>
      <c r="I138" s="25">
        <v>94.12</v>
      </c>
      <c r="J138" s="25">
        <v>32231.41</v>
      </c>
      <c r="K138" s="9">
        <f t="shared" si="2"/>
        <v>3223.1410000000001</v>
      </c>
    </row>
    <row r="139" spans="1:11">
      <c r="A139" s="22">
        <v>39479</v>
      </c>
      <c r="B139" s="23">
        <v>150</v>
      </c>
      <c r="C139" s="23">
        <v>133.65</v>
      </c>
      <c r="D139" s="23">
        <v>137.66</v>
      </c>
      <c r="E139" s="23">
        <v>21.34</v>
      </c>
      <c r="F139" s="23">
        <v>19.489999999999998</v>
      </c>
      <c r="G139" s="23">
        <v>19.75</v>
      </c>
      <c r="H139" s="23">
        <v>90749</v>
      </c>
      <c r="I139" s="23">
        <v>125.64</v>
      </c>
      <c r="J139" s="23">
        <v>32886</v>
      </c>
      <c r="K139" s="9">
        <f t="shared" si="2"/>
        <v>3288.6</v>
      </c>
    </row>
    <row r="140" spans="1:11">
      <c r="A140" s="24">
        <v>39448</v>
      </c>
      <c r="B140" s="25">
        <v>165</v>
      </c>
      <c r="C140" s="25">
        <v>120.1</v>
      </c>
      <c r="D140" s="25">
        <v>144.11000000000001</v>
      </c>
      <c r="E140" s="25">
        <v>23.11</v>
      </c>
      <c r="F140" s="25">
        <v>20.65</v>
      </c>
      <c r="G140" s="25">
        <v>20.67</v>
      </c>
      <c r="H140" s="25">
        <v>124334</v>
      </c>
      <c r="I140" s="25">
        <v>184.36</v>
      </c>
      <c r="J140" s="25">
        <v>34426.92</v>
      </c>
      <c r="K140" s="9">
        <f t="shared" si="2"/>
        <v>3442.692</v>
      </c>
    </row>
    <row r="141" spans="1:11">
      <c r="A141" s="22">
        <v>39417</v>
      </c>
      <c r="B141" s="23">
        <v>155</v>
      </c>
      <c r="C141" s="23">
        <v>144.5</v>
      </c>
      <c r="D141" s="23">
        <v>147.53</v>
      </c>
      <c r="E141" s="23">
        <v>21.79</v>
      </c>
      <c r="F141" s="23">
        <v>20.82</v>
      </c>
      <c r="G141" s="23">
        <v>21.16</v>
      </c>
      <c r="H141" s="23">
        <v>113920</v>
      </c>
      <c r="I141" s="23">
        <v>170.4</v>
      </c>
      <c r="J141" s="23">
        <v>35245.160000000003</v>
      </c>
      <c r="K141" s="9">
        <f t="shared" si="2"/>
        <v>3524.5160000000005</v>
      </c>
    </row>
    <row r="142" spans="1:11">
      <c r="A142" s="24">
        <v>39387</v>
      </c>
      <c r="B142" s="25">
        <v>159.9</v>
      </c>
      <c r="C142" s="25">
        <v>147</v>
      </c>
      <c r="D142" s="25">
        <v>148.54</v>
      </c>
      <c r="E142" s="25">
        <v>26.4</v>
      </c>
      <c r="F142" s="25">
        <v>25.05</v>
      </c>
      <c r="G142" s="25">
        <v>25.12</v>
      </c>
      <c r="H142" s="25">
        <v>198722</v>
      </c>
      <c r="I142" s="25">
        <v>302.43</v>
      </c>
      <c r="J142" s="25">
        <v>35486.449999999997</v>
      </c>
      <c r="K142" s="9">
        <f t="shared" si="2"/>
        <v>3548.6449999999995</v>
      </c>
    </row>
    <row r="143" spans="1:11">
      <c r="A143" s="22">
        <v>39356</v>
      </c>
      <c r="B143" s="23">
        <v>155.9</v>
      </c>
      <c r="C143" s="23">
        <v>132</v>
      </c>
      <c r="D143" s="23">
        <v>152.36000000000001</v>
      </c>
      <c r="E143" s="23">
        <v>25.84</v>
      </c>
      <c r="F143" s="23">
        <v>22.97</v>
      </c>
      <c r="G143" s="23">
        <v>25.76</v>
      </c>
      <c r="H143" s="23">
        <v>94091</v>
      </c>
      <c r="I143" s="23">
        <v>134.43</v>
      </c>
      <c r="J143" s="23">
        <v>36397.86</v>
      </c>
      <c r="K143" s="9">
        <f t="shared" si="2"/>
        <v>3639.7860000000001</v>
      </c>
    </row>
    <row r="144" spans="1:11">
      <c r="A144" s="24">
        <v>39326</v>
      </c>
      <c r="B144" s="25">
        <v>170</v>
      </c>
      <c r="C144" s="25">
        <v>145</v>
      </c>
      <c r="D144" s="25">
        <v>145.65</v>
      </c>
      <c r="E144" s="25">
        <v>27.45</v>
      </c>
      <c r="F144" s="25">
        <v>24.63</v>
      </c>
      <c r="G144" s="25">
        <v>24.63</v>
      </c>
      <c r="H144" s="25">
        <v>44427</v>
      </c>
      <c r="I144" s="25">
        <v>68.02</v>
      </c>
      <c r="J144" s="25">
        <v>34796.019999999997</v>
      </c>
      <c r="K144" s="9">
        <f t="shared" si="2"/>
        <v>3479.6019999999999</v>
      </c>
    </row>
    <row r="145" spans="1:11">
      <c r="A145" s="22">
        <v>39295</v>
      </c>
      <c r="B145" s="23">
        <v>169</v>
      </c>
      <c r="C145" s="23">
        <v>148.5</v>
      </c>
      <c r="D145" s="23">
        <v>156.62</v>
      </c>
      <c r="E145" s="23">
        <v>33.75</v>
      </c>
      <c r="F145" s="23">
        <v>30.96</v>
      </c>
      <c r="G145" s="23">
        <v>32.090000000000003</v>
      </c>
      <c r="H145" s="23">
        <v>179228</v>
      </c>
      <c r="I145" s="23">
        <v>285.54000000000002</v>
      </c>
      <c r="J145" s="23">
        <v>37416.769999999997</v>
      </c>
      <c r="K145" s="9">
        <f t="shared" si="2"/>
        <v>3741.6769999999997</v>
      </c>
    </row>
    <row r="146" spans="1:11">
      <c r="A146" s="24">
        <v>39264</v>
      </c>
      <c r="B146" s="25">
        <v>178</v>
      </c>
      <c r="C146" s="25">
        <v>156.5</v>
      </c>
      <c r="D146" s="25">
        <v>170.46</v>
      </c>
      <c r="E146" s="25">
        <v>36.04</v>
      </c>
      <c r="F146" s="25">
        <v>32.270000000000003</v>
      </c>
      <c r="G146" s="25">
        <v>34.92</v>
      </c>
      <c r="H146" s="25">
        <v>192040</v>
      </c>
      <c r="I146" s="25">
        <v>326.27</v>
      </c>
      <c r="J146" s="25">
        <v>40721.980000000003</v>
      </c>
      <c r="K146" s="9">
        <f t="shared" si="2"/>
        <v>4072.1980000000003</v>
      </c>
    </row>
    <row r="147" spans="1:11">
      <c r="A147" s="22">
        <v>39234</v>
      </c>
      <c r="B147" s="23">
        <v>163</v>
      </c>
      <c r="C147" s="23">
        <v>143.47999999999999</v>
      </c>
      <c r="D147" s="23">
        <v>157.47999999999999</v>
      </c>
      <c r="E147" s="23">
        <v>32.270000000000003</v>
      </c>
      <c r="F147" s="23">
        <v>29.94</v>
      </c>
      <c r="G147" s="23">
        <v>32.270000000000003</v>
      </c>
      <c r="H147" s="23">
        <v>69293</v>
      </c>
      <c r="I147" s="23">
        <v>105.12</v>
      </c>
      <c r="J147" s="23">
        <v>37622.230000000003</v>
      </c>
      <c r="K147" s="9">
        <f t="shared" si="2"/>
        <v>3762.2230000000004</v>
      </c>
    </row>
    <row r="148" spans="1:11">
      <c r="A148" s="24">
        <v>39203</v>
      </c>
      <c r="B148" s="25">
        <v>164.5</v>
      </c>
      <c r="C148" s="25">
        <v>123.52</v>
      </c>
      <c r="D148" s="25">
        <v>152.66</v>
      </c>
      <c r="E148" s="25">
        <v>35.6</v>
      </c>
      <c r="F148" s="25">
        <v>29</v>
      </c>
      <c r="G148" s="25">
        <v>33.880000000000003</v>
      </c>
      <c r="H148" s="25">
        <v>264239</v>
      </c>
      <c r="I148" s="25">
        <v>383.87</v>
      </c>
      <c r="J148" s="25">
        <v>36470.720000000001</v>
      </c>
      <c r="K148" s="9">
        <f t="shared" si="2"/>
        <v>3647.0720000000001</v>
      </c>
    </row>
    <row r="149" spans="1:11">
      <c r="A149" s="22">
        <v>39173</v>
      </c>
      <c r="B149" s="23">
        <v>131.75</v>
      </c>
      <c r="C149" s="23">
        <v>117.47</v>
      </c>
      <c r="D149" s="23">
        <v>126.27</v>
      </c>
      <c r="E149" s="23">
        <v>28.43</v>
      </c>
      <c r="F149" s="23">
        <v>26.96</v>
      </c>
      <c r="G149" s="23">
        <v>28.02</v>
      </c>
      <c r="H149" s="23">
        <v>13464</v>
      </c>
      <c r="I149" s="23">
        <v>16.91</v>
      </c>
      <c r="J149" s="23">
        <v>30166.11</v>
      </c>
      <c r="K149" s="9">
        <f t="shared" si="2"/>
        <v>3016.6109999999999</v>
      </c>
    </row>
    <row r="150" spans="1:11">
      <c r="A150" s="24">
        <v>39142</v>
      </c>
      <c r="B150" s="25">
        <v>135</v>
      </c>
      <c r="C150" s="25">
        <v>118.54</v>
      </c>
      <c r="D150" s="25">
        <v>125.13</v>
      </c>
      <c r="E150" s="25">
        <v>28.78</v>
      </c>
      <c r="F150" s="25">
        <v>27.05</v>
      </c>
      <c r="G150" s="25">
        <v>27.77</v>
      </c>
      <c r="H150" s="25">
        <v>218186</v>
      </c>
      <c r="I150" s="25">
        <v>279.89</v>
      </c>
      <c r="J150" s="25">
        <v>29893.759999999998</v>
      </c>
      <c r="K150" s="9">
        <f t="shared" si="2"/>
        <v>2989.3759999999997</v>
      </c>
    </row>
    <row r="151" spans="1:11">
      <c r="A151" s="22">
        <v>39114</v>
      </c>
      <c r="B151" s="23">
        <v>130.1</v>
      </c>
      <c r="C151" s="23">
        <v>109.5</v>
      </c>
      <c r="D151" s="23">
        <v>123.58</v>
      </c>
      <c r="E151" s="23">
        <v>30.76</v>
      </c>
      <c r="F151" s="23">
        <v>26.66</v>
      </c>
      <c r="G151" s="23">
        <v>29.7</v>
      </c>
      <c r="H151" s="23">
        <v>158885</v>
      </c>
      <c r="I151" s="23">
        <v>197.11</v>
      </c>
      <c r="J151" s="23">
        <v>29523.46</v>
      </c>
      <c r="K151" s="9">
        <f t="shared" si="2"/>
        <v>2952.346</v>
      </c>
    </row>
    <row r="152" spans="1:11">
      <c r="A152" s="24">
        <v>39083</v>
      </c>
      <c r="B152" s="25">
        <v>116.8</v>
      </c>
      <c r="C152" s="25">
        <v>109</v>
      </c>
      <c r="D152" s="25">
        <v>113.67</v>
      </c>
      <c r="E152" s="25">
        <v>27.32</v>
      </c>
      <c r="F152" s="25">
        <v>26.32</v>
      </c>
      <c r="G152" s="25">
        <v>27.32</v>
      </c>
      <c r="H152" s="25">
        <v>87260</v>
      </c>
      <c r="I152" s="25">
        <v>97.65</v>
      </c>
      <c r="J152" s="25">
        <v>27154.75</v>
      </c>
      <c r="K152" s="9">
        <f t="shared" si="2"/>
        <v>2715.4749999999999</v>
      </c>
    </row>
    <row r="153" spans="1:11">
      <c r="A153" s="22">
        <v>39052</v>
      </c>
      <c r="B153" s="23">
        <v>118</v>
      </c>
      <c r="C153" s="23">
        <v>105.5</v>
      </c>
      <c r="D153" s="23">
        <v>109.18</v>
      </c>
      <c r="E153" s="23">
        <v>27.79</v>
      </c>
      <c r="F153" s="23">
        <v>26.24</v>
      </c>
      <c r="G153" s="23">
        <v>26.24</v>
      </c>
      <c r="H153" s="23">
        <v>138431</v>
      </c>
      <c r="I153" s="23">
        <v>156.44</v>
      </c>
      <c r="J153" s="23">
        <v>26083.279999999999</v>
      </c>
      <c r="K153" s="9">
        <f t="shared" si="2"/>
        <v>2608.328</v>
      </c>
    </row>
    <row r="154" spans="1:11">
      <c r="A154" s="24">
        <v>39022</v>
      </c>
      <c r="B154" s="25">
        <v>118.22</v>
      </c>
      <c r="C154" s="25">
        <v>103</v>
      </c>
      <c r="D154" s="25">
        <v>112.04</v>
      </c>
      <c r="E154" s="25">
        <v>23.46</v>
      </c>
      <c r="F154" s="25">
        <v>22.41</v>
      </c>
      <c r="G154" s="25">
        <v>22.63</v>
      </c>
      <c r="H154" s="25">
        <v>53125</v>
      </c>
      <c r="I154" s="25">
        <v>59.91</v>
      </c>
      <c r="J154" s="25">
        <v>26766.54</v>
      </c>
      <c r="K154" s="9">
        <f t="shared" si="2"/>
        <v>2676.654</v>
      </c>
    </row>
    <row r="155" spans="1:11">
      <c r="A155" s="22">
        <v>38991</v>
      </c>
      <c r="B155" s="23">
        <v>131.80000000000001</v>
      </c>
      <c r="C155" s="23">
        <v>109.1</v>
      </c>
      <c r="D155" s="23">
        <v>114.85</v>
      </c>
      <c r="E155" s="23">
        <v>26.03</v>
      </c>
      <c r="F155" s="23">
        <v>22.23</v>
      </c>
      <c r="G155" s="23">
        <v>23.19</v>
      </c>
      <c r="H155" s="23">
        <v>119738</v>
      </c>
      <c r="I155" s="23">
        <v>146.94999999999999</v>
      </c>
      <c r="J155" s="23">
        <v>27437.85</v>
      </c>
      <c r="K155" s="9">
        <f t="shared" si="2"/>
        <v>2743.7849999999999</v>
      </c>
    </row>
    <row r="156" spans="1:11">
      <c r="A156" s="24">
        <v>38961</v>
      </c>
      <c r="B156" s="25">
        <v>113.6</v>
      </c>
      <c r="C156" s="25">
        <v>102.5</v>
      </c>
      <c r="D156" s="25">
        <v>112.1</v>
      </c>
      <c r="E156" s="25">
        <v>22.64</v>
      </c>
      <c r="F156" s="25">
        <v>20.89</v>
      </c>
      <c r="G156" s="25">
        <v>22.64</v>
      </c>
      <c r="H156" s="25">
        <v>139514</v>
      </c>
      <c r="I156" s="25">
        <v>151.54</v>
      </c>
      <c r="J156" s="25">
        <v>26779.68</v>
      </c>
      <c r="K156" s="9">
        <f t="shared" si="2"/>
        <v>2677.9679999999998</v>
      </c>
    </row>
    <row r="157" spans="1:11">
      <c r="A157" s="22">
        <v>38930</v>
      </c>
      <c r="B157" s="23">
        <v>123.5</v>
      </c>
      <c r="C157" s="23">
        <v>102.6</v>
      </c>
      <c r="D157" s="23">
        <v>108.55</v>
      </c>
      <c r="E157" s="23">
        <v>20.54</v>
      </c>
      <c r="F157" s="23">
        <v>18.71</v>
      </c>
      <c r="G157" s="23">
        <v>18.739999999999998</v>
      </c>
      <c r="H157" s="23">
        <v>51592</v>
      </c>
      <c r="I157" s="23">
        <v>59.7</v>
      </c>
      <c r="J157" s="23">
        <v>25932.77</v>
      </c>
      <c r="K157" s="9">
        <f t="shared" si="2"/>
        <v>2593.277</v>
      </c>
    </row>
    <row r="158" spans="1:11">
      <c r="A158" s="24">
        <v>38899</v>
      </c>
      <c r="B158" s="25">
        <v>126</v>
      </c>
      <c r="C158" s="25">
        <v>103</v>
      </c>
      <c r="D158" s="25">
        <v>109.59</v>
      </c>
      <c r="E158" s="25">
        <v>21.1</v>
      </c>
      <c r="F158" s="25">
        <v>17.850000000000001</v>
      </c>
      <c r="G158" s="25">
        <v>18.920000000000002</v>
      </c>
      <c r="H158" s="25">
        <v>39337</v>
      </c>
      <c r="I158" s="25">
        <v>42.71</v>
      </c>
      <c r="J158" s="25">
        <v>26180.04</v>
      </c>
      <c r="K158" s="9">
        <f t="shared" si="2"/>
        <v>2618.0039999999999</v>
      </c>
    </row>
    <row r="159" spans="1:11">
      <c r="A159" s="22">
        <v>38869</v>
      </c>
      <c r="B159" s="23">
        <v>149.99</v>
      </c>
      <c r="C159" s="23">
        <v>113.1</v>
      </c>
      <c r="D159" s="23">
        <v>120.7</v>
      </c>
      <c r="E159" s="23">
        <v>25.1</v>
      </c>
      <c r="F159" s="23">
        <v>20.57</v>
      </c>
      <c r="G159" s="23">
        <v>20.83</v>
      </c>
      <c r="H159" s="23">
        <v>38837</v>
      </c>
      <c r="I159" s="23">
        <v>48.68</v>
      </c>
      <c r="J159" s="23">
        <v>28835.43</v>
      </c>
      <c r="K159" s="9">
        <f t="shared" si="2"/>
        <v>2883.5430000000001</v>
      </c>
    </row>
    <row r="160" spans="1:11">
      <c r="A160" s="24">
        <v>38838</v>
      </c>
      <c r="B160" s="25">
        <v>183</v>
      </c>
      <c r="C160" s="25">
        <v>130</v>
      </c>
      <c r="D160" s="25">
        <v>145.75</v>
      </c>
      <c r="E160" s="25">
        <v>29.34</v>
      </c>
      <c r="F160" s="25">
        <v>23.08</v>
      </c>
      <c r="G160" s="25">
        <v>23.78</v>
      </c>
      <c r="H160" s="25">
        <v>26636</v>
      </c>
      <c r="I160" s="25">
        <v>42</v>
      </c>
      <c r="J160" s="25">
        <v>34818.720000000001</v>
      </c>
      <c r="K160" s="9">
        <f t="shared" si="2"/>
        <v>3481.8720000000003</v>
      </c>
    </row>
    <row r="161" spans="1:11">
      <c r="A161" s="22">
        <v>38808</v>
      </c>
      <c r="B161" s="23">
        <v>195.5</v>
      </c>
      <c r="C161" s="23">
        <v>166.8</v>
      </c>
      <c r="D161" s="23">
        <v>172.88</v>
      </c>
      <c r="E161" s="23">
        <v>30.99</v>
      </c>
      <c r="F161" s="23">
        <v>27.56</v>
      </c>
      <c r="G161" s="23">
        <v>28.21</v>
      </c>
      <c r="H161" s="23">
        <v>67121</v>
      </c>
      <c r="I161" s="23">
        <v>121.02</v>
      </c>
      <c r="J161" s="23">
        <v>41300.120000000003</v>
      </c>
      <c r="K161" s="9">
        <f t="shared" si="2"/>
        <v>4130.0120000000006</v>
      </c>
    </row>
    <row r="162" spans="1:11">
      <c r="A162" s="24">
        <v>38777</v>
      </c>
      <c r="B162" s="25">
        <v>180</v>
      </c>
      <c r="C162" s="25">
        <v>151.5</v>
      </c>
      <c r="D162" s="25">
        <v>178.35</v>
      </c>
      <c r="E162" s="25">
        <v>29.1</v>
      </c>
      <c r="F162" s="25">
        <v>26.28</v>
      </c>
      <c r="G162" s="25">
        <v>29.1</v>
      </c>
      <c r="H162" s="25">
        <v>180086</v>
      </c>
      <c r="I162" s="25">
        <v>307.7</v>
      </c>
      <c r="J162" s="25">
        <v>42606.91</v>
      </c>
      <c r="K162" s="9">
        <f t="shared" si="2"/>
        <v>4260.6910000000007</v>
      </c>
    </row>
    <row r="163" spans="1:11">
      <c r="A163" s="22">
        <v>38749</v>
      </c>
      <c r="B163" s="23">
        <v>154.9</v>
      </c>
      <c r="C163" s="23">
        <v>140.6</v>
      </c>
      <c r="D163" s="23">
        <v>151.33000000000001</v>
      </c>
      <c r="E163" s="23">
        <v>25.96</v>
      </c>
      <c r="F163" s="23">
        <v>25</v>
      </c>
      <c r="G163" s="23">
        <v>25.68</v>
      </c>
      <c r="H163" s="23">
        <v>100017</v>
      </c>
      <c r="I163" s="23">
        <v>150.93</v>
      </c>
      <c r="J163" s="23">
        <v>36151.79</v>
      </c>
      <c r="K163" s="9">
        <f t="shared" si="2"/>
        <v>3615.1790000000001</v>
      </c>
    </row>
    <row r="164" spans="1:11">
      <c r="A164" s="24">
        <v>38718</v>
      </c>
      <c r="B164" s="25">
        <v>155</v>
      </c>
      <c r="C164" s="25">
        <v>134.9</v>
      </c>
      <c r="D164" s="25">
        <v>146</v>
      </c>
      <c r="E164" s="25">
        <v>25.8</v>
      </c>
      <c r="F164" s="25">
        <v>23.33</v>
      </c>
      <c r="G164" s="25">
        <v>24.77</v>
      </c>
      <c r="H164" s="25">
        <v>156246</v>
      </c>
      <c r="I164" s="25">
        <v>222.14</v>
      </c>
      <c r="J164" s="25">
        <v>34878.44</v>
      </c>
      <c r="K164" s="9">
        <f t="shared" si="2"/>
        <v>3487.8440000000001</v>
      </c>
    </row>
    <row r="165" spans="1:11">
      <c r="A165" s="22">
        <v>38687</v>
      </c>
      <c r="B165" s="23">
        <v>137</v>
      </c>
      <c r="C165" s="23">
        <v>122</v>
      </c>
      <c r="D165" s="23">
        <v>135.28</v>
      </c>
      <c r="E165" s="23">
        <v>22.95</v>
      </c>
      <c r="F165" s="23">
        <v>21.12</v>
      </c>
      <c r="G165" s="23">
        <v>22.95</v>
      </c>
      <c r="H165" s="23">
        <v>81192</v>
      </c>
      <c r="I165" s="23">
        <v>107.25</v>
      </c>
      <c r="J165" s="23">
        <v>32317.42</v>
      </c>
      <c r="K165" s="9">
        <f t="shared" si="2"/>
        <v>3231.7419999999997</v>
      </c>
    </row>
    <row r="166" spans="1:11">
      <c r="A166" s="24">
        <v>38657</v>
      </c>
      <c r="B166" s="25">
        <v>129.30000000000001</v>
      </c>
      <c r="C166" s="25">
        <v>110.38</v>
      </c>
      <c r="D166" s="25">
        <v>124.18</v>
      </c>
      <c r="E166" s="25">
        <v>22.35</v>
      </c>
      <c r="F166" s="25">
        <v>21.41</v>
      </c>
      <c r="G166" s="25">
        <v>22.02</v>
      </c>
      <c r="H166" s="25">
        <v>306491</v>
      </c>
      <c r="I166" s="25">
        <v>382.52</v>
      </c>
      <c r="J166" s="25">
        <v>29666.799999999999</v>
      </c>
      <c r="K166" s="9">
        <f t="shared" si="2"/>
        <v>2966.68</v>
      </c>
    </row>
    <row r="167" spans="1:11">
      <c r="A167" s="22">
        <v>38626</v>
      </c>
      <c r="B167" s="23">
        <v>134.99</v>
      </c>
      <c r="C167" s="23">
        <v>111</v>
      </c>
      <c r="D167" s="23">
        <v>122.97</v>
      </c>
      <c r="E167" s="23">
        <v>22.39</v>
      </c>
      <c r="F167" s="23">
        <v>20.190000000000001</v>
      </c>
      <c r="G167" s="23">
        <v>21.81</v>
      </c>
      <c r="H167" s="23">
        <v>204671</v>
      </c>
      <c r="I167" s="23">
        <v>253.09</v>
      </c>
      <c r="J167" s="23">
        <v>29376.54</v>
      </c>
      <c r="K167" s="9">
        <f t="shared" si="2"/>
        <v>2937.654</v>
      </c>
    </row>
    <row r="168" spans="1:11">
      <c r="A168" s="24">
        <v>38596</v>
      </c>
      <c r="B168" s="25">
        <v>145.33000000000001</v>
      </c>
      <c r="C168" s="25">
        <v>113.93</v>
      </c>
      <c r="D168" s="25">
        <v>127.01</v>
      </c>
      <c r="E168" s="25">
        <v>23.49</v>
      </c>
      <c r="F168" s="25">
        <v>20.49</v>
      </c>
      <c r="G168" s="25">
        <v>22.53</v>
      </c>
      <c r="H168" s="25">
        <v>426928</v>
      </c>
      <c r="I168" s="25">
        <v>538.15</v>
      </c>
      <c r="J168" s="25">
        <v>30341.7</v>
      </c>
      <c r="K168" s="9">
        <f t="shared" si="2"/>
        <v>3034.17</v>
      </c>
    </row>
    <row r="169" spans="1:11">
      <c r="A169" s="22">
        <v>38565</v>
      </c>
      <c r="B169" s="23">
        <v>116</v>
      </c>
      <c r="C169" s="23">
        <v>100</v>
      </c>
      <c r="D169" s="23">
        <v>115.29</v>
      </c>
      <c r="E169" s="23">
        <v>19.34</v>
      </c>
      <c r="F169" s="23">
        <v>16.8</v>
      </c>
      <c r="G169" s="23">
        <v>19.309999999999999</v>
      </c>
      <c r="H169" s="23">
        <v>339456</v>
      </c>
      <c r="I169" s="23">
        <v>381.33</v>
      </c>
      <c r="J169" s="23">
        <v>27541.77</v>
      </c>
      <c r="K169" s="9">
        <f t="shared" si="2"/>
        <v>2754.1770000000001</v>
      </c>
    </row>
    <row r="170" spans="1:11">
      <c r="A170" s="24">
        <v>38534</v>
      </c>
      <c r="B170" s="25">
        <v>110</v>
      </c>
      <c r="C170" s="25">
        <v>90.2</v>
      </c>
      <c r="D170" s="25">
        <v>100.5</v>
      </c>
      <c r="E170" s="25">
        <v>17.48</v>
      </c>
      <c r="F170" s="25">
        <v>15.18</v>
      </c>
      <c r="G170" s="25">
        <v>16.84</v>
      </c>
      <c r="H170" s="25">
        <v>198266</v>
      </c>
      <c r="I170" s="25">
        <v>195.95</v>
      </c>
      <c r="J170" s="25">
        <v>24009.61</v>
      </c>
      <c r="K170" s="9">
        <f t="shared" si="2"/>
        <v>2400.9610000000002</v>
      </c>
    </row>
    <row r="171" spans="1:11">
      <c r="A171" s="22">
        <v>38504</v>
      </c>
      <c r="B171" s="23">
        <v>91.5</v>
      </c>
      <c r="C171" s="23">
        <v>80.36</v>
      </c>
      <c r="D171" s="23">
        <v>90.5</v>
      </c>
      <c r="E171" s="23">
        <v>15.22</v>
      </c>
      <c r="F171" s="23">
        <v>14.53</v>
      </c>
      <c r="G171" s="23">
        <v>15.16</v>
      </c>
      <c r="H171" s="23">
        <v>94320</v>
      </c>
      <c r="I171" s="23">
        <v>84.5</v>
      </c>
      <c r="J171" s="23">
        <v>21620.6</v>
      </c>
      <c r="K171" s="9">
        <f t="shared" si="2"/>
        <v>2162.06</v>
      </c>
    </row>
    <row r="172" spans="1:11">
      <c r="A172" s="24">
        <v>38473</v>
      </c>
      <c r="B172" s="25">
        <v>88.9</v>
      </c>
      <c r="C172" s="25">
        <v>80.209999999999994</v>
      </c>
      <c r="D172" s="25">
        <v>86.5</v>
      </c>
      <c r="E172" s="25">
        <v>13.98</v>
      </c>
      <c r="F172" s="25">
        <v>13.54</v>
      </c>
      <c r="G172" s="25">
        <v>13.89</v>
      </c>
      <c r="H172" s="25">
        <v>45399</v>
      </c>
      <c r="I172" s="25">
        <v>39.03</v>
      </c>
      <c r="J172" s="25">
        <v>20664.990000000002</v>
      </c>
      <c r="K172" s="9">
        <f t="shared" si="2"/>
        <v>2066.4990000000003</v>
      </c>
    </row>
    <row r="173" spans="1:11">
      <c r="A173" s="22">
        <v>38443</v>
      </c>
      <c r="B173" s="23">
        <v>88.9</v>
      </c>
      <c r="C173" s="23">
        <v>80</v>
      </c>
      <c r="D173" s="23">
        <v>85.02</v>
      </c>
      <c r="E173" s="23">
        <v>13.94</v>
      </c>
      <c r="F173" s="23">
        <v>13.31</v>
      </c>
      <c r="G173" s="23">
        <v>13.65</v>
      </c>
      <c r="H173" s="23">
        <v>102895</v>
      </c>
      <c r="I173" s="23">
        <v>87.73</v>
      </c>
      <c r="J173" s="23">
        <v>20310.22</v>
      </c>
      <c r="K173" s="9">
        <f t="shared" si="2"/>
        <v>2031.0220000000002</v>
      </c>
    </row>
    <row r="174" spans="1:11">
      <c r="A174" s="24">
        <v>38412</v>
      </c>
      <c r="B174" s="25">
        <v>94.49</v>
      </c>
      <c r="C174" s="25">
        <v>83.5</v>
      </c>
      <c r="D174" s="25">
        <v>88.37</v>
      </c>
      <c r="E174" s="25">
        <v>14.98</v>
      </c>
      <c r="F174" s="25">
        <v>13.49</v>
      </c>
      <c r="G174" s="25">
        <v>14.19</v>
      </c>
      <c r="H174" s="25">
        <v>295235</v>
      </c>
      <c r="I174" s="25">
        <v>269.92</v>
      </c>
      <c r="J174" s="25">
        <v>21111.74</v>
      </c>
      <c r="K174" s="9">
        <f t="shared" si="2"/>
        <v>2111.174</v>
      </c>
    </row>
    <row r="175" spans="1:11">
      <c r="A175" s="22">
        <v>38384</v>
      </c>
      <c r="B175" s="23">
        <v>95</v>
      </c>
      <c r="C175" s="23">
        <v>85</v>
      </c>
      <c r="D175" s="23">
        <v>93.29</v>
      </c>
      <c r="E175" s="23">
        <v>11.92</v>
      </c>
      <c r="F175" s="23">
        <v>11.41</v>
      </c>
      <c r="G175" s="23">
        <v>11.91</v>
      </c>
      <c r="H175" s="23">
        <v>115485</v>
      </c>
      <c r="I175" s="23">
        <v>104.86</v>
      </c>
      <c r="J175" s="23">
        <v>22285.94</v>
      </c>
      <c r="K175" s="9">
        <f t="shared" si="2"/>
        <v>2228.5940000000001</v>
      </c>
    </row>
    <row r="176" spans="1:11">
      <c r="A176" s="24">
        <v>38353</v>
      </c>
      <c r="B176" s="25">
        <v>94.45</v>
      </c>
      <c r="C176" s="25">
        <v>81.099999999999994</v>
      </c>
      <c r="D176" s="25">
        <v>87.69</v>
      </c>
      <c r="E176" s="25">
        <v>11.94</v>
      </c>
      <c r="F176" s="25">
        <v>10.87</v>
      </c>
      <c r="G176" s="25">
        <v>11.2</v>
      </c>
      <c r="H176" s="25">
        <v>284120</v>
      </c>
      <c r="I176" s="25">
        <v>263.36</v>
      </c>
      <c r="J176" s="25">
        <v>20948.09</v>
      </c>
      <c r="K176" s="9">
        <f t="shared" si="2"/>
        <v>2094.8090000000002</v>
      </c>
    </row>
    <row r="177" spans="1:11">
      <c r="A177" s="22">
        <v>38322</v>
      </c>
      <c r="B177" s="23">
        <v>94</v>
      </c>
      <c r="C177" s="23">
        <v>72.25</v>
      </c>
      <c r="D177" s="23">
        <v>92.1</v>
      </c>
      <c r="E177" s="23">
        <v>11.82</v>
      </c>
      <c r="F177" s="23">
        <v>9.67</v>
      </c>
      <c r="G177" s="23">
        <v>11.76</v>
      </c>
      <c r="H177" s="23">
        <v>268904</v>
      </c>
      <c r="I177" s="23">
        <v>229.51</v>
      </c>
      <c r="J177" s="23">
        <v>22001.65</v>
      </c>
      <c r="K177" s="9">
        <f t="shared" si="2"/>
        <v>2200.165</v>
      </c>
    </row>
    <row r="178" spans="1:11">
      <c r="A178" s="24">
        <v>38292</v>
      </c>
      <c r="B178" s="25">
        <v>75.2</v>
      </c>
      <c r="C178" s="25">
        <v>65.510000000000005</v>
      </c>
      <c r="D178" s="25">
        <v>75.16</v>
      </c>
      <c r="E178" s="25">
        <v>9.81</v>
      </c>
      <c r="F178" s="25">
        <v>8.7200000000000006</v>
      </c>
      <c r="G178" s="25">
        <v>9.81</v>
      </c>
      <c r="H178" s="25">
        <v>133291</v>
      </c>
      <c r="I178" s="25">
        <v>94.21</v>
      </c>
      <c r="J178" s="25">
        <v>17954.650000000001</v>
      </c>
      <c r="K178" s="9">
        <f t="shared" si="2"/>
        <v>1795.4650000000001</v>
      </c>
    </row>
    <row r="179" spans="1:11">
      <c r="A179" s="22">
        <v>38261</v>
      </c>
      <c r="B179" s="23">
        <v>68</v>
      </c>
      <c r="C179" s="23">
        <v>62.2</v>
      </c>
      <c r="D179" s="23">
        <v>66.12</v>
      </c>
      <c r="E179" s="23">
        <v>8.6300000000000008</v>
      </c>
      <c r="F179" s="23">
        <v>8.1199999999999992</v>
      </c>
      <c r="G179" s="23">
        <v>8.6300000000000008</v>
      </c>
      <c r="H179" s="23">
        <v>64618</v>
      </c>
      <c r="I179" s="23">
        <v>41.83</v>
      </c>
      <c r="J179" s="23">
        <v>15796.18</v>
      </c>
      <c r="K179" s="9">
        <f t="shared" si="2"/>
        <v>1579.6179999999999</v>
      </c>
    </row>
    <row r="180" spans="1:11">
      <c r="A180" s="24">
        <v>38231</v>
      </c>
      <c r="B180" s="25">
        <v>69.5</v>
      </c>
      <c r="C180" s="25">
        <v>65.510000000000005</v>
      </c>
      <c r="D180" s="25">
        <v>66.650000000000006</v>
      </c>
      <c r="E180" s="25">
        <v>8.91</v>
      </c>
      <c r="F180" s="25">
        <v>8.6199999999999992</v>
      </c>
      <c r="G180" s="25">
        <v>8.6999999999999993</v>
      </c>
      <c r="H180" s="25">
        <v>115660</v>
      </c>
      <c r="I180" s="25">
        <v>77.69</v>
      </c>
      <c r="J180" s="25">
        <v>15921.6</v>
      </c>
      <c r="K180" s="9">
        <f t="shared" si="2"/>
        <v>1592.16</v>
      </c>
    </row>
    <row r="181" spans="1:11">
      <c r="A181" s="22">
        <v>38200</v>
      </c>
      <c r="B181" s="23">
        <v>67.5</v>
      </c>
      <c r="C181" s="23">
        <v>61</v>
      </c>
      <c r="D181" s="23">
        <v>67.27</v>
      </c>
      <c r="E181" s="23">
        <v>9.7200000000000006</v>
      </c>
      <c r="F181" s="23">
        <v>8.93</v>
      </c>
      <c r="G181" s="23">
        <v>9.7200000000000006</v>
      </c>
      <c r="H181" s="23">
        <v>304677</v>
      </c>
      <c r="I181" s="23">
        <v>201.45</v>
      </c>
      <c r="J181" s="23">
        <v>16070.91</v>
      </c>
      <c r="K181" s="9">
        <f t="shared" si="2"/>
        <v>1607.0909999999999</v>
      </c>
    </row>
    <row r="182" spans="1:11">
      <c r="A182" s="24">
        <v>38169</v>
      </c>
      <c r="B182" s="25">
        <v>64.900000000000006</v>
      </c>
      <c r="C182" s="25">
        <v>56.53</v>
      </c>
      <c r="D182" s="25">
        <v>62.6</v>
      </c>
      <c r="E182" s="25">
        <v>9.7100000000000009</v>
      </c>
      <c r="F182" s="25">
        <v>8.92</v>
      </c>
      <c r="G182" s="25">
        <v>9.0399999999999991</v>
      </c>
      <c r="H182" s="25">
        <v>362743</v>
      </c>
      <c r="I182" s="25">
        <v>233.27</v>
      </c>
      <c r="J182" s="25">
        <v>14954.05</v>
      </c>
      <c r="K182" s="9">
        <f t="shared" si="2"/>
        <v>1495.405</v>
      </c>
    </row>
    <row r="183" spans="1:11">
      <c r="A183" s="22">
        <v>38139</v>
      </c>
      <c r="B183" s="23">
        <v>63.5</v>
      </c>
      <c r="C183" s="23">
        <v>56.7</v>
      </c>
      <c r="D183" s="23">
        <v>62.51</v>
      </c>
      <c r="E183" s="23">
        <v>9.56</v>
      </c>
      <c r="F183" s="23">
        <v>8.66</v>
      </c>
      <c r="G183" s="23">
        <v>9.4700000000000006</v>
      </c>
      <c r="H183" s="23">
        <v>303792</v>
      </c>
      <c r="I183" s="23">
        <v>188.87</v>
      </c>
      <c r="J183" s="23">
        <v>15667.44</v>
      </c>
      <c r="K183" s="9">
        <f t="shared" si="2"/>
        <v>1566.7440000000001</v>
      </c>
    </row>
    <row r="184" spans="1:11">
      <c r="A184" s="24">
        <v>38108</v>
      </c>
      <c r="B184" s="25">
        <v>61.4</v>
      </c>
      <c r="C184" s="25">
        <v>53.83</v>
      </c>
      <c r="D184" s="25">
        <v>57.51</v>
      </c>
      <c r="E184" s="25">
        <v>12.87</v>
      </c>
      <c r="F184" s="25">
        <v>12.16</v>
      </c>
      <c r="G184" s="25">
        <v>12.16</v>
      </c>
      <c r="H184" s="25">
        <v>51565</v>
      </c>
      <c r="I184" s="25">
        <v>30.12</v>
      </c>
      <c r="J184" s="25">
        <v>14440.68</v>
      </c>
      <c r="K184" s="9">
        <f t="shared" si="2"/>
        <v>1444.068</v>
      </c>
    </row>
    <row r="185" spans="1:11">
      <c r="A185" s="22">
        <v>38078</v>
      </c>
      <c r="B185" s="23">
        <v>63</v>
      </c>
      <c r="C185" s="23">
        <v>57.2</v>
      </c>
      <c r="D185" s="23">
        <v>60.13</v>
      </c>
      <c r="E185" s="23">
        <v>13.22</v>
      </c>
      <c r="F185" s="23">
        <v>12.71</v>
      </c>
      <c r="G185" s="23">
        <v>12.71</v>
      </c>
      <c r="H185" s="23">
        <v>96362</v>
      </c>
      <c r="I185" s="23">
        <v>59.46</v>
      </c>
      <c r="J185" s="23">
        <v>15099.88</v>
      </c>
      <c r="K185" s="9">
        <f t="shared" si="2"/>
        <v>1509.9879999999998</v>
      </c>
    </row>
    <row r="186" spans="1:11">
      <c r="A186" s="24">
        <v>38047</v>
      </c>
      <c r="B186" s="25">
        <v>69</v>
      </c>
      <c r="C186" s="25">
        <v>57.7</v>
      </c>
      <c r="D186" s="25">
        <v>62.5</v>
      </c>
      <c r="E186" s="25">
        <v>13.76</v>
      </c>
      <c r="F186" s="25">
        <v>12.47</v>
      </c>
      <c r="G186" s="25">
        <v>13.21</v>
      </c>
      <c r="H186" s="25">
        <v>132329</v>
      </c>
      <c r="I186" s="25">
        <v>82.02</v>
      </c>
      <c r="J186" s="25">
        <v>15693.78</v>
      </c>
      <c r="K186" s="9">
        <f t="shared" si="2"/>
        <v>1569.3780000000002</v>
      </c>
    </row>
    <row r="187" spans="1:11">
      <c r="A187" s="22">
        <v>38018</v>
      </c>
      <c r="B187" s="23">
        <v>69.5</v>
      </c>
      <c r="C187" s="23">
        <v>63</v>
      </c>
      <c r="D187" s="23">
        <v>66.010000000000005</v>
      </c>
      <c r="E187" s="23">
        <v>14.21</v>
      </c>
      <c r="F187" s="23">
        <v>13.63</v>
      </c>
      <c r="G187" s="23">
        <v>13.78</v>
      </c>
      <c r="H187" s="23">
        <v>92147</v>
      </c>
      <c r="I187" s="23">
        <v>61</v>
      </c>
      <c r="J187" s="23">
        <v>16575.21</v>
      </c>
      <c r="K187" s="9">
        <f t="shared" si="2"/>
        <v>1657.521</v>
      </c>
    </row>
    <row r="188" spans="1:11">
      <c r="A188" s="24">
        <v>37987</v>
      </c>
      <c r="B188" s="25">
        <v>72</v>
      </c>
      <c r="C188" s="25">
        <v>61</v>
      </c>
      <c r="D188" s="25">
        <v>65.62</v>
      </c>
      <c r="E188" s="25">
        <v>14.6</v>
      </c>
      <c r="F188" s="25">
        <v>13.43</v>
      </c>
      <c r="G188" s="25">
        <v>13.7</v>
      </c>
      <c r="H188" s="25">
        <v>268781</v>
      </c>
      <c r="I188" s="25">
        <v>184.99</v>
      </c>
      <c r="J188" s="25">
        <v>16477.27</v>
      </c>
      <c r="K188" s="9">
        <f t="shared" si="2"/>
        <v>1647.7270000000001</v>
      </c>
    </row>
    <row r="189" spans="1:11">
      <c r="A189" s="22">
        <v>37956</v>
      </c>
      <c r="B189" s="23">
        <v>69.3</v>
      </c>
      <c r="C189" s="23">
        <v>53</v>
      </c>
      <c r="D189" s="23">
        <v>68.53</v>
      </c>
      <c r="E189" s="23">
        <v>14.35</v>
      </c>
      <c r="F189" s="23">
        <v>11.27</v>
      </c>
      <c r="G189" s="23">
        <v>14.31</v>
      </c>
      <c r="H189" s="23">
        <v>219682</v>
      </c>
      <c r="I189" s="23">
        <v>139.57</v>
      </c>
      <c r="J189" s="23">
        <v>17209.29</v>
      </c>
      <c r="K189" s="9">
        <f t="shared" si="2"/>
        <v>1720.9290000000001</v>
      </c>
    </row>
    <row r="190" spans="1:11">
      <c r="A190" s="24">
        <v>37926</v>
      </c>
      <c r="B190" s="25">
        <v>57</v>
      </c>
      <c r="C190" s="25">
        <v>50.54</v>
      </c>
      <c r="D190" s="25">
        <v>53.04</v>
      </c>
      <c r="E190" s="25">
        <v>12.37</v>
      </c>
      <c r="F190" s="25">
        <v>11.64</v>
      </c>
      <c r="G190" s="25">
        <v>11.67</v>
      </c>
      <c r="H190" s="25">
        <v>129026</v>
      </c>
      <c r="I190" s="25">
        <v>69.989999999999995</v>
      </c>
      <c r="J190" s="25">
        <v>13318.18</v>
      </c>
      <c r="K190" s="9">
        <f t="shared" si="2"/>
        <v>1331.818</v>
      </c>
    </row>
    <row r="191" spans="1:11">
      <c r="A191" s="22">
        <v>37895</v>
      </c>
      <c r="B191" s="23">
        <v>58</v>
      </c>
      <c r="C191" s="23">
        <v>53.81</v>
      </c>
      <c r="D191" s="23">
        <v>56.83</v>
      </c>
      <c r="E191" s="23">
        <v>12.67</v>
      </c>
      <c r="F191" s="23">
        <v>12.11</v>
      </c>
      <c r="G191" s="23">
        <v>12.51</v>
      </c>
      <c r="H191" s="23">
        <v>62037</v>
      </c>
      <c r="I191" s="23">
        <v>34.869999999999997</v>
      </c>
      <c r="J191" s="23">
        <v>14269.92</v>
      </c>
      <c r="K191" s="9">
        <f t="shared" si="2"/>
        <v>1426.992</v>
      </c>
    </row>
    <row r="192" spans="1:11">
      <c r="A192" s="24">
        <v>37865</v>
      </c>
      <c r="B192" s="25">
        <v>57.52</v>
      </c>
      <c r="C192" s="25">
        <v>51.42</v>
      </c>
      <c r="D192" s="25">
        <v>56.4</v>
      </c>
      <c r="E192" s="25">
        <v>12.51</v>
      </c>
      <c r="F192" s="25">
        <v>12.02</v>
      </c>
      <c r="G192" s="25">
        <v>12.41</v>
      </c>
      <c r="H192" s="25">
        <v>48705</v>
      </c>
      <c r="I192" s="25">
        <v>27.3</v>
      </c>
      <c r="J192" s="25">
        <v>14161.94</v>
      </c>
      <c r="K192" s="9">
        <f t="shared" si="2"/>
        <v>1416.194</v>
      </c>
    </row>
    <row r="193" spans="1:11">
      <c r="A193" s="22">
        <v>37834</v>
      </c>
      <c r="B193" s="23">
        <v>56.9</v>
      </c>
      <c r="C193" s="23">
        <v>50.2</v>
      </c>
      <c r="D193" s="23">
        <v>56</v>
      </c>
      <c r="E193" s="23">
        <v>13.73</v>
      </c>
      <c r="F193" s="23">
        <v>13.12</v>
      </c>
      <c r="G193" s="23">
        <v>13.6</v>
      </c>
      <c r="H193" s="23">
        <v>113508</v>
      </c>
      <c r="I193" s="23">
        <v>63.23</v>
      </c>
      <c r="J193" s="23">
        <v>14062.75</v>
      </c>
      <c r="K193" s="9">
        <f t="shared" si="2"/>
        <v>1406.2750000000001</v>
      </c>
    </row>
    <row r="194" spans="1:11">
      <c r="A194" s="24">
        <v>37803</v>
      </c>
      <c r="B194" s="25">
        <v>56.7</v>
      </c>
      <c r="C194" s="25">
        <v>51.1</v>
      </c>
      <c r="D194" s="25">
        <v>54.78</v>
      </c>
      <c r="E194" s="25">
        <v>13.44</v>
      </c>
      <c r="F194" s="25">
        <v>12.57</v>
      </c>
      <c r="G194" s="25">
        <v>13.3</v>
      </c>
      <c r="H194" s="25">
        <v>39531</v>
      </c>
      <c r="I194" s="25">
        <v>21.48</v>
      </c>
      <c r="J194" s="25">
        <v>13755.13</v>
      </c>
      <c r="K194" s="9">
        <f t="shared" si="2"/>
        <v>1375.5129999999999</v>
      </c>
    </row>
    <row r="195" spans="1:11">
      <c r="A195" s="22">
        <v>37773</v>
      </c>
      <c r="B195" s="23">
        <v>57.3</v>
      </c>
      <c r="C195" s="23">
        <v>51.03</v>
      </c>
      <c r="D195" s="23">
        <v>52</v>
      </c>
      <c r="E195" s="23">
        <v>13.74</v>
      </c>
      <c r="F195" s="23">
        <v>12.63</v>
      </c>
      <c r="G195" s="23">
        <v>12.63</v>
      </c>
      <c r="H195" s="23">
        <v>82526</v>
      </c>
      <c r="I195" s="23">
        <v>44.62</v>
      </c>
      <c r="J195" s="23">
        <v>13058.27</v>
      </c>
      <c r="K195" s="9">
        <f t="shared" si="2"/>
        <v>1305.827</v>
      </c>
    </row>
    <row r="196" spans="1:11">
      <c r="A196" s="24">
        <v>37742</v>
      </c>
      <c r="B196" s="25">
        <v>56</v>
      </c>
      <c r="C196" s="25">
        <v>51</v>
      </c>
      <c r="D196" s="25">
        <v>53.3</v>
      </c>
      <c r="E196" s="25">
        <v>14.36</v>
      </c>
      <c r="F196" s="25">
        <v>13.44</v>
      </c>
      <c r="G196" s="25">
        <v>13.92</v>
      </c>
      <c r="H196" s="25">
        <v>183349</v>
      </c>
      <c r="I196" s="25">
        <v>100.26</v>
      </c>
      <c r="J196" s="25">
        <v>13806.98</v>
      </c>
      <c r="K196" s="9">
        <f t="shared" ref="K196:K259" si="3">J196/10</f>
        <v>1380.6979999999999</v>
      </c>
    </row>
    <row r="197" spans="1:11">
      <c r="A197" s="22">
        <v>37712</v>
      </c>
      <c r="B197" s="23">
        <v>52.5</v>
      </c>
      <c r="C197" s="23">
        <v>48.8</v>
      </c>
      <c r="D197" s="23">
        <v>51.42</v>
      </c>
      <c r="E197" s="23">
        <v>13.64</v>
      </c>
      <c r="F197" s="23">
        <v>12.96</v>
      </c>
      <c r="G197" s="23">
        <v>13.43</v>
      </c>
      <c r="H197" s="23">
        <v>288458</v>
      </c>
      <c r="I197" s="23">
        <v>151.19999999999999</v>
      </c>
      <c r="J197" s="23">
        <v>13318.68</v>
      </c>
      <c r="K197" s="9">
        <f t="shared" si="3"/>
        <v>1331.8679999999999</v>
      </c>
    </row>
    <row r="198" spans="1:11">
      <c r="A198" s="24">
        <v>37681</v>
      </c>
      <c r="B198" s="25">
        <v>53.99</v>
      </c>
      <c r="C198" s="25">
        <v>48.6</v>
      </c>
      <c r="D198" s="25">
        <v>50</v>
      </c>
      <c r="E198" s="25">
        <v>13.32</v>
      </c>
      <c r="F198" s="25">
        <v>12.81</v>
      </c>
      <c r="G198" s="25">
        <v>13.06</v>
      </c>
      <c r="H198" s="25">
        <v>28537</v>
      </c>
      <c r="I198" s="25">
        <v>14.38</v>
      </c>
      <c r="J198" s="25">
        <v>12952.14</v>
      </c>
      <c r="K198" s="9">
        <f t="shared" si="3"/>
        <v>1295.2139999999999</v>
      </c>
    </row>
    <row r="199" spans="1:11">
      <c r="A199" s="22">
        <v>37653</v>
      </c>
      <c r="B199" s="23">
        <v>53</v>
      </c>
      <c r="C199" s="23">
        <v>49.3</v>
      </c>
      <c r="D199" s="23">
        <v>51.99</v>
      </c>
      <c r="E199" s="23">
        <v>6.63</v>
      </c>
      <c r="F199" s="23">
        <v>6.39</v>
      </c>
      <c r="G199" s="23">
        <v>6.63</v>
      </c>
      <c r="H199" s="23">
        <v>25701</v>
      </c>
      <c r="I199" s="23">
        <v>13.03</v>
      </c>
      <c r="J199" s="23">
        <v>13476.58</v>
      </c>
      <c r="K199" s="9">
        <f t="shared" si="3"/>
        <v>1347.6579999999999</v>
      </c>
    </row>
    <row r="200" spans="1:11">
      <c r="A200" s="24">
        <v>37622</v>
      </c>
      <c r="B200" s="25">
        <v>52.5</v>
      </c>
      <c r="C200" s="25">
        <v>50.8</v>
      </c>
      <c r="D200" s="25">
        <v>50.8</v>
      </c>
      <c r="E200" s="25">
        <v>6.62</v>
      </c>
      <c r="F200" s="25">
        <v>6.48</v>
      </c>
      <c r="G200" s="25">
        <v>6.48</v>
      </c>
      <c r="H200" s="25">
        <v>35401</v>
      </c>
      <c r="I200" s="25">
        <v>18.309999999999999</v>
      </c>
      <c r="J200" s="25">
        <v>13168.12</v>
      </c>
      <c r="K200" s="9">
        <f t="shared" si="3"/>
        <v>1316.8120000000001</v>
      </c>
    </row>
    <row r="201" spans="1:11">
      <c r="A201" s="22">
        <v>37591</v>
      </c>
      <c r="B201" s="23">
        <v>52.88</v>
      </c>
      <c r="C201" s="23">
        <v>50</v>
      </c>
      <c r="D201" s="23">
        <v>51.5</v>
      </c>
      <c r="E201" s="23">
        <v>6.96</v>
      </c>
      <c r="F201" s="23">
        <v>6.57</v>
      </c>
      <c r="G201" s="23">
        <v>6.57</v>
      </c>
      <c r="H201" s="23">
        <v>61316</v>
      </c>
      <c r="I201" s="23">
        <v>31.86</v>
      </c>
      <c r="J201" s="23">
        <v>13349.57</v>
      </c>
      <c r="K201" s="9">
        <f t="shared" si="3"/>
        <v>1334.9569999999999</v>
      </c>
    </row>
    <row r="202" spans="1:11">
      <c r="A202" s="24">
        <v>37561</v>
      </c>
      <c r="B202" s="25">
        <v>52.99</v>
      </c>
      <c r="C202" s="25">
        <v>50.3</v>
      </c>
      <c r="D202" s="25">
        <v>52.13</v>
      </c>
      <c r="E202" s="25">
        <v>6.89</v>
      </c>
      <c r="F202" s="25">
        <v>6.8</v>
      </c>
      <c r="G202" s="25">
        <v>6.86</v>
      </c>
      <c r="H202" s="25">
        <v>341300</v>
      </c>
      <c r="I202" s="25">
        <v>178.57</v>
      </c>
      <c r="J202" s="25">
        <v>13933.74</v>
      </c>
      <c r="K202" s="9">
        <f t="shared" si="3"/>
        <v>1393.374</v>
      </c>
    </row>
    <row r="203" spans="1:11">
      <c r="A203" s="22">
        <v>37530</v>
      </c>
      <c r="B203" s="23">
        <v>53.39</v>
      </c>
      <c r="C203" s="23">
        <v>47</v>
      </c>
      <c r="D203" s="23">
        <v>52.44</v>
      </c>
      <c r="E203" s="23">
        <v>6.96</v>
      </c>
      <c r="F203" s="23">
        <v>6.82</v>
      </c>
      <c r="G203" s="23">
        <v>6.9</v>
      </c>
      <c r="H203" s="23">
        <v>391245</v>
      </c>
      <c r="I203" s="23">
        <v>205.09</v>
      </c>
      <c r="J203" s="23">
        <v>14017.94</v>
      </c>
      <c r="K203" s="9">
        <f t="shared" si="3"/>
        <v>1401.7940000000001</v>
      </c>
    </row>
    <row r="204" spans="1:11">
      <c r="A204" s="24">
        <v>37500</v>
      </c>
      <c r="B204" s="25">
        <v>58.2</v>
      </c>
      <c r="C204" s="25">
        <v>51.6</v>
      </c>
      <c r="D204" s="25">
        <v>51.86</v>
      </c>
      <c r="E204" s="25">
        <v>7.17</v>
      </c>
      <c r="F204" s="25">
        <v>6.82</v>
      </c>
      <c r="G204" s="25">
        <v>6.82</v>
      </c>
      <c r="H204" s="25">
        <v>168346</v>
      </c>
      <c r="I204" s="25">
        <v>89.13</v>
      </c>
      <c r="J204" s="25">
        <v>13861.56</v>
      </c>
      <c r="K204" s="9">
        <f t="shared" si="3"/>
        <v>1386.1559999999999</v>
      </c>
    </row>
    <row r="205" spans="1:11">
      <c r="A205" s="22">
        <v>37469</v>
      </c>
      <c r="B205" s="23">
        <v>52.9</v>
      </c>
      <c r="C205" s="23">
        <v>50.1</v>
      </c>
      <c r="D205" s="23">
        <v>52.71</v>
      </c>
      <c r="E205" s="23">
        <v>6.99</v>
      </c>
      <c r="F205" s="23">
        <v>6.7</v>
      </c>
      <c r="G205" s="23">
        <v>6.97</v>
      </c>
      <c r="H205" s="23">
        <v>46518</v>
      </c>
      <c r="I205" s="23">
        <v>24.06</v>
      </c>
      <c r="J205" s="23">
        <v>14152.87</v>
      </c>
      <c r="K205" s="9">
        <f t="shared" si="3"/>
        <v>1415.287</v>
      </c>
    </row>
    <row r="206" spans="1:11">
      <c r="A206" s="24">
        <v>37438</v>
      </c>
      <c r="B206" s="25">
        <v>53.2</v>
      </c>
      <c r="C206" s="25">
        <v>50.5</v>
      </c>
      <c r="D206" s="25">
        <v>51.33</v>
      </c>
      <c r="E206" s="25">
        <v>6.98</v>
      </c>
      <c r="F206" s="25">
        <v>6.75</v>
      </c>
      <c r="G206" s="25">
        <v>6.78</v>
      </c>
      <c r="H206" s="25">
        <v>145573</v>
      </c>
      <c r="I206" s="25">
        <v>75.56</v>
      </c>
      <c r="J206" s="25">
        <v>13780.99</v>
      </c>
      <c r="K206" s="9">
        <f t="shared" si="3"/>
        <v>1378.0989999999999</v>
      </c>
    </row>
    <row r="207" spans="1:11">
      <c r="A207" s="22">
        <v>37408</v>
      </c>
      <c r="B207" s="23">
        <v>55.8</v>
      </c>
      <c r="C207" s="23">
        <v>50.51</v>
      </c>
      <c r="D207" s="23">
        <v>51.4</v>
      </c>
      <c r="E207" s="23">
        <v>7.17</v>
      </c>
      <c r="F207" s="23">
        <v>6.73</v>
      </c>
      <c r="G207" s="23">
        <v>6.79</v>
      </c>
      <c r="H207" s="23">
        <v>113405</v>
      </c>
      <c r="I207" s="23">
        <v>58.76</v>
      </c>
      <c r="J207" s="23">
        <v>13801.13</v>
      </c>
      <c r="K207" s="9">
        <f t="shared" si="3"/>
        <v>1380.1129999999998</v>
      </c>
    </row>
    <row r="208" spans="1:11">
      <c r="A208" s="24">
        <v>37377</v>
      </c>
      <c r="B208" s="25">
        <v>55</v>
      </c>
      <c r="C208" s="25">
        <v>50.5</v>
      </c>
      <c r="D208" s="25">
        <v>52.5</v>
      </c>
      <c r="E208" s="25">
        <v>7.24</v>
      </c>
      <c r="F208" s="25">
        <v>6.94</v>
      </c>
      <c r="G208" s="25">
        <v>6.94</v>
      </c>
      <c r="H208" s="25">
        <v>133341</v>
      </c>
      <c r="I208" s="25">
        <v>71.75</v>
      </c>
      <c r="J208" s="25">
        <v>14096.49</v>
      </c>
      <c r="K208" s="9">
        <f t="shared" si="3"/>
        <v>1409.6489999999999</v>
      </c>
    </row>
    <row r="209" spans="1:11">
      <c r="A209" s="22">
        <v>37347</v>
      </c>
      <c r="B209" s="23">
        <v>55.2</v>
      </c>
      <c r="C209" s="23">
        <v>52.2</v>
      </c>
      <c r="D209" s="23">
        <v>53.88</v>
      </c>
      <c r="E209" s="23">
        <v>7.21</v>
      </c>
      <c r="F209" s="23">
        <v>6.98</v>
      </c>
      <c r="G209" s="23">
        <v>7.12</v>
      </c>
      <c r="H209" s="23">
        <v>158317</v>
      </c>
      <c r="I209" s="23">
        <v>85.1</v>
      </c>
      <c r="J209" s="23">
        <v>14465.68</v>
      </c>
      <c r="K209" s="9">
        <f t="shared" si="3"/>
        <v>1446.568</v>
      </c>
    </row>
    <row r="210" spans="1:11">
      <c r="A210" s="24">
        <v>37316</v>
      </c>
      <c r="B210" s="25">
        <v>57</v>
      </c>
      <c r="C210" s="25">
        <v>52.5</v>
      </c>
      <c r="D210" s="25">
        <v>54.12</v>
      </c>
      <c r="E210" s="25">
        <v>7.33</v>
      </c>
      <c r="F210" s="25">
        <v>7</v>
      </c>
      <c r="G210" s="25">
        <v>7.15</v>
      </c>
      <c r="H210" s="25">
        <v>236325</v>
      </c>
      <c r="I210" s="25">
        <v>127.21</v>
      </c>
      <c r="J210" s="25">
        <v>14531.46</v>
      </c>
      <c r="K210" s="9">
        <f t="shared" si="3"/>
        <v>1453.146</v>
      </c>
    </row>
    <row r="211" spans="1:11">
      <c r="A211" s="22">
        <v>37288</v>
      </c>
      <c r="B211" s="23">
        <v>60</v>
      </c>
      <c r="C211" s="23">
        <v>54.8</v>
      </c>
      <c r="D211" s="23">
        <v>56.23</v>
      </c>
      <c r="E211" s="23">
        <v>24.02</v>
      </c>
      <c r="F211" s="23">
        <v>22.92</v>
      </c>
      <c r="G211" s="23">
        <v>23.09</v>
      </c>
      <c r="H211" s="23">
        <v>413378</v>
      </c>
      <c r="I211" s="23">
        <v>233.9</v>
      </c>
      <c r="J211" s="23">
        <v>15098.01</v>
      </c>
      <c r="K211" s="9">
        <f t="shared" si="3"/>
        <v>1509.8009999999999</v>
      </c>
    </row>
    <row r="212" spans="1:11">
      <c r="A212" s="24">
        <v>37257</v>
      </c>
      <c r="B212" s="25">
        <v>61.68</v>
      </c>
      <c r="C212" s="25">
        <v>57.3</v>
      </c>
      <c r="D212" s="25">
        <v>57.5</v>
      </c>
      <c r="E212" s="25">
        <v>24.71</v>
      </c>
      <c r="F212" s="25">
        <v>23.61</v>
      </c>
      <c r="G212" s="25">
        <v>23.61</v>
      </c>
      <c r="H212" s="25">
        <v>112054</v>
      </c>
      <c r="I212" s="25">
        <v>66.06</v>
      </c>
      <c r="J212" s="25">
        <v>15439.01</v>
      </c>
      <c r="K212" s="9">
        <f t="shared" si="3"/>
        <v>1543.9010000000001</v>
      </c>
    </row>
    <row r="213" spans="1:11">
      <c r="A213" s="22">
        <v>37226</v>
      </c>
      <c r="B213" s="23">
        <v>64.099999999999994</v>
      </c>
      <c r="C213" s="23">
        <v>56.72</v>
      </c>
      <c r="D213" s="23">
        <v>61.61</v>
      </c>
      <c r="E213" s="23">
        <v>26</v>
      </c>
      <c r="F213" s="23">
        <v>23.68</v>
      </c>
      <c r="G213" s="23">
        <v>25.29</v>
      </c>
      <c r="H213" s="23">
        <v>113587</v>
      </c>
      <c r="I213" s="23">
        <v>67.89</v>
      </c>
      <c r="J213" s="23">
        <v>16542.560000000001</v>
      </c>
      <c r="K213" s="9">
        <f t="shared" si="3"/>
        <v>1654.2560000000001</v>
      </c>
    </row>
    <row r="214" spans="1:11">
      <c r="A214" s="24">
        <v>37196</v>
      </c>
      <c r="B214" s="25">
        <v>58.66</v>
      </c>
      <c r="C214" s="25">
        <v>52.6</v>
      </c>
      <c r="D214" s="25">
        <v>57.5</v>
      </c>
      <c r="E214" s="25">
        <v>24.23</v>
      </c>
      <c r="F214" s="25">
        <v>22.45</v>
      </c>
      <c r="G214" s="25">
        <v>23.61</v>
      </c>
      <c r="H214" s="25">
        <v>157812</v>
      </c>
      <c r="I214" s="25">
        <v>87.09</v>
      </c>
      <c r="J214" s="25">
        <v>15439.01</v>
      </c>
      <c r="K214" s="9">
        <f t="shared" si="3"/>
        <v>1543.9010000000001</v>
      </c>
    </row>
    <row r="215" spans="1:11">
      <c r="A215" s="22">
        <v>37165</v>
      </c>
      <c r="B215" s="23">
        <v>55.5</v>
      </c>
      <c r="C215" s="23">
        <v>49.5</v>
      </c>
      <c r="D215" s="23">
        <v>52.93</v>
      </c>
      <c r="E215" s="23">
        <v>22.08</v>
      </c>
      <c r="F215" s="23">
        <v>20.76</v>
      </c>
      <c r="G215" s="23">
        <v>22.08</v>
      </c>
      <c r="H215" s="23">
        <v>534259</v>
      </c>
      <c r="I215" s="23">
        <v>273.19</v>
      </c>
      <c r="J215" s="23">
        <v>14441.96</v>
      </c>
      <c r="K215" s="9">
        <f t="shared" si="3"/>
        <v>1444.1959999999999</v>
      </c>
    </row>
    <row r="216" spans="1:11">
      <c r="A216" s="24">
        <v>37135</v>
      </c>
      <c r="B216" s="25">
        <v>58</v>
      </c>
      <c r="C216" s="25">
        <v>48.56</v>
      </c>
      <c r="D216" s="25">
        <v>50.88</v>
      </c>
      <c r="E216" s="25">
        <v>24.23</v>
      </c>
      <c r="F216" s="25">
        <v>21.19</v>
      </c>
      <c r="G216" s="25">
        <v>21.67</v>
      </c>
      <c r="H216" s="25">
        <v>323124</v>
      </c>
      <c r="I216" s="25">
        <v>178.4</v>
      </c>
      <c r="J216" s="25">
        <v>14168.92</v>
      </c>
      <c r="K216" s="9">
        <f t="shared" si="3"/>
        <v>1416.8920000000001</v>
      </c>
    </row>
    <row r="217" spans="1:11">
      <c r="A217" s="22">
        <v>37104</v>
      </c>
      <c r="B217" s="23">
        <v>59.5</v>
      </c>
      <c r="C217" s="23">
        <v>54</v>
      </c>
      <c r="D217" s="23">
        <v>55.64</v>
      </c>
      <c r="E217" s="23">
        <v>26.72</v>
      </c>
      <c r="F217" s="23">
        <v>24.6</v>
      </c>
      <c r="G217" s="23">
        <v>25.03</v>
      </c>
      <c r="H217" s="23">
        <v>181571</v>
      </c>
      <c r="I217" s="23">
        <v>101.26</v>
      </c>
      <c r="J217" s="23">
        <v>15495.99</v>
      </c>
      <c r="K217" s="9">
        <f t="shared" si="3"/>
        <v>1549.5989999999999</v>
      </c>
    </row>
    <row r="218" spans="1:11">
      <c r="A218" s="24">
        <v>37073</v>
      </c>
      <c r="B218" s="25">
        <v>62.5</v>
      </c>
      <c r="C218" s="25">
        <v>53.3</v>
      </c>
      <c r="D218" s="25">
        <v>58.5</v>
      </c>
      <c r="E218" s="25">
        <v>28.09</v>
      </c>
      <c r="F218" s="25">
        <v>25.72</v>
      </c>
      <c r="G218" s="25">
        <v>26.32</v>
      </c>
      <c r="H218" s="25">
        <v>87182</v>
      </c>
      <c r="I218" s="25">
        <v>51.43</v>
      </c>
      <c r="J218" s="25">
        <v>16292.51</v>
      </c>
      <c r="K218" s="9">
        <f t="shared" si="3"/>
        <v>1629.251</v>
      </c>
    </row>
    <row r="219" spans="1:11">
      <c r="A219" s="22">
        <v>37043</v>
      </c>
      <c r="B219" s="23">
        <v>67.5</v>
      </c>
      <c r="C219" s="23">
        <v>59.8</v>
      </c>
      <c r="D219" s="23">
        <v>62.14</v>
      </c>
      <c r="E219" s="23">
        <v>29.33</v>
      </c>
      <c r="F219" s="23">
        <v>27.14</v>
      </c>
      <c r="G219" s="23">
        <v>27.96</v>
      </c>
      <c r="H219" s="23">
        <v>130713</v>
      </c>
      <c r="I219" s="23">
        <v>83.83</v>
      </c>
      <c r="J219" s="23">
        <v>17306.27</v>
      </c>
      <c r="K219" s="9">
        <f t="shared" si="3"/>
        <v>1730.627</v>
      </c>
    </row>
    <row r="220" spans="1:11">
      <c r="A220" s="24">
        <v>37012</v>
      </c>
      <c r="B220" s="25">
        <v>69.5</v>
      </c>
      <c r="C220" s="25">
        <v>63.3</v>
      </c>
      <c r="D220" s="25">
        <v>64.8</v>
      </c>
      <c r="E220" s="25">
        <v>27.2</v>
      </c>
      <c r="F220" s="25">
        <v>25.11</v>
      </c>
      <c r="G220" s="25">
        <v>25.58</v>
      </c>
      <c r="H220" s="25">
        <v>80480</v>
      </c>
      <c r="I220" s="25">
        <v>52.95</v>
      </c>
      <c r="J220" s="25">
        <v>18045.7</v>
      </c>
      <c r="K220" s="9">
        <f t="shared" si="3"/>
        <v>1804.5700000000002</v>
      </c>
    </row>
    <row r="221" spans="1:11">
      <c r="A221" s="22">
        <v>36982</v>
      </c>
      <c r="B221" s="23">
        <v>70.400000000000006</v>
      </c>
      <c r="C221" s="23">
        <v>63</v>
      </c>
      <c r="D221" s="23">
        <v>69.430000000000007</v>
      </c>
      <c r="E221" s="23">
        <v>27.64</v>
      </c>
      <c r="F221" s="23">
        <v>26.18</v>
      </c>
      <c r="G221" s="23">
        <v>27.41</v>
      </c>
      <c r="H221" s="23">
        <v>111339</v>
      </c>
      <c r="I221" s="23">
        <v>76.28</v>
      </c>
      <c r="J221" s="23">
        <v>19335.169999999998</v>
      </c>
      <c r="K221" s="9">
        <f t="shared" si="3"/>
        <v>1933.5169999999998</v>
      </c>
    </row>
    <row r="222" spans="1:11">
      <c r="A222" s="24">
        <v>36951</v>
      </c>
      <c r="B222" s="25">
        <v>74</v>
      </c>
      <c r="C222" s="25">
        <v>63.49</v>
      </c>
      <c r="D222" s="25">
        <v>69.02</v>
      </c>
      <c r="E222" s="25">
        <v>28.07</v>
      </c>
      <c r="F222" s="25">
        <v>26.11</v>
      </c>
      <c r="G222" s="25">
        <v>27.25</v>
      </c>
      <c r="H222" s="25">
        <v>269460</v>
      </c>
      <c r="I222" s="25">
        <v>185.59</v>
      </c>
      <c r="J222" s="25">
        <v>19220.990000000002</v>
      </c>
      <c r="K222" s="9">
        <f t="shared" si="3"/>
        <v>1922.0990000000002</v>
      </c>
    </row>
    <row r="223" spans="1:11">
      <c r="A223" s="22">
        <v>36923</v>
      </c>
      <c r="B223" s="23">
        <v>82</v>
      </c>
      <c r="C223" s="23">
        <v>72.5</v>
      </c>
      <c r="D223" s="23">
        <v>73.33</v>
      </c>
      <c r="E223" s="23">
        <v>44.37</v>
      </c>
      <c r="F223" s="23">
        <v>40.03</v>
      </c>
      <c r="G223" s="23">
        <v>40.03</v>
      </c>
      <c r="H223" s="23">
        <v>383897</v>
      </c>
      <c r="I223" s="23">
        <v>305.85000000000002</v>
      </c>
      <c r="J223" s="23">
        <v>20421.34</v>
      </c>
      <c r="K223" s="9">
        <f t="shared" si="3"/>
        <v>2042.134</v>
      </c>
    </row>
    <row r="224" spans="1:11">
      <c r="A224" s="24">
        <v>36892</v>
      </c>
      <c r="B224" s="25">
        <v>81.900000000000006</v>
      </c>
      <c r="C224" s="25">
        <v>73.03</v>
      </c>
      <c r="D224" s="25">
        <v>79.819999999999993</v>
      </c>
      <c r="E224" s="25">
        <v>44.21</v>
      </c>
      <c r="F224" s="25">
        <v>41.61</v>
      </c>
      <c r="G224" s="25">
        <v>43.57</v>
      </c>
      <c r="H224" s="25">
        <v>130625</v>
      </c>
      <c r="I224" s="25">
        <v>103.35</v>
      </c>
      <c r="J224" s="25">
        <v>22228.84</v>
      </c>
      <c r="K224" s="9">
        <f t="shared" si="3"/>
        <v>2222.884</v>
      </c>
    </row>
    <row r="225" spans="1:11">
      <c r="A225" s="22">
        <v>36861</v>
      </c>
      <c r="B225" s="23">
        <v>83.85</v>
      </c>
      <c r="C225" s="23">
        <v>75</v>
      </c>
      <c r="D225" s="23">
        <v>80.45</v>
      </c>
      <c r="E225" s="23">
        <v>44.8</v>
      </c>
      <c r="F225" s="23">
        <v>40.950000000000003</v>
      </c>
      <c r="G225" s="23">
        <v>43.92</v>
      </c>
      <c r="H225" s="23">
        <v>191836</v>
      </c>
      <c r="I225" s="23">
        <v>150.16</v>
      </c>
      <c r="J225" s="23">
        <v>22405.69</v>
      </c>
      <c r="K225" s="9">
        <f t="shared" si="3"/>
        <v>2240.569</v>
      </c>
    </row>
    <row r="226" spans="1:11">
      <c r="A226" s="24">
        <v>36831</v>
      </c>
      <c r="B226" s="25">
        <v>83</v>
      </c>
      <c r="C226" s="25">
        <v>76</v>
      </c>
      <c r="D226" s="25">
        <v>83</v>
      </c>
      <c r="E226" s="25">
        <v>45.31</v>
      </c>
      <c r="F226" s="25">
        <v>42.32</v>
      </c>
      <c r="G226" s="25">
        <v>45.31</v>
      </c>
      <c r="H226" s="25">
        <v>500418</v>
      </c>
      <c r="I226" s="25">
        <v>402.23</v>
      </c>
      <c r="J226" s="25">
        <v>23115.87</v>
      </c>
      <c r="K226" s="9">
        <f t="shared" si="3"/>
        <v>2311.587</v>
      </c>
    </row>
    <row r="227" spans="1:11">
      <c r="A227" s="22">
        <v>36800</v>
      </c>
      <c r="B227" s="23">
        <v>78</v>
      </c>
      <c r="C227" s="23">
        <v>65</v>
      </c>
      <c r="D227" s="23">
        <v>75.66</v>
      </c>
      <c r="E227" s="23">
        <v>41.87</v>
      </c>
      <c r="F227" s="23">
        <v>35.94</v>
      </c>
      <c r="G227" s="23">
        <v>41.3</v>
      </c>
      <c r="H227" s="23">
        <v>327835</v>
      </c>
      <c r="I227" s="23">
        <v>240.08</v>
      </c>
      <c r="J227" s="23">
        <v>21070.26</v>
      </c>
      <c r="K227" s="9">
        <f t="shared" si="3"/>
        <v>2107.0259999999998</v>
      </c>
    </row>
    <row r="228" spans="1:11">
      <c r="A228" s="24">
        <v>36770</v>
      </c>
      <c r="B228" s="25">
        <v>71.489999999999995</v>
      </c>
      <c r="C228" s="25">
        <v>62.5</v>
      </c>
      <c r="D228" s="25">
        <v>65.95</v>
      </c>
      <c r="E228" s="25">
        <v>37.950000000000003</v>
      </c>
      <c r="F228" s="25">
        <v>34.380000000000003</v>
      </c>
      <c r="G228" s="25">
        <v>36</v>
      </c>
      <c r="H228" s="25">
        <v>240842</v>
      </c>
      <c r="I228" s="25">
        <v>158.57</v>
      </c>
      <c r="J228" s="25">
        <v>18365.98</v>
      </c>
      <c r="K228" s="9">
        <f t="shared" si="3"/>
        <v>1836.598</v>
      </c>
    </row>
    <row r="229" spans="1:11">
      <c r="A229" s="22">
        <v>36739</v>
      </c>
      <c r="B229" s="23">
        <v>71.900000000000006</v>
      </c>
      <c r="C229" s="23">
        <v>66.099999999999994</v>
      </c>
      <c r="D229" s="23">
        <v>66.81</v>
      </c>
      <c r="E229" s="23">
        <v>38.299999999999997</v>
      </c>
      <c r="F229" s="23">
        <v>36.47</v>
      </c>
      <c r="G229" s="23">
        <v>36.47</v>
      </c>
      <c r="H229" s="23">
        <v>160724</v>
      </c>
      <c r="I229" s="23">
        <v>109.81</v>
      </c>
      <c r="J229" s="23">
        <v>18605.490000000002</v>
      </c>
      <c r="K229" s="9">
        <f t="shared" si="3"/>
        <v>1860.5490000000002</v>
      </c>
    </row>
    <row r="230" spans="1:11">
      <c r="A230" s="24">
        <v>36708</v>
      </c>
      <c r="B230" s="25">
        <v>72</v>
      </c>
      <c r="C230" s="25">
        <v>60</v>
      </c>
      <c r="D230" s="25">
        <v>70.87</v>
      </c>
      <c r="E230" s="25">
        <v>38.69</v>
      </c>
      <c r="F230" s="25">
        <v>32.82</v>
      </c>
      <c r="G230" s="25">
        <v>38.69</v>
      </c>
      <c r="H230" s="25">
        <v>334725</v>
      </c>
      <c r="I230" s="25">
        <v>219.12</v>
      </c>
      <c r="J230" s="25">
        <v>19737.61</v>
      </c>
      <c r="K230" s="9">
        <f t="shared" si="3"/>
        <v>1973.761</v>
      </c>
    </row>
    <row r="231" spans="1:11">
      <c r="A231" s="22">
        <v>36678</v>
      </c>
      <c r="B231" s="23">
        <v>65.5</v>
      </c>
      <c r="C231" s="23">
        <v>57</v>
      </c>
      <c r="D231" s="23">
        <v>63.38</v>
      </c>
      <c r="E231" s="23">
        <v>34.6</v>
      </c>
      <c r="F231" s="23">
        <v>31.41</v>
      </c>
      <c r="G231" s="23">
        <v>34.6</v>
      </c>
      <c r="H231" s="23">
        <v>290644</v>
      </c>
      <c r="I231" s="23">
        <v>173.62</v>
      </c>
      <c r="J231" s="23">
        <v>17650.22</v>
      </c>
      <c r="K231" s="9">
        <f t="shared" si="3"/>
        <v>1765.0220000000002</v>
      </c>
    </row>
    <row r="232" spans="1:11">
      <c r="A232" s="24">
        <v>36647</v>
      </c>
      <c r="B232" s="25">
        <v>62.5</v>
      </c>
      <c r="C232" s="25">
        <v>48</v>
      </c>
      <c r="D232" s="25">
        <v>61.5</v>
      </c>
      <c r="E232" s="25">
        <v>33.57</v>
      </c>
      <c r="F232" s="25">
        <v>26.92</v>
      </c>
      <c r="G232" s="25">
        <v>33.57</v>
      </c>
      <c r="H232" s="25">
        <v>322582</v>
      </c>
      <c r="I232" s="25">
        <v>176.59</v>
      </c>
      <c r="J232" s="25">
        <v>17128.03</v>
      </c>
      <c r="K232" s="9">
        <f t="shared" si="3"/>
        <v>1712.8029999999999</v>
      </c>
    </row>
    <row r="233" spans="1:11">
      <c r="A233" s="22">
        <v>36617</v>
      </c>
      <c r="B233" s="23">
        <v>61.5</v>
      </c>
      <c r="C233" s="23">
        <v>50</v>
      </c>
      <c r="D233" s="23">
        <v>50.5</v>
      </c>
      <c r="E233" s="23">
        <v>32.81</v>
      </c>
      <c r="F233" s="23">
        <v>27.35</v>
      </c>
      <c r="G233" s="23">
        <v>27.57</v>
      </c>
      <c r="H233" s="23">
        <v>110930</v>
      </c>
      <c r="I233" s="23">
        <v>58.86</v>
      </c>
      <c r="J233" s="23">
        <v>14064.48</v>
      </c>
      <c r="K233" s="9">
        <f t="shared" si="3"/>
        <v>1406.4479999999999</v>
      </c>
    </row>
    <row r="234" spans="1:11">
      <c r="A234" s="24">
        <v>36586</v>
      </c>
      <c r="B234" s="25">
        <v>65</v>
      </c>
      <c r="C234" s="25">
        <v>44.9</v>
      </c>
      <c r="D234" s="25">
        <v>62</v>
      </c>
      <c r="E234" s="25">
        <v>34.979999999999997</v>
      </c>
      <c r="F234" s="25">
        <v>25.55</v>
      </c>
      <c r="G234" s="25">
        <v>33.840000000000003</v>
      </c>
      <c r="H234" s="25">
        <v>480015</v>
      </c>
      <c r="I234" s="25">
        <v>251.6</v>
      </c>
      <c r="J234" s="25">
        <v>17267.28</v>
      </c>
      <c r="K234" s="9">
        <f t="shared" si="3"/>
        <v>1726.7279999999998</v>
      </c>
    </row>
    <row r="235" spans="1:11">
      <c r="A235" s="22">
        <v>36557</v>
      </c>
      <c r="B235" s="23">
        <v>75.5</v>
      </c>
      <c r="C235" s="23">
        <v>60.6</v>
      </c>
      <c r="D235" s="23">
        <v>61</v>
      </c>
      <c r="E235" s="23">
        <v>51.75</v>
      </c>
      <c r="F235" s="23">
        <v>42.94</v>
      </c>
      <c r="G235" s="23">
        <v>42.94</v>
      </c>
      <c r="H235" s="23">
        <v>224462</v>
      </c>
      <c r="I235" s="23">
        <v>153.97</v>
      </c>
      <c r="J235" s="23">
        <v>16988.77</v>
      </c>
      <c r="K235" s="9">
        <f t="shared" si="3"/>
        <v>1698.877</v>
      </c>
    </row>
    <row r="236" spans="1:11">
      <c r="A236" s="24">
        <v>36526</v>
      </c>
      <c r="B236" s="25">
        <v>93.2</v>
      </c>
      <c r="C236" s="25">
        <v>71</v>
      </c>
      <c r="D236" s="25">
        <v>74.930000000000007</v>
      </c>
      <c r="E236" s="25">
        <v>64.14</v>
      </c>
      <c r="F236" s="25">
        <v>51.39</v>
      </c>
      <c r="G236" s="25">
        <v>52.75</v>
      </c>
      <c r="H236" s="25">
        <v>401368</v>
      </c>
      <c r="I236" s="25">
        <v>328.44</v>
      </c>
      <c r="J236" s="25">
        <v>20866.95</v>
      </c>
      <c r="K236" s="9">
        <f t="shared" si="3"/>
        <v>2086.6950000000002</v>
      </c>
    </row>
    <row r="237" spans="1:11">
      <c r="A237" s="22">
        <v>36495</v>
      </c>
      <c r="B237" s="23">
        <v>86</v>
      </c>
      <c r="C237" s="23">
        <v>69.150000000000006</v>
      </c>
      <c r="D237" s="23">
        <v>69.5</v>
      </c>
      <c r="E237" s="23">
        <v>58.79</v>
      </c>
      <c r="F237" s="23">
        <v>48.93</v>
      </c>
      <c r="G237" s="23">
        <v>48.93</v>
      </c>
      <c r="H237" s="23">
        <v>415752</v>
      </c>
      <c r="I237" s="23">
        <v>320.24</v>
      </c>
      <c r="J237" s="23">
        <v>19356.060000000001</v>
      </c>
      <c r="K237" s="9">
        <f t="shared" si="3"/>
        <v>1935.6060000000002</v>
      </c>
    </row>
    <row r="238" spans="1:11">
      <c r="A238" s="24">
        <v>36465</v>
      </c>
      <c r="B238" s="25">
        <v>86.6</v>
      </c>
      <c r="C238" s="25">
        <v>74.989999999999995</v>
      </c>
      <c r="D238" s="25">
        <v>80.63</v>
      </c>
      <c r="E238" s="25">
        <v>60.97</v>
      </c>
      <c r="F238" s="25">
        <v>55.37</v>
      </c>
      <c r="G238" s="25">
        <v>56.76</v>
      </c>
      <c r="H238" s="25">
        <v>187485</v>
      </c>
      <c r="I238" s="25">
        <v>154.16999999999999</v>
      </c>
      <c r="J238" s="25">
        <v>22454.43</v>
      </c>
      <c r="K238" s="9">
        <f t="shared" si="3"/>
        <v>2245.4430000000002</v>
      </c>
    </row>
    <row r="239" spans="1:11">
      <c r="A239" s="22">
        <v>36434</v>
      </c>
      <c r="B239" s="23">
        <v>107.3</v>
      </c>
      <c r="C239" s="23">
        <v>81.599999999999994</v>
      </c>
      <c r="D239" s="23">
        <v>83.05</v>
      </c>
      <c r="E239" s="23">
        <v>72.599999999999994</v>
      </c>
      <c r="F239" s="23">
        <v>58.47</v>
      </c>
      <c r="G239" s="23">
        <v>58.47</v>
      </c>
      <c r="H239" s="23">
        <v>204619</v>
      </c>
      <c r="I239" s="23">
        <v>184.9</v>
      </c>
      <c r="J239" s="23">
        <v>23129.8</v>
      </c>
      <c r="K239" s="9">
        <f t="shared" si="3"/>
        <v>2312.98</v>
      </c>
    </row>
    <row r="240" spans="1:11">
      <c r="A240" s="24">
        <v>36404</v>
      </c>
      <c r="B240" s="25">
        <v>120.6</v>
      </c>
      <c r="C240" s="25">
        <v>95.73</v>
      </c>
      <c r="D240" s="25">
        <v>101.65</v>
      </c>
      <c r="E240" s="25">
        <v>80.28</v>
      </c>
      <c r="F240" s="25">
        <v>67.819999999999993</v>
      </c>
      <c r="G240" s="25">
        <v>71.56</v>
      </c>
      <c r="H240" s="25">
        <v>199730</v>
      </c>
      <c r="I240" s="25">
        <v>296.02</v>
      </c>
      <c r="J240" s="25">
        <v>28309.98</v>
      </c>
      <c r="K240" s="9">
        <f t="shared" si="3"/>
        <v>2830.998</v>
      </c>
    </row>
    <row r="241" spans="1:11">
      <c r="A241" s="22">
        <v>36373</v>
      </c>
      <c r="B241" s="23">
        <v>110</v>
      </c>
      <c r="C241" s="23">
        <v>85.33</v>
      </c>
      <c r="D241" s="23">
        <v>100.03</v>
      </c>
      <c r="E241" s="23">
        <v>73.55</v>
      </c>
      <c r="F241" s="23">
        <v>60.6</v>
      </c>
      <c r="G241" s="23">
        <v>70.430000000000007</v>
      </c>
      <c r="H241" s="23">
        <v>333514</v>
      </c>
      <c r="I241" s="23">
        <v>486.26</v>
      </c>
      <c r="J241" s="23">
        <v>27859.73</v>
      </c>
      <c r="K241" s="9">
        <f t="shared" si="3"/>
        <v>2785.973</v>
      </c>
    </row>
    <row r="242" spans="1:11">
      <c r="A242" s="24">
        <v>36342</v>
      </c>
      <c r="B242" s="25">
        <v>95.93</v>
      </c>
      <c r="C242" s="25">
        <v>82.67</v>
      </c>
      <c r="D242" s="25">
        <v>86.67</v>
      </c>
      <c r="E242" s="25">
        <v>66.34</v>
      </c>
      <c r="F242" s="25">
        <v>58.43</v>
      </c>
      <c r="G242" s="25">
        <v>61.01</v>
      </c>
      <c r="H242" s="25">
        <v>523121</v>
      </c>
      <c r="I242" s="25">
        <v>702.05</v>
      </c>
      <c r="J242" s="25">
        <v>24137.06</v>
      </c>
      <c r="K242" s="9">
        <f t="shared" si="3"/>
        <v>2413.7060000000001</v>
      </c>
    </row>
    <row r="243" spans="1:11">
      <c r="A243" s="22">
        <v>36312</v>
      </c>
      <c r="B243" s="23">
        <v>90.07</v>
      </c>
      <c r="C243" s="23">
        <v>80.53</v>
      </c>
      <c r="D243" s="23">
        <v>83.67</v>
      </c>
      <c r="E243" s="23">
        <v>62.16</v>
      </c>
      <c r="F243" s="23">
        <v>57.45</v>
      </c>
      <c r="G243" s="23">
        <v>58.9</v>
      </c>
      <c r="H243" s="23">
        <v>296151</v>
      </c>
      <c r="I243" s="23">
        <v>379</v>
      </c>
      <c r="J243" s="23">
        <v>23301.54</v>
      </c>
      <c r="K243" s="9">
        <f t="shared" si="3"/>
        <v>2330.154</v>
      </c>
    </row>
    <row r="244" spans="1:11">
      <c r="A244" s="24">
        <v>36281</v>
      </c>
      <c r="B244" s="25">
        <v>105.33</v>
      </c>
      <c r="C244" s="25">
        <v>84.4</v>
      </c>
      <c r="D244" s="25">
        <v>89.41</v>
      </c>
      <c r="E244" s="25">
        <v>73.17</v>
      </c>
      <c r="F244" s="25">
        <v>61.72</v>
      </c>
      <c r="G244" s="25">
        <v>62.94</v>
      </c>
      <c r="H244" s="25">
        <v>598127</v>
      </c>
      <c r="I244" s="25">
        <v>843.17</v>
      </c>
      <c r="J244" s="25">
        <v>24900.16</v>
      </c>
      <c r="K244" s="9">
        <f t="shared" si="3"/>
        <v>2490.0160000000001</v>
      </c>
    </row>
    <row r="245" spans="1:11">
      <c r="A245" s="22">
        <v>36251</v>
      </c>
      <c r="B245" s="23">
        <v>108</v>
      </c>
      <c r="C245" s="23">
        <v>85.07</v>
      </c>
      <c r="D245" s="23">
        <v>95.8</v>
      </c>
      <c r="E245" s="23">
        <v>75.39</v>
      </c>
      <c r="F245" s="23">
        <v>61.61</v>
      </c>
      <c r="G245" s="23">
        <v>67.44</v>
      </c>
      <c r="H245" s="23">
        <v>558247</v>
      </c>
      <c r="I245" s="23">
        <v>803.66</v>
      </c>
      <c r="J245" s="23">
        <v>26680.73</v>
      </c>
      <c r="K245" s="9">
        <f t="shared" si="3"/>
        <v>2668.0729999999999</v>
      </c>
    </row>
    <row r="246" spans="1:11">
      <c r="A246" s="24">
        <v>36220</v>
      </c>
      <c r="B246" s="25">
        <v>97.88</v>
      </c>
      <c r="C246" s="25">
        <v>76.73</v>
      </c>
      <c r="D246" s="25">
        <v>97.37</v>
      </c>
      <c r="E246" s="25">
        <v>68.55</v>
      </c>
      <c r="F246" s="25">
        <v>54.49</v>
      </c>
      <c r="G246" s="25">
        <v>68.55</v>
      </c>
      <c r="H246" s="25">
        <v>479301</v>
      </c>
      <c r="I246" s="25">
        <v>601.24</v>
      </c>
      <c r="J246" s="25">
        <v>27117.06</v>
      </c>
      <c r="K246" s="9">
        <f t="shared" si="3"/>
        <v>2711.7060000000001</v>
      </c>
    </row>
    <row r="247" spans="1:11">
      <c r="A247" s="22">
        <v>36192</v>
      </c>
      <c r="B247" s="23">
        <v>82.33</v>
      </c>
      <c r="C247" s="23">
        <v>72</v>
      </c>
      <c r="D247" s="23">
        <v>77.95</v>
      </c>
      <c r="E247" s="23">
        <v>77.48</v>
      </c>
      <c r="F247" s="23">
        <v>70.69</v>
      </c>
      <c r="G247" s="23">
        <v>75.05</v>
      </c>
      <c r="H247" s="23">
        <v>349477</v>
      </c>
      <c r="I247" s="23">
        <v>402.62</v>
      </c>
      <c r="J247" s="23">
        <v>21709.43</v>
      </c>
      <c r="K247" s="9">
        <f t="shared" si="3"/>
        <v>2170.9430000000002</v>
      </c>
    </row>
    <row r="248" spans="1:11">
      <c r="A248" s="24">
        <v>36161</v>
      </c>
      <c r="B248" s="25">
        <v>77.930000000000007</v>
      </c>
      <c r="C248" s="25">
        <v>57.7</v>
      </c>
      <c r="D248" s="25">
        <v>72.52</v>
      </c>
      <c r="E248" s="25">
        <v>72.569999999999993</v>
      </c>
      <c r="F248" s="25">
        <v>55.72</v>
      </c>
      <c r="G248" s="25">
        <v>69.819999999999993</v>
      </c>
      <c r="H248" s="25">
        <v>509960</v>
      </c>
      <c r="I248" s="25">
        <v>504.85</v>
      </c>
      <c r="J248" s="25">
        <v>20196.22</v>
      </c>
      <c r="K248" s="9">
        <f t="shared" si="3"/>
        <v>2019.6220000000001</v>
      </c>
    </row>
    <row r="249" spans="1:11">
      <c r="A249" s="22">
        <v>36130</v>
      </c>
      <c r="B249" s="23">
        <v>60.22</v>
      </c>
      <c r="C249" s="23">
        <v>50.53</v>
      </c>
      <c r="D249" s="23">
        <v>58.13</v>
      </c>
      <c r="E249" s="23">
        <v>57.13</v>
      </c>
      <c r="F249" s="23">
        <v>49.23</v>
      </c>
      <c r="G249" s="23">
        <v>55.97</v>
      </c>
      <c r="H249" s="23">
        <v>643235</v>
      </c>
      <c r="I249" s="23">
        <v>537</v>
      </c>
      <c r="J249" s="23">
        <v>16190.4</v>
      </c>
      <c r="K249" s="9">
        <f t="shared" si="3"/>
        <v>1619.04</v>
      </c>
    </row>
    <row r="250" spans="1:11">
      <c r="A250" s="24">
        <v>36100</v>
      </c>
      <c r="B250" s="25">
        <v>51.67</v>
      </c>
      <c r="C250" s="25">
        <v>46.52</v>
      </c>
      <c r="D250" s="25">
        <v>51.5</v>
      </c>
      <c r="E250" s="25">
        <v>49.59</v>
      </c>
      <c r="F250" s="25">
        <v>44.9</v>
      </c>
      <c r="G250" s="25">
        <v>49.59</v>
      </c>
      <c r="H250" s="25">
        <v>192785</v>
      </c>
      <c r="I250" s="25">
        <v>143.02000000000001</v>
      </c>
      <c r="J250" s="25">
        <v>14342.98</v>
      </c>
      <c r="K250" s="9">
        <f t="shared" si="3"/>
        <v>1434.298</v>
      </c>
    </row>
    <row r="251" spans="1:11">
      <c r="A251" s="22">
        <v>36069</v>
      </c>
      <c r="B251" s="23">
        <v>48.87</v>
      </c>
      <c r="C251" s="23">
        <v>44.6</v>
      </c>
      <c r="D251" s="23">
        <v>47.38</v>
      </c>
      <c r="E251" s="23">
        <v>45.99</v>
      </c>
      <c r="F251" s="23">
        <v>43.28</v>
      </c>
      <c r="G251" s="23">
        <v>45.62</v>
      </c>
      <c r="H251" s="23">
        <v>166593</v>
      </c>
      <c r="I251" s="23">
        <v>117.18</v>
      </c>
      <c r="J251" s="23">
        <v>13196.47</v>
      </c>
      <c r="K251" s="9">
        <f t="shared" si="3"/>
        <v>1319.6469999999999</v>
      </c>
    </row>
    <row r="252" spans="1:11">
      <c r="A252" s="24">
        <v>36039</v>
      </c>
      <c r="B252" s="25">
        <v>49.73</v>
      </c>
      <c r="C252" s="25">
        <v>46</v>
      </c>
      <c r="D252" s="25">
        <v>47.22</v>
      </c>
      <c r="E252" s="25">
        <v>47.29</v>
      </c>
      <c r="F252" s="25">
        <v>44.34</v>
      </c>
      <c r="G252" s="25">
        <v>45.46</v>
      </c>
      <c r="H252" s="25">
        <v>317095</v>
      </c>
      <c r="I252" s="25">
        <v>227.07</v>
      </c>
      <c r="J252" s="25">
        <v>13150.05</v>
      </c>
      <c r="K252" s="9">
        <f t="shared" si="3"/>
        <v>1315.0049999999999</v>
      </c>
    </row>
    <row r="253" spans="1:11">
      <c r="A253" s="22">
        <v>36008</v>
      </c>
      <c r="B253" s="23">
        <v>49.98</v>
      </c>
      <c r="C253" s="23">
        <v>44</v>
      </c>
      <c r="D253" s="23">
        <v>47.67</v>
      </c>
      <c r="E253" s="23">
        <v>47.36</v>
      </c>
      <c r="F253" s="23">
        <v>43.02</v>
      </c>
      <c r="G253" s="23">
        <v>45.9</v>
      </c>
      <c r="H253" s="23">
        <v>991851</v>
      </c>
      <c r="I253" s="23">
        <v>703.4</v>
      </c>
      <c r="J253" s="23">
        <v>13275.38</v>
      </c>
      <c r="K253" s="9">
        <f t="shared" si="3"/>
        <v>1327.538</v>
      </c>
    </row>
    <row r="254" spans="1:11">
      <c r="A254" s="24">
        <v>35977</v>
      </c>
      <c r="B254" s="25">
        <v>47.67</v>
      </c>
      <c r="C254" s="25">
        <v>37.200000000000003</v>
      </c>
      <c r="D254" s="25">
        <v>47.28</v>
      </c>
      <c r="E254" s="25">
        <v>45.53</v>
      </c>
      <c r="F254" s="25">
        <v>36.46</v>
      </c>
      <c r="G254" s="25">
        <v>45.53</v>
      </c>
      <c r="H254" s="25">
        <v>372115</v>
      </c>
      <c r="I254" s="25">
        <v>236.06</v>
      </c>
      <c r="J254" s="25">
        <v>13168.62</v>
      </c>
      <c r="K254" s="9">
        <f t="shared" si="3"/>
        <v>1316.8620000000001</v>
      </c>
    </row>
    <row r="255" spans="1:11">
      <c r="A255" s="22">
        <v>35947</v>
      </c>
      <c r="B255" s="23">
        <v>41.67</v>
      </c>
      <c r="C255" s="23">
        <v>33.33</v>
      </c>
      <c r="D255" s="23">
        <v>37.75</v>
      </c>
      <c r="E255" s="23">
        <v>39.01</v>
      </c>
      <c r="F255" s="23">
        <v>33.36</v>
      </c>
      <c r="G255" s="23">
        <v>36.35</v>
      </c>
      <c r="H255" s="23">
        <v>498067</v>
      </c>
      <c r="I255" s="23">
        <v>280.75</v>
      </c>
      <c r="J255" s="23">
        <v>10513.55</v>
      </c>
      <c r="K255" s="9">
        <f t="shared" si="3"/>
        <v>1051.355</v>
      </c>
    </row>
    <row r="256" spans="1:11">
      <c r="A256" s="24">
        <v>35916</v>
      </c>
      <c r="B256" s="25">
        <v>42.33</v>
      </c>
      <c r="C256" s="25">
        <v>34.47</v>
      </c>
      <c r="D256" s="25">
        <v>39.549999999999997</v>
      </c>
      <c r="E256" s="25">
        <v>39.36</v>
      </c>
      <c r="F256" s="25">
        <v>33.380000000000003</v>
      </c>
      <c r="G256" s="25">
        <v>38.08</v>
      </c>
      <c r="H256" s="25">
        <v>737846</v>
      </c>
      <c r="I256" s="25">
        <v>436.7</v>
      </c>
      <c r="J256" s="25">
        <v>11014.85</v>
      </c>
      <c r="K256" s="9">
        <f t="shared" si="3"/>
        <v>1101.4850000000001</v>
      </c>
    </row>
    <row r="257" spans="1:11">
      <c r="A257" s="22">
        <v>35886</v>
      </c>
      <c r="B257" s="23">
        <v>40.93</v>
      </c>
      <c r="C257" s="23">
        <v>31.63</v>
      </c>
      <c r="D257" s="23">
        <v>38.65</v>
      </c>
      <c r="E257" s="23">
        <v>38.82</v>
      </c>
      <c r="F257" s="23">
        <v>32.090000000000003</v>
      </c>
      <c r="G257" s="23">
        <v>37.21</v>
      </c>
      <c r="H257" s="23">
        <v>830073</v>
      </c>
      <c r="I257" s="23">
        <v>459.95</v>
      </c>
      <c r="J257" s="23">
        <v>10764.2</v>
      </c>
      <c r="K257" s="9">
        <f t="shared" si="3"/>
        <v>1076.42</v>
      </c>
    </row>
    <row r="258" spans="1:11">
      <c r="A258" s="24">
        <v>35855</v>
      </c>
      <c r="B258" s="25">
        <v>33</v>
      </c>
      <c r="C258" s="25">
        <v>27.67</v>
      </c>
      <c r="D258" s="25">
        <v>31.3</v>
      </c>
      <c r="E258" s="25">
        <v>31.48</v>
      </c>
      <c r="F258" s="25">
        <v>26.7</v>
      </c>
      <c r="G258" s="25">
        <v>30.14</v>
      </c>
      <c r="H258" s="25">
        <v>632865</v>
      </c>
      <c r="I258" s="25">
        <v>288.32</v>
      </c>
      <c r="J258" s="25">
        <v>8717.19</v>
      </c>
      <c r="K258" s="9">
        <f t="shared" si="3"/>
        <v>871.71900000000005</v>
      </c>
    </row>
    <row r="259" spans="1:11">
      <c r="A259" s="22">
        <v>35827</v>
      </c>
      <c r="B259" s="23">
        <v>30.33</v>
      </c>
      <c r="C259" s="23">
        <v>25.07</v>
      </c>
      <c r="D259" s="23">
        <v>29.57</v>
      </c>
      <c r="E259" s="23">
        <v>46.05</v>
      </c>
      <c r="F259" s="23">
        <v>39.67</v>
      </c>
      <c r="G259" s="23">
        <v>46.05</v>
      </c>
      <c r="H259" s="23">
        <v>300077</v>
      </c>
      <c r="I259" s="23">
        <v>124.65</v>
      </c>
      <c r="J259" s="23">
        <v>8234.4500000000007</v>
      </c>
      <c r="K259" s="9">
        <f t="shared" si="3"/>
        <v>823.44500000000005</v>
      </c>
    </row>
    <row r="260" spans="1:11">
      <c r="A260" s="24">
        <v>35796</v>
      </c>
      <c r="B260" s="25">
        <v>27.8</v>
      </c>
      <c r="C260" s="25">
        <v>25</v>
      </c>
      <c r="D260" s="25">
        <v>25.42</v>
      </c>
      <c r="E260" s="25">
        <v>42.6</v>
      </c>
      <c r="F260" s="25">
        <v>39.590000000000003</v>
      </c>
      <c r="G260" s="25">
        <v>39.590000000000003</v>
      </c>
      <c r="H260" s="25">
        <v>297335</v>
      </c>
      <c r="I260" s="25">
        <v>118.97</v>
      </c>
      <c r="J260" s="25">
        <v>7078.66</v>
      </c>
      <c r="K260" s="9">
        <f t="shared" ref="K260:K323" si="4">J260/10</f>
        <v>707.86599999999999</v>
      </c>
    </row>
    <row r="261" spans="1:11">
      <c r="A261" s="22">
        <v>35765</v>
      </c>
      <c r="B261" s="23">
        <v>29.6</v>
      </c>
      <c r="C261" s="23">
        <v>26</v>
      </c>
      <c r="D261" s="23">
        <v>26.92</v>
      </c>
      <c r="E261" s="23">
        <v>45.25</v>
      </c>
      <c r="F261" s="23">
        <v>41.12</v>
      </c>
      <c r="G261" s="23">
        <v>41.93</v>
      </c>
      <c r="H261" s="23">
        <v>383752</v>
      </c>
      <c r="I261" s="23">
        <v>158.83000000000001</v>
      </c>
      <c r="J261" s="23">
        <v>7496.41</v>
      </c>
      <c r="K261" s="9">
        <f t="shared" si="4"/>
        <v>749.64099999999996</v>
      </c>
    </row>
    <row r="262" spans="1:11">
      <c r="A262" s="24">
        <v>35735</v>
      </c>
      <c r="B262" s="25">
        <v>27.13</v>
      </c>
      <c r="C262" s="25">
        <v>22.67</v>
      </c>
      <c r="D262" s="25">
        <v>26.82</v>
      </c>
      <c r="E262" s="25">
        <v>41.77</v>
      </c>
      <c r="F262" s="25">
        <v>36.729999999999997</v>
      </c>
      <c r="G262" s="25">
        <v>41.77</v>
      </c>
      <c r="H262" s="25">
        <v>254077</v>
      </c>
      <c r="I262" s="25">
        <v>96.45</v>
      </c>
      <c r="J262" s="25">
        <v>7468.56</v>
      </c>
      <c r="K262" s="9">
        <f t="shared" si="4"/>
        <v>746.85599999999999</v>
      </c>
    </row>
    <row r="263" spans="1:11">
      <c r="A263" s="22">
        <v>35704</v>
      </c>
      <c r="B263" s="23">
        <v>24.6</v>
      </c>
      <c r="C263" s="23">
        <v>21.32</v>
      </c>
      <c r="D263" s="23">
        <v>23.92</v>
      </c>
      <c r="E263" s="23">
        <v>37.49</v>
      </c>
      <c r="F263" s="23">
        <v>33.44</v>
      </c>
      <c r="G263" s="23">
        <v>37.25</v>
      </c>
      <c r="H263" s="23">
        <v>85395</v>
      </c>
      <c r="I263" s="23">
        <v>29.7</v>
      </c>
      <c r="J263" s="23">
        <v>6660.9</v>
      </c>
      <c r="K263" s="9">
        <f t="shared" si="4"/>
        <v>666.08999999999992</v>
      </c>
    </row>
    <row r="264" spans="1:11">
      <c r="A264" s="24">
        <v>35674</v>
      </c>
      <c r="B264" s="25">
        <v>23</v>
      </c>
      <c r="C264" s="25">
        <v>21</v>
      </c>
      <c r="D264" s="25">
        <v>21.63</v>
      </c>
      <c r="E264" s="25">
        <v>35.33</v>
      </c>
      <c r="F264" s="25">
        <v>32.92</v>
      </c>
      <c r="G264" s="25">
        <v>33.700000000000003</v>
      </c>
      <c r="H264" s="25">
        <v>35621</v>
      </c>
      <c r="I264" s="25">
        <v>11.67</v>
      </c>
      <c r="J264" s="25">
        <v>6024.98</v>
      </c>
      <c r="K264" s="9">
        <f t="shared" si="4"/>
        <v>602.49799999999993</v>
      </c>
    </row>
    <row r="265" spans="1:11">
      <c r="A265" s="22">
        <v>35643</v>
      </c>
      <c r="B265" s="23">
        <v>23</v>
      </c>
      <c r="C265" s="23">
        <v>20.47</v>
      </c>
      <c r="D265" s="23">
        <v>21.33</v>
      </c>
      <c r="E265" s="23">
        <v>35.54</v>
      </c>
      <c r="F265" s="23">
        <v>32.53</v>
      </c>
      <c r="G265" s="23">
        <v>33.229999999999997</v>
      </c>
      <c r="H265" s="23">
        <v>139091</v>
      </c>
      <c r="I265" s="23">
        <v>46.7</v>
      </c>
      <c r="J265" s="23">
        <v>5941.43</v>
      </c>
      <c r="K265" s="9">
        <f t="shared" si="4"/>
        <v>594.14300000000003</v>
      </c>
    </row>
    <row r="266" spans="1:11">
      <c r="A266" s="24">
        <v>35612</v>
      </c>
      <c r="B266" s="25">
        <v>23.47</v>
      </c>
      <c r="C266" s="25">
        <v>16.82</v>
      </c>
      <c r="D266" s="25">
        <v>22.67</v>
      </c>
      <c r="E266" s="25">
        <v>35.54</v>
      </c>
      <c r="F266" s="25">
        <v>26.38</v>
      </c>
      <c r="G266" s="25">
        <v>35.31</v>
      </c>
      <c r="H266" s="25">
        <v>143300</v>
      </c>
      <c r="I266" s="25">
        <v>46.46</v>
      </c>
      <c r="J266" s="25">
        <v>6312.77</v>
      </c>
      <c r="K266" s="9">
        <f t="shared" si="4"/>
        <v>631.27700000000004</v>
      </c>
    </row>
    <row r="267" spans="1:11">
      <c r="A267" s="22">
        <v>35582</v>
      </c>
      <c r="B267" s="23">
        <v>17.52</v>
      </c>
      <c r="C267" s="23">
        <v>16.63</v>
      </c>
      <c r="D267" s="23">
        <v>16.73</v>
      </c>
      <c r="E267" s="23">
        <v>27.13</v>
      </c>
      <c r="F267" s="23">
        <v>25.96</v>
      </c>
      <c r="G267" s="23">
        <v>26.06</v>
      </c>
      <c r="H267" s="23">
        <v>16175</v>
      </c>
      <c r="I267" s="23">
        <v>4.12</v>
      </c>
      <c r="J267" s="23">
        <v>4660.3100000000004</v>
      </c>
      <c r="K267" s="9">
        <f t="shared" si="4"/>
        <v>466.03100000000006</v>
      </c>
    </row>
    <row r="268" spans="1:11">
      <c r="A268" s="24">
        <v>35551</v>
      </c>
      <c r="B268" s="25">
        <v>17.670000000000002</v>
      </c>
      <c r="C268" s="25">
        <v>16</v>
      </c>
      <c r="D268" s="25">
        <v>17.37</v>
      </c>
      <c r="E268" s="25">
        <v>27.05</v>
      </c>
      <c r="F268" s="25">
        <v>24.92</v>
      </c>
      <c r="G268" s="25">
        <v>27.05</v>
      </c>
      <c r="H268" s="25">
        <v>10464</v>
      </c>
      <c r="I268" s="25">
        <v>2.59</v>
      </c>
      <c r="J268" s="25">
        <v>4836.6899999999996</v>
      </c>
      <c r="K268" s="9">
        <f t="shared" si="4"/>
        <v>483.66899999999998</v>
      </c>
    </row>
    <row r="269" spans="1:11">
      <c r="A269" s="22">
        <v>35521</v>
      </c>
      <c r="B269" s="23">
        <v>17.329999999999998</v>
      </c>
      <c r="C269" s="23">
        <v>15.8</v>
      </c>
      <c r="D269" s="23">
        <v>16</v>
      </c>
      <c r="E269" s="23">
        <v>25.62</v>
      </c>
      <c r="F269" s="23">
        <v>24.61</v>
      </c>
      <c r="G269" s="23">
        <v>24.92</v>
      </c>
      <c r="H269" s="23">
        <v>86963</v>
      </c>
      <c r="I269" s="23">
        <v>20.9</v>
      </c>
      <c r="J269" s="23">
        <v>4456.07</v>
      </c>
      <c r="K269" s="9">
        <f t="shared" si="4"/>
        <v>445.60699999999997</v>
      </c>
    </row>
    <row r="270" spans="1:11">
      <c r="A270" s="24">
        <v>35490</v>
      </c>
      <c r="B270" s="25">
        <v>19.399999999999999</v>
      </c>
      <c r="C270" s="25">
        <v>16</v>
      </c>
      <c r="D270" s="25">
        <v>16</v>
      </c>
      <c r="E270" s="25">
        <v>29.47</v>
      </c>
      <c r="F270" s="25">
        <v>24.92</v>
      </c>
      <c r="G270" s="25">
        <v>24.92</v>
      </c>
      <c r="H270" s="25">
        <v>14446</v>
      </c>
      <c r="I270" s="25">
        <v>3.92</v>
      </c>
      <c r="J270" s="25">
        <v>4456.07</v>
      </c>
      <c r="K270" s="9">
        <f t="shared" si="4"/>
        <v>445.60699999999997</v>
      </c>
    </row>
    <row r="271" spans="1:11">
      <c r="A271" s="22">
        <v>35462</v>
      </c>
      <c r="B271" s="23">
        <v>17.93</v>
      </c>
      <c r="C271" s="23">
        <v>16.670000000000002</v>
      </c>
      <c r="D271" s="23">
        <v>17.2</v>
      </c>
      <c r="E271" s="23">
        <v>30.51</v>
      </c>
      <c r="F271" s="23">
        <v>29.12</v>
      </c>
      <c r="G271" s="23">
        <v>29.93</v>
      </c>
      <c r="H271" s="23">
        <v>35864</v>
      </c>
      <c r="I271" s="23">
        <v>9.24</v>
      </c>
      <c r="J271" s="23">
        <v>4790.28</v>
      </c>
      <c r="K271" s="9">
        <f t="shared" si="4"/>
        <v>479.02799999999996</v>
      </c>
    </row>
    <row r="272" spans="1:11">
      <c r="A272" s="24">
        <v>35431</v>
      </c>
      <c r="B272" s="25">
        <v>17.329999999999998</v>
      </c>
      <c r="C272" s="25">
        <v>15.33</v>
      </c>
      <c r="D272" s="25">
        <v>16.72</v>
      </c>
      <c r="E272" s="25">
        <v>29.76</v>
      </c>
      <c r="F272" s="25">
        <v>26.86</v>
      </c>
      <c r="G272" s="25">
        <v>29.09</v>
      </c>
      <c r="H272" s="25">
        <v>193742</v>
      </c>
      <c r="I272" s="25">
        <v>48.39</v>
      </c>
      <c r="J272" s="25">
        <v>4655.67</v>
      </c>
      <c r="K272" s="9">
        <f t="shared" si="4"/>
        <v>465.56700000000001</v>
      </c>
    </row>
    <row r="273" spans="1:13">
      <c r="A273" s="22">
        <v>35400</v>
      </c>
      <c r="B273" s="23">
        <v>16.850000000000001</v>
      </c>
      <c r="C273" s="23">
        <v>14.4</v>
      </c>
      <c r="D273" s="23">
        <v>15.33</v>
      </c>
      <c r="E273" s="23">
        <v>27.93</v>
      </c>
      <c r="F273" s="23">
        <v>25.52</v>
      </c>
      <c r="G273" s="23">
        <v>26.68</v>
      </c>
      <c r="H273" s="23">
        <v>15624</v>
      </c>
      <c r="I273" s="23">
        <v>3.57</v>
      </c>
      <c r="J273" s="23">
        <v>4270.3999999999996</v>
      </c>
      <c r="K273" s="9">
        <f t="shared" si="4"/>
        <v>427.03999999999996</v>
      </c>
    </row>
    <row r="274" spans="1:13">
      <c r="A274" s="24">
        <v>35370</v>
      </c>
      <c r="B274" s="25">
        <v>15.2</v>
      </c>
      <c r="C274" s="25">
        <v>14.35</v>
      </c>
      <c r="D274" s="25">
        <v>15.03</v>
      </c>
      <c r="E274" s="25">
        <v>26.33</v>
      </c>
      <c r="F274" s="25">
        <v>24.97</v>
      </c>
      <c r="G274" s="25">
        <v>26.16</v>
      </c>
      <c r="H274" s="25">
        <v>36583</v>
      </c>
      <c r="I274" s="25">
        <v>8.26</v>
      </c>
      <c r="J274" s="25">
        <v>4186.8500000000004</v>
      </c>
      <c r="K274" s="9">
        <f t="shared" si="4"/>
        <v>418.68500000000006</v>
      </c>
    </row>
    <row r="275" spans="1:13">
      <c r="A275" s="22">
        <v>35339</v>
      </c>
      <c r="B275" s="23">
        <v>15.47</v>
      </c>
      <c r="C275" s="23">
        <v>14.2</v>
      </c>
      <c r="D275" s="23">
        <v>15.33</v>
      </c>
      <c r="E275" s="23">
        <v>26.68</v>
      </c>
      <c r="F275" s="23">
        <v>24.94</v>
      </c>
      <c r="G275" s="23">
        <v>26.68</v>
      </c>
      <c r="H275" s="23">
        <v>44303</v>
      </c>
      <c r="I275" s="23">
        <v>9.9499999999999993</v>
      </c>
      <c r="J275" s="23">
        <v>4270.3999999999996</v>
      </c>
      <c r="K275" s="9">
        <f t="shared" si="4"/>
        <v>427.03999999999996</v>
      </c>
    </row>
    <row r="276" spans="1:13">
      <c r="A276" s="24">
        <v>35309</v>
      </c>
      <c r="B276" s="25">
        <v>14.68</v>
      </c>
      <c r="C276" s="25">
        <v>14.02</v>
      </c>
      <c r="D276" s="25">
        <v>14.67</v>
      </c>
      <c r="E276" s="25">
        <v>25.52</v>
      </c>
      <c r="F276" s="25">
        <v>24.59</v>
      </c>
      <c r="G276" s="25">
        <v>25.52</v>
      </c>
      <c r="H276" s="25">
        <v>39646</v>
      </c>
      <c r="I276" s="25">
        <v>8.74</v>
      </c>
      <c r="J276" s="25">
        <v>4084.73</v>
      </c>
      <c r="K276" s="9">
        <f t="shared" si="4"/>
        <v>408.47300000000001</v>
      </c>
    </row>
    <row r="277" spans="1:13">
      <c r="A277" s="22">
        <v>35278</v>
      </c>
      <c r="B277" s="23">
        <v>15.33</v>
      </c>
      <c r="C277" s="23">
        <v>13.55</v>
      </c>
      <c r="D277" s="23">
        <v>14.08</v>
      </c>
      <c r="E277" s="23">
        <v>26.1</v>
      </c>
      <c r="F277" s="23">
        <v>23.58</v>
      </c>
      <c r="G277" s="23">
        <v>24.51</v>
      </c>
      <c r="H277" s="23">
        <v>3748</v>
      </c>
      <c r="I277" s="23">
        <v>0.79</v>
      </c>
      <c r="J277" s="23">
        <v>3922.27</v>
      </c>
      <c r="K277" s="9">
        <f t="shared" si="4"/>
        <v>392.22699999999998</v>
      </c>
    </row>
    <row r="278" spans="1:13">
      <c r="A278" s="24">
        <v>35247</v>
      </c>
      <c r="B278" s="25">
        <v>14.67</v>
      </c>
      <c r="C278" s="25">
        <v>12</v>
      </c>
      <c r="D278" s="25">
        <v>14.67</v>
      </c>
      <c r="E278" s="25">
        <v>25.52</v>
      </c>
      <c r="F278" s="25">
        <v>21.05</v>
      </c>
      <c r="G278" s="25">
        <v>25.52</v>
      </c>
      <c r="H278" s="25">
        <v>33800</v>
      </c>
      <c r="I278" s="25">
        <v>6.55</v>
      </c>
      <c r="J278" s="25">
        <v>4084.73</v>
      </c>
      <c r="K278" s="9">
        <f t="shared" si="4"/>
        <v>408.47300000000001</v>
      </c>
    </row>
    <row r="279" spans="1:13">
      <c r="A279" s="22">
        <v>35217</v>
      </c>
      <c r="B279" s="23">
        <v>15.2</v>
      </c>
      <c r="C279" s="23">
        <v>13.35</v>
      </c>
      <c r="D279" s="23">
        <v>13.35</v>
      </c>
      <c r="E279" s="23">
        <v>25.67</v>
      </c>
      <c r="F279" s="23">
        <v>23.23</v>
      </c>
      <c r="G279" s="23">
        <v>23.23</v>
      </c>
      <c r="H279" s="23">
        <v>29800</v>
      </c>
      <c r="I279" s="23">
        <v>6.17</v>
      </c>
      <c r="J279" s="23">
        <v>3718.04</v>
      </c>
      <c r="K279" s="9">
        <f t="shared" si="4"/>
        <v>371.80399999999997</v>
      </c>
    </row>
    <row r="280" spans="1:13">
      <c r="A280" s="24">
        <v>35186</v>
      </c>
      <c r="B280" s="25">
        <v>15.33</v>
      </c>
      <c r="C280" s="25">
        <v>13.73</v>
      </c>
      <c r="D280" s="25">
        <v>13.73</v>
      </c>
      <c r="E280" s="25">
        <v>26.68</v>
      </c>
      <c r="F280" s="25">
        <v>23.9</v>
      </c>
      <c r="G280" s="25">
        <v>23.9</v>
      </c>
      <c r="H280" s="25">
        <v>112100</v>
      </c>
      <c r="I280" s="25">
        <v>24.68</v>
      </c>
      <c r="J280" s="25">
        <v>3824.8</v>
      </c>
      <c r="K280" s="9">
        <f t="shared" si="4"/>
        <v>382.48</v>
      </c>
    </row>
    <row r="281" spans="1:13">
      <c r="A281" s="22">
        <v>35156</v>
      </c>
      <c r="B281" s="23">
        <v>16</v>
      </c>
      <c r="C281" s="23">
        <v>13.73</v>
      </c>
      <c r="D281" s="23">
        <v>15.33</v>
      </c>
      <c r="E281" s="23">
        <v>26.91</v>
      </c>
      <c r="F281" s="23">
        <v>24.13</v>
      </c>
      <c r="G281" s="23">
        <v>26.68</v>
      </c>
      <c r="H281" s="23">
        <v>19300</v>
      </c>
      <c r="I281" s="23">
        <v>4.34</v>
      </c>
      <c r="J281" s="23">
        <v>4270.3999999999996</v>
      </c>
      <c r="K281" s="9">
        <f t="shared" si="4"/>
        <v>427.03999999999996</v>
      </c>
    </row>
    <row r="282" spans="1:13">
      <c r="A282" s="24">
        <v>35125</v>
      </c>
      <c r="B282" s="25">
        <v>13.6</v>
      </c>
      <c r="C282" s="25">
        <v>13.33</v>
      </c>
      <c r="D282" s="25">
        <v>13.6</v>
      </c>
      <c r="E282" s="25">
        <v>23.66</v>
      </c>
      <c r="F282" s="25">
        <v>23.2</v>
      </c>
      <c r="G282" s="25">
        <v>23.66</v>
      </c>
      <c r="H282" s="25">
        <v>7300</v>
      </c>
      <c r="I282" s="25">
        <v>1.46</v>
      </c>
      <c r="J282" s="25">
        <v>3787.66</v>
      </c>
      <c r="K282" s="9">
        <f t="shared" si="4"/>
        <v>378.76599999999996</v>
      </c>
    </row>
    <row r="283" spans="1:13">
      <c r="A283" s="22">
        <v>35065</v>
      </c>
      <c r="B283" s="23">
        <v>19.329999999999998</v>
      </c>
      <c r="C283" s="23">
        <v>19</v>
      </c>
      <c r="D283" s="23">
        <v>19.329999999999998</v>
      </c>
      <c r="E283" s="23">
        <v>29.28</v>
      </c>
      <c r="F283" s="23">
        <v>29.28</v>
      </c>
      <c r="G283" s="23">
        <v>29.28</v>
      </c>
      <c r="H283" s="23">
        <v>0</v>
      </c>
      <c r="I283" s="23">
        <v>0</v>
      </c>
      <c r="J283" s="23">
        <v>5384.42</v>
      </c>
      <c r="K283" s="9">
        <f t="shared" si="4"/>
        <v>538.44200000000001</v>
      </c>
    </row>
    <row r="284" spans="1:13">
      <c r="A284" s="24">
        <v>34820</v>
      </c>
      <c r="B284" s="25">
        <v>17.2</v>
      </c>
      <c r="C284" s="25">
        <v>14.67</v>
      </c>
      <c r="D284" s="25">
        <v>15.33</v>
      </c>
      <c r="E284" s="25">
        <v>25.75</v>
      </c>
      <c r="F284" s="25">
        <v>22.41</v>
      </c>
      <c r="G284" s="25">
        <v>23.22</v>
      </c>
      <c r="H284" s="25">
        <v>0</v>
      </c>
      <c r="I284" s="25">
        <v>0</v>
      </c>
      <c r="J284" s="25">
        <v>4270.3999999999996</v>
      </c>
      <c r="K284" s="9">
        <f t="shared" si="4"/>
        <v>427.03999999999996</v>
      </c>
    </row>
    <row r="285" spans="1:13">
      <c r="A285" s="22">
        <v>34790</v>
      </c>
      <c r="B285" s="23">
        <v>19.329999999999998</v>
      </c>
      <c r="C285" s="23">
        <v>16.329999999999998</v>
      </c>
      <c r="D285" s="23">
        <v>16.47</v>
      </c>
      <c r="E285" s="23">
        <v>29.28</v>
      </c>
      <c r="F285" s="23">
        <v>24.94</v>
      </c>
      <c r="G285" s="23">
        <v>24.94</v>
      </c>
      <c r="H285" s="23">
        <v>0</v>
      </c>
      <c r="I285" s="23">
        <v>0</v>
      </c>
      <c r="J285" s="23">
        <v>4586.04</v>
      </c>
      <c r="K285" s="9">
        <f t="shared" si="4"/>
        <v>458.60399999999998</v>
      </c>
    </row>
    <row r="286" spans="1:13">
      <c r="A286" s="24">
        <v>34759</v>
      </c>
      <c r="B286" s="25">
        <v>20.329999999999998</v>
      </c>
      <c r="C286" s="25">
        <v>18.5</v>
      </c>
      <c r="D286" s="25">
        <v>19</v>
      </c>
      <c r="E286" s="25">
        <v>28.78</v>
      </c>
      <c r="F286" s="25">
        <v>28.78</v>
      </c>
      <c r="G286" s="25">
        <v>28.78</v>
      </c>
      <c r="H286" s="25">
        <v>0</v>
      </c>
      <c r="I286" s="25">
        <v>0</v>
      </c>
      <c r="J286" s="25">
        <v>5291.59</v>
      </c>
      <c r="K286" s="9">
        <f t="shared" si="4"/>
        <v>529.15899999999999</v>
      </c>
      <c r="L286" s="9">
        <f>K286*D322/D286</f>
        <v>974.76657894736832</v>
      </c>
      <c r="M286">
        <v>1379.18</v>
      </c>
    </row>
    <row r="287" spans="1:13">
      <c r="A287" s="22">
        <v>34731</v>
      </c>
      <c r="B287" s="23">
        <v>20.67</v>
      </c>
      <c r="C287" s="23">
        <v>18.670000000000002</v>
      </c>
      <c r="D287" s="23">
        <v>19.670000000000002</v>
      </c>
      <c r="E287" s="23" t="s">
        <v>41</v>
      </c>
      <c r="F287" s="23" t="s">
        <v>41</v>
      </c>
      <c r="G287" s="23" t="s">
        <v>41</v>
      </c>
      <c r="H287" s="23">
        <v>0</v>
      </c>
      <c r="I287" s="23">
        <v>0</v>
      </c>
      <c r="J287" s="23" t="s">
        <v>41</v>
      </c>
      <c r="K287" s="9" t="e">
        <f t="shared" si="4"/>
        <v>#VALUE!</v>
      </c>
    </row>
    <row r="288" spans="1:13">
      <c r="A288" s="24">
        <v>34700</v>
      </c>
      <c r="B288" s="25">
        <v>21.5</v>
      </c>
      <c r="C288" s="25">
        <v>19.5</v>
      </c>
      <c r="D288" s="25">
        <v>20.67</v>
      </c>
      <c r="E288" s="25" t="s">
        <v>41</v>
      </c>
      <c r="F288" s="25" t="s">
        <v>41</v>
      </c>
      <c r="G288" s="25" t="s">
        <v>41</v>
      </c>
      <c r="H288" s="25">
        <v>0</v>
      </c>
      <c r="I288" s="25">
        <v>0</v>
      </c>
      <c r="J288" s="25" t="s">
        <v>41</v>
      </c>
      <c r="K288" s="9" t="e">
        <f t="shared" si="4"/>
        <v>#VALUE!</v>
      </c>
    </row>
    <row r="289" spans="1:11">
      <c r="A289" s="22">
        <v>34669</v>
      </c>
      <c r="B289" s="23">
        <v>21.67</v>
      </c>
      <c r="C289" s="23">
        <v>20.83</v>
      </c>
      <c r="D289" s="23">
        <v>21.67</v>
      </c>
      <c r="E289" s="23" t="s">
        <v>41</v>
      </c>
      <c r="F289" s="23" t="s">
        <v>41</v>
      </c>
      <c r="G289" s="23" t="s">
        <v>41</v>
      </c>
      <c r="H289" s="23">
        <v>0</v>
      </c>
      <c r="I289" s="23">
        <v>0</v>
      </c>
      <c r="J289" s="23" t="s">
        <v>41</v>
      </c>
      <c r="K289" s="9" t="e">
        <f t="shared" si="4"/>
        <v>#VALUE!</v>
      </c>
    </row>
    <row r="290" spans="1:11">
      <c r="A290" s="24">
        <v>34639</v>
      </c>
      <c r="B290" s="25">
        <v>22.33</v>
      </c>
      <c r="C290" s="25">
        <v>20.67</v>
      </c>
      <c r="D290" s="25">
        <v>21.5</v>
      </c>
      <c r="E290" s="25" t="s">
        <v>41</v>
      </c>
      <c r="F290" s="25" t="s">
        <v>41</v>
      </c>
      <c r="G290" s="25" t="s">
        <v>41</v>
      </c>
      <c r="H290" s="25">
        <v>0</v>
      </c>
      <c r="I290" s="25">
        <v>0</v>
      </c>
      <c r="J290" s="25" t="s">
        <v>41</v>
      </c>
      <c r="K290" s="9" t="e">
        <f t="shared" si="4"/>
        <v>#VALUE!</v>
      </c>
    </row>
    <row r="291" spans="1:11">
      <c r="A291" s="22">
        <v>34608</v>
      </c>
      <c r="B291" s="23">
        <v>23.67</v>
      </c>
      <c r="C291" s="23">
        <v>21.67</v>
      </c>
      <c r="D291" s="23">
        <v>22</v>
      </c>
      <c r="E291" s="23" t="s">
        <v>41</v>
      </c>
      <c r="F291" s="23" t="s">
        <v>41</v>
      </c>
      <c r="G291" s="23" t="s">
        <v>41</v>
      </c>
      <c r="H291" s="23">
        <v>0</v>
      </c>
      <c r="I291" s="23">
        <v>0</v>
      </c>
      <c r="J291" s="23" t="s">
        <v>41</v>
      </c>
      <c r="K291" s="9" t="e">
        <f t="shared" si="4"/>
        <v>#VALUE!</v>
      </c>
    </row>
    <row r="292" spans="1:11">
      <c r="A292" s="24">
        <v>34578</v>
      </c>
      <c r="B292" s="25">
        <v>23.67</v>
      </c>
      <c r="C292" s="25">
        <v>22.5</v>
      </c>
      <c r="D292" s="25">
        <v>23.23</v>
      </c>
      <c r="E292" s="25" t="s">
        <v>41</v>
      </c>
      <c r="F292" s="25" t="s">
        <v>41</v>
      </c>
      <c r="G292" s="25" t="s">
        <v>41</v>
      </c>
      <c r="H292" s="25">
        <v>0</v>
      </c>
      <c r="I292" s="25">
        <v>0</v>
      </c>
      <c r="J292" s="25" t="s">
        <v>41</v>
      </c>
      <c r="K292" s="9" t="e">
        <f t="shared" si="4"/>
        <v>#VALUE!</v>
      </c>
    </row>
    <row r="293" spans="1:11">
      <c r="A293" s="22">
        <v>34547</v>
      </c>
      <c r="B293" s="23">
        <v>24.33</v>
      </c>
      <c r="C293" s="23">
        <v>22.17</v>
      </c>
      <c r="D293" s="23">
        <v>23.67</v>
      </c>
      <c r="E293" s="23" t="s">
        <v>41</v>
      </c>
      <c r="F293" s="23" t="s">
        <v>41</v>
      </c>
      <c r="G293" s="23" t="s">
        <v>41</v>
      </c>
      <c r="H293" s="23">
        <v>0</v>
      </c>
      <c r="I293" s="23">
        <v>0</v>
      </c>
      <c r="J293" s="23" t="s">
        <v>41</v>
      </c>
      <c r="K293" s="9" t="e">
        <f t="shared" si="4"/>
        <v>#VALUE!</v>
      </c>
    </row>
    <row r="294" spans="1:11">
      <c r="A294" s="24">
        <v>34516</v>
      </c>
      <c r="B294" s="25">
        <v>23</v>
      </c>
      <c r="C294" s="25">
        <v>21.67</v>
      </c>
      <c r="D294" s="25">
        <v>22.17</v>
      </c>
      <c r="E294" s="25" t="s">
        <v>41</v>
      </c>
      <c r="F294" s="25" t="s">
        <v>41</v>
      </c>
      <c r="G294" s="25" t="s">
        <v>41</v>
      </c>
      <c r="H294" s="25">
        <v>0</v>
      </c>
      <c r="I294" s="25">
        <v>0</v>
      </c>
      <c r="J294" s="25" t="s">
        <v>41</v>
      </c>
      <c r="K294" s="9" t="e">
        <f t="shared" si="4"/>
        <v>#VALUE!</v>
      </c>
    </row>
    <row r="295" spans="1:11">
      <c r="A295" s="22">
        <v>34486</v>
      </c>
      <c r="B295" s="23">
        <v>26</v>
      </c>
      <c r="C295" s="23">
        <v>21.67</v>
      </c>
      <c r="D295" s="23">
        <v>22.5</v>
      </c>
      <c r="E295" s="23" t="s">
        <v>41</v>
      </c>
      <c r="F295" s="23" t="s">
        <v>41</v>
      </c>
      <c r="G295" s="23" t="s">
        <v>41</v>
      </c>
      <c r="H295" s="23">
        <v>0</v>
      </c>
      <c r="I295" s="23">
        <v>0</v>
      </c>
      <c r="J295" s="23" t="s">
        <v>41</v>
      </c>
      <c r="K295" s="9" t="e">
        <f t="shared" si="4"/>
        <v>#VALUE!</v>
      </c>
    </row>
    <row r="296" spans="1:11">
      <c r="A296" s="24">
        <v>34455</v>
      </c>
      <c r="B296" s="25">
        <v>26.67</v>
      </c>
      <c r="C296" s="25">
        <v>20.67</v>
      </c>
      <c r="D296" s="25">
        <v>22</v>
      </c>
      <c r="E296" s="25" t="s">
        <v>41</v>
      </c>
      <c r="F296" s="25" t="s">
        <v>41</v>
      </c>
      <c r="G296" s="25" t="s">
        <v>41</v>
      </c>
      <c r="H296" s="25">
        <v>0</v>
      </c>
      <c r="I296" s="25">
        <v>0</v>
      </c>
      <c r="J296" s="25" t="s">
        <v>41</v>
      </c>
      <c r="K296" s="9" t="e">
        <f t="shared" si="4"/>
        <v>#VALUE!</v>
      </c>
    </row>
    <row r="297" spans="1:11">
      <c r="A297" s="22">
        <v>34425</v>
      </c>
      <c r="B297" s="23">
        <v>27</v>
      </c>
      <c r="C297" s="23">
        <v>26</v>
      </c>
      <c r="D297" s="23">
        <v>26.67</v>
      </c>
      <c r="E297" s="23" t="s">
        <v>41</v>
      </c>
      <c r="F297" s="23" t="s">
        <v>41</v>
      </c>
      <c r="G297" s="23" t="s">
        <v>41</v>
      </c>
      <c r="H297" s="23">
        <v>0</v>
      </c>
      <c r="I297" s="23">
        <v>0</v>
      </c>
      <c r="J297" s="23" t="s">
        <v>41</v>
      </c>
      <c r="K297" s="9" t="e">
        <f t="shared" si="4"/>
        <v>#VALUE!</v>
      </c>
    </row>
    <row r="298" spans="1:11">
      <c r="A298" s="24">
        <v>34394</v>
      </c>
      <c r="B298" s="25">
        <v>28.33</v>
      </c>
      <c r="C298" s="25">
        <v>24</v>
      </c>
      <c r="D298" s="25">
        <v>26.67</v>
      </c>
      <c r="E298" s="25" t="s">
        <v>41</v>
      </c>
      <c r="F298" s="25" t="s">
        <v>41</v>
      </c>
      <c r="G298" s="25" t="s">
        <v>41</v>
      </c>
      <c r="H298" s="25">
        <v>0</v>
      </c>
      <c r="I298" s="25">
        <v>0</v>
      </c>
      <c r="J298" s="25" t="s">
        <v>41</v>
      </c>
      <c r="K298" s="9" t="e">
        <f t="shared" si="4"/>
        <v>#VALUE!</v>
      </c>
    </row>
    <row r="299" spans="1:11">
      <c r="A299" s="22">
        <v>34366</v>
      </c>
      <c r="B299" s="23">
        <v>31</v>
      </c>
      <c r="C299" s="23">
        <v>23.33</v>
      </c>
      <c r="D299" s="23">
        <v>27.67</v>
      </c>
      <c r="E299" s="23" t="s">
        <v>41</v>
      </c>
      <c r="F299" s="23" t="s">
        <v>41</v>
      </c>
      <c r="G299" s="23" t="s">
        <v>41</v>
      </c>
      <c r="H299" s="23">
        <v>0</v>
      </c>
      <c r="I299" s="23">
        <v>0</v>
      </c>
      <c r="J299" s="23" t="s">
        <v>41</v>
      </c>
      <c r="K299" s="9" t="e">
        <f t="shared" si="4"/>
        <v>#VALUE!</v>
      </c>
    </row>
    <row r="300" spans="1:11">
      <c r="A300" s="24">
        <v>34335</v>
      </c>
      <c r="B300" s="25">
        <v>25.33</v>
      </c>
      <c r="C300" s="25">
        <v>22</v>
      </c>
      <c r="D300" s="25">
        <v>23.33</v>
      </c>
      <c r="E300" s="25" t="s">
        <v>41</v>
      </c>
      <c r="F300" s="25" t="s">
        <v>41</v>
      </c>
      <c r="G300" s="25" t="s">
        <v>41</v>
      </c>
      <c r="H300" s="25">
        <v>0</v>
      </c>
      <c r="I300" s="25">
        <v>0</v>
      </c>
      <c r="J300" s="25" t="s">
        <v>41</v>
      </c>
      <c r="K300" s="9" t="e">
        <f t="shared" si="4"/>
        <v>#VALUE!</v>
      </c>
    </row>
    <row r="301" spans="1:11">
      <c r="A301" s="22">
        <v>34304</v>
      </c>
      <c r="B301" s="23">
        <v>25.67</v>
      </c>
      <c r="C301" s="23">
        <v>21.83</v>
      </c>
      <c r="D301" s="23">
        <v>24</v>
      </c>
      <c r="E301" s="23" t="s">
        <v>41</v>
      </c>
      <c r="F301" s="23" t="s">
        <v>41</v>
      </c>
      <c r="G301" s="23" t="s">
        <v>41</v>
      </c>
      <c r="H301" s="23">
        <v>0</v>
      </c>
      <c r="I301" s="23">
        <v>0</v>
      </c>
      <c r="J301" s="23" t="s">
        <v>41</v>
      </c>
      <c r="K301" s="9" t="e">
        <f t="shared" si="4"/>
        <v>#VALUE!</v>
      </c>
    </row>
    <row r="302" spans="1:11">
      <c r="A302" s="24">
        <v>34274</v>
      </c>
      <c r="B302" s="25">
        <v>22.67</v>
      </c>
      <c r="C302" s="25">
        <v>19</v>
      </c>
      <c r="D302" s="25">
        <v>22</v>
      </c>
      <c r="E302" s="25" t="s">
        <v>41</v>
      </c>
      <c r="F302" s="25" t="s">
        <v>41</v>
      </c>
      <c r="G302" s="25" t="s">
        <v>41</v>
      </c>
      <c r="H302" s="25">
        <v>0</v>
      </c>
      <c r="I302" s="25">
        <v>0</v>
      </c>
      <c r="J302" s="25" t="s">
        <v>41</v>
      </c>
      <c r="K302" s="9" t="e">
        <f t="shared" si="4"/>
        <v>#VALUE!</v>
      </c>
    </row>
    <row r="303" spans="1:11">
      <c r="A303" s="22">
        <v>34243</v>
      </c>
      <c r="B303" s="23">
        <v>22.67</v>
      </c>
      <c r="C303" s="23">
        <v>19.670000000000002</v>
      </c>
      <c r="D303" s="23">
        <v>19.670000000000002</v>
      </c>
      <c r="E303" s="23" t="s">
        <v>41</v>
      </c>
      <c r="F303" s="23" t="s">
        <v>41</v>
      </c>
      <c r="G303" s="23" t="s">
        <v>41</v>
      </c>
      <c r="H303" s="23">
        <v>0</v>
      </c>
      <c r="I303" s="23">
        <v>0</v>
      </c>
      <c r="J303" s="23" t="s">
        <v>41</v>
      </c>
      <c r="K303" s="9" t="e">
        <f t="shared" si="4"/>
        <v>#VALUE!</v>
      </c>
    </row>
    <row r="304" spans="1:11">
      <c r="A304" s="24">
        <v>34213</v>
      </c>
      <c r="B304" s="25">
        <v>23</v>
      </c>
      <c r="C304" s="25">
        <v>19.829999999999998</v>
      </c>
      <c r="D304" s="25">
        <v>21.83</v>
      </c>
      <c r="E304" s="25" t="s">
        <v>41</v>
      </c>
      <c r="F304" s="25" t="s">
        <v>41</v>
      </c>
      <c r="G304" s="25" t="s">
        <v>41</v>
      </c>
      <c r="H304" s="25">
        <v>0</v>
      </c>
      <c r="I304" s="25">
        <v>0</v>
      </c>
      <c r="J304" s="25" t="s">
        <v>41</v>
      </c>
      <c r="K304" s="9" t="e">
        <f t="shared" si="4"/>
        <v>#VALUE!</v>
      </c>
    </row>
    <row r="305" spans="1:11">
      <c r="A305" s="22">
        <v>34182</v>
      </c>
      <c r="B305" s="23">
        <v>21</v>
      </c>
      <c r="C305" s="23">
        <v>17.170000000000002</v>
      </c>
      <c r="D305" s="23">
        <v>20.329999999999998</v>
      </c>
      <c r="E305" s="23" t="s">
        <v>41</v>
      </c>
      <c r="F305" s="23" t="s">
        <v>41</v>
      </c>
      <c r="G305" s="23" t="s">
        <v>41</v>
      </c>
      <c r="H305" s="23">
        <v>0</v>
      </c>
      <c r="I305" s="23">
        <v>0</v>
      </c>
      <c r="J305" s="23" t="s">
        <v>41</v>
      </c>
      <c r="K305" s="9" t="e">
        <f t="shared" si="4"/>
        <v>#VALUE!</v>
      </c>
    </row>
    <row r="306" spans="1:11">
      <c r="A306" s="24">
        <v>34151</v>
      </c>
      <c r="B306" s="25">
        <v>17.420000000000002</v>
      </c>
      <c r="C306" s="25">
        <v>15.83</v>
      </c>
      <c r="D306" s="25">
        <v>17</v>
      </c>
      <c r="E306" s="25" t="s">
        <v>41</v>
      </c>
      <c r="F306" s="25" t="s">
        <v>41</v>
      </c>
      <c r="G306" s="25" t="s">
        <v>41</v>
      </c>
      <c r="H306" s="25">
        <v>0</v>
      </c>
      <c r="I306" s="25">
        <v>0</v>
      </c>
      <c r="J306" s="25" t="s">
        <v>41</v>
      </c>
      <c r="K306" s="9" t="e">
        <f t="shared" si="4"/>
        <v>#VALUE!</v>
      </c>
    </row>
    <row r="307" spans="1:11">
      <c r="A307" s="22">
        <v>34121</v>
      </c>
      <c r="B307" s="23">
        <v>17.170000000000002</v>
      </c>
      <c r="C307" s="23">
        <v>14.33</v>
      </c>
      <c r="D307" s="23">
        <v>16.5</v>
      </c>
      <c r="E307" s="23" t="s">
        <v>41</v>
      </c>
      <c r="F307" s="23" t="s">
        <v>41</v>
      </c>
      <c r="G307" s="23" t="s">
        <v>41</v>
      </c>
      <c r="H307" s="23">
        <v>0</v>
      </c>
      <c r="I307" s="23">
        <v>0</v>
      </c>
      <c r="J307" s="23" t="s">
        <v>41</v>
      </c>
      <c r="K307" s="9" t="e">
        <f t="shared" si="4"/>
        <v>#VALUE!</v>
      </c>
    </row>
    <row r="308" spans="1:11">
      <c r="A308" s="24">
        <v>34090</v>
      </c>
      <c r="B308" s="25">
        <v>16.25</v>
      </c>
      <c r="C308" s="25">
        <v>13.5</v>
      </c>
      <c r="D308" s="25">
        <v>14.5</v>
      </c>
      <c r="E308" s="25" t="s">
        <v>41</v>
      </c>
      <c r="F308" s="25" t="s">
        <v>41</v>
      </c>
      <c r="G308" s="25" t="s">
        <v>41</v>
      </c>
      <c r="H308" s="25">
        <v>0</v>
      </c>
      <c r="I308" s="25">
        <v>0</v>
      </c>
      <c r="J308" s="25" t="s">
        <v>41</v>
      </c>
      <c r="K308" s="9" t="e">
        <f t="shared" si="4"/>
        <v>#VALUE!</v>
      </c>
    </row>
    <row r="309" spans="1:11">
      <c r="A309" s="22">
        <v>34060</v>
      </c>
      <c r="B309" s="23">
        <v>14.33</v>
      </c>
      <c r="C309" s="23">
        <v>12.83</v>
      </c>
      <c r="D309" s="23">
        <v>13.83</v>
      </c>
      <c r="E309" s="23" t="s">
        <v>41</v>
      </c>
      <c r="F309" s="23" t="s">
        <v>41</v>
      </c>
      <c r="G309" s="23" t="s">
        <v>41</v>
      </c>
      <c r="H309" s="23">
        <v>0</v>
      </c>
      <c r="I309" s="23">
        <v>0</v>
      </c>
      <c r="J309" s="23" t="s">
        <v>41</v>
      </c>
      <c r="K309" s="9" t="e">
        <f t="shared" si="4"/>
        <v>#VALUE!</v>
      </c>
    </row>
    <row r="310" spans="1:11">
      <c r="A310" s="24">
        <v>34029</v>
      </c>
      <c r="B310" s="25">
        <v>19</v>
      </c>
      <c r="C310" s="25">
        <v>13</v>
      </c>
      <c r="D310" s="25">
        <v>14</v>
      </c>
      <c r="E310" s="25" t="s">
        <v>41</v>
      </c>
      <c r="F310" s="25" t="s">
        <v>41</v>
      </c>
      <c r="G310" s="25" t="s">
        <v>41</v>
      </c>
      <c r="H310" s="25">
        <v>0</v>
      </c>
      <c r="I310" s="25">
        <v>0</v>
      </c>
      <c r="J310" s="25" t="s">
        <v>41</v>
      </c>
      <c r="K310" s="9" t="e">
        <f t="shared" si="4"/>
        <v>#VALUE!</v>
      </c>
    </row>
    <row r="311" spans="1:11">
      <c r="A311" s="22">
        <v>34001</v>
      </c>
      <c r="B311" s="23">
        <v>18.329999999999998</v>
      </c>
      <c r="C311" s="23">
        <v>15.67</v>
      </c>
      <c r="D311" s="23">
        <v>18.329999999999998</v>
      </c>
      <c r="E311" s="23" t="s">
        <v>41</v>
      </c>
      <c r="F311" s="23" t="s">
        <v>41</v>
      </c>
      <c r="G311" s="23" t="s">
        <v>41</v>
      </c>
      <c r="H311" s="23">
        <v>0</v>
      </c>
      <c r="I311" s="23">
        <v>0</v>
      </c>
      <c r="J311" s="23" t="s">
        <v>41</v>
      </c>
      <c r="K311" s="9" t="e">
        <f t="shared" si="4"/>
        <v>#VALUE!</v>
      </c>
    </row>
    <row r="312" spans="1:11">
      <c r="A312" s="24">
        <v>33970</v>
      </c>
      <c r="B312" s="25">
        <v>17.329999999999998</v>
      </c>
      <c r="C312" s="25">
        <v>14.67</v>
      </c>
      <c r="D312" s="25">
        <v>17.329999999999998</v>
      </c>
      <c r="E312" s="25" t="s">
        <v>41</v>
      </c>
      <c r="F312" s="25" t="s">
        <v>41</v>
      </c>
      <c r="G312" s="25" t="s">
        <v>41</v>
      </c>
      <c r="H312" s="25">
        <v>0</v>
      </c>
      <c r="I312" s="25">
        <v>0</v>
      </c>
      <c r="J312" s="25" t="s">
        <v>41</v>
      </c>
      <c r="K312" s="9" t="e">
        <f t="shared" si="4"/>
        <v>#VALUE!</v>
      </c>
    </row>
    <row r="313" spans="1:11">
      <c r="A313" s="22">
        <v>33939</v>
      </c>
      <c r="B313" s="23">
        <v>16.670000000000002</v>
      </c>
      <c r="C313" s="23">
        <v>13.33</v>
      </c>
      <c r="D313" s="23">
        <v>16</v>
      </c>
      <c r="E313" s="23" t="s">
        <v>41</v>
      </c>
      <c r="F313" s="23" t="s">
        <v>41</v>
      </c>
      <c r="G313" s="23" t="s">
        <v>41</v>
      </c>
      <c r="H313" s="23">
        <v>0</v>
      </c>
      <c r="I313" s="23">
        <v>0</v>
      </c>
      <c r="J313" s="23" t="s">
        <v>41</v>
      </c>
      <c r="K313" s="9" t="e">
        <f t="shared" si="4"/>
        <v>#VALUE!</v>
      </c>
    </row>
    <row r="314" spans="1:11">
      <c r="A314" s="24">
        <v>33909</v>
      </c>
      <c r="B314" s="25">
        <v>18</v>
      </c>
      <c r="C314" s="25">
        <v>12.33</v>
      </c>
      <c r="D314" s="25">
        <v>14</v>
      </c>
      <c r="E314" s="25" t="s">
        <v>41</v>
      </c>
      <c r="F314" s="25" t="s">
        <v>41</v>
      </c>
      <c r="G314" s="25" t="s">
        <v>41</v>
      </c>
      <c r="H314" s="25">
        <v>0</v>
      </c>
      <c r="I314" s="25">
        <v>0</v>
      </c>
      <c r="J314" s="25" t="s">
        <v>41</v>
      </c>
      <c r="K314" s="9" t="e">
        <f t="shared" si="4"/>
        <v>#VALUE!</v>
      </c>
    </row>
    <row r="315" spans="1:11">
      <c r="A315" s="22">
        <v>33878</v>
      </c>
      <c r="B315" s="23">
        <v>20.5</v>
      </c>
      <c r="C315" s="23">
        <v>17.329999999999998</v>
      </c>
      <c r="D315" s="23">
        <v>17.329999999999998</v>
      </c>
      <c r="E315" s="23" t="s">
        <v>41</v>
      </c>
      <c r="F315" s="23" t="s">
        <v>41</v>
      </c>
      <c r="G315" s="23" t="s">
        <v>41</v>
      </c>
      <c r="H315" s="23">
        <v>0</v>
      </c>
      <c r="I315" s="23">
        <v>0</v>
      </c>
      <c r="J315" s="23" t="s">
        <v>41</v>
      </c>
      <c r="K315" s="9" t="e">
        <f t="shared" si="4"/>
        <v>#VALUE!</v>
      </c>
    </row>
    <row r="316" spans="1:11">
      <c r="A316" s="24">
        <v>33848</v>
      </c>
      <c r="B316" s="25">
        <v>24.67</v>
      </c>
      <c r="C316" s="25">
        <v>20</v>
      </c>
      <c r="D316" s="25">
        <v>20.5</v>
      </c>
      <c r="E316" s="25" t="s">
        <v>41</v>
      </c>
      <c r="F316" s="25" t="s">
        <v>41</v>
      </c>
      <c r="G316" s="25" t="s">
        <v>41</v>
      </c>
      <c r="H316" s="25">
        <v>0</v>
      </c>
      <c r="I316" s="25">
        <v>0</v>
      </c>
      <c r="J316" s="25" t="s">
        <v>41</v>
      </c>
      <c r="K316" s="9" t="e">
        <f t="shared" si="4"/>
        <v>#VALUE!</v>
      </c>
    </row>
    <row r="317" spans="1:11">
      <c r="A317" s="22">
        <v>33817</v>
      </c>
      <c r="B317" s="23">
        <v>22.67</v>
      </c>
      <c r="C317" s="23">
        <v>19.329999999999998</v>
      </c>
      <c r="D317" s="23">
        <v>21.67</v>
      </c>
      <c r="E317" s="23" t="s">
        <v>41</v>
      </c>
      <c r="F317" s="23" t="s">
        <v>41</v>
      </c>
      <c r="G317" s="23" t="s">
        <v>41</v>
      </c>
      <c r="H317" s="23">
        <v>0</v>
      </c>
      <c r="I317" s="23">
        <v>0</v>
      </c>
      <c r="J317" s="23" t="s">
        <v>41</v>
      </c>
      <c r="K317" s="9" t="e">
        <f t="shared" si="4"/>
        <v>#VALUE!</v>
      </c>
    </row>
    <row r="318" spans="1:11">
      <c r="A318" s="24">
        <v>33786</v>
      </c>
      <c r="B318" s="25">
        <v>21.67</v>
      </c>
      <c r="C318" s="25">
        <v>18.329999999999998</v>
      </c>
      <c r="D318" s="25">
        <v>20.83</v>
      </c>
      <c r="E318" s="25" t="s">
        <v>41</v>
      </c>
      <c r="F318" s="25" t="s">
        <v>41</v>
      </c>
      <c r="G318" s="25" t="s">
        <v>41</v>
      </c>
      <c r="H318" s="25">
        <v>0</v>
      </c>
      <c r="I318" s="25">
        <v>0</v>
      </c>
      <c r="J318" s="25" t="s">
        <v>41</v>
      </c>
      <c r="K318" s="9" t="e">
        <f t="shared" si="4"/>
        <v>#VALUE!</v>
      </c>
    </row>
    <row r="319" spans="1:11">
      <c r="A319" s="22">
        <v>33756</v>
      </c>
      <c r="B319" s="23">
        <v>23.67</v>
      </c>
      <c r="C319" s="23">
        <v>20</v>
      </c>
      <c r="D319" s="23">
        <v>20.83</v>
      </c>
      <c r="E319" s="23" t="s">
        <v>41</v>
      </c>
      <c r="F319" s="23" t="s">
        <v>41</v>
      </c>
      <c r="G319" s="23" t="s">
        <v>41</v>
      </c>
      <c r="H319" s="23">
        <v>0</v>
      </c>
      <c r="I319" s="23">
        <v>0</v>
      </c>
      <c r="J319" s="23" t="s">
        <v>41</v>
      </c>
      <c r="K319" s="9" t="e">
        <f t="shared" si="4"/>
        <v>#VALUE!</v>
      </c>
    </row>
    <row r="320" spans="1:11">
      <c r="A320" s="24">
        <v>33725</v>
      </c>
      <c r="B320" s="25">
        <v>29.33</v>
      </c>
      <c r="C320" s="25">
        <v>18.329999999999998</v>
      </c>
      <c r="D320" s="25">
        <v>21.67</v>
      </c>
      <c r="E320" s="25" t="s">
        <v>41</v>
      </c>
      <c r="F320" s="25" t="s">
        <v>41</v>
      </c>
      <c r="G320" s="25" t="s">
        <v>41</v>
      </c>
      <c r="H320" s="25">
        <v>0</v>
      </c>
      <c r="I320" s="25">
        <v>0</v>
      </c>
      <c r="J320" s="25" t="s">
        <v>41</v>
      </c>
      <c r="K320" s="9" t="e">
        <f t="shared" si="4"/>
        <v>#VALUE!</v>
      </c>
    </row>
    <row r="321" spans="1:11">
      <c r="A321" s="22">
        <v>33695</v>
      </c>
      <c r="B321" s="23">
        <v>36.67</v>
      </c>
      <c r="C321" s="23">
        <v>28.33</v>
      </c>
      <c r="D321" s="23">
        <v>31.67</v>
      </c>
      <c r="E321" s="23" t="s">
        <v>41</v>
      </c>
      <c r="F321" s="23" t="s">
        <v>41</v>
      </c>
      <c r="G321" s="23" t="s">
        <v>41</v>
      </c>
      <c r="H321" s="23">
        <v>0</v>
      </c>
      <c r="I321" s="23">
        <v>0</v>
      </c>
      <c r="J321" s="23" t="s">
        <v>41</v>
      </c>
      <c r="K321" s="9" t="e">
        <f t="shared" si="4"/>
        <v>#VALUE!</v>
      </c>
    </row>
    <row r="322" spans="1:11">
      <c r="A322" s="24">
        <v>33664</v>
      </c>
      <c r="B322" s="25">
        <v>36.67</v>
      </c>
      <c r="C322" s="25">
        <v>19.329999999999998</v>
      </c>
      <c r="D322" s="25">
        <v>35</v>
      </c>
      <c r="E322" s="25" t="s">
        <v>41</v>
      </c>
      <c r="F322" s="25" t="s">
        <v>41</v>
      </c>
      <c r="G322" s="25" t="s">
        <v>41</v>
      </c>
      <c r="H322" s="25">
        <v>0</v>
      </c>
      <c r="I322" s="25">
        <v>0</v>
      </c>
      <c r="J322" s="25" t="s">
        <v>41</v>
      </c>
      <c r="K322" s="9" t="e">
        <f t="shared" si="4"/>
        <v>#VALUE!</v>
      </c>
    </row>
    <row r="323" spans="1:11">
      <c r="A323" s="22">
        <v>33635</v>
      </c>
      <c r="B323" s="23">
        <v>20</v>
      </c>
      <c r="C323" s="23">
        <v>17</v>
      </c>
      <c r="D323" s="23">
        <v>19.329999999999998</v>
      </c>
      <c r="E323" s="23" t="s">
        <v>41</v>
      </c>
      <c r="F323" s="23" t="s">
        <v>41</v>
      </c>
      <c r="G323" s="23" t="s">
        <v>41</v>
      </c>
      <c r="H323" s="23">
        <v>0</v>
      </c>
      <c r="I323" s="23">
        <v>0</v>
      </c>
      <c r="J323" s="23" t="s">
        <v>41</v>
      </c>
      <c r="K323" s="9" t="e">
        <f t="shared" si="4"/>
        <v>#VALUE!</v>
      </c>
    </row>
    <row r="324" spans="1:11">
      <c r="A324" s="24">
        <v>33604</v>
      </c>
      <c r="B324" s="25">
        <v>20</v>
      </c>
      <c r="C324" s="25">
        <v>15.5</v>
      </c>
      <c r="D324" s="25">
        <v>18.329999999999998</v>
      </c>
      <c r="E324" s="25" t="s">
        <v>41</v>
      </c>
      <c r="F324" s="25" t="s">
        <v>41</v>
      </c>
      <c r="G324" s="25" t="s">
        <v>41</v>
      </c>
      <c r="H324" s="25">
        <v>0</v>
      </c>
      <c r="I324" s="25">
        <v>0</v>
      </c>
      <c r="J324" s="25" t="s">
        <v>41</v>
      </c>
      <c r="K324" s="9" t="e">
        <f t="shared" ref="K324:K336" si="5">J324/10</f>
        <v>#VALUE!</v>
      </c>
    </row>
    <row r="325" spans="1:11">
      <c r="A325" s="22">
        <v>33573</v>
      </c>
      <c r="B325" s="23">
        <v>16.329999999999998</v>
      </c>
      <c r="C325" s="23">
        <v>14.83</v>
      </c>
      <c r="D325" s="23">
        <v>16.170000000000002</v>
      </c>
      <c r="E325" s="23" t="s">
        <v>41</v>
      </c>
      <c r="F325" s="23" t="s">
        <v>41</v>
      </c>
      <c r="G325" s="23" t="s">
        <v>41</v>
      </c>
      <c r="H325" s="23">
        <v>0</v>
      </c>
      <c r="I325" s="23">
        <v>0</v>
      </c>
      <c r="J325" s="23" t="s">
        <v>41</v>
      </c>
      <c r="K325" s="9" t="e">
        <f t="shared" si="5"/>
        <v>#VALUE!</v>
      </c>
    </row>
    <row r="326" spans="1:11">
      <c r="A326" s="24">
        <v>33543</v>
      </c>
      <c r="B326" s="25">
        <v>17</v>
      </c>
      <c r="C326" s="25">
        <v>12.5</v>
      </c>
      <c r="D326" s="25">
        <v>15.83</v>
      </c>
      <c r="E326" s="25" t="s">
        <v>41</v>
      </c>
      <c r="F326" s="25" t="s">
        <v>41</v>
      </c>
      <c r="G326" s="25" t="s">
        <v>41</v>
      </c>
      <c r="H326" s="25">
        <v>0</v>
      </c>
      <c r="I326" s="25">
        <v>0</v>
      </c>
      <c r="J326" s="25" t="s">
        <v>41</v>
      </c>
      <c r="K326" s="9" t="e">
        <f t="shared" si="5"/>
        <v>#VALUE!</v>
      </c>
    </row>
    <row r="327" spans="1:11">
      <c r="A327" s="22">
        <v>33512</v>
      </c>
      <c r="B327" s="23">
        <v>13.42</v>
      </c>
      <c r="C327" s="23">
        <v>11.67</v>
      </c>
      <c r="D327" s="23">
        <v>12.83</v>
      </c>
      <c r="E327" s="23" t="s">
        <v>41</v>
      </c>
      <c r="F327" s="23" t="s">
        <v>41</v>
      </c>
      <c r="G327" s="23" t="s">
        <v>41</v>
      </c>
      <c r="H327" s="23">
        <v>0</v>
      </c>
      <c r="I327" s="23">
        <v>0</v>
      </c>
      <c r="J327" s="23" t="s">
        <v>41</v>
      </c>
      <c r="K327" s="9" t="e">
        <f t="shared" si="5"/>
        <v>#VALUE!</v>
      </c>
    </row>
    <row r="328" spans="1:11">
      <c r="A328" s="24">
        <v>33482</v>
      </c>
      <c r="B328" s="25">
        <v>13.67</v>
      </c>
      <c r="C328" s="25">
        <v>11.67</v>
      </c>
      <c r="D328" s="25">
        <v>13.33</v>
      </c>
      <c r="E328" s="25" t="s">
        <v>41</v>
      </c>
      <c r="F328" s="25" t="s">
        <v>41</v>
      </c>
      <c r="G328" s="25" t="s">
        <v>41</v>
      </c>
      <c r="H328" s="25">
        <v>0</v>
      </c>
      <c r="I328" s="25">
        <v>0</v>
      </c>
      <c r="J328" s="25" t="s">
        <v>41</v>
      </c>
      <c r="K328" s="9" t="e">
        <f t="shared" si="5"/>
        <v>#VALUE!</v>
      </c>
    </row>
    <row r="329" spans="1:11">
      <c r="A329" s="22">
        <v>33451</v>
      </c>
      <c r="B329" s="23">
        <v>13.5</v>
      </c>
      <c r="C329" s="23">
        <v>11.5</v>
      </c>
      <c r="D329" s="23">
        <v>13</v>
      </c>
      <c r="E329" s="23" t="s">
        <v>41</v>
      </c>
      <c r="F329" s="23" t="s">
        <v>41</v>
      </c>
      <c r="G329" s="23" t="s">
        <v>41</v>
      </c>
      <c r="H329" s="23">
        <v>0</v>
      </c>
      <c r="I329" s="23">
        <v>0</v>
      </c>
      <c r="J329" s="23" t="s">
        <v>41</v>
      </c>
      <c r="K329" s="9" t="e">
        <f t="shared" si="5"/>
        <v>#VALUE!</v>
      </c>
    </row>
    <row r="330" spans="1:11">
      <c r="A330" s="24">
        <v>33420</v>
      </c>
      <c r="B330" s="25">
        <v>12</v>
      </c>
      <c r="C330" s="25">
        <v>8.92</v>
      </c>
      <c r="D330" s="25">
        <v>11.67</v>
      </c>
      <c r="E330" s="25" t="s">
        <v>41</v>
      </c>
      <c r="F330" s="25" t="s">
        <v>41</v>
      </c>
      <c r="G330" s="25" t="s">
        <v>41</v>
      </c>
      <c r="H330" s="25">
        <v>0</v>
      </c>
      <c r="I330" s="25">
        <v>0</v>
      </c>
      <c r="J330" s="25" t="s">
        <v>41</v>
      </c>
      <c r="K330" s="9" t="e">
        <f t="shared" si="5"/>
        <v>#VALUE!</v>
      </c>
    </row>
    <row r="331" spans="1:11">
      <c r="A331" s="22">
        <v>33390</v>
      </c>
      <c r="B331" s="23">
        <v>9.58</v>
      </c>
      <c r="C331" s="23">
        <v>8.67</v>
      </c>
      <c r="D331" s="23">
        <v>9.33</v>
      </c>
      <c r="E331" s="23" t="s">
        <v>41</v>
      </c>
      <c r="F331" s="23" t="s">
        <v>41</v>
      </c>
      <c r="G331" s="23" t="s">
        <v>41</v>
      </c>
      <c r="H331" s="23">
        <v>0</v>
      </c>
      <c r="I331" s="23">
        <v>0</v>
      </c>
      <c r="J331" s="23" t="s">
        <v>41</v>
      </c>
      <c r="K331" s="9" t="e">
        <f t="shared" si="5"/>
        <v>#VALUE!</v>
      </c>
    </row>
    <row r="332" spans="1:11">
      <c r="A332" s="24">
        <v>33359</v>
      </c>
      <c r="B332" s="25">
        <v>9.83</v>
      </c>
      <c r="C332" s="25">
        <v>9.27</v>
      </c>
      <c r="D332" s="25">
        <v>9.83</v>
      </c>
      <c r="E332" s="25" t="s">
        <v>41</v>
      </c>
      <c r="F332" s="25" t="s">
        <v>41</v>
      </c>
      <c r="G332" s="25" t="s">
        <v>41</v>
      </c>
      <c r="H332" s="25">
        <v>0</v>
      </c>
      <c r="I332" s="25">
        <v>0</v>
      </c>
      <c r="J332" s="25" t="s">
        <v>41</v>
      </c>
      <c r="K332" s="9" t="e">
        <f t="shared" si="5"/>
        <v>#VALUE!</v>
      </c>
    </row>
    <row r="333" spans="1:11">
      <c r="A333" s="22">
        <v>33329</v>
      </c>
      <c r="B333" s="23">
        <v>9.67</v>
      </c>
      <c r="C333" s="23">
        <v>9</v>
      </c>
      <c r="D333" s="23">
        <v>9.33</v>
      </c>
      <c r="E333" s="23" t="s">
        <v>41</v>
      </c>
      <c r="F333" s="23" t="s">
        <v>41</v>
      </c>
      <c r="G333" s="23" t="s">
        <v>41</v>
      </c>
      <c r="H333" s="23">
        <v>0</v>
      </c>
      <c r="I333" s="23">
        <v>0</v>
      </c>
      <c r="J333" s="23" t="s">
        <v>41</v>
      </c>
      <c r="K333" s="9" t="e">
        <f t="shared" si="5"/>
        <v>#VALUE!</v>
      </c>
    </row>
    <row r="334" spans="1:11">
      <c r="A334" s="24">
        <v>33298</v>
      </c>
      <c r="B334" s="25">
        <v>9.83</v>
      </c>
      <c r="C334" s="25">
        <v>8.33</v>
      </c>
      <c r="D334" s="25">
        <v>9.5</v>
      </c>
      <c r="E334" s="25" t="s">
        <v>41</v>
      </c>
      <c r="F334" s="25" t="s">
        <v>41</v>
      </c>
      <c r="G334" s="25" t="s">
        <v>41</v>
      </c>
      <c r="H334" s="25">
        <v>0</v>
      </c>
      <c r="I334" s="25">
        <v>0</v>
      </c>
      <c r="J334" s="25" t="s">
        <v>41</v>
      </c>
      <c r="K334" s="9" t="e">
        <f t="shared" si="5"/>
        <v>#VALUE!</v>
      </c>
    </row>
    <row r="335" spans="1:11">
      <c r="A335" s="22">
        <v>33270</v>
      </c>
      <c r="B335" s="23">
        <v>9.42</v>
      </c>
      <c r="C335" s="23">
        <v>7.58</v>
      </c>
      <c r="D335" s="23">
        <v>9</v>
      </c>
      <c r="E335" s="23" t="s">
        <v>41</v>
      </c>
      <c r="F335" s="23" t="s">
        <v>41</v>
      </c>
      <c r="G335" s="23" t="s">
        <v>41</v>
      </c>
      <c r="H335" s="23">
        <v>0</v>
      </c>
      <c r="I335" s="23">
        <v>0</v>
      </c>
      <c r="J335" s="23" t="s">
        <v>41</v>
      </c>
      <c r="K335" s="9" t="e">
        <f t="shared" si="5"/>
        <v>#VALUE!</v>
      </c>
    </row>
    <row r="336" spans="1:11">
      <c r="A336" s="24">
        <v>33239</v>
      </c>
      <c r="B336" s="25">
        <v>7.83</v>
      </c>
      <c r="C336" s="25">
        <v>7</v>
      </c>
      <c r="D336" s="25">
        <v>7.83</v>
      </c>
      <c r="E336" s="25" t="s">
        <v>41</v>
      </c>
      <c r="F336" s="25" t="s">
        <v>41</v>
      </c>
      <c r="G336" s="25" t="s">
        <v>41</v>
      </c>
      <c r="H336" s="25">
        <v>0</v>
      </c>
      <c r="I336" s="25">
        <v>0</v>
      </c>
      <c r="J336" s="25" t="s">
        <v>41</v>
      </c>
      <c r="K336" s="9" t="e">
        <f t="shared" si="5"/>
        <v>#VALUE!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workbookViewId="0">
      <pane xSplit="1" ySplit="12" topLeftCell="B350" activePane="bottomRight" state="frozen"/>
      <selection pane="topRight" activeCell="B1" sqref="B1"/>
      <selection pane="bottomLeft" activeCell="A13" sqref="A13"/>
      <selection pane="bottomRight" activeCell="E357" sqref="E357"/>
    </sheetView>
  </sheetViews>
  <sheetFormatPr defaultRowHeight="15"/>
  <cols>
    <col min="1" max="16384" width="9.140625" style="87"/>
  </cols>
  <sheetData>
    <row r="1" spans="1:13">
      <c r="A1" s="87" t="s">
        <v>162</v>
      </c>
      <c r="B1" s="87" t="s">
        <v>163</v>
      </c>
      <c r="C1" s="87" t="s">
        <v>164</v>
      </c>
      <c r="D1" s="87" t="s">
        <v>165</v>
      </c>
      <c r="E1" s="87" t="s">
        <v>166</v>
      </c>
      <c r="F1" s="87" t="s">
        <v>167</v>
      </c>
      <c r="G1" s="87" t="s">
        <v>168</v>
      </c>
      <c r="H1" s="87" t="s">
        <v>169</v>
      </c>
      <c r="I1" s="87" t="s">
        <v>170</v>
      </c>
      <c r="J1" s="87" t="s">
        <v>171</v>
      </c>
      <c r="K1" s="87" t="s">
        <v>172</v>
      </c>
      <c r="L1" s="87" t="s">
        <v>173</v>
      </c>
    </row>
    <row r="2" spans="1:13">
      <c r="A2" s="88">
        <v>33239</v>
      </c>
      <c r="B2" s="87">
        <v>105</v>
      </c>
      <c r="C2" s="87">
        <v>117.5</v>
      </c>
      <c r="D2" s="87">
        <v>105</v>
      </c>
      <c r="E2" s="87">
        <v>117.5</v>
      </c>
      <c r="F2" s="87">
        <v>0</v>
      </c>
      <c r="G2" s="87">
        <v>0</v>
      </c>
      <c r="H2" s="87">
        <v>0</v>
      </c>
      <c r="I2" s="87">
        <v>12.5</v>
      </c>
      <c r="L2" s="87">
        <v>12.5</v>
      </c>
      <c r="M2" s="87" t="s">
        <v>174</v>
      </c>
    </row>
    <row r="3" spans="1:13">
      <c r="A3" s="88">
        <v>33270</v>
      </c>
      <c r="B3" s="87">
        <v>113.75</v>
      </c>
      <c r="C3" s="87">
        <v>141.25</v>
      </c>
      <c r="D3" s="87">
        <v>113.75</v>
      </c>
      <c r="E3" s="87">
        <v>135</v>
      </c>
      <c r="F3" s="87">
        <v>0</v>
      </c>
      <c r="G3" s="87">
        <v>0</v>
      </c>
      <c r="H3" s="87">
        <v>0</v>
      </c>
      <c r="I3" s="87">
        <v>27.5</v>
      </c>
      <c r="L3" s="87">
        <v>21.25</v>
      </c>
      <c r="M3" s="87" t="s">
        <v>174</v>
      </c>
    </row>
    <row r="4" spans="1:13">
      <c r="A4" s="88">
        <v>33298</v>
      </c>
      <c r="B4" s="87">
        <v>135</v>
      </c>
      <c r="C4" s="87">
        <v>147.5</v>
      </c>
      <c r="D4" s="87">
        <v>125</v>
      </c>
      <c r="E4" s="87">
        <v>142.5</v>
      </c>
      <c r="F4" s="87">
        <v>0</v>
      </c>
      <c r="G4" s="87">
        <v>0</v>
      </c>
      <c r="H4" s="87">
        <v>0</v>
      </c>
      <c r="I4" s="87">
        <v>22.5</v>
      </c>
      <c r="L4" s="87">
        <v>7.5</v>
      </c>
      <c r="M4" s="87" t="s">
        <v>174</v>
      </c>
    </row>
    <row r="5" spans="1:13">
      <c r="A5" s="88">
        <v>33329</v>
      </c>
      <c r="B5" s="87">
        <v>141.25</v>
      </c>
      <c r="C5" s="87">
        <v>145</v>
      </c>
      <c r="D5" s="87">
        <v>135</v>
      </c>
      <c r="E5" s="87">
        <v>140</v>
      </c>
      <c r="F5" s="87">
        <v>0</v>
      </c>
      <c r="G5" s="87">
        <v>0</v>
      </c>
      <c r="H5" s="87">
        <v>0</v>
      </c>
      <c r="I5" s="87">
        <v>10</v>
      </c>
      <c r="L5" s="87">
        <v>-1.25</v>
      </c>
      <c r="M5" s="87" t="s">
        <v>174</v>
      </c>
    </row>
    <row r="6" spans="1:13">
      <c r="A6" s="88">
        <v>33359</v>
      </c>
      <c r="B6" s="87">
        <v>140</v>
      </c>
      <c r="C6" s="87">
        <v>147.5</v>
      </c>
      <c r="D6" s="87">
        <v>139</v>
      </c>
      <c r="E6" s="87">
        <v>147.5</v>
      </c>
      <c r="F6" s="87">
        <v>0</v>
      </c>
      <c r="G6" s="87">
        <v>0</v>
      </c>
      <c r="H6" s="87">
        <v>0</v>
      </c>
      <c r="I6" s="87">
        <v>8.5</v>
      </c>
      <c r="L6" s="87">
        <v>7.5</v>
      </c>
      <c r="M6" s="87" t="s">
        <v>174</v>
      </c>
    </row>
    <row r="7" spans="1:13">
      <c r="A7" s="88">
        <v>33390</v>
      </c>
      <c r="B7" s="87">
        <v>141.25</v>
      </c>
      <c r="C7" s="87">
        <v>143.75</v>
      </c>
      <c r="D7" s="87">
        <v>130</v>
      </c>
      <c r="E7" s="87">
        <v>140</v>
      </c>
      <c r="F7" s="87">
        <v>0</v>
      </c>
      <c r="G7" s="87">
        <v>0</v>
      </c>
      <c r="H7" s="87">
        <v>0</v>
      </c>
      <c r="I7" s="87">
        <v>13.75</v>
      </c>
      <c r="L7" s="87">
        <v>-1.25</v>
      </c>
      <c r="M7" s="87" t="s">
        <v>174</v>
      </c>
    </row>
    <row r="8" spans="1:13">
      <c r="A8" s="88">
        <v>33420</v>
      </c>
      <c r="B8" s="87">
        <v>135</v>
      </c>
      <c r="C8" s="87">
        <v>180</v>
      </c>
      <c r="D8" s="87">
        <v>133.75</v>
      </c>
      <c r="E8" s="87">
        <v>175</v>
      </c>
      <c r="F8" s="87">
        <v>0</v>
      </c>
      <c r="G8" s="87">
        <v>0</v>
      </c>
      <c r="H8" s="87">
        <v>0</v>
      </c>
      <c r="I8" s="87">
        <v>46.25</v>
      </c>
      <c r="L8" s="87">
        <v>40</v>
      </c>
      <c r="M8" s="87" t="s">
        <v>174</v>
      </c>
    </row>
    <row r="9" spans="1:13">
      <c r="A9" s="88">
        <v>33451</v>
      </c>
      <c r="B9" s="87">
        <v>172.5</v>
      </c>
      <c r="C9" s="87">
        <v>202.5</v>
      </c>
      <c r="D9" s="87">
        <v>172.5</v>
      </c>
      <c r="E9" s="87">
        <v>195</v>
      </c>
      <c r="F9" s="87">
        <v>0</v>
      </c>
      <c r="G9" s="87">
        <v>0</v>
      </c>
      <c r="H9" s="87">
        <v>0</v>
      </c>
      <c r="I9" s="87">
        <v>30</v>
      </c>
      <c r="L9" s="87">
        <v>22.5</v>
      </c>
      <c r="M9" s="87" t="s">
        <v>174</v>
      </c>
    </row>
    <row r="10" spans="1:13">
      <c r="A10" s="88">
        <v>33482</v>
      </c>
      <c r="B10" s="87">
        <v>190</v>
      </c>
      <c r="C10" s="87">
        <v>205</v>
      </c>
      <c r="D10" s="87">
        <v>175</v>
      </c>
      <c r="E10" s="87">
        <v>200</v>
      </c>
      <c r="F10" s="87">
        <v>0</v>
      </c>
      <c r="G10" s="87">
        <v>0</v>
      </c>
      <c r="H10" s="87">
        <v>0</v>
      </c>
      <c r="I10" s="87">
        <v>30</v>
      </c>
      <c r="L10" s="87">
        <v>10</v>
      </c>
      <c r="M10" s="87" t="s">
        <v>174</v>
      </c>
    </row>
    <row r="11" spans="1:13">
      <c r="A11" s="88">
        <v>33512</v>
      </c>
      <c r="B11" s="87">
        <v>197.5</v>
      </c>
      <c r="C11" s="87">
        <v>201.25</v>
      </c>
      <c r="D11" s="87">
        <v>175</v>
      </c>
      <c r="E11" s="87">
        <v>192.5</v>
      </c>
      <c r="F11" s="87">
        <v>0</v>
      </c>
      <c r="G11" s="87">
        <v>0</v>
      </c>
      <c r="H11" s="87">
        <v>0</v>
      </c>
      <c r="I11" s="87">
        <v>26.25</v>
      </c>
      <c r="L11" s="87">
        <v>-5</v>
      </c>
      <c r="M11" s="87" t="s">
        <v>174</v>
      </c>
    </row>
    <row r="12" spans="1:13">
      <c r="A12" s="88">
        <v>33543</v>
      </c>
      <c r="B12" s="87">
        <v>195</v>
      </c>
      <c r="C12" s="87">
        <v>255</v>
      </c>
      <c r="D12" s="87">
        <v>187.5</v>
      </c>
      <c r="E12" s="87">
        <v>237.5</v>
      </c>
      <c r="F12" s="87">
        <v>0</v>
      </c>
      <c r="G12" s="87">
        <v>0</v>
      </c>
      <c r="H12" s="87">
        <v>0</v>
      </c>
      <c r="I12" s="87">
        <v>67.5</v>
      </c>
      <c r="L12" s="87">
        <v>42.5</v>
      </c>
      <c r="M12" s="87" t="s">
        <v>174</v>
      </c>
    </row>
    <row r="13" spans="1:13">
      <c r="A13" s="88">
        <v>33573</v>
      </c>
      <c r="B13" s="87">
        <v>240</v>
      </c>
      <c r="C13" s="87">
        <v>245</v>
      </c>
      <c r="D13" s="87">
        <v>222.5</v>
      </c>
      <c r="E13" s="87">
        <v>242.5</v>
      </c>
      <c r="F13" s="87">
        <v>0</v>
      </c>
      <c r="G13" s="87">
        <v>0</v>
      </c>
      <c r="H13" s="87">
        <v>0</v>
      </c>
      <c r="I13" s="87">
        <v>22.5</v>
      </c>
      <c r="L13" s="87">
        <v>2.5</v>
      </c>
      <c r="M13" s="87" t="s">
        <v>174</v>
      </c>
    </row>
    <row r="14" spans="1:13">
      <c r="A14" s="88">
        <v>33604</v>
      </c>
      <c r="B14" s="87">
        <v>235</v>
      </c>
      <c r="C14" s="87">
        <v>300</v>
      </c>
      <c r="D14" s="87">
        <v>232.5</v>
      </c>
      <c r="E14" s="87">
        <v>275</v>
      </c>
      <c r="F14" s="87">
        <v>0</v>
      </c>
      <c r="G14" s="87">
        <v>0</v>
      </c>
      <c r="H14" s="87">
        <v>0</v>
      </c>
      <c r="I14" s="87">
        <v>67.5</v>
      </c>
      <c r="L14" s="87">
        <v>40</v>
      </c>
      <c r="M14" s="87" t="s">
        <v>174</v>
      </c>
    </row>
    <row r="15" spans="1:13">
      <c r="A15" s="88">
        <v>33635</v>
      </c>
      <c r="B15" s="87">
        <v>270</v>
      </c>
      <c r="C15" s="87">
        <v>300</v>
      </c>
      <c r="D15" s="87">
        <v>255</v>
      </c>
      <c r="E15" s="87">
        <v>290</v>
      </c>
      <c r="F15" s="87">
        <v>0</v>
      </c>
      <c r="G15" s="87">
        <v>0</v>
      </c>
      <c r="H15" s="87">
        <v>0</v>
      </c>
      <c r="I15" s="87">
        <v>45</v>
      </c>
      <c r="L15" s="87">
        <v>20</v>
      </c>
      <c r="M15" s="87" t="s">
        <v>174</v>
      </c>
    </row>
    <row r="16" spans="1:13">
      <c r="A16" s="88">
        <v>33664</v>
      </c>
      <c r="B16" s="87">
        <v>305</v>
      </c>
      <c r="C16" s="87">
        <v>550</v>
      </c>
      <c r="D16" s="87">
        <v>290</v>
      </c>
      <c r="E16" s="87">
        <v>525</v>
      </c>
      <c r="F16" s="87">
        <v>0</v>
      </c>
      <c r="G16" s="87">
        <v>0</v>
      </c>
      <c r="H16" s="87">
        <v>0</v>
      </c>
      <c r="I16" s="87">
        <v>260</v>
      </c>
      <c r="L16" s="87">
        <v>220</v>
      </c>
      <c r="M16" s="87" t="s">
        <v>174</v>
      </c>
    </row>
    <row r="17" spans="1:13">
      <c r="A17" s="88">
        <v>33695</v>
      </c>
      <c r="B17" s="87">
        <v>500</v>
      </c>
      <c r="C17" s="87">
        <v>550</v>
      </c>
      <c r="D17" s="87">
        <v>425</v>
      </c>
      <c r="E17" s="87">
        <v>475</v>
      </c>
      <c r="F17" s="87">
        <v>0</v>
      </c>
      <c r="G17" s="87">
        <v>0</v>
      </c>
      <c r="H17" s="87">
        <v>0</v>
      </c>
      <c r="I17" s="87">
        <v>125</v>
      </c>
      <c r="L17" s="87">
        <v>-25</v>
      </c>
      <c r="M17" s="87" t="s">
        <v>174</v>
      </c>
    </row>
    <row r="18" spans="1:13">
      <c r="A18" s="88">
        <v>33725</v>
      </c>
      <c r="B18" s="87">
        <v>425</v>
      </c>
      <c r="C18" s="87">
        <v>440</v>
      </c>
      <c r="D18" s="87">
        <v>275</v>
      </c>
      <c r="E18" s="87">
        <v>325</v>
      </c>
      <c r="F18" s="87">
        <v>0</v>
      </c>
      <c r="G18" s="87">
        <v>0</v>
      </c>
      <c r="H18" s="87">
        <v>0</v>
      </c>
      <c r="I18" s="87">
        <v>165</v>
      </c>
      <c r="L18" s="87">
        <v>-100</v>
      </c>
      <c r="M18" s="87" t="s">
        <v>174</v>
      </c>
    </row>
    <row r="19" spans="1:13">
      <c r="A19" s="88">
        <v>33756</v>
      </c>
      <c r="B19" s="87">
        <v>300</v>
      </c>
      <c r="C19" s="87">
        <v>355</v>
      </c>
      <c r="D19" s="87">
        <v>300</v>
      </c>
      <c r="E19" s="87">
        <v>312.5</v>
      </c>
      <c r="F19" s="87">
        <v>0</v>
      </c>
      <c r="G19" s="87">
        <v>0</v>
      </c>
      <c r="H19" s="87">
        <v>0</v>
      </c>
      <c r="I19" s="87">
        <v>55</v>
      </c>
      <c r="L19" s="87">
        <v>12.5</v>
      </c>
      <c r="M19" s="87" t="s">
        <v>174</v>
      </c>
    </row>
    <row r="20" spans="1:13">
      <c r="A20" s="88">
        <v>33786</v>
      </c>
      <c r="B20" s="87">
        <v>305</v>
      </c>
      <c r="C20" s="87">
        <v>325</v>
      </c>
      <c r="D20" s="87">
        <v>275</v>
      </c>
      <c r="E20" s="87">
        <v>312.5</v>
      </c>
      <c r="F20" s="87">
        <v>0</v>
      </c>
      <c r="G20" s="87">
        <v>0</v>
      </c>
      <c r="H20" s="87">
        <v>0</v>
      </c>
      <c r="I20" s="87">
        <v>50</v>
      </c>
      <c r="L20" s="87">
        <v>7.5</v>
      </c>
      <c r="M20" s="87" t="s">
        <v>174</v>
      </c>
    </row>
    <row r="21" spans="1:13">
      <c r="A21" s="88">
        <v>33817</v>
      </c>
      <c r="B21" s="87">
        <v>305</v>
      </c>
      <c r="C21" s="87">
        <v>340</v>
      </c>
      <c r="D21" s="87">
        <v>290</v>
      </c>
      <c r="E21" s="87">
        <v>325</v>
      </c>
      <c r="F21" s="87">
        <v>0</v>
      </c>
      <c r="G21" s="87">
        <v>0</v>
      </c>
      <c r="H21" s="87">
        <v>0</v>
      </c>
      <c r="I21" s="87">
        <v>50</v>
      </c>
      <c r="L21" s="87">
        <v>20</v>
      </c>
      <c r="M21" s="87" t="s">
        <v>174</v>
      </c>
    </row>
    <row r="22" spans="1:13">
      <c r="A22" s="88">
        <v>33848</v>
      </c>
      <c r="B22" s="87">
        <v>327.5</v>
      </c>
      <c r="C22" s="87">
        <v>370</v>
      </c>
      <c r="D22" s="87">
        <v>300</v>
      </c>
      <c r="E22" s="87">
        <v>307.5</v>
      </c>
      <c r="F22" s="87">
        <v>0</v>
      </c>
      <c r="G22" s="87">
        <v>0</v>
      </c>
      <c r="H22" s="87">
        <v>0</v>
      </c>
      <c r="I22" s="87">
        <v>70</v>
      </c>
      <c r="L22" s="87">
        <v>-20</v>
      </c>
      <c r="M22" s="87" t="s">
        <v>174</v>
      </c>
    </row>
    <row r="23" spans="1:13">
      <c r="A23" s="88">
        <v>33878</v>
      </c>
      <c r="B23" s="87">
        <v>295</v>
      </c>
      <c r="C23" s="87">
        <v>307.5</v>
      </c>
      <c r="D23" s="87">
        <v>260</v>
      </c>
      <c r="E23" s="87">
        <v>260</v>
      </c>
      <c r="F23" s="87">
        <v>0</v>
      </c>
      <c r="G23" s="87">
        <v>0</v>
      </c>
      <c r="H23" s="87">
        <v>0</v>
      </c>
      <c r="I23" s="87">
        <v>47.5</v>
      </c>
      <c r="L23" s="87">
        <v>-35</v>
      </c>
      <c r="M23" s="87" t="s">
        <v>174</v>
      </c>
    </row>
    <row r="24" spans="1:13">
      <c r="A24" s="88">
        <v>33909</v>
      </c>
      <c r="B24" s="87">
        <v>266</v>
      </c>
      <c r="C24" s="87">
        <v>270</v>
      </c>
      <c r="D24" s="87">
        <v>185</v>
      </c>
      <c r="E24" s="87">
        <v>210</v>
      </c>
      <c r="F24" s="87">
        <v>0</v>
      </c>
      <c r="G24" s="87">
        <v>0</v>
      </c>
      <c r="H24" s="87">
        <v>0</v>
      </c>
      <c r="I24" s="87">
        <v>85</v>
      </c>
      <c r="L24" s="87">
        <v>-56</v>
      </c>
      <c r="M24" s="87" t="s">
        <v>174</v>
      </c>
    </row>
    <row r="25" spans="1:13">
      <c r="A25" s="88">
        <v>33939</v>
      </c>
      <c r="B25" s="87">
        <v>210</v>
      </c>
      <c r="C25" s="87">
        <v>250</v>
      </c>
      <c r="D25" s="87">
        <v>200</v>
      </c>
      <c r="E25" s="87">
        <v>240</v>
      </c>
      <c r="F25" s="87">
        <v>0</v>
      </c>
      <c r="G25" s="87">
        <v>0</v>
      </c>
      <c r="H25" s="87">
        <v>0</v>
      </c>
      <c r="I25" s="87">
        <v>50</v>
      </c>
      <c r="L25" s="87">
        <v>30</v>
      </c>
      <c r="M25" s="87" t="s">
        <v>174</v>
      </c>
    </row>
    <row r="26" spans="1:13">
      <c r="A26" s="88">
        <v>33970</v>
      </c>
      <c r="B26" s="87">
        <v>245</v>
      </c>
      <c r="C26" s="87">
        <v>260</v>
      </c>
      <c r="D26" s="87">
        <v>220</v>
      </c>
      <c r="E26" s="87">
        <v>260</v>
      </c>
      <c r="F26" s="87">
        <v>0</v>
      </c>
      <c r="G26" s="87">
        <v>0</v>
      </c>
      <c r="H26" s="87">
        <v>0</v>
      </c>
      <c r="I26" s="87">
        <v>40</v>
      </c>
      <c r="L26" s="87">
        <v>15</v>
      </c>
      <c r="M26" s="87" t="s">
        <v>174</v>
      </c>
    </row>
    <row r="27" spans="1:13">
      <c r="A27" s="88">
        <v>34001</v>
      </c>
      <c r="B27" s="87">
        <v>255</v>
      </c>
      <c r="C27" s="87">
        <v>275</v>
      </c>
      <c r="D27" s="87">
        <v>235</v>
      </c>
      <c r="E27" s="87">
        <v>275</v>
      </c>
      <c r="F27" s="87">
        <v>0</v>
      </c>
      <c r="G27" s="87">
        <v>0</v>
      </c>
      <c r="H27" s="87">
        <v>0</v>
      </c>
      <c r="I27" s="87">
        <v>40</v>
      </c>
      <c r="L27" s="87">
        <v>20</v>
      </c>
      <c r="M27" s="87" t="s">
        <v>174</v>
      </c>
    </row>
    <row r="28" spans="1:13">
      <c r="A28" s="88">
        <v>34029</v>
      </c>
      <c r="B28" s="87">
        <v>285</v>
      </c>
      <c r="C28" s="87">
        <v>285</v>
      </c>
      <c r="D28" s="87">
        <v>195</v>
      </c>
      <c r="E28" s="87">
        <v>210</v>
      </c>
      <c r="F28" s="87">
        <v>0</v>
      </c>
      <c r="G28" s="87">
        <v>0</v>
      </c>
      <c r="H28" s="87">
        <v>0</v>
      </c>
      <c r="I28" s="87">
        <v>90</v>
      </c>
      <c r="L28" s="87">
        <v>-75</v>
      </c>
      <c r="M28" s="87" t="s">
        <v>174</v>
      </c>
    </row>
    <row r="29" spans="1:13">
      <c r="A29" s="88">
        <v>34060</v>
      </c>
      <c r="B29" s="87">
        <v>207.5</v>
      </c>
      <c r="C29" s="87">
        <v>215</v>
      </c>
      <c r="D29" s="87">
        <v>192.5</v>
      </c>
      <c r="E29" s="87">
        <v>207.5</v>
      </c>
      <c r="F29" s="87">
        <v>0</v>
      </c>
      <c r="G29" s="87">
        <v>0</v>
      </c>
      <c r="H29" s="87">
        <v>0</v>
      </c>
      <c r="I29" s="87">
        <v>22.5</v>
      </c>
      <c r="L29" s="87">
        <v>0</v>
      </c>
      <c r="M29" s="87" t="s">
        <v>174</v>
      </c>
    </row>
    <row r="30" spans="1:13">
      <c r="A30" s="88">
        <v>34090</v>
      </c>
      <c r="B30" s="87">
        <v>205</v>
      </c>
      <c r="C30" s="87">
        <v>243.75</v>
      </c>
      <c r="D30" s="87">
        <v>202.5</v>
      </c>
      <c r="E30" s="87">
        <v>217.5</v>
      </c>
      <c r="F30" s="87">
        <v>0</v>
      </c>
      <c r="G30" s="87">
        <v>0</v>
      </c>
      <c r="H30" s="87">
        <v>0</v>
      </c>
      <c r="I30" s="87">
        <v>41.25</v>
      </c>
      <c r="L30" s="87">
        <v>12.5</v>
      </c>
      <c r="M30" s="87" t="s">
        <v>174</v>
      </c>
    </row>
    <row r="31" spans="1:13">
      <c r="A31" s="88">
        <v>34121</v>
      </c>
      <c r="B31" s="87">
        <v>215</v>
      </c>
      <c r="C31" s="87">
        <v>257.5</v>
      </c>
      <c r="D31" s="87">
        <v>215</v>
      </c>
      <c r="E31" s="87">
        <v>247.5</v>
      </c>
      <c r="F31" s="87">
        <v>0</v>
      </c>
      <c r="G31" s="87">
        <v>0</v>
      </c>
      <c r="H31" s="87">
        <v>0</v>
      </c>
      <c r="I31" s="87">
        <v>42.5</v>
      </c>
      <c r="L31" s="87">
        <v>32.5</v>
      </c>
      <c r="M31" s="87" t="s">
        <v>174</v>
      </c>
    </row>
    <row r="32" spans="1:13">
      <c r="A32" s="88">
        <v>34151</v>
      </c>
      <c r="B32" s="87">
        <v>247.5</v>
      </c>
      <c r="C32" s="87">
        <v>261.25</v>
      </c>
      <c r="D32" s="87">
        <v>237.5</v>
      </c>
      <c r="E32" s="87">
        <v>255</v>
      </c>
      <c r="F32" s="87">
        <v>0</v>
      </c>
      <c r="G32" s="87">
        <v>0</v>
      </c>
      <c r="H32" s="87">
        <v>0</v>
      </c>
      <c r="I32" s="87">
        <v>23.75</v>
      </c>
      <c r="L32" s="87">
        <v>7.5</v>
      </c>
      <c r="M32" s="87" t="s">
        <v>174</v>
      </c>
    </row>
    <row r="33" spans="1:13">
      <c r="A33" s="88">
        <v>34182</v>
      </c>
      <c r="B33" s="87">
        <v>257.5</v>
      </c>
      <c r="C33" s="87">
        <v>315</v>
      </c>
      <c r="D33" s="87">
        <v>257.5</v>
      </c>
      <c r="E33" s="87">
        <v>305</v>
      </c>
      <c r="F33" s="87">
        <v>0</v>
      </c>
      <c r="G33" s="87">
        <v>0</v>
      </c>
      <c r="H33" s="87">
        <v>0</v>
      </c>
      <c r="I33" s="87">
        <v>57.5</v>
      </c>
      <c r="L33" s="87">
        <v>47.5</v>
      </c>
      <c r="M33" s="87" t="s">
        <v>174</v>
      </c>
    </row>
    <row r="34" spans="1:13">
      <c r="A34" s="88">
        <v>34213</v>
      </c>
      <c r="B34" s="87">
        <v>297.5</v>
      </c>
      <c r="C34" s="87">
        <v>345</v>
      </c>
      <c r="D34" s="87">
        <v>297.5</v>
      </c>
      <c r="E34" s="87">
        <v>327.5</v>
      </c>
      <c r="F34" s="87">
        <v>0</v>
      </c>
      <c r="G34" s="87">
        <v>0</v>
      </c>
      <c r="H34" s="87">
        <v>0</v>
      </c>
      <c r="I34" s="87">
        <v>47.5</v>
      </c>
      <c r="L34" s="87">
        <v>30</v>
      </c>
      <c r="M34" s="87" t="s">
        <v>174</v>
      </c>
    </row>
    <row r="35" spans="1:13">
      <c r="A35" s="88">
        <v>34243</v>
      </c>
      <c r="B35" s="87">
        <v>325</v>
      </c>
      <c r="C35" s="87">
        <v>340</v>
      </c>
      <c r="D35" s="87">
        <v>295</v>
      </c>
      <c r="E35" s="87">
        <v>295</v>
      </c>
      <c r="F35" s="87">
        <v>0</v>
      </c>
      <c r="G35" s="87">
        <v>0</v>
      </c>
      <c r="H35" s="87">
        <v>0</v>
      </c>
      <c r="I35" s="87">
        <v>45</v>
      </c>
      <c r="L35" s="87">
        <v>-30</v>
      </c>
      <c r="M35" s="87" t="s">
        <v>174</v>
      </c>
    </row>
    <row r="36" spans="1:13">
      <c r="A36" s="88">
        <v>34274</v>
      </c>
      <c r="B36" s="87">
        <v>295</v>
      </c>
      <c r="C36" s="87">
        <v>340</v>
      </c>
      <c r="D36" s="87">
        <v>285</v>
      </c>
      <c r="E36" s="87">
        <v>330</v>
      </c>
      <c r="F36" s="87">
        <v>0</v>
      </c>
      <c r="G36" s="87">
        <v>0</v>
      </c>
      <c r="H36" s="87">
        <v>0</v>
      </c>
      <c r="I36" s="87">
        <v>55</v>
      </c>
      <c r="L36" s="87">
        <v>35</v>
      </c>
      <c r="M36" s="87" t="s">
        <v>174</v>
      </c>
    </row>
    <row r="37" spans="1:13">
      <c r="A37" s="88">
        <v>34304</v>
      </c>
      <c r="B37" s="87">
        <v>327.5</v>
      </c>
      <c r="C37" s="87">
        <v>385</v>
      </c>
      <c r="D37" s="87">
        <v>327.5</v>
      </c>
      <c r="E37" s="87">
        <v>360</v>
      </c>
      <c r="F37" s="87">
        <v>0</v>
      </c>
      <c r="G37" s="87">
        <v>0</v>
      </c>
      <c r="H37" s="87">
        <v>0</v>
      </c>
      <c r="I37" s="87">
        <v>57.5</v>
      </c>
      <c r="L37" s="87">
        <v>32.5</v>
      </c>
      <c r="M37" s="87" t="s">
        <v>174</v>
      </c>
    </row>
    <row r="38" spans="1:13">
      <c r="A38" s="88">
        <v>34335</v>
      </c>
      <c r="B38" s="87">
        <v>360</v>
      </c>
      <c r="C38" s="87">
        <v>380</v>
      </c>
      <c r="D38" s="87">
        <v>330</v>
      </c>
      <c r="E38" s="87">
        <v>350</v>
      </c>
      <c r="F38" s="87">
        <v>0</v>
      </c>
      <c r="G38" s="87">
        <v>0</v>
      </c>
      <c r="H38" s="87">
        <v>0</v>
      </c>
      <c r="I38" s="87">
        <v>50</v>
      </c>
      <c r="L38" s="87">
        <v>-10</v>
      </c>
      <c r="M38" s="87" t="s">
        <v>174</v>
      </c>
    </row>
    <row r="39" spans="1:13">
      <c r="A39" s="88">
        <v>34366</v>
      </c>
      <c r="B39" s="87">
        <v>355</v>
      </c>
      <c r="C39" s="87">
        <v>465</v>
      </c>
      <c r="D39" s="87">
        <v>350</v>
      </c>
      <c r="E39" s="87">
        <v>415</v>
      </c>
      <c r="F39" s="87">
        <v>0</v>
      </c>
      <c r="G39" s="87">
        <v>0</v>
      </c>
      <c r="H39" s="87">
        <v>0</v>
      </c>
      <c r="I39" s="87">
        <v>115</v>
      </c>
      <c r="L39" s="87">
        <v>60</v>
      </c>
      <c r="M39" s="87" t="s">
        <v>174</v>
      </c>
    </row>
    <row r="40" spans="1:13">
      <c r="A40" s="88">
        <v>34394</v>
      </c>
      <c r="B40" s="87">
        <v>415</v>
      </c>
      <c r="C40" s="87">
        <v>425</v>
      </c>
      <c r="D40" s="87">
        <v>360</v>
      </c>
      <c r="E40" s="87">
        <v>400</v>
      </c>
      <c r="F40" s="87">
        <v>0</v>
      </c>
      <c r="G40" s="87">
        <v>0</v>
      </c>
      <c r="H40" s="87">
        <v>0</v>
      </c>
      <c r="I40" s="87">
        <v>65</v>
      </c>
      <c r="L40" s="87">
        <v>-15</v>
      </c>
      <c r="M40" s="87" t="s">
        <v>174</v>
      </c>
    </row>
    <row r="41" spans="1:13">
      <c r="A41" s="88">
        <v>34425</v>
      </c>
      <c r="B41" s="87">
        <v>395</v>
      </c>
      <c r="C41" s="87">
        <v>405</v>
      </c>
      <c r="D41" s="87">
        <v>390</v>
      </c>
      <c r="E41" s="87">
        <v>400</v>
      </c>
      <c r="F41" s="87">
        <v>0</v>
      </c>
      <c r="G41" s="87">
        <v>0</v>
      </c>
      <c r="H41" s="87">
        <v>0</v>
      </c>
      <c r="I41" s="87">
        <v>15</v>
      </c>
      <c r="L41" s="87">
        <v>5</v>
      </c>
      <c r="M41" s="87" t="s">
        <v>174</v>
      </c>
    </row>
    <row r="42" spans="1:13">
      <c r="A42" s="88">
        <v>34455</v>
      </c>
      <c r="B42" s="87">
        <v>396.25</v>
      </c>
      <c r="C42" s="87">
        <v>400</v>
      </c>
      <c r="D42" s="87">
        <v>310</v>
      </c>
      <c r="E42" s="87">
        <v>330</v>
      </c>
      <c r="F42" s="87">
        <v>0</v>
      </c>
      <c r="G42" s="87">
        <v>0</v>
      </c>
      <c r="H42" s="87">
        <v>0</v>
      </c>
      <c r="I42" s="87">
        <v>90</v>
      </c>
      <c r="L42" s="87">
        <v>-66.25</v>
      </c>
      <c r="M42" s="87" t="s">
        <v>174</v>
      </c>
    </row>
    <row r="43" spans="1:13">
      <c r="A43" s="88">
        <v>34486</v>
      </c>
      <c r="B43" s="87">
        <v>332.5</v>
      </c>
      <c r="C43" s="87">
        <v>390</v>
      </c>
      <c r="D43" s="87">
        <v>325</v>
      </c>
      <c r="E43" s="87">
        <v>337.5</v>
      </c>
      <c r="F43" s="87">
        <v>0</v>
      </c>
      <c r="G43" s="87">
        <v>0</v>
      </c>
      <c r="H43" s="87">
        <v>0</v>
      </c>
      <c r="I43" s="87">
        <v>65</v>
      </c>
      <c r="L43" s="87">
        <v>5</v>
      </c>
      <c r="M43" s="87" t="s">
        <v>174</v>
      </c>
    </row>
    <row r="44" spans="1:13">
      <c r="A44" s="88">
        <v>34516</v>
      </c>
      <c r="B44" s="87">
        <v>335</v>
      </c>
      <c r="C44" s="87">
        <v>345</v>
      </c>
      <c r="D44" s="87">
        <v>325</v>
      </c>
      <c r="E44" s="87">
        <v>332.5</v>
      </c>
      <c r="F44" s="87">
        <v>0</v>
      </c>
      <c r="G44" s="87">
        <v>0</v>
      </c>
      <c r="H44" s="87">
        <v>0</v>
      </c>
      <c r="I44" s="87">
        <v>20</v>
      </c>
      <c r="L44" s="87">
        <v>-2.5</v>
      </c>
      <c r="M44" s="87" t="s">
        <v>174</v>
      </c>
    </row>
    <row r="45" spans="1:13">
      <c r="A45" s="88">
        <v>34547</v>
      </c>
      <c r="B45" s="87">
        <v>332.5</v>
      </c>
      <c r="C45" s="87">
        <v>365</v>
      </c>
      <c r="D45" s="87">
        <v>332.5</v>
      </c>
      <c r="E45" s="87">
        <v>355</v>
      </c>
      <c r="F45" s="87">
        <v>0</v>
      </c>
      <c r="G45" s="87">
        <v>0</v>
      </c>
      <c r="H45" s="87">
        <v>0</v>
      </c>
      <c r="I45" s="87">
        <v>32.5</v>
      </c>
      <c r="L45" s="87">
        <v>22.5</v>
      </c>
      <c r="M45" s="87" t="s">
        <v>174</v>
      </c>
    </row>
    <row r="46" spans="1:13">
      <c r="A46" s="88">
        <v>34578</v>
      </c>
      <c r="B46" s="87">
        <v>350</v>
      </c>
      <c r="C46" s="87">
        <v>355</v>
      </c>
      <c r="D46" s="87">
        <v>337.5</v>
      </c>
      <c r="E46" s="87">
        <v>348.5</v>
      </c>
      <c r="F46" s="87">
        <v>0</v>
      </c>
      <c r="G46" s="87">
        <v>0</v>
      </c>
      <c r="H46" s="87">
        <v>0</v>
      </c>
      <c r="I46" s="87">
        <v>17.5</v>
      </c>
      <c r="L46" s="87">
        <v>-1.5</v>
      </c>
      <c r="M46" s="87" t="s">
        <v>174</v>
      </c>
    </row>
    <row r="47" spans="1:13">
      <c r="A47" s="88">
        <v>34608</v>
      </c>
      <c r="B47" s="87">
        <v>345</v>
      </c>
      <c r="C47" s="87">
        <v>355</v>
      </c>
      <c r="D47" s="87">
        <v>325</v>
      </c>
      <c r="E47" s="87">
        <v>330</v>
      </c>
      <c r="F47" s="87">
        <v>0</v>
      </c>
      <c r="G47" s="87">
        <v>0</v>
      </c>
      <c r="H47" s="87">
        <v>0</v>
      </c>
      <c r="I47" s="87">
        <v>30</v>
      </c>
      <c r="L47" s="87">
        <v>-15</v>
      </c>
      <c r="M47" s="87" t="s">
        <v>174</v>
      </c>
    </row>
    <row r="48" spans="1:13">
      <c r="A48" s="88">
        <v>34639</v>
      </c>
      <c r="B48" s="87">
        <v>335</v>
      </c>
      <c r="C48" s="87">
        <v>335</v>
      </c>
      <c r="D48" s="87">
        <v>310</v>
      </c>
      <c r="E48" s="87">
        <v>322.5</v>
      </c>
      <c r="F48" s="87">
        <v>0</v>
      </c>
      <c r="G48" s="87">
        <v>0</v>
      </c>
      <c r="H48" s="87">
        <v>0</v>
      </c>
      <c r="I48" s="87">
        <v>25</v>
      </c>
      <c r="L48" s="87">
        <v>-12.5</v>
      </c>
      <c r="M48" s="87" t="s">
        <v>174</v>
      </c>
    </row>
    <row r="49" spans="1:13">
      <c r="A49" s="88">
        <v>34669</v>
      </c>
      <c r="B49" s="87">
        <v>315</v>
      </c>
      <c r="C49" s="87">
        <v>325</v>
      </c>
      <c r="D49" s="87">
        <v>312.5</v>
      </c>
      <c r="E49" s="87">
        <v>325</v>
      </c>
      <c r="F49" s="87">
        <v>0</v>
      </c>
      <c r="G49" s="87">
        <v>0</v>
      </c>
      <c r="H49" s="87">
        <v>0</v>
      </c>
      <c r="I49" s="87">
        <v>12.5</v>
      </c>
      <c r="L49" s="87">
        <v>10</v>
      </c>
      <c r="M49" s="87" t="s">
        <v>174</v>
      </c>
    </row>
    <row r="50" spans="1:13">
      <c r="A50" s="88">
        <v>34700</v>
      </c>
      <c r="B50" s="87">
        <v>320</v>
      </c>
      <c r="C50" s="87">
        <v>322.5</v>
      </c>
      <c r="D50" s="87">
        <v>292.5</v>
      </c>
      <c r="E50" s="87">
        <v>310</v>
      </c>
      <c r="F50" s="87">
        <v>0</v>
      </c>
      <c r="G50" s="87">
        <v>0</v>
      </c>
      <c r="H50" s="87">
        <v>0</v>
      </c>
      <c r="I50" s="87">
        <v>30</v>
      </c>
      <c r="L50" s="87">
        <v>-10</v>
      </c>
      <c r="M50" s="87" t="s">
        <v>174</v>
      </c>
    </row>
    <row r="51" spans="1:13">
      <c r="A51" s="88">
        <v>34731</v>
      </c>
      <c r="B51" s="87">
        <v>310</v>
      </c>
      <c r="C51" s="87">
        <v>310</v>
      </c>
      <c r="D51" s="87">
        <v>280</v>
      </c>
      <c r="E51" s="87">
        <v>295</v>
      </c>
      <c r="F51" s="87">
        <v>0</v>
      </c>
      <c r="G51" s="87">
        <v>0</v>
      </c>
      <c r="H51" s="87">
        <v>0</v>
      </c>
      <c r="I51" s="87">
        <v>30</v>
      </c>
      <c r="L51" s="87">
        <v>-15</v>
      </c>
      <c r="M51" s="87" t="s">
        <v>174</v>
      </c>
    </row>
    <row r="52" spans="1:13">
      <c r="A52" s="88">
        <v>34759</v>
      </c>
      <c r="B52" s="87">
        <v>295</v>
      </c>
      <c r="C52" s="87">
        <v>305</v>
      </c>
      <c r="D52" s="87">
        <v>277.5</v>
      </c>
      <c r="E52" s="87">
        <v>285</v>
      </c>
      <c r="F52" s="87">
        <v>0</v>
      </c>
      <c r="G52" s="87">
        <v>0</v>
      </c>
      <c r="H52" s="87">
        <v>0</v>
      </c>
      <c r="I52" s="87">
        <v>27.5</v>
      </c>
      <c r="L52" s="87">
        <v>-10</v>
      </c>
      <c r="M52" s="87" t="s">
        <v>174</v>
      </c>
    </row>
    <row r="53" spans="1:13">
      <c r="A53" s="88">
        <v>34790</v>
      </c>
      <c r="B53" s="87">
        <v>285</v>
      </c>
      <c r="C53" s="87">
        <v>290</v>
      </c>
      <c r="D53" s="87">
        <v>245</v>
      </c>
      <c r="E53" s="87">
        <v>247</v>
      </c>
      <c r="F53" s="87">
        <v>0</v>
      </c>
      <c r="G53" s="87">
        <v>0</v>
      </c>
      <c r="H53" s="87">
        <v>0</v>
      </c>
      <c r="I53" s="87">
        <v>45</v>
      </c>
      <c r="L53" s="87">
        <v>-38</v>
      </c>
      <c r="M53" s="87" t="s">
        <v>174</v>
      </c>
    </row>
    <row r="54" spans="1:13">
      <c r="A54" s="88">
        <v>34820</v>
      </c>
      <c r="B54" s="87">
        <v>245</v>
      </c>
      <c r="C54" s="87">
        <v>258</v>
      </c>
      <c r="D54" s="87">
        <v>220</v>
      </c>
      <c r="E54" s="87">
        <v>230</v>
      </c>
      <c r="F54" s="87">
        <v>0</v>
      </c>
      <c r="G54" s="87">
        <v>0</v>
      </c>
      <c r="H54" s="87">
        <v>0</v>
      </c>
      <c r="I54" s="87">
        <v>38</v>
      </c>
      <c r="L54" s="87">
        <v>-15</v>
      </c>
      <c r="M54" s="87" t="s">
        <v>174</v>
      </c>
    </row>
    <row r="55" spans="1:13">
      <c r="A55" s="88">
        <v>35065</v>
      </c>
      <c r="B55" s="87">
        <v>285</v>
      </c>
      <c r="C55" s="87">
        <v>290</v>
      </c>
      <c r="D55" s="87">
        <v>285</v>
      </c>
      <c r="E55" s="87">
        <v>290</v>
      </c>
      <c r="F55" s="87">
        <v>0</v>
      </c>
      <c r="G55" s="87">
        <v>0</v>
      </c>
      <c r="H55" s="87">
        <v>0</v>
      </c>
      <c r="I55" s="87">
        <v>5</v>
      </c>
      <c r="L55" s="87">
        <v>5</v>
      </c>
      <c r="M55" s="87" t="s">
        <v>174</v>
      </c>
    </row>
    <row r="56" spans="1:13">
      <c r="A56" s="88">
        <v>35125</v>
      </c>
      <c r="B56" s="87">
        <v>200</v>
      </c>
      <c r="C56" s="87">
        <v>204</v>
      </c>
      <c r="D56" s="87">
        <v>200</v>
      </c>
      <c r="E56" s="87">
        <v>204</v>
      </c>
      <c r="F56" s="87">
        <v>7300</v>
      </c>
      <c r="G56" s="87">
        <v>17</v>
      </c>
      <c r="H56" s="87">
        <v>1464000</v>
      </c>
      <c r="I56" s="87">
        <v>4</v>
      </c>
      <c r="L56" s="87">
        <v>4</v>
      </c>
      <c r="M56" s="87" t="s">
        <v>174</v>
      </c>
    </row>
    <row r="57" spans="1:13">
      <c r="A57" s="88">
        <v>35156</v>
      </c>
      <c r="B57" s="87">
        <v>208</v>
      </c>
      <c r="C57" s="87">
        <v>240</v>
      </c>
      <c r="D57" s="87">
        <v>206</v>
      </c>
      <c r="E57" s="87">
        <v>230</v>
      </c>
      <c r="F57" s="87">
        <v>19300</v>
      </c>
      <c r="G57" s="87">
        <v>83</v>
      </c>
      <c r="H57" s="87">
        <v>4344000</v>
      </c>
      <c r="I57" s="87">
        <v>34</v>
      </c>
      <c r="L57" s="87">
        <v>22</v>
      </c>
      <c r="M57" s="87" t="s">
        <v>174</v>
      </c>
    </row>
    <row r="58" spans="1:13">
      <c r="A58" s="88">
        <v>35186</v>
      </c>
      <c r="B58" s="87">
        <v>230</v>
      </c>
      <c r="C58" s="87">
        <v>230</v>
      </c>
      <c r="D58" s="87">
        <v>206</v>
      </c>
      <c r="E58" s="87">
        <v>206</v>
      </c>
      <c r="F58" s="87">
        <v>112100</v>
      </c>
      <c r="G58" s="87">
        <v>51</v>
      </c>
      <c r="H58" s="87">
        <v>24681800</v>
      </c>
      <c r="I58" s="87">
        <v>24</v>
      </c>
      <c r="L58" s="87">
        <v>-24</v>
      </c>
      <c r="M58" s="87" t="s">
        <v>174</v>
      </c>
    </row>
    <row r="59" spans="1:13">
      <c r="A59" s="88">
        <v>35217</v>
      </c>
      <c r="B59" s="87">
        <v>208</v>
      </c>
      <c r="C59" s="87">
        <v>228</v>
      </c>
      <c r="D59" s="87">
        <v>200.25</v>
      </c>
      <c r="E59" s="87">
        <v>200.25</v>
      </c>
      <c r="F59" s="87">
        <v>29800</v>
      </c>
      <c r="G59" s="87">
        <v>65</v>
      </c>
      <c r="H59" s="87">
        <v>6173075</v>
      </c>
      <c r="I59" s="87">
        <v>27.75</v>
      </c>
      <c r="L59" s="87">
        <v>-7.75</v>
      </c>
      <c r="M59" s="87" t="s">
        <v>174</v>
      </c>
    </row>
    <row r="60" spans="1:13">
      <c r="A60" s="88">
        <v>35247</v>
      </c>
      <c r="B60" s="87">
        <v>197</v>
      </c>
      <c r="C60" s="87">
        <v>220</v>
      </c>
      <c r="D60" s="87">
        <v>180</v>
      </c>
      <c r="E60" s="87">
        <v>220</v>
      </c>
      <c r="F60" s="87">
        <v>33800</v>
      </c>
      <c r="G60" s="87">
        <v>57</v>
      </c>
      <c r="H60" s="87">
        <v>6548650</v>
      </c>
      <c r="I60" s="87">
        <v>40</v>
      </c>
      <c r="L60" s="87">
        <v>23</v>
      </c>
      <c r="M60" s="87" t="s">
        <v>174</v>
      </c>
    </row>
    <row r="61" spans="1:13">
      <c r="A61" s="88">
        <v>35278</v>
      </c>
      <c r="B61" s="87">
        <v>230</v>
      </c>
      <c r="C61" s="87">
        <v>230</v>
      </c>
      <c r="D61" s="87">
        <v>203.25</v>
      </c>
      <c r="E61" s="87">
        <v>211.25</v>
      </c>
      <c r="F61" s="87">
        <v>3748</v>
      </c>
      <c r="G61" s="87">
        <v>77</v>
      </c>
      <c r="H61" s="87">
        <v>792055</v>
      </c>
      <c r="I61" s="87">
        <v>26.75</v>
      </c>
      <c r="L61" s="87">
        <v>-18.75</v>
      </c>
      <c r="M61" s="87" t="s">
        <v>174</v>
      </c>
    </row>
    <row r="62" spans="1:13">
      <c r="A62" s="88">
        <v>35309</v>
      </c>
      <c r="B62" s="87">
        <v>215.25</v>
      </c>
      <c r="C62" s="87">
        <v>220.25</v>
      </c>
      <c r="D62" s="87">
        <v>210.25</v>
      </c>
      <c r="E62" s="87">
        <v>220</v>
      </c>
      <c r="F62" s="87">
        <v>39646</v>
      </c>
      <c r="G62" s="87">
        <v>136</v>
      </c>
      <c r="H62" s="87">
        <v>8738863</v>
      </c>
      <c r="I62" s="87">
        <v>10</v>
      </c>
      <c r="L62" s="87">
        <v>4.75</v>
      </c>
      <c r="M62" s="87" t="s">
        <v>174</v>
      </c>
    </row>
    <row r="63" spans="1:13">
      <c r="A63" s="88">
        <v>35339</v>
      </c>
      <c r="B63" s="87">
        <v>220</v>
      </c>
      <c r="C63" s="87">
        <v>232</v>
      </c>
      <c r="D63" s="87">
        <v>213</v>
      </c>
      <c r="E63" s="87">
        <v>230</v>
      </c>
      <c r="F63" s="87">
        <v>44303</v>
      </c>
      <c r="G63" s="87">
        <v>165</v>
      </c>
      <c r="H63" s="87">
        <v>9949774</v>
      </c>
      <c r="I63" s="87">
        <v>19</v>
      </c>
      <c r="L63" s="87">
        <v>10</v>
      </c>
      <c r="M63" s="87" t="s">
        <v>174</v>
      </c>
    </row>
    <row r="64" spans="1:13">
      <c r="A64" s="88">
        <v>35370</v>
      </c>
      <c r="B64" s="87">
        <v>225.25</v>
      </c>
      <c r="C64" s="87">
        <v>228</v>
      </c>
      <c r="D64" s="87">
        <v>215.25</v>
      </c>
      <c r="E64" s="87">
        <v>225.5</v>
      </c>
      <c r="F64" s="87">
        <v>36583</v>
      </c>
      <c r="G64" s="87">
        <v>84</v>
      </c>
      <c r="H64" s="87">
        <v>8261561</v>
      </c>
      <c r="I64" s="87">
        <v>12.75</v>
      </c>
      <c r="L64" s="87">
        <v>0.25</v>
      </c>
      <c r="M64" s="87" t="s">
        <v>174</v>
      </c>
    </row>
    <row r="65" spans="1:13">
      <c r="A65" s="88">
        <v>35400</v>
      </c>
      <c r="B65" s="87">
        <v>222</v>
      </c>
      <c r="C65" s="87">
        <v>252.75</v>
      </c>
      <c r="D65" s="87">
        <v>216</v>
      </c>
      <c r="E65" s="87">
        <v>230</v>
      </c>
      <c r="F65" s="87">
        <v>15624</v>
      </c>
      <c r="G65" s="87">
        <v>185</v>
      </c>
      <c r="H65" s="87">
        <v>3566750</v>
      </c>
      <c r="I65" s="87">
        <v>36.75</v>
      </c>
      <c r="L65" s="87">
        <v>8</v>
      </c>
      <c r="M65" s="87" t="s">
        <v>174</v>
      </c>
    </row>
    <row r="66" spans="1:13">
      <c r="A66" s="88">
        <v>35431</v>
      </c>
      <c r="B66" s="87">
        <v>235</v>
      </c>
      <c r="C66" s="87">
        <v>260</v>
      </c>
      <c r="D66" s="87">
        <v>230</v>
      </c>
      <c r="E66" s="87">
        <v>250.75</v>
      </c>
      <c r="F66" s="87">
        <v>193742</v>
      </c>
      <c r="G66" s="87">
        <v>430</v>
      </c>
      <c r="H66" s="87">
        <v>48387966</v>
      </c>
      <c r="I66" s="87">
        <v>30</v>
      </c>
      <c r="L66" s="87">
        <v>15.75</v>
      </c>
      <c r="M66" s="87" t="s">
        <v>174</v>
      </c>
    </row>
    <row r="67" spans="1:13">
      <c r="A67" s="88">
        <v>35462</v>
      </c>
      <c r="B67" s="87">
        <v>252</v>
      </c>
      <c r="C67" s="87">
        <v>269</v>
      </c>
      <c r="D67" s="87">
        <v>250</v>
      </c>
      <c r="E67" s="87">
        <v>258</v>
      </c>
      <c r="F67" s="87">
        <v>35864</v>
      </c>
      <c r="G67" s="87">
        <v>246</v>
      </c>
      <c r="H67" s="87">
        <v>9236719</v>
      </c>
      <c r="I67" s="87">
        <v>19</v>
      </c>
      <c r="L67" s="87">
        <v>6</v>
      </c>
      <c r="M67" s="87" t="s">
        <v>174</v>
      </c>
    </row>
    <row r="68" spans="1:13">
      <c r="A68" s="88">
        <v>35490</v>
      </c>
      <c r="B68" s="87">
        <v>280</v>
      </c>
      <c r="C68" s="87">
        <v>291</v>
      </c>
      <c r="D68" s="87">
        <v>240</v>
      </c>
      <c r="E68" s="87">
        <v>240</v>
      </c>
      <c r="F68" s="87">
        <v>14446</v>
      </c>
      <c r="G68" s="87">
        <v>162</v>
      </c>
      <c r="H68" s="87">
        <v>3920391</v>
      </c>
      <c r="I68" s="87">
        <v>51</v>
      </c>
      <c r="L68" s="87">
        <v>-40</v>
      </c>
      <c r="M68" s="87" t="s">
        <v>174</v>
      </c>
    </row>
    <row r="69" spans="1:13">
      <c r="A69" s="88">
        <v>35521</v>
      </c>
      <c r="B69" s="87">
        <v>240</v>
      </c>
      <c r="C69" s="87">
        <v>260</v>
      </c>
      <c r="D69" s="87">
        <v>237</v>
      </c>
      <c r="E69" s="87">
        <v>240</v>
      </c>
      <c r="F69" s="87">
        <v>86963</v>
      </c>
      <c r="G69" s="87">
        <v>148</v>
      </c>
      <c r="H69" s="87">
        <v>20901421</v>
      </c>
      <c r="I69" s="87">
        <v>23</v>
      </c>
      <c r="L69" s="87">
        <v>0</v>
      </c>
      <c r="M69" s="87" t="s">
        <v>174</v>
      </c>
    </row>
    <row r="70" spans="1:13">
      <c r="A70" s="88">
        <v>35551</v>
      </c>
      <c r="B70" s="87">
        <v>240</v>
      </c>
      <c r="C70" s="87">
        <v>265</v>
      </c>
      <c r="D70" s="87">
        <v>240</v>
      </c>
      <c r="E70" s="87">
        <v>260.5</v>
      </c>
      <c r="F70" s="87">
        <v>10464</v>
      </c>
      <c r="G70" s="87">
        <v>168</v>
      </c>
      <c r="H70" s="87">
        <v>2588462</v>
      </c>
      <c r="I70" s="87">
        <v>25</v>
      </c>
      <c r="L70" s="87">
        <v>20.5</v>
      </c>
      <c r="M70" s="87" t="s">
        <v>174</v>
      </c>
    </row>
    <row r="71" spans="1:13">
      <c r="A71" s="88">
        <v>35582</v>
      </c>
      <c r="B71" s="87">
        <v>260</v>
      </c>
      <c r="C71" s="87">
        <v>262.75</v>
      </c>
      <c r="D71" s="87">
        <v>249.5</v>
      </c>
      <c r="E71" s="87">
        <v>251</v>
      </c>
      <c r="F71" s="87">
        <v>16175</v>
      </c>
      <c r="G71" s="87">
        <v>169</v>
      </c>
      <c r="H71" s="87">
        <v>4119698</v>
      </c>
      <c r="I71" s="87">
        <v>13.25</v>
      </c>
      <c r="L71" s="87">
        <v>-9</v>
      </c>
      <c r="M71" s="87" t="s">
        <v>174</v>
      </c>
    </row>
    <row r="72" spans="1:13">
      <c r="A72" s="88">
        <v>35612</v>
      </c>
      <c r="B72" s="87">
        <v>252.25</v>
      </c>
      <c r="C72" s="87">
        <v>352</v>
      </c>
      <c r="D72" s="87">
        <v>252.25</v>
      </c>
      <c r="E72" s="87">
        <v>340</v>
      </c>
      <c r="F72" s="87">
        <v>143300</v>
      </c>
      <c r="G72" s="87">
        <v>877</v>
      </c>
      <c r="H72" s="87">
        <v>46458087</v>
      </c>
      <c r="I72" s="87">
        <v>99.75</v>
      </c>
      <c r="L72" s="87">
        <v>87.75</v>
      </c>
      <c r="M72" s="87" t="s">
        <v>174</v>
      </c>
    </row>
    <row r="73" spans="1:13">
      <c r="A73" s="88">
        <v>35643</v>
      </c>
      <c r="B73" s="87">
        <v>340</v>
      </c>
      <c r="C73" s="87">
        <v>345</v>
      </c>
      <c r="D73" s="87">
        <v>307</v>
      </c>
      <c r="E73" s="87">
        <v>320</v>
      </c>
      <c r="F73" s="87">
        <v>139091</v>
      </c>
      <c r="G73" s="87">
        <v>506</v>
      </c>
      <c r="H73" s="87">
        <v>46699973</v>
      </c>
      <c r="I73" s="87">
        <v>38</v>
      </c>
      <c r="L73" s="87">
        <v>-20</v>
      </c>
      <c r="M73" s="87" t="s">
        <v>174</v>
      </c>
    </row>
    <row r="74" spans="1:13">
      <c r="A74" s="88">
        <v>35674</v>
      </c>
      <c r="B74" s="87">
        <v>316.25</v>
      </c>
      <c r="C74" s="87">
        <v>345</v>
      </c>
      <c r="D74" s="87">
        <v>315</v>
      </c>
      <c r="E74" s="87">
        <v>324.5</v>
      </c>
      <c r="F74" s="87">
        <v>35621</v>
      </c>
      <c r="G74" s="87">
        <v>297</v>
      </c>
      <c r="H74" s="87">
        <v>11665849</v>
      </c>
      <c r="I74" s="87">
        <v>30</v>
      </c>
      <c r="L74" s="87">
        <v>8.25</v>
      </c>
      <c r="M74" s="87" t="s">
        <v>174</v>
      </c>
    </row>
    <row r="75" spans="1:13">
      <c r="A75" s="88">
        <v>35704</v>
      </c>
      <c r="B75" s="87">
        <v>322</v>
      </c>
      <c r="C75" s="87">
        <v>369</v>
      </c>
      <c r="D75" s="87">
        <v>319.8</v>
      </c>
      <c r="E75" s="87">
        <v>358.75</v>
      </c>
      <c r="F75" s="87">
        <v>85395</v>
      </c>
      <c r="G75" s="87">
        <v>490</v>
      </c>
      <c r="H75" s="87">
        <v>29704067</v>
      </c>
      <c r="I75" s="87">
        <v>49.2</v>
      </c>
      <c r="L75" s="87">
        <v>36.75</v>
      </c>
      <c r="M75" s="87" t="s">
        <v>174</v>
      </c>
    </row>
    <row r="76" spans="1:13">
      <c r="A76" s="88">
        <v>35735</v>
      </c>
      <c r="B76" s="87">
        <v>340</v>
      </c>
      <c r="C76" s="87">
        <v>407</v>
      </c>
      <c r="D76" s="87">
        <v>340</v>
      </c>
      <c r="E76" s="87">
        <v>402.25</v>
      </c>
      <c r="F76" s="87">
        <v>254077</v>
      </c>
      <c r="G76" s="87">
        <v>1801</v>
      </c>
      <c r="H76" s="87">
        <v>96448168</v>
      </c>
      <c r="I76" s="87">
        <v>67</v>
      </c>
      <c r="L76" s="87">
        <v>62.25</v>
      </c>
      <c r="M76" s="87" t="s">
        <v>174</v>
      </c>
    </row>
    <row r="77" spans="1:13">
      <c r="A77" s="88">
        <v>35765</v>
      </c>
      <c r="B77" s="87">
        <v>404</v>
      </c>
      <c r="C77" s="87">
        <v>444</v>
      </c>
      <c r="D77" s="87">
        <v>390</v>
      </c>
      <c r="E77" s="87">
        <v>403.75</v>
      </c>
      <c r="F77" s="87">
        <v>383752</v>
      </c>
      <c r="G77" s="87">
        <v>2668</v>
      </c>
      <c r="H77" s="87">
        <v>158834351</v>
      </c>
      <c r="I77" s="87">
        <v>54</v>
      </c>
      <c r="L77" s="87">
        <v>-0.25</v>
      </c>
      <c r="M77" s="87" t="s">
        <v>174</v>
      </c>
    </row>
    <row r="78" spans="1:13">
      <c r="A78" s="88">
        <v>35796</v>
      </c>
      <c r="B78" s="87">
        <v>405.75</v>
      </c>
      <c r="C78" s="87">
        <v>417</v>
      </c>
      <c r="D78" s="87">
        <v>375</v>
      </c>
      <c r="E78" s="87">
        <v>381.25</v>
      </c>
      <c r="F78" s="87">
        <v>297335</v>
      </c>
      <c r="G78" s="87">
        <v>1600</v>
      </c>
      <c r="H78" s="87">
        <v>118969644</v>
      </c>
      <c r="I78" s="87">
        <v>42</v>
      </c>
      <c r="L78" s="87">
        <v>-24.5</v>
      </c>
      <c r="M78" s="87" t="s">
        <v>174</v>
      </c>
    </row>
    <row r="79" spans="1:13">
      <c r="A79" s="88">
        <v>35827</v>
      </c>
      <c r="B79" s="87">
        <v>387</v>
      </c>
      <c r="C79" s="87">
        <v>455</v>
      </c>
      <c r="D79" s="87">
        <v>376</v>
      </c>
      <c r="E79" s="87">
        <v>443.5</v>
      </c>
      <c r="F79" s="87">
        <v>300077</v>
      </c>
      <c r="G79" s="87">
        <v>1908</v>
      </c>
      <c r="H79" s="87">
        <v>124649023</v>
      </c>
      <c r="I79" s="87">
        <v>79</v>
      </c>
      <c r="L79" s="87">
        <v>56.5</v>
      </c>
      <c r="M79" s="87" t="s">
        <v>174</v>
      </c>
    </row>
    <row r="80" spans="1:13">
      <c r="A80" s="88">
        <v>35855</v>
      </c>
      <c r="B80" s="87">
        <v>452</v>
      </c>
      <c r="C80" s="87">
        <v>495</v>
      </c>
      <c r="D80" s="87">
        <v>415</v>
      </c>
      <c r="E80" s="87">
        <v>469.5</v>
      </c>
      <c r="F80" s="87">
        <v>632865</v>
      </c>
      <c r="G80" s="87">
        <v>3441</v>
      </c>
      <c r="H80" s="87">
        <v>288324202</v>
      </c>
      <c r="I80" s="87">
        <v>80</v>
      </c>
      <c r="L80" s="87">
        <v>17.5</v>
      </c>
      <c r="M80" s="87" t="s">
        <v>174</v>
      </c>
    </row>
    <row r="81" spans="1:13">
      <c r="A81" s="88">
        <v>35886</v>
      </c>
      <c r="B81" s="87">
        <v>474.5</v>
      </c>
      <c r="C81" s="87">
        <v>614</v>
      </c>
      <c r="D81" s="87">
        <v>474.5</v>
      </c>
      <c r="E81" s="87">
        <v>579.75</v>
      </c>
      <c r="F81" s="87">
        <v>830073</v>
      </c>
      <c r="G81" s="87">
        <v>4932</v>
      </c>
      <c r="H81" s="87">
        <v>459947090</v>
      </c>
      <c r="I81" s="87">
        <v>139.5</v>
      </c>
      <c r="L81" s="87">
        <v>105.25</v>
      </c>
      <c r="M81" s="87" t="s">
        <v>174</v>
      </c>
    </row>
    <row r="82" spans="1:13">
      <c r="A82" s="88">
        <v>35916</v>
      </c>
      <c r="B82" s="87">
        <v>600</v>
      </c>
      <c r="C82" s="87">
        <v>635</v>
      </c>
      <c r="D82" s="87">
        <v>517</v>
      </c>
      <c r="E82" s="87">
        <v>593.25</v>
      </c>
      <c r="F82" s="87">
        <v>737846</v>
      </c>
      <c r="G82" s="87">
        <v>4773</v>
      </c>
      <c r="H82" s="87">
        <v>436702985</v>
      </c>
      <c r="I82" s="87">
        <v>118</v>
      </c>
      <c r="L82" s="87">
        <v>-6.75</v>
      </c>
      <c r="M82" s="87" t="s">
        <v>174</v>
      </c>
    </row>
    <row r="83" spans="1:13">
      <c r="A83" s="88">
        <v>35947</v>
      </c>
      <c r="B83" s="87">
        <v>605</v>
      </c>
      <c r="C83" s="87">
        <v>625</v>
      </c>
      <c r="D83" s="87">
        <v>500</v>
      </c>
      <c r="E83" s="87">
        <v>566.25</v>
      </c>
      <c r="F83" s="87">
        <v>498067</v>
      </c>
      <c r="G83" s="87">
        <v>2964</v>
      </c>
      <c r="H83" s="87">
        <v>280753233</v>
      </c>
      <c r="I83" s="87">
        <v>125</v>
      </c>
      <c r="L83" s="87">
        <v>-38.75</v>
      </c>
      <c r="M83" s="87" t="s">
        <v>174</v>
      </c>
    </row>
    <row r="84" spans="1:13">
      <c r="A84" s="88">
        <v>35977</v>
      </c>
      <c r="B84" s="87">
        <v>574</v>
      </c>
      <c r="C84" s="87">
        <v>715</v>
      </c>
      <c r="D84" s="87">
        <v>558</v>
      </c>
      <c r="E84" s="87">
        <v>709.25</v>
      </c>
      <c r="F84" s="87">
        <v>372115</v>
      </c>
      <c r="G84" s="87">
        <v>2777</v>
      </c>
      <c r="H84" s="87">
        <v>236059141</v>
      </c>
      <c r="I84" s="87">
        <v>157</v>
      </c>
      <c r="L84" s="87">
        <v>135.25</v>
      </c>
      <c r="M84" s="87" t="s">
        <v>174</v>
      </c>
    </row>
    <row r="85" spans="1:13">
      <c r="A85" s="88">
        <v>36008</v>
      </c>
      <c r="B85" s="87">
        <v>700</v>
      </c>
      <c r="C85" s="87">
        <v>749.75</v>
      </c>
      <c r="D85" s="87">
        <v>660</v>
      </c>
      <c r="E85" s="87">
        <v>715</v>
      </c>
      <c r="F85" s="87">
        <v>991851</v>
      </c>
      <c r="G85" s="87">
        <v>7351</v>
      </c>
      <c r="H85" s="87">
        <v>703399005</v>
      </c>
      <c r="I85" s="87">
        <v>89.75</v>
      </c>
      <c r="L85" s="87">
        <v>15</v>
      </c>
      <c r="M85" s="87" t="s">
        <v>174</v>
      </c>
    </row>
    <row r="86" spans="1:13">
      <c r="A86" s="88">
        <v>36039</v>
      </c>
      <c r="B86" s="87">
        <v>708</v>
      </c>
      <c r="C86" s="87">
        <v>746</v>
      </c>
      <c r="D86" s="87">
        <v>690</v>
      </c>
      <c r="E86" s="87">
        <v>708.25</v>
      </c>
      <c r="F86" s="87">
        <v>317095</v>
      </c>
      <c r="G86" s="87">
        <v>2373</v>
      </c>
      <c r="H86" s="87">
        <v>227067394</v>
      </c>
      <c r="I86" s="87">
        <v>56</v>
      </c>
      <c r="L86" s="87">
        <v>0.25</v>
      </c>
      <c r="M86" s="87" t="s">
        <v>174</v>
      </c>
    </row>
    <row r="87" spans="1:13">
      <c r="A87" s="88">
        <v>36069</v>
      </c>
      <c r="B87" s="87">
        <v>700</v>
      </c>
      <c r="C87" s="87">
        <v>733</v>
      </c>
      <c r="D87" s="87">
        <v>669</v>
      </c>
      <c r="E87" s="87">
        <v>710.75</v>
      </c>
      <c r="F87" s="87">
        <v>166593</v>
      </c>
      <c r="G87" s="87">
        <v>1152</v>
      </c>
      <c r="H87" s="87">
        <v>117178441</v>
      </c>
      <c r="I87" s="87">
        <v>64</v>
      </c>
      <c r="L87" s="87">
        <v>10.75</v>
      </c>
      <c r="M87" s="87" t="s">
        <v>174</v>
      </c>
    </row>
    <row r="88" spans="1:13">
      <c r="A88" s="88">
        <v>36100</v>
      </c>
      <c r="B88" s="87">
        <v>704.75</v>
      </c>
      <c r="C88" s="87">
        <v>775</v>
      </c>
      <c r="D88" s="87">
        <v>697.75</v>
      </c>
      <c r="E88" s="87">
        <v>772.5</v>
      </c>
      <c r="F88" s="87">
        <v>192785</v>
      </c>
      <c r="G88" s="87">
        <v>1553</v>
      </c>
      <c r="H88" s="87">
        <v>143022694</v>
      </c>
      <c r="I88" s="87">
        <v>77.25</v>
      </c>
      <c r="L88" s="87">
        <v>67.75</v>
      </c>
      <c r="M88" s="87" t="s">
        <v>174</v>
      </c>
    </row>
    <row r="89" spans="1:13">
      <c r="A89" s="88">
        <v>36100</v>
      </c>
      <c r="B89" s="87">
        <v>770</v>
      </c>
      <c r="C89" s="87">
        <v>770</v>
      </c>
      <c r="D89" s="87">
        <v>770</v>
      </c>
      <c r="E89" s="87">
        <v>770</v>
      </c>
      <c r="F89" s="87">
        <v>1000</v>
      </c>
      <c r="G89" s="87">
        <v>1</v>
      </c>
      <c r="H89" s="87">
        <v>770000</v>
      </c>
      <c r="I89" s="87">
        <v>0</v>
      </c>
      <c r="L89" s="87">
        <v>0</v>
      </c>
    </row>
    <row r="90" spans="1:13">
      <c r="A90" s="88">
        <v>36130</v>
      </c>
      <c r="B90" s="87">
        <v>763.5</v>
      </c>
      <c r="C90" s="87">
        <v>903.25</v>
      </c>
      <c r="D90" s="87">
        <v>758</v>
      </c>
      <c r="E90" s="87">
        <v>872</v>
      </c>
      <c r="F90" s="87">
        <v>643235</v>
      </c>
      <c r="G90" s="87">
        <v>5082</v>
      </c>
      <c r="H90" s="87">
        <v>536995080</v>
      </c>
      <c r="I90" s="87">
        <v>145.25</v>
      </c>
      <c r="L90" s="87">
        <v>108.5</v>
      </c>
      <c r="M90" s="87" t="s">
        <v>174</v>
      </c>
    </row>
    <row r="91" spans="1:13">
      <c r="A91" s="88">
        <v>36161</v>
      </c>
      <c r="B91" s="87">
        <v>884</v>
      </c>
      <c r="C91" s="87">
        <v>884</v>
      </c>
      <c r="D91" s="87">
        <v>884</v>
      </c>
      <c r="E91" s="87">
        <v>884</v>
      </c>
      <c r="F91" s="87">
        <v>2000</v>
      </c>
      <c r="G91" s="87">
        <v>1</v>
      </c>
      <c r="H91" s="87">
        <v>1768000</v>
      </c>
      <c r="I91" s="87">
        <v>0</v>
      </c>
      <c r="L91" s="87">
        <v>0</v>
      </c>
    </row>
    <row r="92" spans="1:13">
      <c r="A92" s="88">
        <v>36161</v>
      </c>
      <c r="B92" s="87">
        <v>877</v>
      </c>
      <c r="C92" s="87">
        <v>1169</v>
      </c>
      <c r="D92" s="87">
        <v>865.5</v>
      </c>
      <c r="E92" s="87">
        <v>1087.75</v>
      </c>
      <c r="F92" s="87">
        <v>509960</v>
      </c>
      <c r="G92" s="87">
        <v>3421</v>
      </c>
      <c r="H92" s="87">
        <v>504851406</v>
      </c>
      <c r="I92" s="87">
        <v>303.5</v>
      </c>
      <c r="L92" s="87">
        <v>210.75</v>
      </c>
      <c r="M92" s="87" t="s">
        <v>174</v>
      </c>
    </row>
    <row r="93" spans="1:13">
      <c r="A93" s="88">
        <v>36192</v>
      </c>
      <c r="B93" s="87">
        <v>1180</v>
      </c>
      <c r="C93" s="87">
        <v>1180</v>
      </c>
      <c r="D93" s="87">
        <v>1180</v>
      </c>
      <c r="E93" s="87">
        <v>1180</v>
      </c>
      <c r="F93" s="87">
        <v>800</v>
      </c>
      <c r="G93" s="87">
        <v>1</v>
      </c>
      <c r="H93" s="87">
        <v>944000</v>
      </c>
      <c r="I93" s="87">
        <v>0</v>
      </c>
      <c r="L93" s="87">
        <v>0</v>
      </c>
    </row>
    <row r="94" spans="1:13">
      <c r="A94" s="88">
        <v>36192</v>
      </c>
      <c r="B94" s="87">
        <v>1120</v>
      </c>
      <c r="C94" s="87">
        <v>1235</v>
      </c>
      <c r="D94" s="87">
        <v>1080</v>
      </c>
      <c r="E94" s="87">
        <v>1169.25</v>
      </c>
      <c r="F94" s="87">
        <v>349477</v>
      </c>
      <c r="G94" s="87">
        <v>2412</v>
      </c>
      <c r="H94" s="87">
        <v>402620847</v>
      </c>
      <c r="I94" s="87">
        <v>155</v>
      </c>
      <c r="L94" s="87">
        <v>49.25</v>
      </c>
      <c r="M94" s="87" t="s">
        <v>174</v>
      </c>
    </row>
    <row r="95" spans="1:13">
      <c r="A95" s="88">
        <v>36220</v>
      </c>
      <c r="B95" s="87">
        <v>1202</v>
      </c>
      <c r="C95" s="87">
        <v>1225</v>
      </c>
      <c r="D95" s="87">
        <v>1175</v>
      </c>
      <c r="E95" s="87">
        <v>1191</v>
      </c>
      <c r="F95" s="87">
        <v>10100</v>
      </c>
      <c r="G95" s="87">
        <v>6</v>
      </c>
      <c r="H95" s="87">
        <v>12149100</v>
      </c>
      <c r="I95" s="87">
        <v>50</v>
      </c>
      <c r="L95" s="87">
        <v>-11</v>
      </c>
    </row>
    <row r="96" spans="1:13">
      <c r="A96" s="88">
        <v>36220</v>
      </c>
      <c r="B96" s="87">
        <v>1195</v>
      </c>
      <c r="C96" s="87">
        <v>1468.25</v>
      </c>
      <c r="D96" s="87">
        <v>1151</v>
      </c>
      <c r="E96" s="87">
        <v>1460.5</v>
      </c>
      <c r="F96" s="87">
        <v>479301</v>
      </c>
      <c r="G96" s="87">
        <v>3395</v>
      </c>
      <c r="H96" s="87">
        <v>601243525</v>
      </c>
      <c r="I96" s="87">
        <v>317.25</v>
      </c>
      <c r="L96" s="87">
        <v>265.5</v>
      </c>
      <c r="M96" s="87" t="s">
        <v>174</v>
      </c>
    </row>
    <row r="97" spans="1:13">
      <c r="A97" s="88">
        <v>36251</v>
      </c>
      <c r="B97" s="87">
        <v>1510</v>
      </c>
      <c r="C97" s="87">
        <v>1614</v>
      </c>
      <c r="D97" s="87">
        <v>1510</v>
      </c>
      <c r="E97" s="87">
        <v>1555</v>
      </c>
      <c r="F97" s="87">
        <v>43000</v>
      </c>
      <c r="G97" s="87">
        <v>11</v>
      </c>
      <c r="H97" s="87">
        <v>68416500</v>
      </c>
      <c r="I97" s="87">
        <v>104</v>
      </c>
      <c r="L97" s="87">
        <v>45</v>
      </c>
    </row>
    <row r="98" spans="1:13">
      <c r="A98" s="88">
        <v>36251</v>
      </c>
      <c r="B98" s="87">
        <v>1415</v>
      </c>
      <c r="C98" s="87">
        <v>1620</v>
      </c>
      <c r="D98" s="87">
        <v>1276</v>
      </c>
      <c r="E98" s="87">
        <v>1437</v>
      </c>
      <c r="F98" s="87">
        <v>558247</v>
      </c>
      <c r="G98" s="87">
        <v>4196</v>
      </c>
      <c r="H98" s="87">
        <v>803658607</v>
      </c>
      <c r="I98" s="87">
        <v>344</v>
      </c>
      <c r="L98" s="87">
        <v>22</v>
      </c>
      <c r="M98" s="87" t="s">
        <v>174</v>
      </c>
    </row>
    <row r="99" spans="1:13">
      <c r="A99" s="88">
        <v>36281</v>
      </c>
      <c r="B99" s="87">
        <v>1400</v>
      </c>
      <c r="C99" s="87">
        <v>1465</v>
      </c>
      <c r="D99" s="87">
        <v>1400</v>
      </c>
      <c r="E99" s="87">
        <v>1432</v>
      </c>
      <c r="F99" s="87">
        <v>4800</v>
      </c>
      <c r="G99" s="87">
        <v>9</v>
      </c>
      <c r="H99" s="87">
        <v>6797050</v>
      </c>
      <c r="I99" s="87">
        <v>65</v>
      </c>
      <c r="L99" s="87">
        <v>32</v>
      </c>
    </row>
    <row r="100" spans="1:13">
      <c r="A100" s="88">
        <v>36281</v>
      </c>
      <c r="B100" s="87">
        <v>1475</v>
      </c>
      <c r="C100" s="87">
        <v>1580</v>
      </c>
      <c r="D100" s="87">
        <v>1266</v>
      </c>
      <c r="E100" s="87">
        <v>1341.1</v>
      </c>
      <c r="F100" s="87">
        <v>598127</v>
      </c>
      <c r="G100" s="87">
        <v>6188</v>
      </c>
      <c r="H100" s="87">
        <v>843165594</v>
      </c>
      <c r="I100" s="87">
        <v>314</v>
      </c>
      <c r="L100" s="87">
        <v>-133.9</v>
      </c>
      <c r="M100" s="87" t="s">
        <v>174</v>
      </c>
    </row>
    <row r="101" spans="1:13">
      <c r="A101" s="88">
        <v>36312</v>
      </c>
      <c r="B101" s="87">
        <v>1343</v>
      </c>
      <c r="C101" s="87">
        <v>1351</v>
      </c>
      <c r="D101" s="87">
        <v>1208</v>
      </c>
      <c r="E101" s="87">
        <v>1255</v>
      </c>
      <c r="F101" s="87">
        <v>296151</v>
      </c>
      <c r="G101" s="87">
        <v>4793</v>
      </c>
      <c r="H101" s="87">
        <v>379003815</v>
      </c>
      <c r="I101" s="87">
        <v>143</v>
      </c>
      <c r="L101" s="87">
        <v>-88</v>
      </c>
      <c r="M101" s="87" t="s">
        <v>174</v>
      </c>
    </row>
    <row r="102" spans="1:13">
      <c r="A102" s="88">
        <v>36342</v>
      </c>
      <c r="B102" s="87">
        <v>1260</v>
      </c>
      <c r="C102" s="87">
        <v>1439</v>
      </c>
      <c r="D102" s="87">
        <v>1240</v>
      </c>
      <c r="E102" s="87">
        <v>1300</v>
      </c>
      <c r="F102" s="87">
        <v>523121</v>
      </c>
      <c r="G102" s="87">
        <v>9658</v>
      </c>
      <c r="H102" s="87">
        <v>702052697</v>
      </c>
      <c r="I102" s="87">
        <v>199</v>
      </c>
      <c r="L102" s="87">
        <v>40</v>
      </c>
      <c r="M102" s="87" t="s">
        <v>174</v>
      </c>
    </row>
    <row r="103" spans="1:13">
      <c r="A103" s="88">
        <v>36373</v>
      </c>
      <c r="B103" s="87">
        <v>1311</v>
      </c>
      <c r="C103" s="87">
        <v>1650</v>
      </c>
      <c r="D103" s="87">
        <v>1280</v>
      </c>
      <c r="E103" s="87">
        <v>1500.5</v>
      </c>
      <c r="F103" s="87">
        <v>333514</v>
      </c>
      <c r="G103" s="87">
        <v>5676</v>
      </c>
      <c r="H103" s="87">
        <v>486261304</v>
      </c>
      <c r="I103" s="87">
        <v>370</v>
      </c>
      <c r="L103" s="87">
        <v>189.5</v>
      </c>
      <c r="M103" s="87" t="s">
        <v>174</v>
      </c>
    </row>
    <row r="104" spans="1:13">
      <c r="A104" s="88">
        <v>36404</v>
      </c>
      <c r="B104" s="87">
        <v>1501.15</v>
      </c>
      <c r="C104" s="87">
        <v>1809</v>
      </c>
      <c r="D104" s="87">
        <v>982</v>
      </c>
      <c r="E104" s="87">
        <v>1016.5</v>
      </c>
      <c r="F104" s="87">
        <v>199730</v>
      </c>
      <c r="G104" s="87">
        <v>4544</v>
      </c>
      <c r="H104" s="87">
        <v>296015473</v>
      </c>
      <c r="I104" s="87">
        <v>827</v>
      </c>
      <c r="L104" s="87">
        <v>-484.65</v>
      </c>
      <c r="M104" s="87" t="s">
        <v>174</v>
      </c>
    </row>
    <row r="105" spans="1:13">
      <c r="A105" s="88">
        <v>36434</v>
      </c>
      <c r="B105" s="87">
        <v>1001</v>
      </c>
      <c r="C105" s="87">
        <v>1073</v>
      </c>
      <c r="D105" s="87">
        <v>816</v>
      </c>
      <c r="E105" s="87">
        <v>830.5</v>
      </c>
      <c r="F105" s="87">
        <v>204619</v>
      </c>
      <c r="G105" s="87">
        <v>3813</v>
      </c>
      <c r="H105" s="87">
        <v>184896336</v>
      </c>
      <c r="I105" s="87">
        <v>257</v>
      </c>
      <c r="L105" s="87">
        <v>-170.5</v>
      </c>
      <c r="M105" s="87" t="s">
        <v>174</v>
      </c>
    </row>
    <row r="106" spans="1:13">
      <c r="A106" s="88">
        <v>36465</v>
      </c>
      <c r="B106" s="87">
        <v>840</v>
      </c>
      <c r="C106" s="87">
        <v>840</v>
      </c>
      <c r="D106" s="87">
        <v>840</v>
      </c>
      <c r="E106" s="87">
        <v>840</v>
      </c>
      <c r="F106" s="87">
        <v>10000</v>
      </c>
      <c r="G106" s="87">
        <v>1</v>
      </c>
      <c r="H106" s="87">
        <v>8400000</v>
      </c>
      <c r="I106" s="87">
        <v>0</v>
      </c>
      <c r="L106" s="87">
        <v>0</v>
      </c>
    </row>
    <row r="107" spans="1:13">
      <c r="A107" s="88">
        <v>36465</v>
      </c>
      <c r="B107" s="87">
        <v>775</v>
      </c>
      <c r="C107" s="87">
        <v>866</v>
      </c>
      <c r="D107" s="87">
        <v>749.85</v>
      </c>
      <c r="E107" s="87">
        <v>806.25</v>
      </c>
      <c r="F107" s="87">
        <v>187485</v>
      </c>
      <c r="G107" s="87">
        <v>2789</v>
      </c>
      <c r="H107" s="87">
        <v>154172285</v>
      </c>
      <c r="I107" s="87">
        <v>116.15</v>
      </c>
      <c r="L107" s="87">
        <v>31.25</v>
      </c>
      <c r="M107" s="87" t="s">
        <v>174</v>
      </c>
    </row>
    <row r="108" spans="1:13">
      <c r="A108" s="88">
        <v>36495</v>
      </c>
      <c r="B108" s="87">
        <v>814.9</v>
      </c>
      <c r="C108" s="87">
        <v>860</v>
      </c>
      <c r="D108" s="87">
        <v>691.5</v>
      </c>
      <c r="E108" s="87">
        <v>695</v>
      </c>
      <c r="F108" s="87">
        <v>415752</v>
      </c>
      <c r="G108" s="87">
        <v>3987</v>
      </c>
      <c r="H108" s="87">
        <v>320241923</v>
      </c>
      <c r="I108" s="87">
        <v>168.5</v>
      </c>
      <c r="L108" s="87">
        <v>-119.9</v>
      </c>
      <c r="M108" s="87" t="s">
        <v>174</v>
      </c>
    </row>
    <row r="109" spans="1:13">
      <c r="A109" s="88">
        <v>36526</v>
      </c>
      <c r="B109" s="87">
        <v>710</v>
      </c>
      <c r="C109" s="87">
        <v>932</v>
      </c>
      <c r="D109" s="87">
        <v>710</v>
      </c>
      <c r="E109" s="87">
        <v>749.25</v>
      </c>
      <c r="F109" s="87">
        <v>401368</v>
      </c>
      <c r="G109" s="87">
        <v>5828</v>
      </c>
      <c r="H109" s="87">
        <v>328438365</v>
      </c>
      <c r="I109" s="87">
        <v>222</v>
      </c>
      <c r="L109" s="87">
        <v>39.25</v>
      </c>
      <c r="M109" s="87" t="s">
        <v>174</v>
      </c>
    </row>
    <row r="110" spans="1:13">
      <c r="A110" s="88">
        <v>36557</v>
      </c>
      <c r="B110" s="87">
        <v>660</v>
      </c>
      <c r="C110" s="87">
        <v>660</v>
      </c>
      <c r="D110" s="87">
        <v>660</v>
      </c>
      <c r="E110" s="87">
        <v>660</v>
      </c>
      <c r="F110" s="87">
        <v>24000</v>
      </c>
      <c r="G110" s="87">
        <v>1</v>
      </c>
      <c r="H110" s="87">
        <v>15840000</v>
      </c>
      <c r="I110" s="87">
        <v>0</v>
      </c>
      <c r="L110" s="87">
        <v>0</v>
      </c>
    </row>
    <row r="111" spans="1:13">
      <c r="A111" s="88">
        <v>36557</v>
      </c>
      <c r="B111" s="87">
        <v>740</v>
      </c>
      <c r="C111" s="87">
        <v>754.95</v>
      </c>
      <c r="D111" s="87">
        <v>606</v>
      </c>
      <c r="E111" s="87">
        <v>610</v>
      </c>
      <c r="F111" s="87">
        <v>224462</v>
      </c>
      <c r="G111" s="87">
        <v>4585</v>
      </c>
      <c r="H111" s="87">
        <v>153965022</v>
      </c>
      <c r="I111" s="87">
        <v>148.94999999999999</v>
      </c>
      <c r="L111" s="87">
        <v>-130</v>
      </c>
      <c r="M111" s="87" t="s">
        <v>174</v>
      </c>
    </row>
    <row r="112" spans="1:13">
      <c r="A112" s="88">
        <v>36586</v>
      </c>
      <c r="B112" s="87">
        <v>537.5</v>
      </c>
      <c r="C112" s="87">
        <v>537.5</v>
      </c>
      <c r="D112" s="87">
        <v>537.5</v>
      </c>
      <c r="E112" s="87">
        <v>537.5</v>
      </c>
      <c r="F112" s="87">
        <v>6000</v>
      </c>
      <c r="G112" s="87">
        <v>1</v>
      </c>
      <c r="H112" s="87">
        <v>3225000</v>
      </c>
      <c r="I112" s="87">
        <v>0</v>
      </c>
      <c r="L112" s="87">
        <v>0</v>
      </c>
    </row>
    <row r="113" spans="1:13">
      <c r="A113" s="88">
        <v>36586</v>
      </c>
      <c r="B113" s="87">
        <v>614</v>
      </c>
      <c r="C113" s="87">
        <v>650</v>
      </c>
      <c r="D113" s="87">
        <v>449</v>
      </c>
      <c r="E113" s="87">
        <v>620</v>
      </c>
      <c r="F113" s="87">
        <v>480015</v>
      </c>
      <c r="G113" s="87">
        <v>7877</v>
      </c>
      <c r="H113" s="87">
        <v>251597592</v>
      </c>
      <c r="I113" s="87">
        <v>201</v>
      </c>
      <c r="L113" s="87">
        <v>6</v>
      </c>
      <c r="M113" s="87" t="s">
        <v>174</v>
      </c>
    </row>
    <row r="114" spans="1:13">
      <c r="A114" s="88">
        <v>36617</v>
      </c>
      <c r="B114" s="87">
        <v>613</v>
      </c>
      <c r="C114" s="87">
        <v>615</v>
      </c>
      <c r="D114" s="87">
        <v>500</v>
      </c>
      <c r="E114" s="87">
        <v>505</v>
      </c>
      <c r="F114" s="87">
        <v>110930</v>
      </c>
      <c r="G114" s="87">
        <v>3220</v>
      </c>
      <c r="H114" s="87">
        <v>58856281</v>
      </c>
      <c r="I114" s="87">
        <v>115</v>
      </c>
      <c r="L114" s="87">
        <v>-108</v>
      </c>
      <c r="M114" s="87" t="s">
        <v>174</v>
      </c>
    </row>
    <row r="115" spans="1:13">
      <c r="A115" s="88">
        <v>36647</v>
      </c>
      <c r="B115" s="87">
        <v>540</v>
      </c>
      <c r="C115" s="87">
        <v>540</v>
      </c>
      <c r="D115" s="87">
        <v>540</v>
      </c>
      <c r="E115" s="87">
        <v>540</v>
      </c>
      <c r="F115" s="87">
        <v>100000</v>
      </c>
      <c r="G115" s="87">
        <v>1</v>
      </c>
      <c r="H115" s="87">
        <v>54000000</v>
      </c>
      <c r="I115" s="87">
        <v>0</v>
      </c>
      <c r="L115" s="87">
        <v>0</v>
      </c>
    </row>
    <row r="116" spans="1:13">
      <c r="A116" s="88">
        <v>36647</v>
      </c>
      <c r="B116" s="87">
        <v>505.25</v>
      </c>
      <c r="C116" s="87">
        <v>625</v>
      </c>
      <c r="D116" s="87">
        <v>480</v>
      </c>
      <c r="E116" s="87">
        <v>615</v>
      </c>
      <c r="F116" s="87">
        <v>322582</v>
      </c>
      <c r="G116" s="87">
        <v>6917</v>
      </c>
      <c r="H116" s="87">
        <v>176590727</v>
      </c>
      <c r="I116" s="87">
        <v>145</v>
      </c>
      <c r="L116" s="87">
        <v>109.75</v>
      </c>
      <c r="M116" s="87" t="s">
        <v>174</v>
      </c>
    </row>
    <row r="117" spans="1:13">
      <c r="A117" s="88">
        <v>36678</v>
      </c>
      <c r="B117" s="87">
        <v>606</v>
      </c>
      <c r="C117" s="87">
        <v>655</v>
      </c>
      <c r="D117" s="87">
        <v>570</v>
      </c>
      <c r="E117" s="87">
        <v>633.75</v>
      </c>
      <c r="F117" s="87">
        <v>290644</v>
      </c>
      <c r="G117" s="87">
        <v>5111</v>
      </c>
      <c r="H117" s="87">
        <v>173618217</v>
      </c>
      <c r="I117" s="87">
        <v>85</v>
      </c>
      <c r="L117" s="87">
        <v>27.75</v>
      </c>
      <c r="M117" s="87" t="s">
        <v>174</v>
      </c>
    </row>
    <row r="118" spans="1:13">
      <c r="A118" s="88">
        <v>36708</v>
      </c>
      <c r="B118" s="87">
        <v>615</v>
      </c>
      <c r="C118" s="87">
        <v>719.95</v>
      </c>
      <c r="D118" s="87">
        <v>600</v>
      </c>
      <c r="E118" s="87">
        <v>708.7</v>
      </c>
      <c r="F118" s="87">
        <v>334725</v>
      </c>
      <c r="G118" s="87">
        <v>9424</v>
      </c>
      <c r="H118" s="87">
        <v>219121530</v>
      </c>
      <c r="I118" s="87">
        <v>119.95</v>
      </c>
      <c r="L118" s="87">
        <v>93.7</v>
      </c>
      <c r="M118" s="87" t="s">
        <v>174</v>
      </c>
    </row>
    <row r="119" spans="1:13">
      <c r="A119" s="88">
        <v>36739</v>
      </c>
      <c r="B119" s="87">
        <v>714</v>
      </c>
      <c r="C119" s="87">
        <v>719</v>
      </c>
      <c r="D119" s="87">
        <v>661</v>
      </c>
      <c r="E119" s="87">
        <v>668.05</v>
      </c>
      <c r="F119" s="87">
        <v>160724</v>
      </c>
      <c r="G119" s="87">
        <v>5051</v>
      </c>
      <c r="H119" s="87">
        <v>109805978</v>
      </c>
      <c r="I119" s="87">
        <v>58</v>
      </c>
      <c r="L119" s="87">
        <v>-45.95</v>
      </c>
      <c r="M119" s="87" t="s">
        <v>174</v>
      </c>
    </row>
    <row r="120" spans="1:13">
      <c r="A120" s="88">
        <v>36770</v>
      </c>
      <c r="B120" s="87">
        <v>680</v>
      </c>
      <c r="C120" s="87">
        <v>680</v>
      </c>
      <c r="D120" s="87">
        <v>680</v>
      </c>
      <c r="E120" s="87">
        <v>680</v>
      </c>
      <c r="F120" s="87">
        <v>5000</v>
      </c>
      <c r="G120" s="87">
        <v>1</v>
      </c>
      <c r="H120" s="87">
        <v>3400000</v>
      </c>
      <c r="I120" s="87">
        <v>0</v>
      </c>
      <c r="L120" s="87">
        <v>0</v>
      </c>
    </row>
    <row r="121" spans="1:13">
      <c r="A121" s="88">
        <v>36770</v>
      </c>
      <c r="B121" s="87">
        <v>674</v>
      </c>
      <c r="C121" s="87">
        <v>714.9</v>
      </c>
      <c r="D121" s="87">
        <v>625</v>
      </c>
      <c r="E121" s="87">
        <v>659.45</v>
      </c>
      <c r="F121" s="87">
        <v>240842</v>
      </c>
      <c r="G121" s="87">
        <v>5881</v>
      </c>
      <c r="H121" s="87">
        <v>158568957</v>
      </c>
      <c r="I121" s="87">
        <v>89.9</v>
      </c>
      <c r="L121" s="87">
        <v>-14.55</v>
      </c>
      <c r="M121" s="87" t="s">
        <v>174</v>
      </c>
    </row>
    <row r="122" spans="1:13">
      <c r="A122" s="88">
        <v>36800</v>
      </c>
      <c r="B122" s="87">
        <v>655</v>
      </c>
      <c r="C122" s="87">
        <v>780</v>
      </c>
      <c r="D122" s="87">
        <v>650</v>
      </c>
      <c r="E122" s="87">
        <v>756.55</v>
      </c>
      <c r="F122" s="87">
        <v>327835</v>
      </c>
      <c r="G122" s="87">
        <v>9918</v>
      </c>
      <c r="H122" s="87">
        <v>240076340</v>
      </c>
      <c r="I122" s="87">
        <v>130</v>
      </c>
      <c r="L122" s="87">
        <v>101.55</v>
      </c>
      <c r="M122" s="87" t="s">
        <v>174</v>
      </c>
    </row>
    <row r="123" spans="1:13">
      <c r="A123" s="88">
        <v>36831</v>
      </c>
      <c r="B123" s="87">
        <v>760</v>
      </c>
      <c r="C123" s="87">
        <v>830</v>
      </c>
      <c r="D123" s="87">
        <v>760</v>
      </c>
      <c r="E123" s="87">
        <v>830</v>
      </c>
      <c r="F123" s="87">
        <v>500418</v>
      </c>
      <c r="G123" s="87">
        <v>11480</v>
      </c>
      <c r="H123" s="87">
        <v>402226937</v>
      </c>
      <c r="I123" s="87">
        <v>70</v>
      </c>
      <c r="L123" s="87">
        <v>70</v>
      </c>
      <c r="M123" s="87" t="s">
        <v>174</v>
      </c>
    </row>
    <row r="124" spans="1:13">
      <c r="A124" s="88">
        <v>36861</v>
      </c>
      <c r="B124" s="87">
        <v>825</v>
      </c>
      <c r="C124" s="87">
        <v>838.5</v>
      </c>
      <c r="D124" s="87">
        <v>750</v>
      </c>
      <c r="E124" s="87">
        <v>804.5</v>
      </c>
      <c r="F124" s="87">
        <v>191836</v>
      </c>
      <c r="G124" s="87">
        <v>5959</v>
      </c>
      <c r="H124" s="87">
        <v>150155409</v>
      </c>
      <c r="I124" s="87">
        <v>88.5</v>
      </c>
      <c r="L124" s="87">
        <v>-20.5</v>
      </c>
      <c r="M124" s="87" t="s">
        <v>174</v>
      </c>
    </row>
    <row r="125" spans="1:13">
      <c r="A125" s="88">
        <v>36892</v>
      </c>
      <c r="B125" s="87">
        <v>810</v>
      </c>
      <c r="C125" s="87">
        <v>810</v>
      </c>
      <c r="D125" s="87">
        <v>810</v>
      </c>
      <c r="E125" s="87">
        <v>810</v>
      </c>
      <c r="F125" s="87">
        <v>5000</v>
      </c>
      <c r="G125" s="87">
        <v>10</v>
      </c>
      <c r="H125" s="87">
        <v>4050000</v>
      </c>
      <c r="I125" s="87">
        <v>0</v>
      </c>
      <c r="L125" s="87">
        <v>0</v>
      </c>
    </row>
    <row r="126" spans="1:13">
      <c r="A126" s="88">
        <v>36892</v>
      </c>
      <c r="B126" s="87">
        <v>802</v>
      </c>
      <c r="C126" s="87">
        <v>819</v>
      </c>
      <c r="D126" s="87">
        <v>730.25</v>
      </c>
      <c r="E126" s="87">
        <v>798.15</v>
      </c>
      <c r="F126" s="87">
        <v>130625</v>
      </c>
      <c r="G126" s="87">
        <v>4875</v>
      </c>
      <c r="H126" s="87">
        <v>103353750</v>
      </c>
      <c r="I126" s="87">
        <v>88.75</v>
      </c>
      <c r="L126" s="87">
        <v>-3.85</v>
      </c>
      <c r="M126" s="87" t="s">
        <v>174</v>
      </c>
    </row>
    <row r="127" spans="1:13">
      <c r="A127" s="88">
        <v>36923</v>
      </c>
      <c r="B127" s="87">
        <v>792</v>
      </c>
      <c r="C127" s="87">
        <v>820</v>
      </c>
      <c r="D127" s="87">
        <v>725</v>
      </c>
      <c r="E127" s="87">
        <v>733.25</v>
      </c>
      <c r="F127" s="87">
        <v>383897</v>
      </c>
      <c r="G127" s="87">
        <v>8144</v>
      </c>
      <c r="H127" s="87">
        <v>305846781</v>
      </c>
      <c r="I127" s="87">
        <v>95</v>
      </c>
      <c r="L127" s="87">
        <v>-58.75</v>
      </c>
      <c r="M127" s="87" t="s">
        <v>174</v>
      </c>
    </row>
    <row r="128" spans="1:13">
      <c r="A128" s="88">
        <v>36951</v>
      </c>
      <c r="B128" s="87">
        <v>722.5</v>
      </c>
      <c r="C128" s="87">
        <v>740</v>
      </c>
      <c r="D128" s="87">
        <v>634.85</v>
      </c>
      <c r="E128" s="87">
        <v>690.15</v>
      </c>
      <c r="F128" s="87">
        <v>269460</v>
      </c>
      <c r="G128" s="87">
        <v>4607</v>
      </c>
      <c r="H128" s="87">
        <v>185590547</v>
      </c>
      <c r="I128" s="87">
        <v>105.15</v>
      </c>
      <c r="L128" s="87">
        <v>-32.35</v>
      </c>
      <c r="M128" s="87" t="s">
        <v>174</v>
      </c>
    </row>
    <row r="129" spans="1:13">
      <c r="A129" s="88">
        <v>36982</v>
      </c>
      <c r="B129" s="87">
        <v>675</v>
      </c>
      <c r="C129" s="87">
        <v>703.95</v>
      </c>
      <c r="D129" s="87">
        <v>630</v>
      </c>
      <c r="E129" s="87">
        <v>694.25</v>
      </c>
      <c r="F129" s="87">
        <v>111339</v>
      </c>
      <c r="G129" s="87">
        <v>2900</v>
      </c>
      <c r="H129" s="87">
        <v>76278445</v>
      </c>
      <c r="I129" s="87">
        <v>73.95</v>
      </c>
      <c r="L129" s="87">
        <v>19.25</v>
      </c>
      <c r="M129" s="87" t="s">
        <v>174</v>
      </c>
    </row>
    <row r="130" spans="1:13">
      <c r="A130" s="88">
        <v>37012</v>
      </c>
      <c r="B130" s="87">
        <v>695</v>
      </c>
      <c r="C130" s="87">
        <v>695</v>
      </c>
      <c r="D130" s="87">
        <v>633</v>
      </c>
      <c r="E130" s="87">
        <v>647.95000000000005</v>
      </c>
      <c r="F130" s="87">
        <v>80480</v>
      </c>
      <c r="G130" s="87">
        <v>3063</v>
      </c>
      <c r="H130" s="87">
        <v>52946639</v>
      </c>
      <c r="I130" s="87">
        <v>62</v>
      </c>
      <c r="L130" s="87">
        <v>-47.05</v>
      </c>
      <c r="M130" s="87" t="s">
        <v>174</v>
      </c>
    </row>
    <row r="131" spans="1:13">
      <c r="A131" s="88">
        <v>37043</v>
      </c>
      <c r="B131" s="87">
        <v>640</v>
      </c>
      <c r="C131" s="87">
        <v>640</v>
      </c>
      <c r="D131" s="87">
        <v>640</v>
      </c>
      <c r="E131" s="87">
        <v>640</v>
      </c>
      <c r="F131" s="87">
        <v>8000</v>
      </c>
      <c r="G131" s="87">
        <v>1</v>
      </c>
      <c r="H131" s="87">
        <v>5120000</v>
      </c>
      <c r="I131" s="87">
        <v>0</v>
      </c>
      <c r="L131" s="87">
        <v>0</v>
      </c>
    </row>
    <row r="132" spans="1:13">
      <c r="A132" s="88">
        <v>37043</v>
      </c>
      <c r="B132" s="87">
        <v>645</v>
      </c>
      <c r="C132" s="87">
        <v>675</v>
      </c>
      <c r="D132" s="87">
        <v>598</v>
      </c>
      <c r="E132" s="87">
        <v>621.4</v>
      </c>
      <c r="F132" s="87">
        <v>130713</v>
      </c>
      <c r="G132" s="87">
        <v>5236</v>
      </c>
      <c r="H132" s="87">
        <v>83828942</v>
      </c>
      <c r="I132" s="87">
        <v>77</v>
      </c>
      <c r="L132" s="87">
        <v>-23.6</v>
      </c>
      <c r="M132" s="87" t="s">
        <v>174</v>
      </c>
    </row>
    <row r="133" spans="1:13">
      <c r="A133" s="88">
        <v>37073</v>
      </c>
      <c r="B133" s="87">
        <v>625</v>
      </c>
      <c r="C133" s="87">
        <v>625</v>
      </c>
      <c r="D133" s="87">
        <v>533</v>
      </c>
      <c r="E133" s="87">
        <v>585</v>
      </c>
      <c r="F133" s="87">
        <v>87182</v>
      </c>
      <c r="G133" s="87">
        <v>789</v>
      </c>
      <c r="H133" s="87">
        <v>51429662</v>
      </c>
      <c r="I133" s="87">
        <v>92</v>
      </c>
      <c r="L133" s="87">
        <v>-40</v>
      </c>
    </row>
    <row r="134" spans="1:13">
      <c r="A134" s="88">
        <v>37104</v>
      </c>
      <c r="B134" s="87">
        <v>581</v>
      </c>
      <c r="C134" s="87">
        <v>595</v>
      </c>
      <c r="D134" s="87">
        <v>540</v>
      </c>
      <c r="E134" s="87">
        <v>556.4</v>
      </c>
      <c r="F134" s="87">
        <v>181571</v>
      </c>
      <c r="G134" s="87">
        <v>1367</v>
      </c>
      <c r="H134" s="87">
        <v>101256653</v>
      </c>
      <c r="I134" s="87">
        <v>55</v>
      </c>
      <c r="L134" s="87">
        <v>-24.6</v>
      </c>
    </row>
    <row r="135" spans="1:13">
      <c r="A135" s="88">
        <v>37135</v>
      </c>
      <c r="B135" s="87">
        <v>570</v>
      </c>
      <c r="C135" s="87">
        <v>580</v>
      </c>
      <c r="D135" s="87">
        <v>485.55</v>
      </c>
      <c r="E135" s="87">
        <v>508.75</v>
      </c>
      <c r="F135" s="87">
        <v>323124</v>
      </c>
      <c r="G135" s="87">
        <v>2918</v>
      </c>
      <c r="H135" s="87">
        <v>178401207</v>
      </c>
      <c r="I135" s="87">
        <v>94.45</v>
      </c>
      <c r="L135" s="87">
        <v>-61.25</v>
      </c>
    </row>
    <row r="136" spans="1:13">
      <c r="A136" s="88">
        <v>37165</v>
      </c>
      <c r="B136" s="87">
        <v>509.95</v>
      </c>
      <c r="C136" s="87">
        <v>555</v>
      </c>
      <c r="D136" s="87">
        <v>495</v>
      </c>
      <c r="E136" s="87">
        <v>529.29999999999995</v>
      </c>
      <c r="F136" s="87">
        <v>534259</v>
      </c>
      <c r="G136" s="87">
        <v>1336</v>
      </c>
      <c r="H136" s="87">
        <v>273185075</v>
      </c>
      <c r="I136" s="87">
        <v>60</v>
      </c>
      <c r="L136" s="87">
        <v>19.350000000000001</v>
      </c>
    </row>
    <row r="137" spans="1:13">
      <c r="A137" s="88">
        <v>37196</v>
      </c>
      <c r="B137" s="87">
        <v>526</v>
      </c>
      <c r="C137" s="87">
        <v>586.54999999999995</v>
      </c>
      <c r="D137" s="87">
        <v>526</v>
      </c>
      <c r="E137" s="87">
        <v>575</v>
      </c>
      <c r="F137" s="87">
        <v>157812</v>
      </c>
      <c r="G137" s="87">
        <v>2613</v>
      </c>
      <c r="H137" s="87">
        <v>87092903</v>
      </c>
      <c r="I137" s="87">
        <v>60.55</v>
      </c>
      <c r="L137" s="87">
        <v>49</v>
      </c>
    </row>
    <row r="138" spans="1:13">
      <c r="A138" s="88">
        <v>37226</v>
      </c>
      <c r="B138" s="87">
        <v>586</v>
      </c>
      <c r="C138" s="87">
        <v>641</v>
      </c>
      <c r="D138" s="87">
        <v>567.15</v>
      </c>
      <c r="E138" s="87">
        <v>616.1</v>
      </c>
      <c r="F138" s="87">
        <v>113587</v>
      </c>
      <c r="G138" s="87">
        <v>1835</v>
      </c>
      <c r="H138" s="87">
        <v>67886346</v>
      </c>
      <c r="I138" s="87">
        <v>73.849999999999994</v>
      </c>
      <c r="L138" s="87">
        <v>30.1</v>
      </c>
    </row>
    <row r="139" spans="1:13">
      <c r="A139" s="88">
        <v>37257</v>
      </c>
      <c r="B139" s="87">
        <v>600.54999999999995</v>
      </c>
      <c r="C139" s="87">
        <v>616.75</v>
      </c>
      <c r="D139" s="87">
        <v>573</v>
      </c>
      <c r="E139" s="87">
        <v>575</v>
      </c>
      <c r="F139" s="87">
        <v>112054</v>
      </c>
      <c r="G139" s="87">
        <v>1196</v>
      </c>
      <c r="H139" s="87">
        <v>66056895</v>
      </c>
      <c r="I139" s="87">
        <v>43.75</v>
      </c>
      <c r="L139" s="87">
        <v>-25.55</v>
      </c>
    </row>
    <row r="140" spans="1:13">
      <c r="A140" s="88">
        <v>37288</v>
      </c>
      <c r="B140" s="87">
        <v>585</v>
      </c>
      <c r="C140" s="87">
        <v>600</v>
      </c>
      <c r="D140" s="87">
        <v>548</v>
      </c>
      <c r="E140" s="87">
        <v>562.29999999999995</v>
      </c>
      <c r="F140" s="87">
        <v>413378</v>
      </c>
      <c r="G140" s="87">
        <v>2378</v>
      </c>
      <c r="H140" s="87">
        <v>233896423</v>
      </c>
      <c r="I140" s="87">
        <v>52</v>
      </c>
      <c r="J140" s="87">
        <v>372686</v>
      </c>
      <c r="K140" s="87">
        <v>90.16</v>
      </c>
      <c r="L140" s="87">
        <v>-22.7</v>
      </c>
    </row>
    <row r="141" spans="1:13">
      <c r="A141" s="88">
        <v>37316</v>
      </c>
      <c r="B141" s="87">
        <v>570</v>
      </c>
      <c r="C141" s="87">
        <v>570</v>
      </c>
      <c r="D141" s="87">
        <v>525</v>
      </c>
      <c r="E141" s="87">
        <v>541.20000000000005</v>
      </c>
      <c r="F141" s="87">
        <v>236325</v>
      </c>
      <c r="G141" s="87">
        <v>2098</v>
      </c>
      <c r="H141" s="87">
        <v>127206449</v>
      </c>
      <c r="I141" s="87">
        <v>45</v>
      </c>
      <c r="J141" s="87">
        <v>227376</v>
      </c>
      <c r="K141" s="87">
        <v>96.21</v>
      </c>
      <c r="L141" s="87">
        <v>-28.8</v>
      </c>
    </row>
    <row r="142" spans="1:13">
      <c r="A142" s="88">
        <v>37347</v>
      </c>
      <c r="B142" s="87">
        <v>545</v>
      </c>
      <c r="C142" s="87">
        <v>552</v>
      </c>
      <c r="D142" s="87">
        <v>522</v>
      </c>
      <c r="E142" s="87">
        <v>538.75</v>
      </c>
      <c r="F142" s="87">
        <v>158317</v>
      </c>
      <c r="G142" s="87">
        <v>1743</v>
      </c>
      <c r="H142" s="87">
        <v>85103240</v>
      </c>
      <c r="I142" s="87">
        <v>30</v>
      </c>
      <c r="J142" s="87">
        <v>146155</v>
      </c>
      <c r="K142" s="87">
        <v>92.32</v>
      </c>
      <c r="L142" s="87">
        <v>-6.25</v>
      </c>
    </row>
    <row r="143" spans="1:13">
      <c r="A143" s="88">
        <v>37377</v>
      </c>
      <c r="B143" s="87">
        <v>541.5</v>
      </c>
      <c r="C143" s="87">
        <v>550</v>
      </c>
      <c r="D143" s="87">
        <v>505</v>
      </c>
      <c r="E143" s="87">
        <v>525</v>
      </c>
      <c r="F143" s="87">
        <v>133341</v>
      </c>
      <c r="G143" s="87">
        <v>1106</v>
      </c>
      <c r="H143" s="87">
        <v>71746461</v>
      </c>
      <c r="I143" s="87">
        <v>45</v>
      </c>
      <c r="J143" s="87">
        <v>123671</v>
      </c>
      <c r="K143" s="87">
        <v>92.75</v>
      </c>
      <c r="L143" s="87">
        <v>-16.5</v>
      </c>
    </row>
    <row r="144" spans="1:13">
      <c r="A144" s="88">
        <v>37408</v>
      </c>
      <c r="B144" s="87">
        <v>528</v>
      </c>
      <c r="C144" s="87">
        <v>558</v>
      </c>
      <c r="D144" s="87">
        <v>505.05</v>
      </c>
      <c r="E144" s="87">
        <v>514</v>
      </c>
      <c r="F144" s="87">
        <v>113405</v>
      </c>
      <c r="G144" s="87">
        <v>1758</v>
      </c>
      <c r="H144" s="87">
        <v>58761871</v>
      </c>
      <c r="I144" s="87">
        <v>52.95</v>
      </c>
      <c r="J144" s="87">
        <v>104911</v>
      </c>
      <c r="K144" s="87">
        <v>92.51</v>
      </c>
      <c r="L144" s="87">
        <v>-14</v>
      </c>
    </row>
    <row r="145" spans="1:12">
      <c r="A145" s="88">
        <v>37438</v>
      </c>
      <c r="B145" s="87">
        <v>510</v>
      </c>
      <c r="C145" s="87">
        <v>531.95000000000005</v>
      </c>
      <c r="D145" s="87">
        <v>505</v>
      </c>
      <c r="E145" s="87">
        <v>513.25</v>
      </c>
      <c r="F145" s="87">
        <v>145573</v>
      </c>
      <c r="G145" s="87">
        <v>1622</v>
      </c>
      <c r="H145" s="87">
        <v>75564938</v>
      </c>
      <c r="I145" s="87">
        <v>26.95</v>
      </c>
      <c r="J145" s="87">
        <v>135018</v>
      </c>
      <c r="K145" s="87">
        <v>92.75</v>
      </c>
      <c r="L145" s="87">
        <v>3.25</v>
      </c>
    </row>
    <row r="146" spans="1:12">
      <c r="A146" s="88">
        <v>37469</v>
      </c>
      <c r="B146" s="87">
        <v>510</v>
      </c>
      <c r="C146" s="87">
        <v>529</v>
      </c>
      <c r="D146" s="87">
        <v>501</v>
      </c>
      <c r="E146" s="87">
        <v>527.1</v>
      </c>
      <c r="F146" s="87">
        <v>46518</v>
      </c>
      <c r="G146" s="87">
        <v>1412</v>
      </c>
      <c r="H146" s="87">
        <v>24056940</v>
      </c>
      <c r="I146" s="87">
        <v>28</v>
      </c>
      <c r="J146" s="87">
        <v>36715</v>
      </c>
      <c r="K146" s="87">
        <v>78.930000000000007</v>
      </c>
      <c r="L146" s="87">
        <v>17.100000000000001</v>
      </c>
    </row>
    <row r="147" spans="1:12">
      <c r="A147" s="88">
        <v>37500</v>
      </c>
      <c r="B147" s="87">
        <v>529.9</v>
      </c>
      <c r="C147" s="87">
        <v>582</v>
      </c>
      <c r="D147" s="87">
        <v>516</v>
      </c>
      <c r="E147" s="87">
        <v>518.54999999999995</v>
      </c>
      <c r="F147" s="87">
        <v>168346</v>
      </c>
      <c r="G147" s="87">
        <v>2626</v>
      </c>
      <c r="H147" s="87">
        <v>89133895</v>
      </c>
      <c r="I147" s="87">
        <v>66</v>
      </c>
      <c r="J147" s="87">
        <v>147112</v>
      </c>
      <c r="K147" s="87">
        <v>87.39</v>
      </c>
      <c r="L147" s="87">
        <v>-11.35</v>
      </c>
    </row>
    <row r="148" spans="1:12">
      <c r="A148" s="88">
        <v>37530</v>
      </c>
      <c r="B148" s="87">
        <v>518</v>
      </c>
      <c r="C148" s="87">
        <v>533.85</v>
      </c>
      <c r="D148" s="87">
        <v>470</v>
      </c>
      <c r="E148" s="87">
        <v>524.4</v>
      </c>
      <c r="F148" s="87">
        <v>391245</v>
      </c>
      <c r="G148" s="87">
        <v>1650</v>
      </c>
      <c r="H148" s="87">
        <v>205093356</v>
      </c>
      <c r="I148" s="87">
        <v>63.85</v>
      </c>
      <c r="J148" s="87">
        <v>377196</v>
      </c>
      <c r="K148" s="87">
        <v>96.41</v>
      </c>
      <c r="L148" s="87">
        <v>6.4</v>
      </c>
    </row>
    <row r="149" spans="1:12">
      <c r="A149" s="88">
        <v>37561</v>
      </c>
      <c r="B149" s="87">
        <v>518.54999999999995</v>
      </c>
      <c r="C149" s="87">
        <v>529.9</v>
      </c>
      <c r="D149" s="87">
        <v>503</v>
      </c>
      <c r="E149" s="87">
        <v>521.25</v>
      </c>
      <c r="F149" s="87">
        <v>341300</v>
      </c>
      <c r="G149" s="87">
        <v>750</v>
      </c>
      <c r="H149" s="87">
        <v>178565800</v>
      </c>
      <c r="I149" s="87">
        <v>26.9</v>
      </c>
      <c r="J149" s="87">
        <v>339795</v>
      </c>
      <c r="K149" s="87">
        <v>99.56</v>
      </c>
      <c r="L149" s="87">
        <v>2.7</v>
      </c>
    </row>
    <row r="150" spans="1:12">
      <c r="A150" s="88">
        <v>37591</v>
      </c>
      <c r="B150" s="87">
        <v>522.9</v>
      </c>
      <c r="C150" s="87">
        <v>528.79999999999995</v>
      </c>
      <c r="D150" s="87">
        <v>500</v>
      </c>
      <c r="E150" s="87">
        <v>515</v>
      </c>
      <c r="F150" s="87">
        <v>61316</v>
      </c>
      <c r="G150" s="87">
        <v>742</v>
      </c>
      <c r="H150" s="87">
        <v>31861292</v>
      </c>
      <c r="I150" s="87">
        <v>28.8</v>
      </c>
      <c r="J150" s="87">
        <v>59706</v>
      </c>
      <c r="K150" s="87">
        <v>97.37</v>
      </c>
      <c r="L150" s="87">
        <v>-7.9</v>
      </c>
    </row>
    <row r="151" spans="1:12">
      <c r="A151" s="88">
        <v>37622</v>
      </c>
      <c r="B151" s="87">
        <v>512.5</v>
      </c>
      <c r="C151" s="87">
        <v>525</v>
      </c>
      <c r="D151" s="87">
        <v>505.05</v>
      </c>
      <c r="E151" s="87">
        <v>508</v>
      </c>
      <c r="F151" s="87">
        <v>35401</v>
      </c>
      <c r="G151" s="87">
        <v>732</v>
      </c>
      <c r="H151" s="87">
        <v>18305004</v>
      </c>
      <c r="I151" s="87">
        <v>19.95</v>
      </c>
      <c r="J151" s="87">
        <v>32850</v>
      </c>
      <c r="K151" s="87">
        <v>92.79</v>
      </c>
      <c r="L151" s="87">
        <v>-4.5</v>
      </c>
    </row>
    <row r="152" spans="1:12">
      <c r="A152" s="88">
        <v>37653</v>
      </c>
      <c r="B152" s="87">
        <v>501.5</v>
      </c>
      <c r="C152" s="87">
        <v>530</v>
      </c>
      <c r="D152" s="87">
        <v>493</v>
      </c>
      <c r="E152" s="87">
        <v>519.9</v>
      </c>
      <c r="F152" s="87">
        <v>25701</v>
      </c>
      <c r="G152" s="87">
        <v>656</v>
      </c>
      <c r="H152" s="87">
        <v>13027413</v>
      </c>
      <c r="I152" s="87">
        <v>37</v>
      </c>
      <c r="J152" s="87">
        <v>23538</v>
      </c>
      <c r="K152" s="87">
        <v>91.58</v>
      </c>
      <c r="L152" s="87">
        <v>18.399999999999999</v>
      </c>
    </row>
    <row r="153" spans="1:12">
      <c r="A153" s="88">
        <v>37681</v>
      </c>
      <c r="B153" s="87">
        <v>524</v>
      </c>
      <c r="C153" s="87">
        <v>539.9</v>
      </c>
      <c r="D153" s="87">
        <v>486</v>
      </c>
      <c r="E153" s="87">
        <v>500</v>
      </c>
      <c r="F153" s="87">
        <v>28537</v>
      </c>
      <c r="G153" s="87">
        <v>1005</v>
      </c>
      <c r="H153" s="87">
        <v>14382620</v>
      </c>
      <c r="I153" s="87">
        <v>53.9</v>
      </c>
      <c r="J153" s="87">
        <v>24408</v>
      </c>
      <c r="K153" s="87">
        <v>85.53</v>
      </c>
      <c r="L153" s="87">
        <v>-24</v>
      </c>
    </row>
    <row r="154" spans="1:12">
      <c r="A154" s="88">
        <v>37712</v>
      </c>
      <c r="B154" s="87">
        <v>488</v>
      </c>
      <c r="C154" s="87">
        <v>525</v>
      </c>
      <c r="D154" s="87">
        <v>488</v>
      </c>
      <c r="E154" s="87">
        <v>514.15</v>
      </c>
      <c r="F154" s="87">
        <v>288458</v>
      </c>
      <c r="G154" s="87">
        <v>1388</v>
      </c>
      <c r="H154" s="87">
        <v>151199215</v>
      </c>
      <c r="I154" s="87">
        <v>37</v>
      </c>
      <c r="J154" s="87">
        <v>275537</v>
      </c>
      <c r="K154" s="87">
        <v>95.52</v>
      </c>
      <c r="L154" s="87">
        <v>26.15</v>
      </c>
    </row>
    <row r="155" spans="1:12">
      <c r="A155" s="88">
        <v>37742</v>
      </c>
      <c r="B155" s="87">
        <v>512.04999999999995</v>
      </c>
      <c r="C155" s="87">
        <v>560</v>
      </c>
      <c r="D155" s="87">
        <v>507.3</v>
      </c>
      <c r="E155" s="87">
        <v>533</v>
      </c>
      <c r="F155" s="87">
        <v>183349</v>
      </c>
      <c r="G155" s="87">
        <v>1677</v>
      </c>
      <c r="H155" s="87">
        <v>100258122</v>
      </c>
      <c r="I155" s="87">
        <v>52.7</v>
      </c>
      <c r="J155" s="87">
        <v>159941</v>
      </c>
      <c r="K155" s="87">
        <v>87.23</v>
      </c>
      <c r="L155" s="87">
        <v>20.95</v>
      </c>
    </row>
    <row r="156" spans="1:12">
      <c r="A156" s="88">
        <v>37773</v>
      </c>
      <c r="B156" s="87">
        <v>532.45000000000005</v>
      </c>
      <c r="C156" s="87">
        <v>573</v>
      </c>
      <c r="D156" s="87">
        <v>510.25</v>
      </c>
      <c r="E156" s="87">
        <v>520</v>
      </c>
      <c r="F156" s="87">
        <v>82526</v>
      </c>
      <c r="G156" s="87">
        <v>2882</v>
      </c>
      <c r="H156" s="87">
        <v>44624334</v>
      </c>
      <c r="I156" s="87">
        <v>62.75</v>
      </c>
      <c r="J156" s="87">
        <v>42143</v>
      </c>
      <c r="K156" s="87">
        <v>51.07</v>
      </c>
      <c r="L156" s="87">
        <v>-12.45</v>
      </c>
    </row>
    <row r="157" spans="1:12">
      <c r="A157" s="88">
        <v>37803</v>
      </c>
      <c r="B157" s="87">
        <v>522</v>
      </c>
      <c r="C157" s="87">
        <v>567</v>
      </c>
      <c r="D157" s="87">
        <v>511</v>
      </c>
      <c r="E157" s="87">
        <v>547.75</v>
      </c>
      <c r="F157" s="87">
        <v>39531</v>
      </c>
      <c r="G157" s="87">
        <v>1509</v>
      </c>
      <c r="H157" s="87">
        <v>21480270</v>
      </c>
      <c r="I157" s="87">
        <v>56</v>
      </c>
      <c r="J157" s="87">
        <v>29230</v>
      </c>
      <c r="K157" s="87">
        <v>73.94</v>
      </c>
      <c r="L157" s="87">
        <v>25.75</v>
      </c>
    </row>
    <row r="158" spans="1:12">
      <c r="A158" s="88">
        <v>37834</v>
      </c>
      <c r="B158" s="87">
        <v>547.75</v>
      </c>
      <c r="C158" s="87">
        <v>569</v>
      </c>
      <c r="D158" s="87">
        <v>502</v>
      </c>
      <c r="E158" s="87">
        <v>560</v>
      </c>
      <c r="F158" s="87">
        <v>113508</v>
      </c>
      <c r="G158" s="87">
        <v>1871</v>
      </c>
      <c r="H158" s="87">
        <v>63230838</v>
      </c>
      <c r="I158" s="87">
        <v>67</v>
      </c>
      <c r="J158" s="87">
        <v>87335</v>
      </c>
      <c r="K158" s="87">
        <v>76.94</v>
      </c>
      <c r="L158" s="87">
        <v>12.25</v>
      </c>
    </row>
    <row r="159" spans="1:12">
      <c r="A159" s="88">
        <v>37865</v>
      </c>
      <c r="B159" s="87">
        <v>560</v>
      </c>
      <c r="C159" s="87">
        <v>575.15</v>
      </c>
      <c r="D159" s="87">
        <v>514.20000000000005</v>
      </c>
      <c r="E159" s="87">
        <v>563.95000000000005</v>
      </c>
      <c r="F159" s="87">
        <v>48705</v>
      </c>
      <c r="G159" s="87">
        <v>1875</v>
      </c>
      <c r="H159" s="87">
        <v>27297124</v>
      </c>
      <c r="I159" s="87">
        <v>60.95</v>
      </c>
      <c r="J159" s="87">
        <v>35347</v>
      </c>
      <c r="K159" s="87">
        <v>72.569999999999993</v>
      </c>
      <c r="L159" s="87">
        <v>3.95</v>
      </c>
    </row>
    <row r="160" spans="1:12">
      <c r="A160" s="88">
        <v>37895</v>
      </c>
      <c r="B160" s="87">
        <v>551.20000000000005</v>
      </c>
      <c r="C160" s="87">
        <v>580</v>
      </c>
      <c r="D160" s="87">
        <v>538.1</v>
      </c>
      <c r="E160" s="87">
        <v>568.25</v>
      </c>
      <c r="F160" s="87">
        <v>62037</v>
      </c>
      <c r="G160" s="87">
        <v>2108</v>
      </c>
      <c r="H160" s="87">
        <v>34872055</v>
      </c>
      <c r="I160" s="87">
        <v>41.9</v>
      </c>
      <c r="J160" s="87">
        <v>56623</v>
      </c>
      <c r="K160" s="87">
        <v>91.27</v>
      </c>
      <c r="L160" s="87">
        <v>17.05</v>
      </c>
    </row>
    <row r="161" spans="1:12">
      <c r="A161" s="88">
        <v>37926</v>
      </c>
      <c r="B161" s="87">
        <v>565</v>
      </c>
      <c r="C161" s="87">
        <v>570</v>
      </c>
      <c r="D161" s="87">
        <v>505.4</v>
      </c>
      <c r="E161" s="87">
        <v>530.35</v>
      </c>
      <c r="F161" s="87">
        <v>129026</v>
      </c>
      <c r="G161" s="87">
        <v>2949</v>
      </c>
      <c r="H161" s="87">
        <v>69991445</v>
      </c>
      <c r="I161" s="87">
        <v>64.599999999999994</v>
      </c>
      <c r="J161" s="87">
        <v>110622</v>
      </c>
      <c r="K161" s="87">
        <v>85.74</v>
      </c>
      <c r="L161" s="87">
        <v>-34.65</v>
      </c>
    </row>
    <row r="162" spans="1:12">
      <c r="A162" s="88">
        <v>37956</v>
      </c>
      <c r="B162" s="87">
        <v>535</v>
      </c>
      <c r="C162" s="87">
        <v>693</v>
      </c>
      <c r="D162" s="87">
        <v>530</v>
      </c>
      <c r="E162" s="87">
        <v>685.3</v>
      </c>
      <c r="F162" s="87">
        <v>219682</v>
      </c>
      <c r="G162" s="87">
        <v>7186</v>
      </c>
      <c r="H162" s="87">
        <v>139574781</v>
      </c>
      <c r="I162" s="87">
        <v>163</v>
      </c>
      <c r="J162" s="87">
        <v>177553</v>
      </c>
      <c r="K162" s="87">
        <v>80.819999999999993</v>
      </c>
      <c r="L162" s="87">
        <v>150.30000000000001</v>
      </c>
    </row>
    <row r="163" spans="1:12">
      <c r="A163" s="88">
        <v>37987</v>
      </c>
      <c r="B163" s="87">
        <v>700</v>
      </c>
      <c r="C163" s="87">
        <v>720</v>
      </c>
      <c r="D163" s="87">
        <v>610</v>
      </c>
      <c r="E163" s="87">
        <v>656.15</v>
      </c>
      <c r="F163" s="87">
        <v>268781</v>
      </c>
      <c r="G163" s="87">
        <v>4203</v>
      </c>
      <c r="H163" s="87">
        <v>184993793</v>
      </c>
      <c r="I163" s="87">
        <v>110</v>
      </c>
      <c r="J163" s="87">
        <v>242940</v>
      </c>
      <c r="K163" s="87">
        <v>90.39</v>
      </c>
      <c r="L163" s="87">
        <v>-43.85</v>
      </c>
    </row>
    <row r="164" spans="1:12">
      <c r="A164" s="88">
        <v>38018</v>
      </c>
      <c r="B164" s="87">
        <v>645</v>
      </c>
      <c r="C164" s="87">
        <v>695</v>
      </c>
      <c r="D164" s="87">
        <v>630</v>
      </c>
      <c r="E164" s="87">
        <v>660.05</v>
      </c>
      <c r="F164" s="87">
        <v>92147</v>
      </c>
      <c r="G164" s="87">
        <v>2491</v>
      </c>
      <c r="H164" s="87">
        <v>60995024</v>
      </c>
      <c r="I164" s="87">
        <v>65</v>
      </c>
      <c r="J164" s="87">
        <v>69115</v>
      </c>
      <c r="K164" s="87">
        <v>75.010000000000005</v>
      </c>
      <c r="L164" s="87">
        <v>15.05</v>
      </c>
    </row>
    <row r="165" spans="1:12">
      <c r="A165" s="88">
        <v>38047</v>
      </c>
      <c r="B165" s="87">
        <v>667.95</v>
      </c>
      <c r="C165" s="87">
        <v>689.95</v>
      </c>
      <c r="D165" s="87">
        <v>577</v>
      </c>
      <c r="E165" s="87">
        <v>624.95000000000005</v>
      </c>
      <c r="F165" s="87">
        <v>132329</v>
      </c>
      <c r="G165" s="87">
        <v>1884</v>
      </c>
      <c r="H165" s="87">
        <v>82024435</v>
      </c>
      <c r="I165" s="87">
        <v>112.95</v>
      </c>
      <c r="J165" s="87">
        <v>92313</v>
      </c>
      <c r="K165" s="87">
        <v>69.760000000000005</v>
      </c>
      <c r="L165" s="87">
        <v>-43</v>
      </c>
    </row>
    <row r="166" spans="1:12">
      <c r="A166" s="88">
        <v>38078</v>
      </c>
      <c r="B166" s="87">
        <v>572</v>
      </c>
      <c r="C166" s="87">
        <v>630</v>
      </c>
      <c r="D166" s="87">
        <v>572</v>
      </c>
      <c r="E166" s="87">
        <v>601.29999999999995</v>
      </c>
      <c r="F166" s="87">
        <v>96362</v>
      </c>
      <c r="G166" s="87">
        <v>1294</v>
      </c>
      <c r="H166" s="87">
        <v>59458314</v>
      </c>
      <c r="I166" s="87">
        <v>58</v>
      </c>
      <c r="J166" s="87">
        <v>91720</v>
      </c>
      <c r="K166" s="87">
        <v>95.18</v>
      </c>
      <c r="L166" s="87">
        <v>29.3</v>
      </c>
    </row>
    <row r="167" spans="1:12">
      <c r="A167" s="88">
        <v>38108</v>
      </c>
      <c r="B167" s="87">
        <v>604</v>
      </c>
      <c r="C167" s="87">
        <v>614</v>
      </c>
      <c r="D167" s="87">
        <v>538.29999999999995</v>
      </c>
      <c r="E167" s="87">
        <v>575.04999999999995</v>
      </c>
      <c r="F167" s="87">
        <v>51565</v>
      </c>
      <c r="G167" s="87">
        <v>1257</v>
      </c>
      <c r="H167" s="87">
        <v>30121880</v>
      </c>
      <c r="I167" s="87">
        <v>75.7</v>
      </c>
      <c r="J167" s="87">
        <v>44593</v>
      </c>
      <c r="K167" s="87">
        <v>86.48</v>
      </c>
      <c r="L167" s="87">
        <v>-28.95</v>
      </c>
    </row>
    <row r="168" spans="1:12">
      <c r="A168" s="88">
        <v>38139</v>
      </c>
      <c r="B168" s="87">
        <v>576</v>
      </c>
      <c r="C168" s="87">
        <v>635</v>
      </c>
      <c r="D168" s="87">
        <v>567</v>
      </c>
      <c r="E168" s="87">
        <v>625.1</v>
      </c>
      <c r="F168" s="87">
        <v>303792</v>
      </c>
      <c r="G168" s="87">
        <v>2594</v>
      </c>
      <c r="H168" s="87">
        <v>188873342</v>
      </c>
      <c r="I168" s="87">
        <v>68</v>
      </c>
      <c r="J168" s="87">
        <v>285700</v>
      </c>
      <c r="K168" s="87">
        <v>94.04</v>
      </c>
      <c r="L168" s="87">
        <v>49.1</v>
      </c>
    </row>
    <row r="169" spans="1:12">
      <c r="A169" s="88">
        <v>38169</v>
      </c>
      <c r="B169" s="87">
        <v>626</v>
      </c>
      <c r="C169" s="87">
        <v>649</v>
      </c>
      <c r="D169" s="87">
        <v>565.25</v>
      </c>
      <c r="E169" s="87">
        <v>625.95000000000005</v>
      </c>
      <c r="F169" s="87">
        <v>362743</v>
      </c>
      <c r="G169" s="87">
        <v>2380</v>
      </c>
      <c r="H169" s="87">
        <v>233272683</v>
      </c>
      <c r="I169" s="87">
        <v>83.75</v>
      </c>
      <c r="J169" s="87">
        <v>328284</v>
      </c>
      <c r="K169" s="87">
        <v>90.5</v>
      </c>
      <c r="L169" s="87">
        <v>-0.05</v>
      </c>
    </row>
    <row r="170" spans="1:12">
      <c r="A170" s="88">
        <v>38200</v>
      </c>
      <c r="B170" s="87">
        <v>625</v>
      </c>
      <c r="C170" s="87">
        <v>675</v>
      </c>
      <c r="D170" s="87">
        <v>610</v>
      </c>
      <c r="E170" s="87">
        <v>672.7</v>
      </c>
      <c r="F170" s="87">
        <v>304677</v>
      </c>
      <c r="G170" s="87">
        <v>1563</v>
      </c>
      <c r="H170" s="87">
        <v>201449216</v>
      </c>
      <c r="I170" s="87">
        <v>65</v>
      </c>
      <c r="J170" s="87">
        <v>296063</v>
      </c>
      <c r="K170" s="87">
        <v>97.17</v>
      </c>
      <c r="L170" s="87">
        <v>47.7</v>
      </c>
    </row>
    <row r="171" spans="1:12">
      <c r="A171" s="88">
        <v>38231</v>
      </c>
      <c r="B171" s="87">
        <v>673</v>
      </c>
      <c r="C171" s="87">
        <v>695</v>
      </c>
      <c r="D171" s="87">
        <v>655.1</v>
      </c>
      <c r="E171" s="87">
        <v>666.45</v>
      </c>
      <c r="F171" s="87">
        <v>115660</v>
      </c>
      <c r="G171" s="87">
        <v>1108</v>
      </c>
      <c r="H171" s="87">
        <v>77692622</v>
      </c>
      <c r="I171" s="87">
        <v>39.9</v>
      </c>
      <c r="J171" s="87">
        <v>103528</v>
      </c>
      <c r="K171" s="87">
        <v>89.51</v>
      </c>
      <c r="L171" s="87">
        <v>-6.55</v>
      </c>
    </row>
    <row r="172" spans="1:12">
      <c r="A172" s="88">
        <v>38261</v>
      </c>
      <c r="B172" s="87">
        <v>655</v>
      </c>
      <c r="C172" s="87">
        <v>680</v>
      </c>
      <c r="D172" s="87">
        <v>620</v>
      </c>
      <c r="E172" s="87">
        <v>661.2</v>
      </c>
      <c r="F172" s="87">
        <v>64618</v>
      </c>
      <c r="G172" s="87">
        <v>1626</v>
      </c>
      <c r="H172" s="87">
        <v>41833229</v>
      </c>
      <c r="I172" s="87">
        <v>60</v>
      </c>
      <c r="J172" s="87">
        <v>58218</v>
      </c>
      <c r="K172" s="87">
        <v>90.1</v>
      </c>
      <c r="L172" s="87">
        <v>6.2</v>
      </c>
    </row>
    <row r="173" spans="1:12">
      <c r="A173" s="88">
        <v>38292</v>
      </c>
      <c r="B173" s="87">
        <v>655.1</v>
      </c>
      <c r="C173" s="87">
        <v>752</v>
      </c>
      <c r="D173" s="87">
        <v>655.1</v>
      </c>
      <c r="E173" s="87">
        <v>751.55</v>
      </c>
      <c r="F173" s="87">
        <v>133291</v>
      </c>
      <c r="G173" s="87">
        <v>3194</v>
      </c>
      <c r="H173" s="87">
        <v>94208022</v>
      </c>
      <c r="I173" s="87">
        <v>96.9</v>
      </c>
      <c r="J173" s="87">
        <v>120305</v>
      </c>
      <c r="K173" s="87">
        <v>90.26</v>
      </c>
      <c r="L173" s="87">
        <v>96.45</v>
      </c>
    </row>
    <row r="174" spans="1:12">
      <c r="A174" s="88">
        <v>38322</v>
      </c>
      <c r="B174" s="87">
        <v>723.25</v>
      </c>
      <c r="C174" s="87">
        <v>940</v>
      </c>
      <c r="D174" s="87">
        <v>722.5</v>
      </c>
      <c r="E174" s="87">
        <v>920.95</v>
      </c>
      <c r="F174" s="87">
        <v>268904</v>
      </c>
      <c r="G174" s="87">
        <v>4313</v>
      </c>
      <c r="H174" s="87">
        <v>229506054</v>
      </c>
      <c r="I174" s="87">
        <v>217.5</v>
      </c>
      <c r="J174" s="87">
        <v>246042</v>
      </c>
      <c r="K174" s="87">
        <v>91.5</v>
      </c>
      <c r="L174" s="87">
        <v>197.7</v>
      </c>
    </row>
    <row r="175" spans="1:12">
      <c r="A175" s="88">
        <v>38353</v>
      </c>
      <c r="B175" s="87">
        <v>930</v>
      </c>
      <c r="C175" s="87">
        <v>944.5</v>
      </c>
      <c r="D175" s="87">
        <v>811</v>
      </c>
      <c r="E175" s="87">
        <v>876.85</v>
      </c>
      <c r="F175" s="87">
        <v>284120</v>
      </c>
      <c r="G175" s="87">
        <v>2035</v>
      </c>
      <c r="H175" s="87">
        <v>263356104</v>
      </c>
      <c r="I175" s="87">
        <v>133.5</v>
      </c>
      <c r="J175" s="87">
        <v>271878</v>
      </c>
      <c r="K175" s="87">
        <v>95.69</v>
      </c>
      <c r="L175" s="87">
        <v>-53.15</v>
      </c>
    </row>
    <row r="176" spans="1:12">
      <c r="A176" s="88">
        <v>38384</v>
      </c>
      <c r="B176" s="87">
        <v>889</v>
      </c>
      <c r="C176" s="87">
        <v>950</v>
      </c>
      <c r="D176" s="87">
        <v>850</v>
      </c>
      <c r="E176" s="87">
        <v>932.85</v>
      </c>
      <c r="F176" s="87">
        <v>115485</v>
      </c>
      <c r="G176" s="87">
        <v>2417</v>
      </c>
      <c r="H176" s="87">
        <v>104859806</v>
      </c>
      <c r="I176" s="87">
        <v>100</v>
      </c>
      <c r="J176" s="87">
        <v>97767</v>
      </c>
      <c r="K176" s="87">
        <v>84.66</v>
      </c>
      <c r="L176" s="87">
        <v>43.85</v>
      </c>
    </row>
    <row r="177" spans="1:12">
      <c r="A177" s="88">
        <v>38412</v>
      </c>
      <c r="B177" s="87">
        <v>920.1</v>
      </c>
      <c r="C177" s="87">
        <v>944.9</v>
      </c>
      <c r="D177" s="87">
        <v>835</v>
      </c>
      <c r="E177" s="87">
        <v>883.7</v>
      </c>
      <c r="F177" s="87">
        <v>295235</v>
      </c>
      <c r="G177" s="87">
        <v>1372</v>
      </c>
      <c r="H177" s="87">
        <v>269919758</v>
      </c>
      <c r="I177" s="87">
        <v>109.9</v>
      </c>
      <c r="J177" s="87">
        <v>273038</v>
      </c>
      <c r="K177" s="87">
        <v>92.48</v>
      </c>
      <c r="L177" s="87">
        <v>-36.4</v>
      </c>
    </row>
    <row r="178" spans="1:12">
      <c r="A178" s="88">
        <v>38443</v>
      </c>
      <c r="B178" s="87">
        <v>889</v>
      </c>
      <c r="C178" s="87">
        <v>889</v>
      </c>
      <c r="D178" s="87">
        <v>799.95</v>
      </c>
      <c r="E178" s="87">
        <v>850.15</v>
      </c>
      <c r="F178" s="87">
        <v>102895</v>
      </c>
      <c r="G178" s="87">
        <v>357</v>
      </c>
      <c r="H178" s="87">
        <v>87732811</v>
      </c>
      <c r="I178" s="87">
        <v>89.05</v>
      </c>
      <c r="J178" s="87">
        <v>100416</v>
      </c>
      <c r="K178" s="87">
        <v>97.59</v>
      </c>
      <c r="L178" s="87">
        <v>-38.85</v>
      </c>
    </row>
    <row r="179" spans="1:12">
      <c r="A179" s="88">
        <v>38473</v>
      </c>
      <c r="B179" s="87">
        <v>823.1</v>
      </c>
      <c r="C179" s="87">
        <v>889</v>
      </c>
      <c r="D179" s="87">
        <v>802.05</v>
      </c>
      <c r="E179" s="87">
        <v>865</v>
      </c>
      <c r="F179" s="87">
        <v>45399</v>
      </c>
      <c r="G179" s="87">
        <v>381</v>
      </c>
      <c r="H179" s="87">
        <v>39027337</v>
      </c>
      <c r="I179" s="87">
        <v>86.95</v>
      </c>
      <c r="J179" s="87">
        <v>42431</v>
      </c>
      <c r="K179" s="87">
        <v>93.46</v>
      </c>
      <c r="L179" s="87">
        <v>41.9</v>
      </c>
    </row>
    <row r="180" spans="1:12">
      <c r="A180" s="88">
        <v>38504</v>
      </c>
      <c r="B180" s="87">
        <v>865</v>
      </c>
      <c r="C180" s="87">
        <v>915</v>
      </c>
      <c r="D180" s="87">
        <v>803.6</v>
      </c>
      <c r="E180" s="87">
        <v>905</v>
      </c>
      <c r="F180" s="87">
        <v>94320</v>
      </c>
      <c r="G180" s="87">
        <v>618</v>
      </c>
      <c r="H180" s="87">
        <v>84495988</v>
      </c>
      <c r="I180" s="87">
        <v>111.4</v>
      </c>
      <c r="J180" s="87">
        <v>89434</v>
      </c>
      <c r="K180" s="87">
        <v>94.82</v>
      </c>
      <c r="L180" s="87">
        <v>40</v>
      </c>
    </row>
    <row r="181" spans="1:12">
      <c r="A181" s="88">
        <v>38534</v>
      </c>
      <c r="B181" s="87">
        <v>902.05</v>
      </c>
      <c r="C181" s="87">
        <v>1100</v>
      </c>
      <c r="D181" s="87">
        <v>902</v>
      </c>
      <c r="E181" s="87">
        <v>1005</v>
      </c>
      <c r="F181" s="87">
        <v>198266</v>
      </c>
      <c r="G181" s="87">
        <v>971</v>
      </c>
      <c r="H181" s="87">
        <v>195949049</v>
      </c>
      <c r="I181" s="87">
        <v>198</v>
      </c>
      <c r="J181" s="87">
        <v>189264</v>
      </c>
      <c r="K181" s="87">
        <v>95.46</v>
      </c>
      <c r="L181" s="87">
        <v>102.95</v>
      </c>
    </row>
    <row r="182" spans="1:12">
      <c r="A182" s="88">
        <v>38565</v>
      </c>
      <c r="B182" s="87">
        <v>1000</v>
      </c>
      <c r="C182" s="87">
        <v>1160</v>
      </c>
      <c r="D182" s="87">
        <v>1000</v>
      </c>
      <c r="E182" s="87">
        <v>1152.8499999999999</v>
      </c>
      <c r="F182" s="87">
        <v>339456</v>
      </c>
      <c r="G182" s="87">
        <v>1386</v>
      </c>
      <c r="H182" s="87">
        <v>381333661</v>
      </c>
      <c r="I182" s="87">
        <v>160</v>
      </c>
      <c r="J182" s="87">
        <v>325922</v>
      </c>
      <c r="K182" s="87">
        <v>96.01</v>
      </c>
      <c r="L182" s="87">
        <v>152.85</v>
      </c>
    </row>
    <row r="183" spans="1:12">
      <c r="A183" s="88">
        <v>38596</v>
      </c>
      <c r="B183" s="87">
        <v>1150</v>
      </c>
      <c r="C183" s="87">
        <v>1453.3</v>
      </c>
      <c r="D183" s="87">
        <v>1139.3</v>
      </c>
      <c r="E183" s="87">
        <v>1270.05</v>
      </c>
      <c r="F183" s="87">
        <v>426928</v>
      </c>
      <c r="G183" s="87">
        <v>3103</v>
      </c>
      <c r="H183" s="87">
        <v>538154552</v>
      </c>
      <c r="I183" s="87">
        <v>314</v>
      </c>
      <c r="J183" s="87">
        <v>371251</v>
      </c>
      <c r="K183" s="87">
        <v>86.96</v>
      </c>
      <c r="L183" s="87">
        <v>120.05</v>
      </c>
    </row>
    <row r="184" spans="1:12">
      <c r="A184" s="88">
        <v>38626</v>
      </c>
      <c r="B184" s="87">
        <v>1270.5</v>
      </c>
      <c r="C184" s="87">
        <v>1349.9</v>
      </c>
      <c r="D184" s="87">
        <v>1110</v>
      </c>
      <c r="E184" s="87">
        <v>1229.6500000000001</v>
      </c>
      <c r="F184" s="87">
        <v>204671</v>
      </c>
      <c r="G184" s="87">
        <v>2371</v>
      </c>
      <c r="H184" s="87">
        <v>253090303</v>
      </c>
      <c r="I184" s="87">
        <v>239.9</v>
      </c>
      <c r="J184" s="87">
        <v>179520</v>
      </c>
      <c r="K184" s="87">
        <v>87.71</v>
      </c>
      <c r="L184" s="87">
        <v>-40.85</v>
      </c>
    </row>
    <row r="185" spans="1:12">
      <c r="A185" s="88">
        <v>38657</v>
      </c>
      <c r="B185" s="87">
        <v>1229.95</v>
      </c>
      <c r="C185" s="87">
        <v>1292.95</v>
      </c>
      <c r="D185" s="87">
        <v>1103.8</v>
      </c>
      <c r="E185" s="87">
        <v>1241.8</v>
      </c>
      <c r="F185" s="87">
        <v>306491</v>
      </c>
      <c r="G185" s="87">
        <v>1295</v>
      </c>
      <c r="H185" s="87">
        <v>382524185</v>
      </c>
      <c r="I185" s="87">
        <v>189.15</v>
      </c>
      <c r="J185" s="87">
        <v>97969</v>
      </c>
      <c r="K185" s="87">
        <v>31.96</v>
      </c>
      <c r="L185" s="87">
        <v>11.85</v>
      </c>
    </row>
    <row r="186" spans="1:12">
      <c r="A186" s="88">
        <v>38687</v>
      </c>
      <c r="B186" s="87">
        <v>1242.0999999999999</v>
      </c>
      <c r="C186" s="87">
        <v>1370</v>
      </c>
      <c r="D186" s="87">
        <v>1220</v>
      </c>
      <c r="E186" s="87">
        <v>1352.75</v>
      </c>
      <c r="F186" s="87">
        <v>81192</v>
      </c>
      <c r="G186" s="87">
        <v>1202</v>
      </c>
      <c r="H186" s="87">
        <v>107247775</v>
      </c>
      <c r="I186" s="87">
        <v>150</v>
      </c>
      <c r="J186" s="87">
        <v>73378</v>
      </c>
      <c r="K186" s="87">
        <v>90.38</v>
      </c>
      <c r="L186" s="87">
        <v>110.65</v>
      </c>
    </row>
    <row r="187" spans="1:12">
      <c r="A187" s="88">
        <v>38718</v>
      </c>
      <c r="B187" s="87">
        <v>1350</v>
      </c>
      <c r="C187" s="87">
        <v>1550</v>
      </c>
      <c r="D187" s="87">
        <v>1349</v>
      </c>
      <c r="E187" s="87">
        <v>1459.95</v>
      </c>
      <c r="F187" s="87">
        <v>156246</v>
      </c>
      <c r="G187" s="87">
        <v>1276</v>
      </c>
      <c r="H187" s="87">
        <v>222144334</v>
      </c>
      <c r="I187" s="87">
        <v>201</v>
      </c>
      <c r="J187" s="87">
        <v>125101</v>
      </c>
      <c r="K187" s="87">
        <v>80.069999999999993</v>
      </c>
      <c r="L187" s="87">
        <v>109.95</v>
      </c>
    </row>
    <row r="188" spans="1:12">
      <c r="A188" s="88">
        <v>38749</v>
      </c>
      <c r="B188" s="87">
        <v>1465.25</v>
      </c>
      <c r="C188" s="87">
        <v>1549</v>
      </c>
      <c r="D188" s="87">
        <v>1406</v>
      </c>
      <c r="E188" s="87">
        <v>1513.25</v>
      </c>
      <c r="F188" s="87">
        <v>100017</v>
      </c>
      <c r="G188" s="87">
        <v>934</v>
      </c>
      <c r="H188" s="87">
        <v>150930796</v>
      </c>
      <c r="I188" s="87">
        <v>143</v>
      </c>
      <c r="J188" s="87">
        <v>64154</v>
      </c>
      <c r="K188" s="87">
        <v>64.14</v>
      </c>
      <c r="L188" s="87">
        <v>48</v>
      </c>
    </row>
    <row r="189" spans="1:12">
      <c r="A189" s="88">
        <v>38777</v>
      </c>
      <c r="B189" s="87">
        <v>1515</v>
      </c>
      <c r="C189" s="87">
        <v>1800</v>
      </c>
      <c r="D189" s="87">
        <v>1515</v>
      </c>
      <c r="E189" s="87">
        <v>1783.45</v>
      </c>
      <c r="F189" s="87">
        <v>180086</v>
      </c>
      <c r="G189" s="87">
        <v>2171</v>
      </c>
      <c r="H189" s="87">
        <v>307695186</v>
      </c>
      <c r="I189" s="87">
        <v>285</v>
      </c>
      <c r="J189" s="87">
        <v>105799</v>
      </c>
      <c r="K189" s="87">
        <v>58.75</v>
      </c>
      <c r="L189" s="87">
        <v>268.45</v>
      </c>
    </row>
    <row r="190" spans="1:12">
      <c r="A190" s="88">
        <v>38808</v>
      </c>
      <c r="B190" s="87">
        <v>1800</v>
      </c>
      <c r="C190" s="87">
        <v>1955</v>
      </c>
      <c r="D190" s="87">
        <v>1668</v>
      </c>
      <c r="E190" s="87">
        <v>1728.75</v>
      </c>
      <c r="F190" s="87">
        <v>67121</v>
      </c>
      <c r="G190" s="87">
        <v>1156</v>
      </c>
      <c r="H190" s="87">
        <v>121019454</v>
      </c>
      <c r="I190" s="87">
        <v>287</v>
      </c>
      <c r="J190" s="87">
        <v>60639</v>
      </c>
      <c r="K190" s="87">
        <v>90.34</v>
      </c>
      <c r="L190" s="87">
        <v>-71.25</v>
      </c>
    </row>
    <row r="191" spans="1:12">
      <c r="A191" s="88">
        <v>38838</v>
      </c>
      <c r="B191" s="87">
        <v>1752</v>
      </c>
      <c r="C191" s="87">
        <v>1830</v>
      </c>
      <c r="D191" s="87">
        <v>1300</v>
      </c>
      <c r="E191" s="87">
        <v>1457.45</v>
      </c>
      <c r="F191" s="87">
        <v>26636</v>
      </c>
      <c r="G191" s="87">
        <v>983</v>
      </c>
      <c r="H191" s="87">
        <v>42000954</v>
      </c>
      <c r="I191" s="87">
        <v>530</v>
      </c>
      <c r="J191" s="87">
        <v>22458</v>
      </c>
      <c r="K191" s="87">
        <v>84.31</v>
      </c>
      <c r="L191" s="87">
        <v>-294.55</v>
      </c>
    </row>
    <row r="192" spans="1:12">
      <c r="A192" s="88">
        <v>38869</v>
      </c>
      <c r="B192" s="87">
        <v>1475</v>
      </c>
      <c r="C192" s="87">
        <v>1499.9</v>
      </c>
      <c r="D192" s="87">
        <v>1131</v>
      </c>
      <c r="E192" s="87">
        <v>1207</v>
      </c>
      <c r="F192" s="87">
        <v>38837</v>
      </c>
      <c r="G192" s="87">
        <v>1108</v>
      </c>
      <c r="H192" s="87">
        <v>48682619</v>
      </c>
      <c r="I192" s="87">
        <v>368.9</v>
      </c>
      <c r="J192" s="87">
        <v>32918</v>
      </c>
      <c r="K192" s="87">
        <v>84.76</v>
      </c>
      <c r="L192" s="87">
        <v>-268</v>
      </c>
    </row>
    <row r="193" spans="1:12">
      <c r="A193" s="88">
        <v>38899</v>
      </c>
      <c r="B193" s="87">
        <v>1225</v>
      </c>
      <c r="C193" s="87">
        <v>1260</v>
      </c>
      <c r="D193" s="87">
        <v>1030</v>
      </c>
      <c r="E193" s="87">
        <v>1095.8499999999999</v>
      </c>
      <c r="F193" s="87">
        <v>39337</v>
      </c>
      <c r="G193" s="87">
        <v>1366</v>
      </c>
      <c r="H193" s="87">
        <v>42712112</v>
      </c>
      <c r="I193" s="87">
        <v>230</v>
      </c>
      <c r="J193" s="87">
        <v>32820</v>
      </c>
      <c r="K193" s="87">
        <v>83.43</v>
      </c>
      <c r="L193" s="87">
        <v>-129.15</v>
      </c>
    </row>
    <row r="194" spans="1:12">
      <c r="A194" s="88">
        <v>38930</v>
      </c>
      <c r="B194" s="87">
        <v>1026</v>
      </c>
      <c r="C194" s="87">
        <v>1235</v>
      </c>
      <c r="D194" s="87">
        <v>1026</v>
      </c>
      <c r="E194" s="87">
        <v>1085.5</v>
      </c>
      <c r="F194" s="87">
        <v>51592</v>
      </c>
      <c r="G194" s="87">
        <v>2057</v>
      </c>
      <c r="H194" s="87">
        <v>59698505</v>
      </c>
      <c r="I194" s="87">
        <v>209</v>
      </c>
      <c r="J194" s="87">
        <v>39551</v>
      </c>
      <c r="K194" s="87">
        <v>76.66</v>
      </c>
      <c r="L194" s="87">
        <v>59.5</v>
      </c>
    </row>
    <row r="195" spans="1:12">
      <c r="A195" s="88">
        <v>38961</v>
      </c>
      <c r="B195" s="87">
        <v>1099.9000000000001</v>
      </c>
      <c r="C195" s="87">
        <v>1136</v>
      </c>
      <c r="D195" s="87">
        <v>1025</v>
      </c>
      <c r="E195" s="87">
        <v>1120.95</v>
      </c>
      <c r="F195" s="87">
        <v>139514</v>
      </c>
      <c r="G195" s="87">
        <v>4226</v>
      </c>
      <c r="H195" s="87">
        <v>151540000</v>
      </c>
      <c r="I195" s="87">
        <v>111</v>
      </c>
      <c r="J195" s="87">
        <v>116905</v>
      </c>
      <c r="K195" s="87">
        <v>83.79</v>
      </c>
      <c r="L195" s="87">
        <v>21.05</v>
      </c>
    </row>
    <row r="196" spans="1:12">
      <c r="A196" s="88">
        <v>38991</v>
      </c>
      <c r="B196" s="87">
        <v>1116</v>
      </c>
      <c r="C196" s="87">
        <v>1318</v>
      </c>
      <c r="D196" s="87">
        <v>1091</v>
      </c>
      <c r="E196" s="87">
        <v>1148.5</v>
      </c>
      <c r="F196" s="87">
        <v>119738</v>
      </c>
      <c r="G196" s="87">
        <v>6675</v>
      </c>
      <c r="H196" s="87">
        <v>146950227</v>
      </c>
      <c r="I196" s="87">
        <v>227</v>
      </c>
      <c r="J196" s="87">
        <v>62407</v>
      </c>
      <c r="K196" s="87">
        <v>52.12</v>
      </c>
      <c r="L196" s="87">
        <v>32.5</v>
      </c>
    </row>
    <row r="197" spans="1:12">
      <c r="A197" s="88">
        <v>39022</v>
      </c>
      <c r="B197" s="87">
        <v>1162</v>
      </c>
      <c r="C197" s="87">
        <v>1182.2</v>
      </c>
      <c r="D197" s="87">
        <v>1030</v>
      </c>
      <c r="E197" s="87">
        <v>1120.4000000000001</v>
      </c>
      <c r="F197" s="87">
        <v>53125</v>
      </c>
      <c r="G197" s="87">
        <v>2742</v>
      </c>
      <c r="H197" s="87">
        <v>59905900</v>
      </c>
      <c r="I197" s="87">
        <v>152.19999999999999</v>
      </c>
      <c r="J197" s="87">
        <v>35618</v>
      </c>
      <c r="K197" s="87">
        <v>67.05</v>
      </c>
      <c r="L197" s="87">
        <v>-41.6</v>
      </c>
    </row>
    <row r="198" spans="1:12">
      <c r="A198" s="88">
        <v>39052</v>
      </c>
      <c r="B198" s="87">
        <v>1128.8</v>
      </c>
      <c r="C198" s="87">
        <v>1180</v>
      </c>
      <c r="D198" s="87">
        <v>1055</v>
      </c>
      <c r="E198" s="87">
        <v>1091.8</v>
      </c>
      <c r="F198" s="87">
        <v>138431</v>
      </c>
      <c r="G198" s="87">
        <v>2026</v>
      </c>
      <c r="H198" s="87">
        <v>156440759</v>
      </c>
      <c r="I198" s="87">
        <v>125</v>
      </c>
      <c r="J198" s="87">
        <v>126275</v>
      </c>
      <c r="K198" s="87">
        <v>91.22</v>
      </c>
      <c r="L198" s="87">
        <v>-37</v>
      </c>
    </row>
    <row r="199" spans="1:12">
      <c r="A199" s="88">
        <v>39083</v>
      </c>
      <c r="B199" s="87">
        <v>1119.95</v>
      </c>
      <c r="C199" s="87">
        <v>1167.95</v>
      </c>
      <c r="D199" s="87">
        <v>1090</v>
      </c>
      <c r="E199" s="87">
        <v>1136.6500000000001</v>
      </c>
      <c r="F199" s="87">
        <v>87260</v>
      </c>
      <c r="G199" s="87">
        <v>1464</v>
      </c>
      <c r="H199" s="87">
        <v>97646833</v>
      </c>
      <c r="I199" s="87">
        <v>77.95</v>
      </c>
      <c r="J199" s="87">
        <v>79001</v>
      </c>
      <c r="K199" s="87">
        <v>90.54</v>
      </c>
      <c r="L199" s="87">
        <v>16.7</v>
      </c>
    </row>
    <row r="200" spans="1:12">
      <c r="A200" s="88">
        <v>39114</v>
      </c>
      <c r="B200" s="87">
        <v>1159</v>
      </c>
      <c r="C200" s="87">
        <v>1301</v>
      </c>
      <c r="D200" s="87">
        <v>1095</v>
      </c>
      <c r="E200" s="87">
        <v>1235.8</v>
      </c>
      <c r="F200" s="87">
        <v>158885</v>
      </c>
      <c r="G200" s="87">
        <v>3329</v>
      </c>
      <c r="H200" s="87">
        <v>197105087</v>
      </c>
      <c r="I200" s="87">
        <v>206</v>
      </c>
      <c r="J200" s="87">
        <v>132276</v>
      </c>
      <c r="K200" s="87">
        <v>83.25</v>
      </c>
      <c r="L200" s="87">
        <v>76.8</v>
      </c>
    </row>
    <row r="201" spans="1:12">
      <c r="A201" s="88">
        <v>39142</v>
      </c>
      <c r="B201" s="87">
        <v>1235</v>
      </c>
      <c r="C201" s="87">
        <v>1350</v>
      </c>
      <c r="D201" s="87">
        <v>1185.4000000000001</v>
      </c>
      <c r="E201" s="87">
        <v>1251.3</v>
      </c>
      <c r="F201" s="87">
        <v>218186</v>
      </c>
      <c r="G201" s="87">
        <v>2243</v>
      </c>
      <c r="H201" s="87">
        <v>279885151</v>
      </c>
      <c r="I201" s="87">
        <v>164.6</v>
      </c>
      <c r="J201" s="87">
        <v>157992</v>
      </c>
      <c r="K201" s="87">
        <v>72.41</v>
      </c>
      <c r="L201" s="87">
        <v>16.3</v>
      </c>
    </row>
    <row r="202" spans="1:12">
      <c r="A202" s="88">
        <v>39173</v>
      </c>
      <c r="B202" s="87">
        <v>1213.25</v>
      </c>
      <c r="C202" s="87">
        <v>1317.5</v>
      </c>
      <c r="D202" s="87">
        <v>1174.7</v>
      </c>
      <c r="E202" s="87">
        <v>1262.7</v>
      </c>
      <c r="F202" s="87">
        <v>13464</v>
      </c>
      <c r="G202" s="87">
        <v>1123</v>
      </c>
      <c r="H202" s="87">
        <v>16913634</v>
      </c>
      <c r="I202" s="87">
        <v>142.80000000000001</v>
      </c>
      <c r="J202" s="87">
        <v>9441</v>
      </c>
      <c r="K202" s="87">
        <v>70.12</v>
      </c>
      <c r="L202" s="87">
        <v>49.45</v>
      </c>
    </row>
    <row r="203" spans="1:12">
      <c r="A203" s="88">
        <v>39203</v>
      </c>
      <c r="B203" s="87">
        <v>1235.2</v>
      </c>
      <c r="C203" s="87">
        <v>1645</v>
      </c>
      <c r="D203" s="87">
        <v>1235.2</v>
      </c>
      <c r="E203" s="87">
        <v>1526.6</v>
      </c>
      <c r="F203" s="87">
        <v>264239</v>
      </c>
      <c r="G203" s="87">
        <v>4873</v>
      </c>
      <c r="H203" s="87">
        <v>383866668</v>
      </c>
      <c r="I203" s="87">
        <v>409.8</v>
      </c>
      <c r="J203" s="87">
        <v>230808</v>
      </c>
      <c r="K203" s="87">
        <v>87.35</v>
      </c>
      <c r="L203" s="87">
        <v>291.39999999999998</v>
      </c>
    </row>
    <row r="204" spans="1:12">
      <c r="A204" s="88">
        <v>39234</v>
      </c>
      <c r="B204" s="87">
        <v>1548.8</v>
      </c>
      <c r="C204" s="87">
        <v>1630</v>
      </c>
      <c r="D204" s="87">
        <v>1434.8</v>
      </c>
      <c r="E204" s="87">
        <v>1574.8</v>
      </c>
      <c r="F204" s="87">
        <v>69293</v>
      </c>
      <c r="G204" s="87">
        <v>2963</v>
      </c>
      <c r="H204" s="87">
        <v>105116691</v>
      </c>
      <c r="I204" s="87">
        <v>195.2</v>
      </c>
      <c r="J204" s="87">
        <v>44439</v>
      </c>
      <c r="K204" s="87">
        <v>64.13</v>
      </c>
      <c r="L204" s="87">
        <v>26</v>
      </c>
    </row>
    <row r="205" spans="1:12">
      <c r="A205" s="88">
        <v>39264</v>
      </c>
      <c r="B205" s="87">
        <v>1576.35</v>
      </c>
      <c r="C205" s="87">
        <v>1780</v>
      </c>
      <c r="D205" s="87">
        <v>1565</v>
      </c>
      <c r="E205" s="87">
        <v>1704.55</v>
      </c>
      <c r="F205" s="87">
        <v>192040</v>
      </c>
      <c r="G205" s="87">
        <v>6042</v>
      </c>
      <c r="H205" s="87">
        <v>326271626</v>
      </c>
      <c r="I205" s="87">
        <v>215</v>
      </c>
      <c r="J205" s="87">
        <v>152337</v>
      </c>
      <c r="K205" s="87">
        <v>79.33</v>
      </c>
      <c r="L205" s="87">
        <v>128.19999999999999</v>
      </c>
    </row>
    <row r="206" spans="1:12">
      <c r="A206" s="88">
        <v>39295</v>
      </c>
      <c r="B206" s="87">
        <v>1680</v>
      </c>
      <c r="C206" s="87">
        <v>1690</v>
      </c>
      <c r="D206" s="87">
        <v>1485</v>
      </c>
      <c r="E206" s="87">
        <v>1566.2</v>
      </c>
      <c r="F206" s="87">
        <v>179228</v>
      </c>
      <c r="G206" s="87">
        <v>2415</v>
      </c>
      <c r="H206" s="87">
        <v>285543984</v>
      </c>
      <c r="I206" s="87">
        <v>205</v>
      </c>
      <c r="J206" s="87">
        <v>168349</v>
      </c>
      <c r="K206" s="87">
        <v>93.93</v>
      </c>
      <c r="L206" s="87">
        <v>-113.8</v>
      </c>
    </row>
    <row r="207" spans="1:12">
      <c r="A207" s="88">
        <v>39326</v>
      </c>
      <c r="B207" s="87">
        <v>1610</v>
      </c>
      <c r="C207" s="87">
        <v>1700</v>
      </c>
      <c r="D207" s="87">
        <v>1450</v>
      </c>
      <c r="E207" s="87">
        <v>1456.5</v>
      </c>
      <c r="F207" s="87">
        <v>44427</v>
      </c>
      <c r="G207" s="87">
        <v>2387</v>
      </c>
      <c r="H207" s="87">
        <v>68019811</v>
      </c>
      <c r="I207" s="87">
        <v>250</v>
      </c>
      <c r="J207" s="87">
        <v>34943</v>
      </c>
      <c r="K207" s="87">
        <v>78.650000000000006</v>
      </c>
      <c r="L207" s="87">
        <v>-153.5</v>
      </c>
    </row>
    <row r="208" spans="1:12">
      <c r="A208" s="88">
        <v>39356</v>
      </c>
      <c r="B208" s="87">
        <v>1455.05</v>
      </c>
      <c r="C208" s="87">
        <v>1559</v>
      </c>
      <c r="D208" s="87">
        <v>1320</v>
      </c>
      <c r="E208" s="87">
        <v>1523.55</v>
      </c>
      <c r="F208" s="87">
        <v>94091</v>
      </c>
      <c r="G208" s="87">
        <v>3112</v>
      </c>
      <c r="H208" s="87">
        <v>134432544</v>
      </c>
      <c r="I208" s="87">
        <v>239</v>
      </c>
      <c r="J208" s="87">
        <v>79849</v>
      </c>
      <c r="K208" s="87">
        <v>84.86</v>
      </c>
      <c r="L208" s="87">
        <v>68.5</v>
      </c>
    </row>
    <row r="209" spans="1:12">
      <c r="A209" s="88">
        <v>39387</v>
      </c>
      <c r="B209" s="87">
        <v>1524.95</v>
      </c>
      <c r="C209" s="87">
        <v>1599</v>
      </c>
      <c r="D209" s="87">
        <v>1470</v>
      </c>
      <c r="E209" s="87">
        <v>1485.4</v>
      </c>
      <c r="F209" s="87">
        <v>198722</v>
      </c>
      <c r="G209" s="87">
        <v>3159</v>
      </c>
      <c r="H209" s="87">
        <v>302430445</v>
      </c>
      <c r="I209" s="87">
        <v>129</v>
      </c>
      <c r="J209" s="87">
        <v>187340</v>
      </c>
      <c r="K209" s="87">
        <v>94.27</v>
      </c>
      <c r="L209" s="87">
        <v>-39.549999999999997</v>
      </c>
    </row>
    <row r="210" spans="1:12">
      <c r="A210" s="88">
        <v>39417</v>
      </c>
      <c r="B210" s="87">
        <v>1500</v>
      </c>
      <c r="C210" s="87">
        <v>1550</v>
      </c>
      <c r="D210" s="87">
        <v>1445</v>
      </c>
      <c r="E210" s="87">
        <v>1475.3</v>
      </c>
      <c r="F210" s="87">
        <v>113920</v>
      </c>
      <c r="G210" s="87">
        <v>2048</v>
      </c>
      <c r="H210" s="87">
        <v>170403065</v>
      </c>
      <c r="I210" s="87">
        <v>105</v>
      </c>
      <c r="J210" s="87">
        <v>106353</v>
      </c>
      <c r="K210" s="87">
        <v>93.36</v>
      </c>
      <c r="L210" s="87">
        <v>-24.7</v>
      </c>
    </row>
    <row r="211" spans="1:12">
      <c r="A211" s="88">
        <v>39448</v>
      </c>
      <c r="B211" s="87">
        <v>1494.9</v>
      </c>
      <c r="C211" s="87">
        <v>1650</v>
      </c>
      <c r="D211" s="87">
        <v>1201</v>
      </c>
      <c r="E211" s="87">
        <v>1441.05</v>
      </c>
      <c r="F211" s="87">
        <v>124334</v>
      </c>
      <c r="G211" s="87">
        <v>3665</v>
      </c>
      <c r="H211" s="87">
        <v>184358949</v>
      </c>
      <c r="I211" s="87">
        <v>449</v>
      </c>
      <c r="J211" s="87">
        <v>111413</v>
      </c>
      <c r="K211" s="87">
        <v>89.61</v>
      </c>
      <c r="L211" s="87">
        <v>-53.85</v>
      </c>
    </row>
    <row r="212" spans="1:12">
      <c r="A212" s="88">
        <v>39479</v>
      </c>
      <c r="B212" s="87">
        <v>1490</v>
      </c>
      <c r="C212" s="87">
        <v>1500</v>
      </c>
      <c r="D212" s="87">
        <v>1336.5</v>
      </c>
      <c r="E212" s="87">
        <v>1376.55</v>
      </c>
      <c r="F212" s="87">
        <v>90749</v>
      </c>
      <c r="G212" s="87">
        <v>1505</v>
      </c>
      <c r="H212" s="87">
        <v>125641327</v>
      </c>
      <c r="I212" s="87">
        <v>163.5</v>
      </c>
      <c r="J212" s="87">
        <v>86198</v>
      </c>
      <c r="K212" s="87">
        <v>94.99</v>
      </c>
      <c r="L212" s="87">
        <v>-113.45</v>
      </c>
    </row>
    <row r="213" spans="1:12">
      <c r="A213" s="88">
        <v>39508</v>
      </c>
      <c r="B213" s="87">
        <v>1375</v>
      </c>
      <c r="C213" s="87">
        <v>1650</v>
      </c>
      <c r="D213" s="87">
        <v>1189.1500000000001</v>
      </c>
      <c r="E213" s="87">
        <v>1349.15</v>
      </c>
      <c r="F213" s="87">
        <v>66727</v>
      </c>
      <c r="G213" s="87">
        <v>1646</v>
      </c>
      <c r="H213" s="87">
        <v>94117289</v>
      </c>
      <c r="I213" s="87">
        <v>460.85</v>
      </c>
      <c r="J213" s="87">
        <v>22182</v>
      </c>
      <c r="K213" s="87">
        <v>33.24</v>
      </c>
      <c r="L213" s="87">
        <v>-25.85</v>
      </c>
    </row>
    <row r="214" spans="1:12">
      <c r="A214" s="88">
        <v>39539</v>
      </c>
      <c r="B214" s="87">
        <v>1316.1</v>
      </c>
      <c r="C214" s="87">
        <v>1444</v>
      </c>
      <c r="D214" s="87">
        <v>1266</v>
      </c>
      <c r="E214" s="87">
        <v>1359.35</v>
      </c>
      <c r="F214" s="87">
        <v>39128</v>
      </c>
      <c r="G214" s="87">
        <v>1428</v>
      </c>
      <c r="H214" s="87">
        <v>51821699</v>
      </c>
      <c r="I214" s="87">
        <v>178</v>
      </c>
      <c r="J214" s="87">
        <v>32142</v>
      </c>
      <c r="K214" s="87">
        <v>82.15</v>
      </c>
      <c r="L214" s="87">
        <v>43.25</v>
      </c>
    </row>
    <row r="215" spans="1:12">
      <c r="A215" s="88">
        <v>39569</v>
      </c>
      <c r="B215" s="87">
        <v>1364.25</v>
      </c>
      <c r="C215" s="87">
        <v>1519.85</v>
      </c>
      <c r="D215" s="87">
        <v>1341</v>
      </c>
      <c r="E215" s="87">
        <v>1448.85</v>
      </c>
      <c r="F215" s="87">
        <v>48928</v>
      </c>
      <c r="G215" s="87">
        <v>1639</v>
      </c>
      <c r="H215" s="87">
        <v>68069657</v>
      </c>
      <c r="I215" s="87">
        <v>178.85</v>
      </c>
      <c r="J215" s="87">
        <v>43935</v>
      </c>
      <c r="K215" s="87">
        <v>89.8</v>
      </c>
      <c r="L215" s="87">
        <v>84.6</v>
      </c>
    </row>
    <row r="216" spans="1:12">
      <c r="A216" s="88">
        <v>39600</v>
      </c>
      <c r="B216" s="87">
        <v>1499</v>
      </c>
      <c r="C216" s="87">
        <v>1510</v>
      </c>
      <c r="D216" s="87">
        <v>1372</v>
      </c>
      <c r="E216" s="87">
        <v>1435.1</v>
      </c>
      <c r="F216" s="87">
        <v>117923</v>
      </c>
      <c r="G216" s="87">
        <v>1479</v>
      </c>
      <c r="H216" s="87">
        <v>171110031</v>
      </c>
      <c r="I216" s="87">
        <v>138</v>
      </c>
      <c r="J216" s="87">
        <v>111963</v>
      </c>
      <c r="K216" s="87">
        <v>94.95</v>
      </c>
      <c r="L216" s="87">
        <v>-63.9</v>
      </c>
    </row>
    <row r="217" spans="1:12">
      <c r="A217" s="88">
        <v>39630</v>
      </c>
      <c r="B217" s="87">
        <v>1435</v>
      </c>
      <c r="C217" s="87">
        <v>1435</v>
      </c>
      <c r="D217" s="87">
        <v>1301.25</v>
      </c>
      <c r="E217" s="87">
        <v>1384.95</v>
      </c>
      <c r="F217" s="87">
        <v>16191</v>
      </c>
      <c r="G217" s="87">
        <v>919</v>
      </c>
      <c r="H217" s="87">
        <v>21785005</v>
      </c>
      <c r="I217" s="87">
        <v>133.75</v>
      </c>
      <c r="J217" s="87">
        <v>12646</v>
      </c>
      <c r="K217" s="87">
        <v>78.11</v>
      </c>
      <c r="L217" s="87">
        <v>-50.05</v>
      </c>
    </row>
    <row r="218" spans="1:12">
      <c r="A218" s="88">
        <v>39661</v>
      </c>
      <c r="B218" s="87">
        <v>1357.5</v>
      </c>
      <c r="C218" s="87">
        <v>1449</v>
      </c>
      <c r="D218" s="87">
        <v>1340.1</v>
      </c>
      <c r="E218" s="87">
        <v>1440</v>
      </c>
      <c r="F218" s="87">
        <v>14356</v>
      </c>
      <c r="G218" s="87">
        <v>644</v>
      </c>
      <c r="H218" s="87">
        <v>20012712</v>
      </c>
      <c r="I218" s="87">
        <v>108.9</v>
      </c>
      <c r="J218" s="87">
        <v>11897</v>
      </c>
      <c r="K218" s="87">
        <v>82.87</v>
      </c>
      <c r="L218" s="87">
        <v>82.5</v>
      </c>
    </row>
    <row r="219" spans="1:12">
      <c r="A219" s="88">
        <v>39692</v>
      </c>
      <c r="B219" s="87">
        <v>1441</v>
      </c>
      <c r="C219" s="87">
        <v>1472.6</v>
      </c>
      <c r="D219" s="87">
        <v>1203</v>
      </c>
      <c r="E219" s="87">
        <v>1332.95</v>
      </c>
      <c r="F219" s="87">
        <v>9060</v>
      </c>
      <c r="G219" s="87">
        <v>897</v>
      </c>
      <c r="H219" s="87">
        <v>12476905</v>
      </c>
      <c r="I219" s="87">
        <v>269.60000000000002</v>
      </c>
      <c r="J219" s="87">
        <v>6096</v>
      </c>
      <c r="K219" s="87">
        <v>67.28</v>
      </c>
      <c r="L219" s="87">
        <v>-108.05</v>
      </c>
    </row>
    <row r="220" spans="1:12">
      <c r="A220" s="88">
        <v>39722</v>
      </c>
      <c r="B220" s="87">
        <v>1306.05</v>
      </c>
      <c r="C220" s="87">
        <v>1348</v>
      </c>
      <c r="D220" s="87">
        <v>991.25</v>
      </c>
      <c r="E220" s="87">
        <v>1173</v>
      </c>
      <c r="F220" s="87">
        <v>9981</v>
      </c>
      <c r="G220" s="87">
        <v>1030</v>
      </c>
      <c r="H220" s="87">
        <v>11713645</v>
      </c>
      <c r="I220" s="87">
        <v>356.75</v>
      </c>
      <c r="J220" s="87">
        <v>7422</v>
      </c>
      <c r="K220" s="87">
        <v>74.36</v>
      </c>
      <c r="L220" s="87">
        <v>-133.05000000000001</v>
      </c>
    </row>
    <row r="221" spans="1:12">
      <c r="A221" s="88">
        <v>39753</v>
      </c>
      <c r="B221" s="87">
        <v>1184</v>
      </c>
      <c r="C221" s="87">
        <v>1232</v>
      </c>
      <c r="D221" s="87">
        <v>1050</v>
      </c>
      <c r="E221" s="87">
        <v>1101.6500000000001</v>
      </c>
      <c r="F221" s="87">
        <v>12079</v>
      </c>
      <c r="G221" s="87">
        <v>953</v>
      </c>
      <c r="H221" s="87">
        <v>13744319</v>
      </c>
      <c r="I221" s="87">
        <v>182</v>
      </c>
      <c r="J221" s="87">
        <v>9278</v>
      </c>
      <c r="K221" s="87">
        <v>76.81</v>
      </c>
      <c r="L221" s="87">
        <v>-82.35</v>
      </c>
    </row>
    <row r="222" spans="1:12">
      <c r="A222" s="88">
        <v>39783</v>
      </c>
      <c r="B222" s="87">
        <v>1110</v>
      </c>
      <c r="C222" s="87">
        <v>1360</v>
      </c>
      <c r="D222" s="87">
        <v>1082</v>
      </c>
      <c r="E222" s="87">
        <v>1324.9</v>
      </c>
      <c r="F222" s="87">
        <v>15560</v>
      </c>
      <c r="G222" s="87">
        <v>1486</v>
      </c>
      <c r="H222" s="87">
        <v>19267779</v>
      </c>
      <c r="I222" s="87">
        <v>278</v>
      </c>
      <c r="J222" s="87">
        <v>8934</v>
      </c>
      <c r="K222" s="87">
        <v>57.42</v>
      </c>
      <c r="L222" s="87">
        <v>214.9</v>
      </c>
    </row>
    <row r="223" spans="1:12">
      <c r="A223" s="88">
        <v>39814</v>
      </c>
      <c r="B223" s="87">
        <v>1325</v>
      </c>
      <c r="C223" s="87">
        <v>1400</v>
      </c>
      <c r="D223" s="87">
        <v>1224.9000000000001</v>
      </c>
      <c r="E223" s="87">
        <v>1388.6</v>
      </c>
      <c r="F223" s="87">
        <v>10451</v>
      </c>
      <c r="G223" s="87">
        <v>798</v>
      </c>
      <c r="H223" s="87">
        <v>13873900</v>
      </c>
      <c r="I223" s="87">
        <v>175.1</v>
      </c>
      <c r="J223" s="87">
        <v>6547</v>
      </c>
      <c r="K223" s="87">
        <v>62.64</v>
      </c>
      <c r="L223" s="87">
        <v>63.6</v>
      </c>
    </row>
    <row r="224" spans="1:12">
      <c r="A224" s="88">
        <v>39845</v>
      </c>
      <c r="B224" s="87">
        <v>1395</v>
      </c>
      <c r="C224" s="87">
        <v>1410</v>
      </c>
      <c r="D224" s="87">
        <v>1301.3499999999999</v>
      </c>
      <c r="E224" s="87">
        <v>1315.05</v>
      </c>
      <c r="F224" s="87">
        <v>79268</v>
      </c>
      <c r="G224" s="87">
        <v>893</v>
      </c>
      <c r="H224" s="87">
        <v>110082127</v>
      </c>
      <c r="I224" s="87">
        <v>108.65</v>
      </c>
      <c r="J224" s="87">
        <v>73110</v>
      </c>
      <c r="K224" s="87">
        <v>92.23</v>
      </c>
      <c r="L224" s="87">
        <v>-79.95</v>
      </c>
    </row>
    <row r="225" spans="1:12">
      <c r="A225" s="88">
        <v>39873</v>
      </c>
      <c r="B225" s="87">
        <v>1329.4</v>
      </c>
      <c r="C225" s="87">
        <v>1412</v>
      </c>
      <c r="D225" s="87">
        <v>1230</v>
      </c>
      <c r="E225" s="87">
        <v>1409.4</v>
      </c>
      <c r="F225" s="87">
        <v>45553</v>
      </c>
      <c r="G225" s="87">
        <v>866</v>
      </c>
      <c r="H225" s="87">
        <v>62367602</v>
      </c>
      <c r="I225" s="87">
        <v>182</v>
      </c>
      <c r="J225" s="87">
        <v>41049</v>
      </c>
      <c r="K225" s="87">
        <v>90.11</v>
      </c>
      <c r="L225" s="87">
        <v>80</v>
      </c>
    </row>
    <row r="226" spans="1:12">
      <c r="A226" s="88">
        <v>39904</v>
      </c>
      <c r="B226" s="87">
        <v>1380</v>
      </c>
      <c r="C226" s="87">
        <v>1699</v>
      </c>
      <c r="D226" s="87">
        <v>1380</v>
      </c>
      <c r="E226" s="87">
        <v>1601.7</v>
      </c>
      <c r="F226" s="87">
        <v>128206</v>
      </c>
      <c r="G226" s="87">
        <v>11745</v>
      </c>
      <c r="H226" s="87">
        <v>198254924</v>
      </c>
      <c r="I226" s="87">
        <v>319</v>
      </c>
      <c r="J226" s="87">
        <v>56558</v>
      </c>
      <c r="K226" s="87">
        <v>44.11</v>
      </c>
      <c r="L226" s="87">
        <v>221.7</v>
      </c>
    </row>
    <row r="227" spans="1:12">
      <c r="A227" s="88">
        <v>39934</v>
      </c>
      <c r="B227" s="87">
        <v>1610</v>
      </c>
      <c r="C227" s="87">
        <v>1890</v>
      </c>
      <c r="D227" s="87">
        <v>1520</v>
      </c>
      <c r="E227" s="87">
        <v>1712.9</v>
      </c>
      <c r="F227" s="87">
        <v>127650</v>
      </c>
      <c r="G227" s="87">
        <v>5134</v>
      </c>
      <c r="H227" s="87">
        <v>217036127</v>
      </c>
      <c r="I227" s="87">
        <v>370</v>
      </c>
      <c r="J227" s="87">
        <v>91208</v>
      </c>
      <c r="K227" s="87">
        <v>71.45</v>
      </c>
      <c r="L227" s="87">
        <v>102.9</v>
      </c>
    </row>
    <row r="228" spans="1:12">
      <c r="A228" s="88">
        <v>39965</v>
      </c>
      <c r="B228" s="87">
        <v>1738</v>
      </c>
      <c r="C228" s="87">
        <v>1830</v>
      </c>
      <c r="D228" s="87">
        <v>1525.05</v>
      </c>
      <c r="E228" s="87">
        <v>1586.4</v>
      </c>
      <c r="F228" s="87">
        <v>38452</v>
      </c>
      <c r="G228" s="87">
        <v>2331</v>
      </c>
      <c r="H228" s="87">
        <v>61909081</v>
      </c>
      <c r="I228" s="87">
        <v>304.95</v>
      </c>
      <c r="J228" s="87">
        <v>29722</v>
      </c>
      <c r="K228" s="87">
        <v>77.3</v>
      </c>
      <c r="L228" s="87">
        <v>-151.6</v>
      </c>
    </row>
    <row r="229" spans="1:12">
      <c r="A229" s="88">
        <v>39995</v>
      </c>
      <c r="B229" s="87">
        <v>1575.05</v>
      </c>
      <c r="C229" s="87">
        <v>1882</v>
      </c>
      <c r="D229" s="87">
        <v>1530</v>
      </c>
      <c r="E229" s="87">
        <v>1861.95</v>
      </c>
      <c r="F229" s="87">
        <v>62870</v>
      </c>
      <c r="G229" s="87">
        <v>2910</v>
      </c>
      <c r="H229" s="87">
        <v>106128346</v>
      </c>
      <c r="I229" s="87">
        <v>352</v>
      </c>
      <c r="J229" s="87">
        <v>52497</v>
      </c>
      <c r="K229" s="87">
        <v>83.5</v>
      </c>
      <c r="L229" s="87">
        <v>286.89999999999998</v>
      </c>
    </row>
    <row r="230" spans="1:12">
      <c r="A230" s="88">
        <v>40026</v>
      </c>
      <c r="B230" s="87">
        <v>1890</v>
      </c>
      <c r="C230" s="87">
        <v>1890</v>
      </c>
      <c r="D230" s="87">
        <v>1606.6</v>
      </c>
      <c r="E230" s="87">
        <v>1647.05</v>
      </c>
      <c r="F230" s="87">
        <v>32692</v>
      </c>
      <c r="G230" s="87">
        <v>2220</v>
      </c>
      <c r="H230" s="87">
        <v>55848757</v>
      </c>
      <c r="I230" s="87">
        <v>283.39999999999998</v>
      </c>
      <c r="J230" s="87">
        <v>21089</v>
      </c>
      <c r="K230" s="87">
        <v>64.510000000000005</v>
      </c>
      <c r="L230" s="87">
        <v>-242.95</v>
      </c>
    </row>
    <row r="231" spans="1:12">
      <c r="A231" s="88">
        <v>40057</v>
      </c>
      <c r="B231" s="87">
        <v>1690</v>
      </c>
      <c r="C231" s="87">
        <v>1764.95</v>
      </c>
      <c r="D231" s="87">
        <v>1496.65</v>
      </c>
      <c r="E231" s="87">
        <v>1577.5</v>
      </c>
      <c r="F231" s="87">
        <v>49069</v>
      </c>
      <c r="G231" s="87">
        <v>3453</v>
      </c>
      <c r="H231" s="87">
        <v>77201646</v>
      </c>
      <c r="I231" s="87">
        <v>268.3</v>
      </c>
      <c r="J231" s="87">
        <v>33992</v>
      </c>
      <c r="K231" s="87">
        <v>69.27</v>
      </c>
      <c r="L231" s="87">
        <v>-112.5</v>
      </c>
    </row>
    <row r="232" spans="1:12">
      <c r="A232" s="88">
        <v>40087</v>
      </c>
      <c r="B232" s="87">
        <v>1569.95</v>
      </c>
      <c r="C232" s="87">
        <v>1789.5</v>
      </c>
      <c r="D232" s="87">
        <v>1520</v>
      </c>
      <c r="E232" s="87">
        <v>1654.15</v>
      </c>
      <c r="F232" s="87">
        <v>54803</v>
      </c>
      <c r="G232" s="87">
        <v>5244</v>
      </c>
      <c r="H232" s="87">
        <v>92032411</v>
      </c>
      <c r="I232" s="87">
        <v>269.5</v>
      </c>
      <c r="J232" s="87">
        <v>31243</v>
      </c>
      <c r="K232" s="87">
        <v>57.01</v>
      </c>
      <c r="L232" s="87">
        <v>84.2</v>
      </c>
    </row>
    <row r="233" spans="1:12">
      <c r="A233" s="88">
        <v>40118</v>
      </c>
      <c r="B233" s="87">
        <v>1662</v>
      </c>
      <c r="C233" s="87">
        <v>1700</v>
      </c>
      <c r="D233" s="87">
        <v>1591.5</v>
      </c>
      <c r="E233" s="87">
        <v>1599.85</v>
      </c>
      <c r="F233" s="87">
        <v>21595</v>
      </c>
      <c r="G233" s="87">
        <v>1835</v>
      </c>
      <c r="H233" s="87">
        <v>35860294</v>
      </c>
      <c r="I233" s="87">
        <v>108.5</v>
      </c>
      <c r="J233" s="87">
        <v>15707</v>
      </c>
      <c r="K233" s="87">
        <v>72.73</v>
      </c>
      <c r="L233" s="87">
        <v>-62.15</v>
      </c>
    </row>
    <row r="234" spans="1:12">
      <c r="A234" s="88">
        <v>40148</v>
      </c>
      <c r="B234" s="87">
        <v>1625</v>
      </c>
      <c r="C234" s="87">
        <v>1749.95</v>
      </c>
      <c r="D234" s="87">
        <v>1606</v>
      </c>
      <c r="E234" s="87">
        <v>1680.6</v>
      </c>
      <c r="F234" s="87">
        <v>11653</v>
      </c>
      <c r="G234" s="87">
        <v>1322</v>
      </c>
      <c r="H234" s="87">
        <v>19197235</v>
      </c>
      <c r="I234" s="87">
        <v>143.94999999999999</v>
      </c>
      <c r="J234" s="87">
        <v>8042</v>
      </c>
      <c r="K234" s="87">
        <v>69.010000000000005</v>
      </c>
      <c r="L234" s="87">
        <v>55.6</v>
      </c>
    </row>
    <row r="235" spans="1:12">
      <c r="A235" s="88">
        <v>40179</v>
      </c>
      <c r="B235" s="87">
        <v>1749.75</v>
      </c>
      <c r="C235" s="87">
        <v>1749.75</v>
      </c>
      <c r="D235" s="87">
        <v>1525</v>
      </c>
      <c r="E235" s="87">
        <v>1567.85</v>
      </c>
      <c r="F235" s="87">
        <v>81680</v>
      </c>
      <c r="G235" s="87">
        <v>1801</v>
      </c>
      <c r="H235" s="87">
        <v>134862300</v>
      </c>
      <c r="I235" s="87">
        <v>224.75</v>
      </c>
      <c r="J235" s="87">
        <v>76334</v>
      </c>
      <c r="K235" s="87">
        <v>93.45</v>
      </c>
      <c r="L235" s="87">
        <v>-181.9</v>
      </c>
    </row>
    <row r="236" spans="1:12">
      <c r="A236" s="88">
        <v>40210</v>
      </c>
      <c r="B236" s="87">
        <v>1580</v>
      </c>
      <c r="C236" s="87">
        <v>1698.95</v>
      </c>
      <c r="D236" s="87">
        <v>1561.05</v>
      </c>
      <c r="E236" s="87">
        <v>1671.3</v>
      </c>
      <c r="F236" s="87">
        <v>31271</v>
      </c>
      <c r="G236" s="87">
        <v>1644</v>
      </c>
      <c r="H236" s="87">
        <v>50531377</v>
      </c>
      <c r="I236" s="87">
        <v>137.9</v>
      </c>
      <c r="J236" s="87">
        <v>26700</v>
      </c>
      <c r="K236" s="87">
        <v>85.38</v>
      </c>
      <c r="L236" s="87">
        <v>91.3</v>
      </c>
    </row>
    <row r="237" spans="1:12">
      <c r="A237" s="88">
        <v>40238</v>
      </c>
      <c r="B237" s="87">
        <v>1690</v>
      </c>
      <c r="C237" s="87">
        <v>1775</v>
      </c>
      <c r="D237" s="87">
        <v>1501.25</v>
      </c>
      <c r="E237" s="87">
        <v>1599.5</v>
      </c>
      <c r="F237" s="87">
        <v>39433</v>
      </c>
      <c r="G237" s="87">
        <v>3330</v>
      </c>
      <c r="H237" s="87">
        <v>65479121</v>
      </c>
      <c r="I237" s="87">
        <v>273.75</v>
      </c>
      <c r="J237" s="87">
        <v>24533</v>
      </c>
      <c r="K237" s="87">
        <v>62.21</v>
      </c>
      <c r="L237" s="87">
        <v>-90.5</v>
      </c>
    </row>
    <row r="238" spans="1:12">
      <c r="A238" s="88">
        <v>40269</v>
      </c>
      <c r="B238" s="87">
        <v>1609</v>
      </c>
      <c r="C238" s="87">
        <v>1744</v>
      </c>
      <c r="D238" s="87">
        <v>1599</v>
      </c>
      <c r="E238" s="87">
        <v>1640.3</v>
      </c>
      <c r="F238" s="87">
        <v>60954</v>
      </c>
      <c r="G238" s="87">
        <v>3373</v>
      </c>
      <c r="H238" s="87">
        <v>101172321</v>
      </c>
      <c r="I238" s="87">
        <v>145</v>
      </c>
      <c r="J238" s="87">
        <v>39890</v>
      </c>
      <c r="K238" s="87">
        <v>65.44</v>
      </c>
      <c r="L238" s="87">
        <v>31.3</v>
      </c>
    </row>
    <row r="239" spans="1:12">
      <c r="A239" s="88">
        <v>40299</v>
      </c>
      <c r="B239" s="87">
        <v>1654</v>
      </c>
      <c r="C239" s="87">
        <v>1730.8</v>
      </c>
      <c r="D239" s="87">
        <v>1610.05</v>
      </c>
      <c r="E239" s="87">
        <v>1703.4</v>
      </c>
      <c r="F239" s="87">
        <v>16236</v>
      </c>
      <c r="G239" s="87">
        <v>1456</v>
      </c>
      <c r="H239" s="87">
        <v>27079507</v>
      </c>
      <c r="I239" s="87">
        <v>120.75</v>
      </c>
      <c r="J239" s="87">
        <v>11745</v>
      </c>
      <c r="K239" s="87">
        <v>72.34</v>
      </c>
      <c r="L239" s="87">
        <v>49.4</v>
      </c>
    </row>
    <row r="240" spans="1:12">
      <c r="A240" s="88">
        <v>40330</v>
      </c>
      <c r="B240" s="87">
        <v>1703.95</v>
      </c>
      <c r="C240" s="87">
        <v>1922</v>
      </c>
      <c r="D240" s="87">
        <v>1660.1</v>
      </c>
      <c r="E240" s="87">
        <v>1857.8</v>
      </c>
      <c r="F240" s="87">
        <v>43356</v>
      </c>
      <c r="G240" s="87">
        <v>2953</v>
      </c>
      <c r="H240" s="87">
        <v>78859392</v>
      </c>
      <c r="I240" s="87">
        <v>261.89999999999998</v>
      </c>
      <c r="J240" s="87">
        <v>27465</v>
      </c>
      <c r="K240" s="87">
        <v>63.35</v>
      </c>
      <c r="L240" s="87">
        <v>153.85</v>
      </c>
    </row>
    <row r="241" spans="1:12">
      <c r="A241" s="88">
        <v>40360</v>
      </c>
      <c r="B241" s="87">
        <v>1853.25</v>
      </c>
      <c r="C241" s="87">
        <v>2000</v>
      </c>
      <c r="D241" s="87">
        <v>1838</v>
      </c>
      <c r="E241" s="87">
        <v>1967.45</v>
      </c>
      <c r="F241" s="87">
        <v>87184</v>
      </c>
      <c r="G241" s="87">
        <v>3972</v>
      </c>
      <c r="H241" s="87">
        <v>168417385</v>
      </c>
      <c r="I241" s="87">
        <v>162</v>
      </c>
      <c r="J241" s="87">
        <v>62658</v>
      </c>
      <c r="K241" s="87">
        <v>71.87</v>
      </c>
      <c r="L241" s="87">
        <v>114.2</v>
      </c>
    </row>
    <row r="242" spans="1:12">
      <c r="A242" s="88">
        <v>40391</v>
      </c>
      <c r="B242" s="87">
        <v>2011.2</v>
      </c>
      <c r="C242" s="87">
        <v>2380</v>
      </c>
      <c r="D242" s="87">
        <v>1991</v>
      </c>
      <c r="E242" s="87">
        <v>2049.5</v>
      </c>
      <c r="F242" s="87">
        <v>331211</v>
      </c>
      <c r="G242" s="87">
        <v>25776</v>
      </c>
      <c r="H242" s="87">
        <v>719467984</v>
      </c>
      <c r="I242" s="87">
        <v>389</v>
      </c>
      <c r="J242" s="87">
        <v>139493</v>
      </c>
      <c r="K242" s="87">
        <v>42.12</v>
      </c>
      <c r="L242" s="87">
        <v>38.299999999999997</v>
      </c>
    </row>
    <row r="243" spans="1:12">
      <c r="A243" s="88">
        <v>40422</v>
      </c>
      <c r="B243" s="87">
        <v>2070.9</v>
      </c>
      <c r="C243" s="87">
        <v>2158</v>
      </c>
      <c r="D243" s="87">
        <v>425</v>
      </c>
      <c r="E243" s="87">
        <v>433.7</v>
      </c>
      <c r="F243" s="87">
        <v>2004109</v>
      </c>
      <c r="G243" s="87">
        <v>59695</v>
      </c>
      <c r="H243" s="87">
        <v>976786628</v>
      </c>
      <c r="I243" s="87">
        <v>1733</v>
      </c>
      <c r="J243" s="87">
        <v>507246</v>
      </c>
      <c r="K243" s="87">
        <v>25.31</v>
      </c>
      <c r="L243" s="87">
        <v>-1637.2</v>
      </c>
    </row>
    <row r="244" spans="1:12">
      <c r="A244" s="88">
        <v>40452</v>
      </c>
      <c r="B244" s="87">
        <v>436.9</v>
      </c>
      <c r="C244" s="87">
        <v>452.45</v>
      </c>
      <c r="D244" s="87">
        <v>413</v>
      </c>
      <c r="E244" s="87">
        <v>415.3</v>
      </c>
      <c r="F244" s="87">
        <v>381134</v>
      </c>
      <c r="G244" s="87">
        <v>13656</v>
      </c>
      <c r="H244" s="87">
        <v>166261309</v>
      </c>
      <c r="I244" s="87">
        <v>39.450000000000003</v>
      </c>
      <c r="J244" s="87">
        <v>179448</v>
      </c>
      <c r="K244" s="87">
        <v>47.08</v>
      </c>
      <c r="L244" s="87">
        <v>-21.6</v>
      </c>
    </row>
    <row r="245" spans="1:12">
      <c r="A245" s="88">
        <v>40483</v>
      </c>
      <c r="B245" s="87">
        <v>421.9</v>
      </c>
      <c r="C245" s="87">
        <v>451</v>
      </c>
      <c r="D245" s="87">
        <v>390</v>
      </c>
      <c r="E245" s="87">
        <v>400.25</v>
      </c>
      <c r="F245" s="87">
        <v>442047</v>
      </c>
      <c r="G245" s="87">
        <v>13955</v>
      </c>
      <c r="H245" s="87">
        <v>187226821</v>
      </c>
      <c r="I245" s="87">
        <v>61</v>
      </c>
      <c r="J245" s="87">
        <v>227164</v>
      </c>
      <c r="K245" s="87">
        <v>51.39</v>
      </c>
      <c r="L245" s="87">
        <v>-21.65</v>
      </c>
    </row>
    <row r="246" spans="1:12">
      <c r="A246" s="88">
        <v>40513</v>
      </c>
      <c r="B246" s="87">
        <v>399</v>
      </c>
      <c r="C246" s="87">
        <v>420</v>
      </c>
      <c r="D246" s="87">
        <v>390.3</v>
      </c>
      <c r="E246" s="87">
        <v>410</v>
      </c>
      <c r="F246" s="87">
        <v>640729</v>
      </c>
      <c r="G246" s="87">
        <v>5384</v>
      </c>
      <c r="H246" s="87">
        <v>256684122</v>
      </c>
      <c r="I246" s="87">
        <v>29.7</v>
      </c>
      <c r="J246" s="87">
        <v>588268</v>
      </c>
      <c r="K246" s="87">
        <v>91.81</v>
      </c>
      <c r="L246" s="87">
        <v>11</v>
      </c>
    </row>
    <row r="247" spans="1:12">
      <c r="A247" s="88">
        <v>40544</v>
      </c>
      <c r="B247" s="87">
        <v>415</v>
      </c>
      <c r="C247" s="87">
        <v>424</v>
      </c>
      <c r="D247" s="87">
        <v>352</v>
      </c>
      <c r="E247" s="87">
        <v>377.1</v>
      </c>
      <c r="F247" s="87">
        <v>327150</v>
      </c>
      <c r="G247" s="87">
        <v>10312</v>
      </c>
      <c r="H247" s="87">
        <v>124825377</v>
      </c>
      <c r="I247" s="87">
        <v>72</v>
      </c>
      <c r="J247" s="87">
        <v>215324</v>
      </c>
      <c r="K247" s="87">
        <v>65.819999999999993</v>
      </c>
      <c r="L247" s="87">
        <v>-37.9</v>
      </c>
    </row>
    <row r="248" spans="1:12">
      <c r="A248" s="88">
        <v>40575</v>
      </c>
      <c r="B248" s="87">
        <v>380.8</v>
      </c>
      <c r="C248" s="87">
        <v>390.9</v>
      </c>
      <c r="D248" s="87">
        <v>334.1</v>
      </c>
      <c r="E248" s="87">
        <v>337.45</v>
      </c>
      <c r="F248" s="87">
        <v>444631</v>
      </c>
      <c r="G248" s="87">
        <v>7959</v>
      </c>
      <c r="H248" s="87">
        <v>159167348</v>
      </c>
      <c r="I248" s="87">
        <v>56.8</v>
      </c>
      <c r="J248" s="87">
        <v>354530</v>
      </c>
      <c r="K248" s="87">
        <v>79.739999999999995</v>
      </c>
      <c r="L248" s="87">
        <v>-43.35</v>
      </c>
    </row>
    <row r="249" spans="1:12">
      <c r="A249" s="88">
        <v>40603</v>
      </c>
      <c r="B249" s="87">
        <v>343.8</v>
      </c>
      <c r="C249" s="87">
        <v>374</v>
      </c>
      <c r="D249" s="87">
        <v>340</v>
      </c>
      <c r="E249" s="87">
        <v>370.55</v>
      </c>
      <c r="F249" s="87">
        <v>116976</v>
      </c>
      <c r="G249" s="87">
        <v>5645</v>
      </c>
      <c r="H249" s="87">
        <v>41391170</v>
      </c>
      <c r="I249" s="87">
        <v>34</v>
      </c>
      <c r="J249" s="87">
        <v>68738</v>
      </c>
      <c r="K249" s="87">
        <v>58.76</v>
      </c>
      <c r="L249" s="87">
        <v>26.75</v>
      </c>
    </row>
    <row r="250" spans="1:12">
      <c r="A250" s="88">
        <v>40634</v>
      </c>
      <c r="B250" s="87">
        <v>368</v>
      </c>
      <c r="C250" s="87">
        <v>402.45</v>
      </c>
      <c r="D250" s="87">
        <v>361</v>
      </c>
      <c r="E250" s="87">
        <v>369.55</v>
      </c>
      <c r="F250" s="87">
        <v>313189</v>
      </c>
      <c r="G250" s="87">
        <v>10912</v>
      </c>
      <c r="H250" s="87">
        <v>120427838</v>
      </c>
      <c r="I250" s="87">
        <v>41.45</v>
      </c>
      <c r="J250" s="87">
        <v>132888</v>
      </c>
      <c r="K250" s="87">
        <v>42.43</v>
      </c>
      <c r="L250" s="87">
        <v>1.55</v>
      </c>
    </row>
    <row r="251" spans="1:12">
      <c r="A251" s="88">
        <v>40664</v>
      </c>
      <c r="B251" s="87">
        <v>371.9</v>
      </c>
      <c r="C251" s="87">
        <v>419.5</v>
      </c>
      <c r="D251" s="87">
        <v>324</v>
      </c>
      <c r="E251" s="87">
        <v>417.3</v>
      </c>
      <c r="F251" s="87">
        <v>766029</v>
      </c>
      <c r="G251" s="87">
        <v>21837</v>
      </c>
      <c r="H251" s="87">
        <v>294076542</v>
      </c>
      <c r="I251" s="87">
        <v>95.5</v>
      </c>
      <c r="J251" s="87">
        <v>334072</v>
      </c>
      <c r="K251" s="87">
        <v>43.61</v>
      </c>
      <c r="L251" s="87">
        <v>45.4</v>
      </c>
    </row>
    <row r="252" spans="1:12">
      <c r="A252" s="88">
        <v>40695</v>
      </c>
      <c r="B252" s="87">
        <v>425.2</v>
      </c>
      <c r="C252" s="87">
        <v>487.8</v>
      </c>
      <c r="D252" s="87">
        <v>414.15</v>
      </c>
      <c r="E252" s="87">
        <v>477.5</v>
      </c>
      <c r="F252" s="87">
        <v>678756</v>
      </c>
      <c r="G252" s="87">
        <v>26379</v>
      </c>
      <c r="H252" s="87">
        <v>311921127</v>
      </c>
      <c r="I252" s="87">
        <v>73.650000000000006</v>
      </c>
      <c r="J252" s="87">
        <v>195869</v>
      </c>
      <c r="K252" s="87">
        <v>28.86</v>
      </c>
      <c r="L252" s="87">
        <v>52.3</v>
      </c>
    </row>
    <row r="253" spans="1:12">
      <c r="A253" s="88">
        <v>40725</v>
      </c>
      <c r="B253" s="87">
        <v>483</v>
      </c>
      <c r="C253" s="87">
        <v>498</v>
      </c>
      <c r="D253" s="87">
        <v>463.1</v>
      </c>
      <c r="E253" s="87">
        <v>482.05</v>
      </c>
      <c r="F253" s="87">
        <v>326648</v>
      </c>
      <c r="G253" s="87">
        <v>11952</v>
      </c>
      <c r="H253" s="87">
        <v>157675750</v>
      </c>
      <c r="I253" s="87">
        <v>34.9</v>
      </c>
      <c r="J253" s="87">
        <v>211738</v>
      </c>
      <c r="K253" s="87">
        <v>64.819999999999993</v>
      </c>
      <c r="L253" s="87">
        <v>-0.95</v>
      </c>
    </row>
    <row r="254" spans="1:12">
      <c r="A254" s="88">
        <v>40756</v>
      </c>
      <c r="B254" s="87">
        <v>482.05</v>
      </c>
      <c r="C254" s="87">
        <v>490</v>
      </c>
      <c r="D254" s="87">
        <v>450</v>
      </c>
      <c r="E254" s="87">
        <v>485.4</v>
      </c>
      <c r="F254" s="87">
        <v>215523</v>
      </c>
      <c r="G254" s="87">
        <v>7954</v>
      </c>
      <c r="H254" s="87">
        <v>102171672</v>
      </c>
      <c r="I254" s="87">
        <v>40</v>
      </c>
      <c r="J254" s="87">
        <v>150369</v>
      </c>
      <c r="K254" s="87">
        <v>69.77</v>
      </c>
      <c r="L254" s="87">
        <v>3.35</v>
      </c>
    </row>
    <row r="255" spans="1:12">
      <c r="A255" s="88">
        <v>40787</v>
      </c>
      <c r="B255" s="87">
        <v>488.85</v>
      </c>
      <c r="C255" s="87">
        <v>495</v>
      </c>
      <c r="D255" s="87">
        <v>449.1</v>
      </c>
      <c r="E255" s="87">
        <v>469.55</v>
      </c>
      <c r="F255" s="87">
        <v>488280</v>
      </c>
      <c r="G255" s="87">
        <v>7769</v>
      </c>
      <c r="H255" s="87">
        <v>227767386</v>
      </c>
      <c r="I255" s="87">
        <v>45.9</v>
      </c>
      <c r="J255" s="87">
        <v>441166</v>
      </c>
      <c r="K255" s="87">
        <v>90.35</v>
      </c>
      <c r="L255" s="87">
        <v>-19.3</v>
      </c>
    </row>
    <row r="256" spans="1:12">
      <c r="A256" s="88">
        <v>40817</v>
      </c>
      <c r="B256" s="87">
        <v>462</v>
      </c>
      <c r="C256" s="87">
        <v>475</v>
      </c>
      <c r="D256" s="87">
        <v>439.05</v>
      </c>
      <c r="E256" s="87">
        <v>470.55</v>
      </c>
      <c r="F256" s="87">
        <v>261264</v>
      </c>
      <c r="G256" s="87">
        <v>6857</v>
      </c>
      <c r="H256" s="87">
        <v>118562823</v>
      </c>
      <c r="I256" s="87">
        <v>35.950000000000003</v>
      </c>
      <c r="J256" s="87">
        <v>228090</v>
      </c>
      <c r="K256" s="87">
        <v>87.3</v>
      </c>
      <c r="L256" s="87">
        <v>8.5500000000000007</v>
      </c>
    </row>
    <row r="257" spans="1:12">
      <c r="A257" s="88">
        <v>40848</v>
      </c>
      <c r="B257" s="87">
        <v>471.25</v>
      </c>
      <c r="C257" s="87">
        <v>493</v>
      </c>
      <c r="D257" s="87">
        <v>455</v>
      </c>
      <c r="E257" s="87">
        <v>468.8</v>
      </c>
      <c r="F257" s="87">
        <v>221055</v>
      </c>
      <c r="G257" s="87">
        <v>8840</v>
      </c>
      <c r="H257" s="87">
        <v>105990553</v>
      </c>
      <c r="I257" s="87">
        <v>38</v>
      </c>
      <c r="J257" s="87">
        <v>157770</v>
      </c>
      <c r="K257" s="87">
        <v>71.37</v>
      </c>
      <c r="L257" s="87">
        <v>-2.4500000000000002</v>
      </c>
    </row>
    <row r="258" spans="1:12">
      <c r="A258" s="88">
        <v>40878</v>
      </c>
      <c r="B258" s="87">
        <v>472.05</v>
      </c>
      <c r="C258" s="87">
        <v>477</v>
      </c>
      <c r="D258" s="87">
        <v>434</v>
      </c>
      <c r="E258" s="87">
        <v>448.15</v>
      </c>
      <c r="F258" s="87">
        <v>696794</v>
      </c>
      <c r="G258" s="87">
        <v>7617</v>
      </c>
      <c r="H258" s="87">
        <v>323001664</v>
      </c>
      <c r="I258" s="87">
        <v>43</v>
      </c>
      <c r="J258" s="87">
        <v>643677</v>
      </c>
      <c r="K258" s="87">
        <v>92.38</v>
      </c>
      <c r="L258" s="87">
        <v>-23.9</v>
      </c>
    </row>
    <row r="259" spans="1:12">
      <c r="A259" s="88">
        <v>40909</v>
      </c>
      <c r="B259" s="87">
        <v>445</v>
      </c>
      <c r="C259" s="87">
        <v>466</v>
      </c>
      <c r="D259" s="87">
        <v>435</v>
      </c>
      <c r="E259" s="87">
        <v>451.5</v>
      </c>
      <c r="F259" s="87">
        <v>114382</v>
      </c>
      <c r="G259" s="87">
        <v>5567</v>
      </c>
      <c r="H259" s="87">
        <v>51350396</v>
      </c>
      <c r="I259" s="87">
        <v>31</v>
      </c>
      <c r="J259" s="87">
        <v>69565</v>
      </c>
      <c r="K259" s="87">
        <v>60.82</v>
      </c>
      <c r="L259" s="87">
        <v>6.5</v>
      </c>
    </row>
    <row r="260" spans="1:12">
      <c r="A260" s="88">
        <v>40940</v>
      </c>
      <c r="B260" s="87">
        <v>457.85</v>
      </c>
      <c r="C260" s="87">
        <v>547.70000000000005</v>
      </c>
      <c r="D260" s="87">
        <v>450</v>
      </c>
      <c r="E260" s="87">
        <v>515.35</v>
      </c>
      <c r="F260" s="87">
        <v>515604</v>
      </c>
      <c r="G260" s="87">
        <v>14823</v>
      </c>
      <c r="H260" s="87">
        <v>263158361</v>
      </c>
      <c r="I260" s="87">
        <v>97.7</v>
      </c>
      <c r="J260" s="87">
        <v>326184</v>
      </c>
      <c r="K260" s="87">
        <v>63.26</v>
      </c>
      <c r="L260" s="87">
        <v>57.5</v>
      </c>
    </row>
    <row r="261" spans="1:12">
      <c r="A261" s="88">
        <v>40969</v>
      </c>
      <c r="B261" s="87">
        <v>515</v>
      </c>
      <c r="C261" s="87">
        <v>596</v>
      </c>
      <c r="D261" s="87">
        <v>507.05</v>
      </c>
      <c r="E261" s="87">
        <v>592.5</v>
      </c>
      <c r="F261" s="87">
        <v>846820</v>
      </c>
      <c r="G261" s="87">
        <v>13198</v>
      </c>
      <c r="H261" s="87">
        <v>492074584</v>
      </c>
      <c r="I261" s="87">
        <v>88.95</v>
      </c>
      <c r="J261" s="87">
        <v>714312</v>
      </c>
      <c r="K261" s="87">
        <v>84.35</v>
      </c>
      <c r="L261" s="87">
        <v>77.5</v>
      </c>
    </row>
    <row r="262" spans="1:12">
      <c r="A262" s="88">
        <v>41000</v>
      </c>
      <c r="B262" s="87">
        <v>590</v>
      </c>
      <c r="C262" s="87">
        <v>599.9</v>
      </c>
      <c r="D262" s="87">
        <v>543.20000000000005</v>
      </c>
      <c r="E262" s="87">
        <v>560.35</v>
      </c>
      <c r="F262" s="87">
        <v>1246485</v>
      </c>
      <c r="G262" s="87">
        <v>6110</v>
      </c>
      <c r="H262" s="87">
        <v>711321847</v>
      </c>
      <c r="I262" s="87">
        <v>56.7</v>
      </c>
      <c r="J262" s="87">
        <v>1195586</v>
      </c>
      <c r="K262" s="87">
        <v>95.92</v>
      </c>
      <c r="L262" s="87">
        <v>-29.65</v>
      </c>
    </row>
    <row r="263" spans="1:12">
      <c r="A263" s="88">
        <v>41030</v>
      </c>
      <c r="B263" s="87">
        <v>557.1</v>
      </c>
      <c r="C263" s="87">
        <v>566.95000000000005</v>
      </c>
      <c r="D263" s="87">
        <v>506.6</v>
      </c>
      <c r="E263" s="87">
        <v>533.45000000000005</v>
      </c>
      <c r="F263" s="87">
        <v>573447</v>
      </c>
      <c r="G263" s="87">
        <v>5834</v>
      </c>
      <c r="H263" s="87">
        <v>309251062</v>
      </c>
      <c r="I263" s="87">
        <v>60.35</v>
      </c>
      <c r="J263" s="87">
        <v>537270</v>
      </c>
      <c r="K263" s="87">
        <v>93.69</v>
      </c>
      <c r="L263" s="87">
        <v>-23.65</v>
      </c>
    </row>
    <row r="264" spans="1:12">
      <c r="A264" s="88">
        <v>41061</v>
      </c>
      <c r="B264" s="87">
        <v>538</v>
      </c>
      <c r="C264" s="87">
        <v>549</v>
      </c>
      <c r="D264" s="87">
        <v>511.1</v>
      </c>
      <c r="E264" s="87">
        <v>524.79999999999995</v>
      </c>
      <c r="F264" s="87">
        <v>121108</v>
      </c>
      <c r="G264" s="87">
        <v>7704</v>
      </c>
      <c r="H264" s="87">
        <v>63874638</v>
      </c>
      <c r="I264" s="87">
        <v>37.9</v>
      </c>
      <c r="J264" s="87">
        <v>57877</v>
      </c>
      <c r="K264" s="87">
        <v>47.79</v>
      </c>
      <c r="L264" s="87">
        <v>-13.2</v>
      </c>
    </row>
    <row r="265" spans="1:12">
      <c r="A265" s="88">
        <v>41091</v>
      </c>
      <c r="B265" s="87">
        <v>522</v>
      </c>
      <c r="C265" s="87">
        <v>552.9</v>
      </c>
      <c r="D265" s="87">
        <v>462</v>
      </c>
      <c r="E265" s="87">
        <v>464.9</v>
      </c>
      <c r="F265" s="87">
        <v>348822</v>
      </c>
      <c r="G265" s="87">
        <v>9205</v>
      </c>
      <c r="H265" s="87">
        <v>182974740</v>
      </c>
      <c r="I265" s="87">
        <v>90.9</v>
      </c>
      <c r="J265" s="87">
        <v>280487</v>
      </c>
      <c r="K265" s="87">
        <v>80.41</v>
      </c>
      <c r="L265" s="87">
        <v>-57.1</v>
      </c>
    </row>
    <row r="266" spans="1:12">
      <c r="A266" s="88">
        <v>41122</v>
      </c>
      <c r="B266" s="87">
        <v>463</v>
      </c>
      <c r="C266" s="87">
        <v>505</v>
      </c>
      <c r="D266" s="87">
        <v>450</v>
      </c>
      <c r="E266" s="87">
        <v>502.15</v>
      </c>
      <c r="F266" s="87">
        <v>726587</v>
      </c>
      <c r="G266" s="87">
        <v>15020</v>
      </c>
      <c r="H266" s="87">
        <v>354861680</v>
      </c>
      <c r="I266" s="87">
        <v>55</v>
      </c>
      <c r="J266" s="87">
        <v>555062</v>
      </c>
      <c r="K266" s="87">
        <v>76.39</v>
      </c>
      <c r="L266" s="87">
        <v>39.15</v>
      </c>
    </row>
    <row r="267" spans="1:12">
      <c r="A267" s="88">
        <v>41153</v>
      </c>
      <c r="B267" s="87">
        <v>506.5</v>
      </c>
      <c r="C267" s="87">
        <v>509</v>
      </c>
      <c r="D267" s="87">
        <v>468.15</v>
      </c>
      <c r="E267" s="87">
        <v>475.95</v>
      </c>
      <c r="F267" s="87">
        <v>785713</v>
      </c>
      <c r="G267" s="87">
        <v>9047</v>
      </c>
      <c r="H267" s="87">
        <v>381381791</v>
      </c>
      <c r="I267" s="87">
        <v>40.85</v>
      </c>
      <c r="J267" s="87">
        <v>717277</v>
      </c>
      <c r="K267" s="87">
        <v>91.29</v>
      </c>
      <c r="L267" s="87">
        <v>-30.55</v>
      </c>
    </row>
    <row r="268" spans="1:12">
      <c r="A268" s="88">
        <v>41183</v>
      </c>
      <c r="B268" s="87">
        <v>480</v>
      </c>
      <c r="C268" s="87">
        <v>524.79999999999995</v>
      </c>
      <c r="D268" s="87">
        <v>462.95</v>
      </c>
      <c r="E268" s="87">
        <v>483.45</v>
      </c>
      <c r="F268" s="87">
        <v>817628</v>
      </c>
      <c r="G268" s="87">
        <v>14284</v>
      </c>
      <c r="H268" s="87">
        <v>400528506</v>
      </c>
      <c r="I268" s="87">
        <v>61.85</v>
      </c>
      <c r="J268" s="87">
        <v>648111</v>
      </c>
      <c r="K268" s="87">
        <v>79.27</v>
      </c>
      <c r="L268" s="87">
        <v>3.45</v>
      </c>
    </row>
    <row r="269" spans="1:12">
      <c r="A269" s="88">
        <v>41214</v>
      </c>
      <c r="B269" s="87">
        <v>483</v>
      </c>
      <c r="C269" s="87">
        <v>504</v>
      </c>
      <c r="D269" s="87">
        <v>400</v>
      </c>
      <c r="E269" s="87">
        <v>496.35</v>
      </c>
      <c r="F269" s="87">
        <v>648959</v>
      </c>
      <c r="G269" s="87">
        <v>11183</v>
      </c>
      <c r="H269" s="87">
        <v>311367376</v>
      </c>
      <c r="I269" s="87">
        <v>104</v>
      </c>
      <c r="J269" s="87">
        <v>526845</v>
      </c>
      <c r="K269" s="87">
        <v>81.180000000000007</v>
      </c>
      <c r="L269" s="87">
        <v>13.35</v>
      </c>
    </row>
    <row r="270" spans="1:12">
      <c r="A270" s="88">
        <v>41244</v>
      </c>
      <c r="B270" s="87">
        <v>498</v>
      </c>
      <c r="C270" s="87">
        <v>509.25</v>
      </c>
      <c r="D270" s="87">
        <v>486.15</v>
      </c>
      <c r="E270" s="87">
        <v>499.25</v>
      </c>
      <c r="F270" s="87">
        <v>127401</v>
      </c>
      <c r="G270" s="87">
        <v>7146</v>
      </c>
      <c r="H270" s="87">
        <v>63099758</v>
      </c>
      <c r="I270" s="87">
        <v>23.1</v>
      </c>
      <c r="J270" s="87">
        <v>71111</v>
      </c>
      <c r="K270" s="87">
        <v>55.82</v>
      </c>
      <c r="L270" s="87">
        <v>1.25</v>
      </c>
    </row>
    <row r="271" spans="1:12">
      <c r="A271" s="88">
        <v>41275</v>
      </c>
      <c r="B271" s="87">
        <v>501.95</v>
      </c>
      <c r="C271" s="87">
        <v>566</v>
      </c>
      <c r="D271" s="87">
        <v>468.2</v>
      </c>
      <c r="E271" s="87">
        <v>483.55</v>
      </c>
      <c r="F271" s="87">
        <v>421373</v>
      </c>
      <c r="G271" s="87">
        <v>13580</v>
      </c>
      <c r="H271" s="87">
        <v>207778552</v>
      </c>
      <c r="I271" s="87">
        <v>97.8</v>
      </c>
      <c r="J271" s="87">
        <v>337372</v>
      </c>
      <c r="K271" s="87">
        <v>80.06</v>
      </c>
      <c r="L271" s="87">
        <v>-18.399999999999999</v>
      </c>
    </row>
    <row r="272" spans="1:12">
      <c r="A272" s="88">
        <v>41306</v>
      </c>
      <c r="B272" s="87">
        <v>484.7</v>
      </c>
      <c r="C272" s="87">
        <v>595</v>
      </c>
      <c r="D272" s="87">
        <v>463</v>
      </c>
      <c r="E272" s="87">
        <v>480.3</v>
      </c>
      <c r="F272" s="87">
        <v>175997</v>
      </c>
      <c r="G272" s="87">
        <v>8526</v>
      </c>
      <c r="H272" s="87">
        <v>84191041</v>
      </c>
      <c r="I272" s="87">
        <v>132</v>
      </c>
      <c r="J272" s="87">
        <v>118821</v>
      </c>
      <c r="K272" s="87">
        <v>67.510000000000005</v>
      </c>
      <c r="L272" s="87">
        <v>-4.4000000000000004</v>
      </c>
    </row>
    <row r="273" spans="1:12">
      <c r="A273" s="88">
        <v>41334</v>
      </c>
      <c r="B273" s="87">
        <v>485</v>
      </c>
      <c r="C273" s="87">
        <v>548.20000000000005</v>
      </c>
      <c r="D273" s="87">
        <v>478.25</v>
      </c>
      <c r="E273" s="87">
        <v>524.29999999999995</v>
      </c>
      <c r="F273" s="87">
        <v>189312</v>
      </c>
      <c r="G273" s="87">
        <v>10594</v>
      </c>
      <c r="H273" s="87">
        <v>98733869</v>
      </c>
      <c r="I273" s="87">
        <v>69.95</v>
      </c>
      <c r="J273" s="87">
        <v>110936</v>
      </c>
      <c r="K273" s="87">
        <v>58.6</v>
      </c>
      <c r="L273" s="87">
        <v>39.299999999999997</v>
      </c>
    </row>
    <row r="274" spans="1:12">
      <c r="A274" s="88">
        <v>41365</v>
      </c>
      <c r="B274" s="87">
        <v>525</v>
      </c>
      <c r="C274" s="87">
        <v>585</v>
      </c>
      <c r="D274" s="87">
        <v>505</v>
      </c>
      <c r="E274" s="87">
        <v>578.25</v>
      </c>
      <c r="F274" s="87">
        <v>702857</v>
      </c>
      <c r="G274" s="87">
        <v>11410</v>
      </c>
      <c r="H274" s="87">
        <v>389998713</v>
      </c>
      <c r="I274" s="87">
        <v>80</v>
      </c>
      <c r="J274" s="87">
        <v>652136</v>
      </c>
      <c r="K274" s="87">
        <v>92.78</v>
      </c>
      <c r="L274" s="87">
        <v>53.25</v>
      </c>
    </row>
    <row r="275" spans="1:12">
      <c r="A275" s="88">
        <v>41395</v>
      </c>
      <c r="B275" s="87">
        <v>575</v>
      </c>
      <c r="C275" s="87">
        <v>727</v>
      </c>
      <c r="D275" s="87">
        <v>557.1</v>
      </c>
      <c r="E275" s="87">
        <v>723.6</v>
      </c>
      <c r="F275" s="87">
        <v>1089367</v>
      </c>
      <c r="G275" s="87">
        <v>50155</v>
      </c>
      <c r="H275" s="87">
        <v>715851630</v>
      </c>
      <c r="I275" s="87">
        <v>169.9</v>
      </c>
      <c r="J275" s="87">
        <v>313990</v>
      </c>
      <c r="K275" s="87">
        <v>28.82</v>
      </c>
      <c r="L275" s="87">
        <v>148.6</v>
      </c>
    </row>
    <row r="276" spans="1:12">
      <c r="A276" s="88">
        <v>41426</v>
      </c>
      <c r="B276" s="87">
        <v>725</v>
      </c>
      <c r="C276" s="87">
        <v>752.2</v>
      </c>
      <c r="D276" s="87">
        <v>644.9</v>
      </c>
      <c r="E276" s="87">
        <v>671.75</v>
      </c>
      <c r="F276" s="87">
        <v>540801</v>
      </c>
      <c r="G276" s="87">
        <v>37425</v>
      </c>
      <c r="H276" s="87">
        <v>371240319</v>
      </c>
      <c r="I276" s="87">
        <v>107.3</v>
      </c>
      <c r="J276" s="87">
        <v>129929</v>
      </c>
      <c r="K276" s="87">
        <v>24.03</v>
      </c>
      <c r="L276" s="87">
        <v>-53.25</v>
      </c>
    </row>
    <row r="277" spans="1:12">
      <c r="A277" s="88">
        <v>41456</v>
      </c>
      <c r="B277" s="87">
        <v>671.75</v>
      </c>
      <c r="C277" s="87">
        <v>746.9</v>
      </c>
      <c r="D277" s="87">
        <v>665.6</v>
      </c>
      <c r="E277" s="87">
        <v>699.8</v>
      </c>
      <c r="F277" s="87">
        <v>433190</v>
      </c>
      <c r="G277" s="87">
        <v>36369</v>
      </c>
      <c r="H277" s="87">
        <v>305987584</v>
      </c>
      <c r="I277" s="87">
        <v>81.3</v>
      </c>
      <c r="J277" s="87">
        <v>144801</v>
      </c>
      <c r="K277" s="87">
        <v>33.43</v>
      </c>
      <c r="L277" s="87">
        <v>28.05</v>
      </c>
    </row>
    <row r="278" spans="1:12">
      <c r="A278" s="88">
        <v>41487</v>
      </c>
      <c r="B278" s="87">
        <v>699.35</v>
      </c>
      <c r="C278" s="87">
        <v>774.8</v>
      </c>
      <c r="D278" s="87">
        <v>658</v>
      </c>
      <c r="E278" s="87">
        <v>702.8</v>
      </c>
      <c r="F278" s="87">
        <v>749724</v>
      </c>
      <c r="G278" s="87">
        <v>49971</v>
      </c>
      <c r="H278" s="87">
        <v>549896491</v>
      </c>
      <c r="I278" s="87">
        <v>116.8</v>
      </c>
      <c r="J278" s="87">
        <v>251443</v>
      </c>
      <c r="K278" s="87">
        <v>33.54</v>
      </c>
      <c r="L278" s="87">
        <v>3.45</v>
      </c>
    </row>
    <row r="279" spans="1:12">
      <c r="A279" s="88">
        <v>41518</v>
      </c>
      <c r="B279" s="87">
        <v>704</v>
      </c>
      <c r="C279" s="87">
        <v>840</v>
      </c>
      <c r="D279" s="87">
        <v>704</v>
      </c>
      <c r="E279" s="87">
        <v>823.55</v>
      </c>
      <c r="F279" s="87">
        <v>608092</v>
      </c>
      <c r="G279" s="87">
        <v>25008</v>
      </c>
      <c r="H279" s="87">
        <v>458157871</v>
      </c>
      <c r="I279" s="87">
        <v>136</v>
      </c>
      <c r="J279" s="87">
        <v>424257</v>
      </c>
      <c r="K279" s="87">
        <v>69.77</v>
      </c>
      <c r="L279" s="87">
        <v>119.55</v>
      </c>
    </row>
    <row r="280" spans="1:12">
      <c r="A280" s="88">
        <v>41548</v>
      </c>
      <c r="B280" s="87">
        <v>829.25</v>
      </c>
      <c r="C280" s="87">
        <v>972.5</v>
      </c>
      <c r="D280" s="87">
        <v>823</v>
      </c>
      <c r="E280" s="87">
        <v>938.6</v>
      </c>
      <c r="F280" s="87">
        <v>490631</v>
      </c>
      <c r="G280" s="87">
        <v>35633</v>
      </c>
      <c r="H280" s="87">
        <v>429248537</v>
      </c>
      <c r="I280" s="87">
        <v>149.5</v>
      </c>
      <c r="J280" s="87">
        <v>245705</v>
      </c>
      <c r="K280" s="87">
        <v>50.08</v>
      </c>
      <c r="L280" s="87">
        <v>109.35</v>
      </c>
    </row>
    <row r="281" spans="1:12">
      <c r="A281" s="88">
        <v>41579</v>
      </c>
      <c r="B281" s="87">
        <v>945.85</v>
      </c>
      <c r="C281" s="87">
        <v>965.35</v>
      </c>
      <c r="D281" s="87">
        <v>870</v>
      </c>
      <c r="E281" s="87">
        <v>875.75</v>
      </c>
      <c r="F281" s="87">
        <v>386717</v>
      </c>
      <c r="G281" s="87">
        <v>29110</v>
      </c>
      <c r="H281" s="87">
        <v>354237212</v>
      </c>
      <c r="I281" s="87">
        <v>95.35</v>
      </c>
      <c r="J281" s="87">
        <v>198320</v>
      </c>
      <c r="K281" s="87">
        <v>51.28</v>
      </c>
      <c r="L281" s="87">
        <v>-70.099999999999994</v>
      </c>
    </row>
    <row r="282" spans="1:12">
      <c r="A282" s="88">
        <v>41609</v>
      </c>
      <c r="B282" s="87">
        <v>875</v>
      </c>
      <c r="C282" s="87">
        <v>937.7</v>
      </c>
      <c r="D282" s="87">
        <v>852.55</v>
      </c>
      <c r="E282" s="87">
        <v>920.4</v>
      </c>
      <c r="F282" s="87">
        <v>184018</v>
      </c>
      <c r="G282" s="87">
        <v>20053</v>
      </c>
      <c r="H282" s="87">
        <v>164719203</v>
      </c>
      <c r="I282" s="87">
        <v>85.15</v>
      </c>
      <c r="J282" s="87">
        <v>91331</v>
      </c>
      <c r="K282" s="87">
        <v>49.63</v>
      </c>
      <c r="L282" s="87">
        <v>45.4</v>
      </c>
    </row>
    <row r="283" spans="1:12">
      <c r="A283" s="88">
        <v>41640</v>
      </c>
      <c r="B283" s="87">
        <v>924.9</v>
      </c>
      <c r="C283" s="87">
        <v>932</v>
      </c>
      <c r="D283" s="87">
        <v>840</v>
      </c>
      <c r="E283" s="87">
        <v>883.05</v>
      </c>
      <c r="F283" s="87">
        <v>199235</v>
      </c>
      <c r="G283" s="87">
        <v>12877</v>
      </c>
      <c r="H283" s="87">
        <v>180133090</v>
      </c>
      <c r="I283" s="87">
        <v>92</v>
      </c>
      <c r="J283" s="87">
        <v>150327</v>
      </c>
      <c r="K283" s="87">
        <v>75.45</v>
      </c>
      <c r="L283" s="87">
        <v>-41.85</v>
      </c>
    </row>
    <row r="284" spans="1:12">
      <c r="A284" s="88">
        <v>41671</v>
      </c>
      <c r="B284" s="87">
        <v>886</v>
      </c>
      <c r="C284" s="87">
        <v>923</v>
      </c>
      <c r="D284" s="87">
        <v>865.25</v>
      </c>
      <c r="E284" s="87">
        <v>887.2</v>
      </c>
      <c r="F284" s="87">
        <v>117628</v>
      </c>
      <c r="G284" s="87">
        <v>11976</v>
      </c>
      <c r="H284" s="87">
        <v>106163130</v>
      </c>
      <c r="I284" s="87">
        <v>57.75</v>
      </c>
      <c r="J284" s="87">
        <v>58592</v>
      </c>
      <c r="K284" s="87">
        <v>49.81</v>
      </c>
      <c r="L284" s="87">
        <v>1.2</v>
      </c>
    </row>
    <row r="285" spans="1:12">
      <c r="A285" s="88">
        <v>41699</v>
      </c>
      <c r="B285" s="87">
        <v>886</v>
      </c>
      <c r="C285" s="87">
        <v>899</v>
      </c>
      <c r="D285" s="87">
        <v>812</v>
      </c>
      <c r="E285" s="87">
        <v>843.35</v>
      </c>
      <c r="F285" s="87">
        <v>175303</v>
      </c>
      <c r="G285" s="87">
        <v>14980</v>
      </c>
      <c r="H285" s="87">
        <v>150049554</v>
      </c>
      <c r="I285" s="87">
        <v>87</v>
      </c>
      <c r="J285" s="87">
        <v>114516</v>
      </c>
      <c r="K285" s="87">
        <v>65.319999999999993</v>
      </c>
      <c r="L285" s="87">
        <v>-42.65</v>
      </c>
    </row>
    <row r="286" spans="1:12">
      <c r="A286" s="88">
        <v>41730</v>
      </c>
      <c r="B286" s="87">
        <v>845</v>
      </c>
      <c r="C286" s="87">
        <v>921.95</v>
      </c>
      <c r="D286" s="87">
        <v>831</v>
      </c>
      <c r="E286" s="87">
        <v>862.9</v>
      </c>
      <c r="F286" s="87">
        <v>132454</v>
      </c>
      <c r="G286" s="87">
        <v>17988</v>
      </c>
      <c r="H286" s="87">
        <v>115903949</v>
      </c>
      <c r="I286" s="87">
        <v>90.95</v>
      </c>
      <c r="J286" s="87">
        <v>75001</v>
      </c>
      <c r="K286" s="87">
        <v>56.62</v>
      </c>
      <c r="L286" s="87">
        <v>17.899999999999999</v>
      </c>
    </row>
    <row r="287" spans="1:12">
      <c r="A287" s="88">
        <v>41760</v>
      </c>
      <c r="B287" s="87">
        <v>864</v>
      </c>
      <c r="C287" s="87">
        <v>899.55</v>
      </c>
      <c r="D287" s="87">
        <v>821</v>
      </c>
      <c r="E287" s="87">
        <v>879.75</v>
      </c>
      <c r="F287" s="87">
        <v>315802</v>
      </c>
      <c r="G287" s="87">
        <v>33417</v>
      </c>
      <c r="H287" s="87">
        <v>272934086</v>
      </c>
      <c r="I287" s="87">
        <v>78.55</v>
      </c>
      <c r="J287" s="87">
        <v>210246</v>
      </c>
      <c r="K287" s="87">
        <v>66.58</v>
      </c>
      <c r="L287" s="87">
        <v>15.75</v>
      </c>
    </row>
    <row r="288" spans="1:12">
      <c r="A288" s="88">
        <v>41791</v>
      </c>
      <c r="B288" s="87">
        <v>890</v>
      </c>
      <c r="C288" s="87">
        <v>1021.6</v>
      </c>
      <c r="D288" s="87">
        <v>873.6</v>
      </c>
      <c r="E288" s="87">
        <v>1006.85</v>
      </c>
      <c r="F288" s="87">
        <v>665394</v>
      </c>
      <c r="G288" s="87">
        <v>74439</v>
      </c>
      <c r="H288" s="87">
        <v>632507428</v>
      </c>
      <c r="I288" s="87">
        <v>148</v>
      </c>
      <c r="J288" s="87">
        <v>306049</v>
      </c>
      <c r="K288" s="87">
        <v>46</v>
      </c>
      <c r="L288" s="87">
        <v>116.85</v>
      </c>
    </row>
    <row r="289" spans="1:12">
      <c r="A289" s="88">
        <v>41821</v>
      </c>
      <c r="B289" s="87">
        <v>1010</v>
      </c>
      <c r="C289" s="87">
        <v>1150.95</v>
      </c>
      <c r="D289" s="87">
        <v>966</v>
      </c>
      <c r="E289" s="87">
        <v>1144.05</v>
      </c>
      <c r="F289" s="87">
        <v>742777</v>
      </c>
      <c r="G289" s="87">
        <v>35373</v>
      </c>
      <c r="H289" s="87">
        <v>757477965</v>
      </c>
      <c r="I289" s="87">
        <v>184.95</v>
      </c>
      <c r="J289" s="87">
        <v>616613</v>
      </c>
      <c r="K289" s="87">
        <v>83.01</v>
      </c>
      <c r="L289" s="87">
        <v>134.05000000000001</v>
      </c>
    </row>
    <row r="290" spans="1:12">
      <c r="A290" s="88">
        <v>41852</v>
      </c>
      <c r="B290" s="87">
        <v>1140.1500000000001</v>
      </c>
      <c r="C290" s="87">
        <v>1310.85</v>
      </c>
      <c r="D290" s="87">
        <v>1085</v>
      </c>
      <c r="E290" s="87">
        <v>1246.1500000000001</v>
      </c>
      <c r="F290" s="87">
        <v>334423</v>
      </c>
      <c r="G290" s="87">
        <v>42368</v>
      </c>
      <c r="H290" s="87">
        <v>407648791</v>
      </c>
      <c r="I290" s="87">
        <v>225.85</v>
      </c>
      <c r="J290" s="87">
        <v>149744</v>
      </c>
      <c r="K290" s="87">
        <v>44.78</v>
      </c>
      <c r="L290" s="87">
        <v>106</v>
      </c>
    </row>
    <row r="291" spans="1:12">
      <c r="A291" s="88">
        <v>41883</v>
      </c>
      <c r="B291" s="87">
        <v>1250</v>
      </c>
      <c r="C291" s="87">
        <v>1510</v>
      </c>
      <c r="D291" s="87">
        <v>1237</v>
      </c>
      <c r="E291" s="87">
        <v>1396.85</v>
      </c>
      <c r="F291" s="87">
        <v>257614</v>
      </c>
      <c r="G291" s="87">
        <v>43784</v>
      </c>
      <c r="H291" s="87">
        <v>352354065</v>
      </c>
      <c r="I291" s="87">
        <v>273</v>
      </c>
      <c r="J291" s="87">
        <v>126905</v>
      </c>
      <c r="K291" s="87">
        <v>49.26</v>
      </c>
      <c r="L291" s="87">
        <v>146.85</v>
      </c>
    </row>
    <row r="292" spans="1:12">
      <c r="A292" s="88">
        <v>41913</v>
      </c>
      <c r="B292" s="87">
        <v>1381</v>
      </c>
      <c r="C292" s="87">
        <v>1547</v>
      </c>
      <c r="D292" s="87">
        <v>1301.5999999999999</v>
      </c>
      <c r="E292" s="87">
        <v>1531.05</v>
      </c>
      <c r="F292" s="87">
        <v>196504</v>
      </c>
      <c r="G292" s="87">
        <v>26633</v>
      </c>
      <c r="H292" s="87">
        <v>274088425</v>
      </c>
      <c r="I292" s="87">
        <v>245.4</v>
      </c>
      <c r="J292" s="87">
        <v>107380</v>
      </c>
      <c r="K292" s="87">
        <v>54.65</v>
      </c>
      <c r="L292" s="87">
        <v>150.05000000000001</v>
      </c>
    </row>
    <row r="293" spans="1:12">
      <c r="A293" s="88">
        <v>41944</v>
      </c>
      <c r="B293" s="87">
        <v>1540</v>
      </c>
      <c r="C293" s="87">
        <v>1730</v>
      </c>
      <c r="D293" s="87">
        <v>1500.1</v>
      </c>
      <c r="E293" s="87">
        <v>1649.4</v>
      </c>
      <c r="F293" s="87">
        <v>331020</v>
      </c>
      <c r="G293" s="87">
        <v>48871</v>
      </c>
      <c r="H293" s="87">
        <v>540436745</v>
      </c>
      <c r="I293" s="87">
        <v>229.9</v>
      </c>
      <c r="J293" s="87">
        <v>154666</v>
      </c>
      <c r="K293" s="87">
        <v>46.72</v>
      </c>
      <c r="L293" s="87">
        <v>109.4</v>
      </c>
    </row>
    <row r="294" spans="1:12">
      <c r="A294" s="88">
        <v>41974</v>
      </c>
      <c r="B294" s="87">
        <v>1616.4</v>
      </c>
      <c r="C294" s="87">
        <v>1865</v>
      </c>
      <c r="D294" s="87">
        <v>1616.4</v>
      </c>
      <c r="E294" s="87">
        <v>1840.2</v>
      </c>
      <c r="F294" s="87">
        <v>533351</v>
      </c>
      <c r="G294" s="87">
        <v>48767</v>
      </c>
      <c r="H294" s="87">
        <v>954375755</v>
      </c>
      <c r="I294" s="87">
        <v>248.6</v>
      </c>
      <c r="J294" s="87">
        <v>381019</v>
      </c>
      <c r="K294" s="87">
        <v>71.44</v>
      </c>
      <c r="L294" s="87">
        <v>223.8</v>
      </c>
    </row>
    <row r="295" spans="1:12">
      <c r="A295" s="88">
        <v>42005</v>
      </c>
      <c r="B295" s="87">
        <v>1840.2</v>
      </c>
      <c r="C295" s="87">
        <v>2018.95</v>
      </c>
      <c r="D295" s="87">
        <v>1825</v>
      </c>
      <c r="E295" s="87">
        <v>1888.6</v>
      </c>
      <c r="F295" s="87">
        <v>468899</v>
      </c>
      <c r="G295" s="87">
        <v>63284</v>
      </c>
      <c r="H295" s="87">
        <v>904375352</v>
      </c>
      <c r="I295" s="87">
        <v>193.95</v>
      </c>
      <c r="J295" s="87">
        <v>256526</v>
      </c>
      <c r="K295" s="87">
        <v>54.71</v>
      </c>
      <c r="L295" s="87">
        <v>48.4</v>
      </c>
    </row>
    <row r="296" spans="1:12">
      <c r="A296" s="88">
        <v>42036</v>
      </c>
      <c r="B296" s="87">
        <v>1899.45</v>
      </c>
      <c r="C296" s="87">
        <v>2114.4499999999998</v>
      </c>
      <c r="D296" s="87">
        <v>1854</v>
      </c>
      <c r="E296" s="87">
        <v>2093.8000000000002</v>
      </c>
      <c r="F296" s="87">
        <v>336930</v>
      </c>
      <c r="G296" s="87">
        <v>52315</v>
      </c>
      <c r="H296" s="87">
        <v>665214928</v>
      </c>
      <c r="I296" s="87">
        <v>260.45</v>
      </c>
      <c r="J296" s="87">
        <v>163073</v>
      </c>
      <c r="K296" s="87">
        <v>48.4</v>
      </c>
      <c r="L296" s="87">
        <v>194.35</v>
      </c>
    </row>
    <row r="297" spans="1:12">
      <c r="A297" s="88">
        <v>42064</v>
      </c>
      <c r="B297" s="87">
        <v>2096</v>
      </c>
      <c r="C297" s="87">
        <v>2249.9499999999998</v>
      </c>
      <c r="D297" s="87">
        <v>2056.5</v>
      </c>
      <c r="E297" s="87">
        <v>2158.5</v>
      </c>
      <c r="F297" s="87">
        <v>284509</v>
      </c>
      <c r="G297" s="87">
        <v>55423</v>
      </c>
      <c r="H297" s="87">
        <v>614501455</v>
      </c>
      <c r="I297" s="87">
        <v>193.45</v>
      </c>
      <c r="J297" s="87">
        <v>146558</v>
      </c>
      <c r="K297" s="87">
        <v>51.51</v>
      </c>
      <c r="L297" s="87">
        <v>62.5</v>
      </c>
    </row>
    <row r="298" spans="1:12">
      <c r="A298" s="88">
        <v>42095</v>
      </c>
      <c r="B298" s="87">
        <v>2150</v>
      </c>
      <c r="C298" s="87">
        <v>2377</v>
      </c>
      <c r="D298" s="87">
        <v>2009</v>
      </c>
      <c r="E298" s="87">
        <v>2193.1999999999998</v>
      </c>
      <c r="F298" s="87">
        <v>305355</v>
      </c>
      <c r="G298" s="87">
        <v>58950</v>
      </c>
      <c r="H298" s="87">
        <v>670509039</v>
      </c>
      <c r="I298" s="87">
        <v>368</v>
      </c>
      <c r="J298" s="87">
        <v>131406</v>
      </c>
      <c r="K298" s="87">
        <v>43.03</v>
      </c>
      <c r="L298" s="87">
        <v>43.2</v>
      </c>
    </row>
    <row r="299" spans="1:12">
      <c r="A299" s="88">
        <v>42125</v>
      </c>
      <c r="B299" s="87">
        <v>2197</v>
      </c>
      <c r="C299" s="87">
        <v>2685</v>
      </c>
      <c r="D299" s="87">
        <v>2195</v>
      </c>
      <c r="E299" s="87">
        <v>2548.9</v>
      </c>
      <c r="F299" s="87">
        <v>661747</v>
      </c>
      <c r="G299" s="87">
        <v>58612</v>
      </c>
      <c r="H299" s="87">
        <v>1617764959</v>
      </c>
      <c r="I299" s="87">
        <v>490</v>
      </c>
      <c r="J299" s="87">
        <v>349094</v>
      </c>
      <c r="K299" s="87">
        <v>52.75</v>
      </c>
      <c r="L299" s="87">
        <v>351.9</v>
      </c>
    </row>
    <row r="300" spans="1:12">
      <c r="A300" s="88">
        <v>42156</v>
      </c>
      <c r="B300" s="87">
        <v>2560</v>
      </c>
      <c r="C300" s="87">
        <v>2809</v>
      </c>
      <c r="D300" s="87">
        <v>2421</v>
      </c>
      <c r="E300" s="87">
        <v>2763.35</v>
      </c>
      <c r="F300" s="87">
        <v>667141</v>
      </c>
      <c r="G300" s="87">
        <v>66955</v>
      </c>
      <c r="H300" s="87">
        <v>1777602043</v>
      </c>
      <c r="I300" s="87">
        <v>388</v>
      </c>
      <c r="J300" s="87">
        <v>176860</v>
      </c>
      <c r="K300" s="87">
        <v>26.51</v>
      </c>
      <c r="L300" s="87">
        <v>203.35</v>
      </c>
    </row>
    <row r="301" spans="1:12">
      <c r="A301" s="88">
        <v>42186</v>
      </c>
      <c r="B301" s="87">
        <v>2758</v>
      </c>
      <c r="C301" s="87">
        <v>3250</v>
      </c>
      <c r="D301" s="87">
        <v>2720</v>
      </c>
      <c r="E301" s="87">
        <v>3156.35</v>
      </c>
      <c r="F301" s="87">
        <v>396900</v>
      </c>
      <c r="G301" s="87">
        <v>45307</v>
      </c>
      <c r="H301" s="87">
        <v>1154927306</v>
      </c>
      <c r="I301" s="87">
        <v>530</v>
      </c>
      <c r="J301" s="87">
        <v>121705</v>
      </c>
      <c r="K301" s="87">
        <v>30.66</v>
      </c>
      <c r="L301" s="87">
        <v>398.35</v>
      </c>
    </row>
    <row r="302" spans="1:12">
      <c r="A302" s="88">
        <v>42217</v>
      </c>
      <c r="B302" s="87">
        <v>3180</v>
      </c>
      <c r="C302" s="87">
        <v>3435</v>
      </c>
      <c r="D302" s="87">
        <v>2788.8</v>
      </c>
      <c r="E302" s="87">
        <v>2928.95</v>
      </c>
      <c r="F302" s="87">
        <v>702922</v>
      </c>
      <c r="G302" s="87">
        <v>74792</v>
      </c>
      <c r="H302" s="87">
        <v>2224062170</v>
      </c>
      <c r="I302" s="87">
        <v>646.20000000000005</v>
      </c>
      <c r="J302" s="87">
        <v>159757</v>
      </c>
      <c r="K302" s="87">
        <v>22.73</v>
      </c>
      <c r="L302" s="87">
        <v>-251.05</v>
      </c>
    </row>
    <row r="303" spans="1:12">
      <c r="A303" s="88">
        <v>42248</v>
      </c>
      <c r="B303" s="87">
        <v>2900</v>
      </c>
      <c r="C303" s="87">
        <v>3147</v>
      </c>
      <c r="D303" s="87">
        <v>2770.85</v>
      </c>
      <c r="E303" s="87">
        <v>3082.9</v>
      </c>
      <c r="F303" s="87">
        <v>489655</v>
      </c>
      <c r="G303" s="87">
        <v>48705</v>
      </c>
      <c r="H303" s="87">
        <v>1447132180</v>
      </c>
      <c r="I303" s="87">
        <v>376.15</v>
      </c>
      <c r="J303" s="87">
        <v>188163</v>
      </c>
      <c r="K303" s="87">
        <v>38.43</v>
      </c>
      <c r="L303" s="87">
        <v>182.9</v>
      </c>
    </row>
    <row r="304" spans="1:12">
      <c r="A304" s="88">
        <v>42278</v>
      </c>
      <c r="B304" s="87">
        <v>3092</v>
      </c>
      <c r="C304" s="87">
        <v>3333</v>
      </c>
      <c r="D304" s="87">
        <v>3085.55</v>
      </c>
      <c r="E304" s="87">
        <v>3227.05</v>
      </c>
      <c r="F304" s="87">
        <v>280872</v>
      </c>
      <c r="G304" s="87">
        <v>38503</v>
      </c>
      <c r="H304" s="87">
        <v>903840908</v>
      </c>
      <c r="I304" s="87">
        <v>247.45</v>
      </c>
      <c r="J304" s="87">
        <v>94588</v>
      </c>
      <c r="K304" s="87">
        <v>33.68</v>
      </c>
      <c r="L304" s="87">
        <v>135.05000000000001</v>
      </c>
    </row>
    <row r="305" spans="1:12">
      <c r="A305" s="88">
        <v>42309</v>
      </c>
      <c r="B305" s="87">
        <v>3225</v>
      </c>
      <c r="C305" s="87">
        <v>3237</v>
      </c>
      <c r="D305" s="87">
        <v>2824.5</v>
      </c>
      <c r="E305" s="87">
        <v>2923.95</v>
      </c>
      <c r="F305" s="87">
        <v>268954</v>
      </c>
      <c r="G305" s="87">
        <v>36062</v>
      </c>
      <c r="H305" s="87">
        <v>810677481</v>
      </c>
      <c r="I305" s="87">
        <v>412.5</v>
      </c>
      <c r="J305" s="87">
        <v>93029</v>
      </c>
      <c r="K305" s="87">
        <v>34.590000000000003</v>
      </c>
      <c r="L305" s="87">
        <v>-301.05</v>
      </c>
    </row>
    <row r="306" spans="1:12">
      <c r="A306" s="88">
        <v>42339</v>
      </c>
      <c r="B306" s="87">
        <v>2910.65</v>
      </c>
      <c r="C306" s="87">
        <v>3012.75</v>
      </c>
      <c r="D306" s="87">
        <v>2723</v>
      </c>
      <c r="E306" s="87">
        <v>2963.7</v>
      </c>
      <c r="F306" s="87">
        <v>267844</v>
      </c>
      <c r="G306" s="87">
        <v>33432</v>
      </c>
      <c r="H306" s="87">
        <v>775441502</v>
      </c>
      <c r="I306" s="87">
        <v>289.75</v>
      </c>
      <c r="J306" s="87">
        <v>110776</v>
      </c>
      <c r="K306" s="87">
        <v>41.36</v>
      </c>
      <c r="L306" s="87">
        <v>53.05</v>
      </c>
    </row>
    <row r="307" spans="1:12">
      <c r="A307" s="88">
        <v>42370</v>
      </c>
      <c r="B307" s="87">
        <v>2963.1</v>
      </c>
      <c r="C307" s="87">
        <v>3012</v>
      </c>
      <c r="D307" s="87">
        <v>2587.9499999999998</v>
      </c>
      <c r="E307" s="87">
        <v>2682.85</v>
      </c>
      <c r="F307" s="87">
        <v>245920</v>
      </c>
      <c r="G307" s="87">
        <v>36430</v>
      </c>
      <c r="H307" s="87">
        <v>695610357</v>
      </c>
      <c r="I307" s="87">
        <v>424.05</v>
      </c>
      <c r="J307" s="87">
        <v>101311</v>
      </c>
      <c r="K307" s="87">
        <v>41.2</v>
      </c>
      <c r="L307" s="87">
        <v>-280.25</v>
      </c>
    </row>
    <row r="308" spans="1:12">
      <c r="A308" s="88">
        <v>42401</v>
      </c>
      <c r="B308" s="87">
        <v>2695</v>
      </c>
      <c r="C308" s="87">
        <v>2952</v>
      </c>
      <c r="D308" s="87">
        <v>2506.65</v>
      </c>
      <c r="E308" s="87">
        <v>2758.5</v>
      </c>
      <c r="F308" s="87">
        <v>330009</v>
      </c>
      <c r="G308" s="87">
        <v>46898</v>
      </c>
      <c r="H308" s="87">
        <v>904396774</v>
      </c>
      <c r="I308" s="87">
        <v>445.35</v>
      </c>
      <c r="J308" s="87">
        <v>114263</v>
      </c>
      <c r="K308" s="87">
        <v>34.619999999999997</v>
      </c>
      <c r="L308" s="87">
        <v>63.5</v>
      </c>
    </row>
    <row r="309" spans="1:12">
      <c r="A309" s="88">
        <v>42430</v>
      </c>
      <c r="B309" s="87">
        <v>2767</v>
      </c>
      <c r="C309" s="87">
        <v>2912.5</v>
      </c>
      <c r="D309" s="87">
        <v>2523.15</v>
      </c>
      <c r="E309" s="87">
        <v>2675.55</v>
      </c>
      <c r="F309" s="87">
        <v>245263</v>
      </c>
      <c r="G309" s="87">
        <v>32768</v>
      </c>
      <c r="H309" s="87">
        <v>669414986</v>
      </c>
      <c r="I309" s="87">
        <v>389.35</v>
      </c>
      <c r="J309" s="87">
        <v>100023</v>
      </c>
      <c r="K309" s="87">
        <v>40.78</v>
      </c>
      <c r="L309" s="87">
        <v>-91.45</v>
      </c>
    </row>
    <row r="310" spans="1:12">
      <c r="A310" s="88">
        <v>42461</v>
      </c>
      <c r="B310" s="87">
        <v>2675.55</v>
      </c>
      <c r="C310" s="87">
        <v>2917</v>
      </c>
      <c r="D310" s="87">
        <v>2609</v>
      </c>
      <c r="E310" s="87">
        <v>2857.2</v>
      </c>
      <c r="F310" s="87">
        <v>212279</v>
      </c>
      <c r="G310" s="87">
        <v>33026</v>
      </c>
      <c r="H310" s="87">
        <v>587851035</v>
      </c>
      <c r="I310" s="87">
        <v>308</v>
      </c>
      <c r="J310" s="87">
        <v>89395</v>
      </c>
      <c r="K310" s="87">
        <v>42.11</v>
      </c>
      <c r="L310" s="87">
        <v>181.65</v>
      </c>
    </row>
    <row r="311" spans="1:12">
      <c r="A311" s="88">
        <v>42491</v>
      </c>
      <c r="B311" s="87">
        <v>2879.9</v>
      </c>
      <c r="C311" s="87">
        <v>3034</v>
      </c>
      <c r="D311" s="87">
        <v>2611.1999999999998</v>
      </c>
      <c r="E311" s="87">
        <v>2706</v>
      </c>
      <c r="F311" s="87">
        <v>734083</v>
      </c>
      <c r="G311" s="87">
        <v>51755</v>
      </c>
      <c r="H311" s="87">
        <v>2034765675</v>
      </c>
      <c r="I311" s="87">
        <v>422.8</v>
      </c>
      <c r="J311" s="87">
        <v>479480</v>
      </c>
      <c r="K311" s="87">
        <v>65.319999999999993</v>
      </c>
      <c r="L311" s="87">
        <v>-173.9</v>
      </c>
    </row>
    <row r="312" spans="1:12">
      <c r="A312" s="88">
        <v>42522</v>
      </c>
      <c r="B312" s="87">
        <v>2735</v>
      </c>
      <c r="C312" s="87">
        <v>2820.75</v>
      </c>
      <c r="D312" s="87">
        <v>2523.9</v>
      </c>
      <c r="E312" s="87">
        <v>2756.8</v>
      </c>
      <c r="F312" s="87">
        <v>377493</v>
      </c>
      <c r="G312" s="87">
        <v>42102</v>
      </c>
      <c r="H312" s="87">
        <v>1007145056</v>
      </c>
      <c r="I312" s="87">
        <v>296.85000000000002</v>
      </c>
      <c r="J312" s="87">
        <v>193971</v>
      </c>
      <c r="K312" s="87">
        <v>51.38</v>
      </c>
      <c r="L312" s="87">
        <v>21.8</v>
      </c>
    </row>
    <row r="313" spans="1:12">
      <c r="A313" s="88">
        <v>42552</v>
      </c>
      <c r="B313" s="87">
        <v>2760</v>
      </c>
      <c r="C313" s="87">
        <v>2944.55</v>
      </c>
      <c r="D313" s="87">
        <v>2747.4</v>
      </c>
      <c r="E313" s="87">
        <v>2929.85</v>
      </c>
      <c r="F313" s="87">
        <v>255154</v>
      </c>
      <c r="G313" s="87">
        <v>28235</v>
      </c>
      <c r="H313" s="87">
        <v>723684217</v>
      </c>
      <c r="I313" s="87">
        <v>197.15</v>
      </c>
      <c r="J313" s="87">
        <v>123667</v>
      </c>
      <c r="K313" s="87">
        <v>48.47</v>
      </c>
      <c r="L313" s="87">
        <v>169.85</v>
      </c>
    </row>
    <row r="314" spans="1:12">
      <c r="A314" s="88">
        <v>42583</v>
      </c>
      <c r="B314" s="87">
        <v>2951</v>
      </c>
      <c r="C314" s="87">
        <v>3497</v>
      </c>
      <c r="D314" s="87">
        <v>2811.15</v>
      </c>
      <c r="E314" s="87">
        <v>3453.8</v>
      </c>
      <c r="F314" s="87">
        <v>739101</v>
      </c>
      <c r="G314" s="87">
        <v>66845</v>
      </c>
      <c r="H314" s="87">
        <v>2363510609</v>
      </c>
      <c r="I314" s="87">
        <v>685.85</v>
      </c>
      <c r="J314" s="87">
        <v>297261</v>
      </c>
      <c r="K314" s="87">
        <v>40.22</v>
      </c>
      <c r="L314" s="87">
        <v>502.8</v>
      </c>
    </row>
    <row r="315" spans="1:12">
      <c r="A315" s="88">
        <v>42614</v>
      </c>
      <c r="B315" s="87">
        <v>3452</v>
      </c>
      <c r="C315" s="87">
        <v>3575</v>
      </c>
      <c r="D315" s="87">
        <v>3199</v>
      </c>
      <c r="E315" s="87">
        <v>3366.8</v>
      </c>
      <c r="F315" s="87">
        <v>252960</v>
      </c>
      <c r="G315" s="87">
        <v>32024</v>
      </c>
      <c r="H315" s="87">
        <v>869226379</v>
      </c>
      <c r="I315" s="87">
        <v>376</v>
      </c>
      <c r="J315" s="87">
        <v>104739</v>
      </c>
      <c r="K315" s="87">
        <v>41.41</v>
      </c>
      <c r="L315" s="87">
        <v>-85.2</v>
      </c>
    </row>
    <row r="316" spans="1:12">
      <c r="A316" s="88">
        <v>42644</v>
      </c>
      <c r="B316" s="87">
        <v>3390</v>
      </c>
      <c r="C316" s="87">
        <v>3525</v>
      </c>
      <c r="D316" s="87">
        <v>3177</v>
      </c>
      <c r="E316" s="87">
        <v>3312.55</v>
      </c>
      <c r="F316" s="87">
        <v>232977</v>
      </c>
      <c r="G316" s="87">
        <v>23715</v>
      </c>
      <c r="H316" s="87">
        <v>775851478</v>
      </c>
      <c r="I316" s="87">
        <v>348</v>
      </c>
      <c r="J316" s="87">
        <v>143757</v>
      </c>
      <c r="K316" s="87">
        <v>61.7</v>
      </c>
      <c r="L316" s="87">
        <v>-77.45</v>
      </c>
    </row>
    <row r="317" spans="1:12">
      <c r="A317" s="88">
        <v>42675</v>
      </c>
      <c r="B317" s="87">
        <v>3326.3</v>
      </c>
      <c r="C317" s="87">
        <v>3379.35</v>
      </c>
      <c r="D317" s="87">
        <v>2781</v>
      </c>
      <c r="E317" s="87">
        <v>3037.6</v>
      </c>
      <c r="F317" s="87">
        <v>417714</v>
      </c>
      <c r="G317" s="87">
        <v>44561</v>
      </c>
      <c r="H317" s="87">
        <v>1291981555</v>
      </c>
      <c r="I317" s="87">
        <v>598.35</v>
      </c>
      <c r="J317" s="87">
        <v>258053</v>
      </c>
      <c r="K317" s="87">
        <v>61.78</v>
      </c>
      <c r="L317" s="87">
        <v>-288.7</v>
      </c>
    </row>
    <row r="318" spans="1:12">
      <c r="A318" s="88">
        <v>42705</v>
      </c>
      <c r="B318" s="87">
        <v>3020</v>
      </c>
      <c r="C318" s="87">
        <v>3087</v>
      </c>
      <c r="D318" s="87">
        <v>2776</v>
      </c>
      <c r="E318" s="87">
        <v>2882.2</v>
      </c>
      <c r="F318" s="87">
        <v>554039</v>
      </c>
      <c r="G318" s="87">
        <v>34052</v>
      </c>
      <c r="H318" s="87">
        <v>1624488266</v>
      </c>
      <c r="I318" s="87">
        <v>311</v>
      </c>
      <c r="J318" s="87">
        <v>461164</v>
      </c>
      <c r="K318" s="87">
        <v>83.24</v>
      </c>
      <c r="L318" s="87">
        <v>-137.80000000000001</v>
      </c>
    </row>
    <row r="319" spans="1:12">
      <c r="A319" s="88">
        <v>42736</v>
      </c>
      <c r="B319" s="87">
        <v>2897.7</v>
      </c>
      <c r="C319" s="87">
        <v>3160.5</v>
      </c>
      <c r="D319" s="87">
        <v>2832.9</v>
      </c>
      <c r="E319" s="87">
        <v>3127.15</v>
      </c>
      <c r="F319" s="87">
        <v>237820</v>
      </c>
      <c r="G319" s="87">
        <v>37351</v>
      </c>
      <c r="H319" s="87">
        <v>717560832</v>
      </c>
      <c r="I319" s="87">
        <v>327.60000000000002</v>
      </c>
      <c r="J319" s="87">
        <v>97202</v>
      </c>
      <c r="K319" s="87">
        <v>40.869999999999997</v>
      </c>
      <c r="L319" s="87">
        <v>229.45</v>
      </c>
    </row>
    <row r="320" spans="1:12">
      <c r="A320" s="88">
        <v>42767</v>
      </c>
      <c r="B320" s="87">
        <v>3131</v>
      </c>
      <c r="C320" s="87">
        <v>3293.25</v>
      </c>
      <c r="D320" s="87">
        <v>3112</v>
      </c>
      <c r="E320" s="87">
        <v>3229.2</v>
      </c>
      <c r="F320" s="87">
        <v>172366</v>
      </c>
      <c r="G320" s="87">
        <v>27848</v>
      </c>
      <c r="H320" s="87">
        <v>557363399</v>
      </c>
      <c r="I320" s="87">
        <v>181.25</v>
      </c>
      <c r="J320" s="87">
        <v>65574</v>
      </c>
      <c r="K320" s="87">
        <v>38.04</v>
      </c>
      <c r="L320" s="87">
        <v>98.2</v>
      </c>
    </row>
    <row r="321" spans="1:12">
      <c r="A321" s="88">
        <v>42795</v>
      </c>
      <c r="B321" s="87">
        <v>3240</v>
      </c>
      <c r="C321" s="87">
        <v>3444</v>
      </c>
      <c r="D321" s="87">
        <v>3052</v>
      </c>
      <c r="E321" s="87">
        <v>3382.9</v>
      </c>
      <c r="F321" s="87">
        <v>625991</v>
      </c>
      <c r="G321" s="87">
        <v>28684</v>
      </c>
      <c r="H321" s="87">
        <v>2051009025</v>
      </c>
      <c r="I321" s="87">
        <v>392</v>
      </c>
      <c r="J321" s="87">
        <v>498302</v>
      </c>
      <c r="K321" s="87">
        <v>79.599999999999994</v>
      </c>
      <c r="L321" s="87">
        <v>142.9</v>
      </c>
    </row>
    <row r="322" spans="1:12">
      <c r="A322" s="88">
        <v>42826</v>
      </c>
      <c r="B322" s="87">
        <v>3383</v>
      </c>
      <c r="C322" s="87">
        <v>3650</v>
      </c>
      <c r="D322" s="87">
        <v>3320</v>
      </c>
      <c r="E322" s="87">
        <v>3627.4</v>
      </c>
      <c r="F322" s="87">
        <v>176743</v>
      </c>
      <c r="G322" s="87">
        <v>22022</v>
      </c>
      <c r="H322" s="87">
        <v>606656521</v>
      </c>
      <c r="I322" s="87">
        <v>330</v>
      </c>
      <c r="J322" s="87">
        <v>54738</v>
      </c>
      <c r="K322" s="87">
        <v>30.97</v>
      </c>
      <c r="L322" s="87">
        <v>244.4</v>
      </c>
    </row>
    <row r="323" spans="1:12">
      <c r="A323" s="88">
        <v>42856</v>
      </c>
      <c r="B323" s="87">
        <v>3624</v>
      </c>
      <c r="C323" s="87">
        <v>3796.3</v>
      </c>
      <c r="D323" s="87">
        <v>3372</v>
      </c>
      <c r="E323" s="87">
        <v>3533.05</v>
      </c>
      <c r="F323" s="87">
        <v>234854</v>
      </c>
      <c r="G323" s="87">
        <v>32467</v>
      </c>
      <c r="H323" s="87">
        <v>837587432</v>
      </c>
      <c r="I323" s="87">
        <v>424.3</v>
      </c>
      <c r="J323" s="87">
        <v>96184</v>
      </c>
      <c r="K323" s="87">
        <v>40.950000000000003</v>
      </c>
      <c r="L323" s="87">
        <v>-90.95</v>
      </c>
    </row>
    <row r="324" spans="1:12">
      <c r="A324" s="88">
        <v>42887</v>
      </c>
      <c r="B324" s="87">
        <v>3588</v>
      </c>
      <c r="C324" s="87">
        <v>3711.45</v>
      </c>
      <c r="D324" s="87">
        <v>3525</v>
      </c>
      <c r="E324" s="87">
        <v>3694.65</v>
      </c>
      <c r="F324" s="87">
        <v>283284</v>
      </c>
      <c r="G324" s="87">
        <v>24071</v>
      </c>
      <c r="H324" s="87">
        <v>1027656174</v>
      </c>
      <c r="I324" s="87">
        <v>186.45</v>
      </c>
      <c r="J324" s="87">
        <v>140610</v>
      </c>
      <c r="K324" s="87">
        <v>49.64</v>
      </c>
      <c r="L324" s="87">
        <v>106.65</v>
      </c>
    </row>
    <row r="325" spans="1:12">
      <c r="A325" s="88">
        <v>42917</v>
      </c>
      <c r="B325" s="87">
        <v>3709.8</v>
      </c>
      <c r="C325" s="87">
        <v>3952.35</v>
      </c>
      <c r="D325" s="87">
        <v>3661</v>
      </c>
      <c r="E325" s="87">
        <v>3921.85</v>
      </c>
      <c r="F325" s="87">
        <v>207314</v>
      </c>
      <c r="G325" s="87">
        <v>22155</v>
      </c>
      <c r="H325" s="87">
        <v>781362956</v>
      </c>
      <c r="I325" s="87">
        <v>291.35000000000002</v>
      </c>
      <c r="J325" s="87">
        <v>105097</v>
      </c>
      <c r="K325" s="87">
        <v>50.69</v>
      </c>
      <c r="L325" s="87">
        <v>212.05</v>
      </c>
    </row>
    <row r="326" spans="1:12">
      <c r="A326" s="88">
        <v>42948</v>
      </c>
      <c r="B326" s="87">
        <v>3919.8</v>
      </c>
      <c r="C326" s="87">
        <v>4350.95</v>
      </c>
      <c r="D326" s="87">
        <v>3837.05</v>
      </c>
      <c r="E326" s="87">
        <v>4212.55</v>
      </c>
      <c r="F326" s="87">
        <v>271467</v>
      </c>
      <c r="G326" s="87">
        <v>43390</v>
      </c>
      <c r="H326" s="87">
        <v>1127965068</v>
      </c>
      <c r="I326" s="87">
        <v>513.9</v>
      </c>
      <c r="J326" s="87">
        <v>85509</v>
      </c>
      <c r="K326" s="87">
        <v>31.5</v>
      </c>
      <c r="L326" s="87">
        <v>292.75</v>
      </c>
    </row>
    <row r="327" spans="1:12">
      <c r="A327" s="88">
        <v>42979</v>
      </c>
      <c r="B327" s="87">
        <v>4200</v>
      </c>
      <c r="C327" s="87">
        <v>4408.55</v>
      </c>
      <c r="D327" s="87">
        <v>4152.55</v>
      </c>
      <c r="E327" s="87">
        <v>4344.05</v>
      </c>
      <c r="F327" s="87">
        <v>176982</v>
      </c>
      <c r="G327" s="87">
        <v>14914</v>
      </c>
      <c r="H327" s="87">
        <v>760529600</v>
      </c>
      <c r="I327" s="87">
        <v>256</v>
      </c>
      <c r="J327" s="87">
        <v>116943</v>
      </c>
      <c r="K327" s="87">
        <v>66.08</v>
      </c>
      <c r="L327" s="87">
        <v>144.05000000000001</v>
      </c>
    </row>
    <row r="328" spans="1:12">
      <c r="A328" s="88">
        <v>43009</v>
      </c>
      <c r="B328" s="87">
        <v>4357.3500000000004</v>
      </c>
      <c r="C328" s="87">
        <v>4769.2</v>
      </c>
      <c r="D328" s="87">
        <v>4305</v>
      </c>
      <c r="E328" s="87">
        <v>4649.3500000000004</v>
      </c>
      <c r="F328" s="87">
        <v>93712</v>
      </c>
      <c r="G328" s="87">
        <v>14603</v>
      </c>
      <c r="H328" s="87">
        <v>427383621</v>
      </c>
      <c r="I328" s="87">
        <v>464.2</v>
      </c>
      <c r="J328" s="87">
        <v>37454</v>
      </c>
      <c r="K328" s="87">
        <v>39.97</v>
      </c>
      <c r="L328" s="87">
        <v>292</v>
      </c>
    </row>
    <row r="329" spans="1:12">
      <c r="A329" s="88">
        <v>43040</v>
      </c>
      <c r="B329" s="87">
        <v>4650.05</v>
      </c>
      <c r="C329" s="87">
        <v>4926</v>
      </c>
      <c r="D329" s="87">
        <v>4591.3</v>
      </c>
      <c r="E329" s="87">
        <v>4782.75</v>
      </c>
      <c r="F329" s="87">
        <v>152104</v>
      </c>
      <c r="G329" s="87">
        <v>25655</v>
      </c>
      <c r="H329" s="87">
        <v>724725796</v>
      </c>
      <c r="I329" s="87">
        <v>334.7</v>
      </c>
      <c r="J329" s="87">
        <v>68784</v>
      </c>
      <c r="K329" s="87">
        <v>45.22</v>
      </c>
      <c r="L329" s="87">
        <v>132.69999999999999</v>
      </c>
    </row>
    <row r="330" spans="1:12">
      <c r="A330" s="88">
        <v>43070</v>
      </c>
      <c r="B330" s="87">
        <v>4820</v>
      </c>
      <c r="C330" s="87">
        <v>4963.7</v>
      </c>
      <c r="D330" s="87">
        <v>4600.8999999999996</v>
      </c>
      <c r="E330" s="87">
        <v>4715.75</v>
      </c>
      <c r="F330" s="87">
        <v>414574</v>
      </c>
      <c r="G330" s="87">
        <v>16311</v>
      </c>
      <c r="H330" s="87">
        <v>2006909988</v>
      </c>
      <c r="I330" s="87">
        <v>362.8</v>
      </c>
      <c r="J330" s="87">
        <v>343817</v>
      </c>
      <c r="K330" s="87">
        <v>82.93</v>
      </c>
      <c r="L330" s="87">
        <v>-104.25</v>
      </c>
    </row>
    <row r="331" spans="1:12">
      <c r="A331" s="88">
        <v>43101</v>
      </c>
      <c r="B331" s="87">
        <v>4715</v>
      </c>
      <c r="C331" s="87">
        <v>4790</v>
      </c>
      <c r="D331" s="87">
        <v>4600</v>
      </c>
      <c r="E331" s="87">
        <v>4672.5</v>
      </c>
      <c r="F331" s="87">
        <v>524750</v>
      </c>
      <c r="G331" s="87">
        <v>17811</v>
      </c>
      <c r="H331" s="87">
        <v>2445260206</v>
      </c>
      <c r="I331" s="87">
        <v>190</v>
      </c>
      <c r="J331" s="87">
        <v>383324</v>
      </c>
      <c r="K331" s="87">
        <v>73.05</v>
      </c>
      <c r="L331" s="87">
        <v>-42.5</v>
      </c>
    </row>
    <row r="332" spans="1:12">
      <c r="A332" s="88">
        <v>43132</v>
      </c>
      <c r="B332" s="87">
        <v>4700</v>
      </c>
      <c r="C332" s="87">
        <v>5057.25</v>
      </c>
      <c r="D332" s="87">
        <v>4400</v>
      </c>
      <c r="E332" s="87">
        <v>4984.8500000000004</v>
      </c>
      <c r="F332" s="87">
        <v>160188</v>
      </c>
      <c r="G332" s="87">
        <v>17640</v>
      </c>
      <c r="H332" s="87">
        <v>761348010</v>
      </c>
      <c r="I332" s="87">
        <v>657.25</v>
      </c>
      <c r="J332" s="87">
        <v>79380</v>
      </c>
      <c r="K332" s="87">
        <v>49.55</v>
      </c>
      <c r="L332" s="87">
        <v>284.85000000000002</v>
      </c>
    </row>
    <row r="333" spans="1:12">
      <c r="A333" s="88">
        <v>43160</v>
      </c>
      <c r="B333" s="87">
        <v>4969</v>
      </c>
      <c r="C333" s="87">
        <v>4998.95</v>
      </c>
      <c r="D333" s="87">
        <v>4724.3999999999996</v>
      </c>
      <c r="E333" s="87">
        <v>4971.45</v>
      </c>
      <c r="F333" s="87">
        <v>346393</v>
      </c>
      <c r="G333" s="87">
        <v>12020</v>
      </c>
      <c r="H333" s="87">
        <v>1681786546</v>
      </c>
      <c r="I333" s="87">
        <v>274.55</v>
      </c>
      <c r="J333" s="87">
        <v>284414</v>
      </c>
      <c r="K333" s="87">
        <v>82.11</v>
      </c>
      <c r="L333" s="87">
        <v>2.4500000000000002</v>
      </c>
    </row>
    <row r="334" spans="1:12">
      <c r="A334" s="88">
        <v>43191</v>
      </c>
      <c r="B334" s="87">
        <v>4999</v>
      </c>
      <c r="C334" s="87">
        <v>5534.95</v>
      </c>
      <c r="D334" s="87">
        <v>4984.6499999999996</v>
      </c>
      <c r="E334" s="87">
        <v>5506.75</v>
      </c>
      <c r="F334" s="87">
        <v>104689</v>
      </c>
      <c r="G334" s="87">
        <v>16246</v>
      </c>
      <c r="H334" s="87">
        <v>552168190</v>
      </c>
      <c r="I334" s="87">
        <v>550.29999999999995</v>
      </c>
      <c r="J334" s="87">
        <v>45493</v>
      </c>
      <c r="K334" s="87">
        <v>43.46</v>
      </c>
      <c r="L334" s="87">
        <v>507.75</v>
      </c>
    </row>
    <row r="335" spans="1:12">
      <c r="A335" s="88">
        <v>43221</v>
      </c>
      <c r="B335" s="87">
        <v>5515</v>
      </c>
      <c r="C335" s="87">
        <v>6011.8</v>
      </c>
      <c r="D335" s="87">
        <v>5290.75</v>
      </c>
      <c r="E335" s="87">
        <v>5930.55</v>
      </c>
      <c r="F335" s="87">
        <v>139725</v>
      </c>
      <c r="G335" s="87">
        <v>19434</v>
      </c>
      <c r="H335" s="87">
        <v>775825780</v>
      </c>
      <c r="I335" s="87">
        <v>721.05</v>
      </c>
      <c r="J335" s="87">
        <v>46109</v>
      </c>
      <c r="K335" s="87">
        <v>33</v>
      </c>
      <c r="L335" s="87">
        <v>415.55</v>
      </c>
    </row>
    <row r="336" spans="1:12">
      <c r="A336" s="88">
        <v>43252</v>
      </c>
      <c r="B336" s="87">
        <v>6020</v>
      </c>
      <c r="C336" s="87">
        <v>6237.05</v>
      </c>
      <c r="D336" s="87">
        <v>5719</v>
      </c>
      <c r="E336" s="87">
        <v>6196.4</v>
      </c>
      <c r="F336" s="87">
        <v>165436</v>
      </c>
      <c r="G336" s="87">
        <v>15273</v>
      </c>
      <c r="H336" s="87">
        <v>982265710</v>
      </c>
      <c r="I336" s="87">
        <v>518.04999999999995</v>
      </c>
      <c r="J336" s="87">
        <v>38331</v>
      </c>
      <c r="K336" s="87">
        <v>23.17</v>
      </c>
      <c r="L336" s="87">
        <v>176.4</v>
      </c>
    </row>
    <row r="337" spans="1:12">
      <c r="A337" s="88">
        <v>43282</v>
      </c>
      <c r="B337" s="87">
        <v>6196</v>
      </c>
      <c r="C337" s="87">
        <v>6565.95</v>
      </c>
      <c r="D337" s="87">
        <v>6178.2</v>
      </c>
      <c r="E337" s="87">
        <v>6530.05</v>
      </c>
      <c r="F337" s="87">
        <v>128207</v>
      </c>
      <c r="G337" s="87">
        <v>18355</v>
      </c>
      <c r="H337" s="87">
        <v>819332605</v>
      </c>
      <c r="I337" s="87">
        <v>387.75</v>
      </c>
      <c r="J337" s="87">
        <v>44890</v>
      </c>
      <c r="K337" s="87">
        <v>35.01</v>
      </c>
      <c r="L337" s="87">
        <v>334.05</v>
      </c>
    </row>
    <row r="338" spans="1:12">
      <c r="A338" s="88">
        <v>43313</v>
      </c>
      <c r="B338" s="87">
        <v>6530</v>
      </c>
      <c r="C338" s="87">
        <v>6944.1</v>
      </c>
      <c r="D338" s="87">
        <v>6170</v>
      </c>
      <c r="E338" s="87">
        <v>6733.4</v>
      </c>
      <c r="F338" s="87">
        <v>333687</v>
      </c>
      <c r="G338" s="87">
        <v>28811</v>
      </c>
      <c r="H338" s="87">
        <v>2184713317</v>
      </c>
      <c r="I338" s="87">
        <v>774.1</v>
      </c>
      <c r="J338" s="87">
        <v>166882</v>
      </c>
      <c r="K338" s="87">
        <v>50.01</v>
      </c>
      <c r="L338" s="87">
        <v>203.4</v>
      </c>
    </row>
    <row r="339" spans="1:12">
      <c r="A339" s="88">
        <v>43344</v>
      </c>
      <c r="B339" s="87">
        <v>6767</v>
      </c>
      <c r="C339" s="87">
        <v>6809.85</v>
      </c>
      <c r="D339" s="87">
        <v>5361</v>
      </c>
      <c r="E339" s="87">
        <v>5800.9</v>
      </c>
      <c r="F339" s="87">
        <v>335953</v>
      </c>
      <c r="G339" s="87">
        <v>37373</v>
      </c>
      <c r="H339" s="87">
        <v>1994657145</v>
      </c>
      <c r="I339" s="87">
        <v>1448.85</v>
      </c>
      <c r="J339" s="87">
        <v>147336</v>
      </c>
      <c r="K339" s="87">
        <v>43.86</v>
      </c>
      <c r="L339" s="87">
        <v>-966.1</v>
      </c>
    </row>
    <row r="340" spans="1:12">
      <c r="A340" s="88">
        <v>43374</v>
      </c>
      <c r="B340" s="87">
        <v>5840</v>
      </c>
      <c r="C340" s="87">
        <v>5931</v>
      </c>
      <c r="D340" s="87">
        <v>5220.05</v>
      </c>
      <c r="E340" s="87">
        <v>5634.55</v>
      </c>
      <c r="F340" s="87">
        <v>205766</v>
      </c>
      <c r="G340" s="87">
        <v>27290</v>
      </c>
      <c r="H340" s="87">
        <v>1140228401</v>
      </c>
      <c r="I340" s="87">
        <v>710.95</v>
      </c>
      <c r="J340" s="87">
        <v>59597</v>
      </c>
      <c r="K340" s="87">
        <v>28.96</v>
      </c>
      <c r="L340" s="87">
        <v>-205.45</v>
      </c>
    </row>
    <row r="341" spans="1:12">
      <c r="A341" s="88">
        <v>43405</v>
      </c>
      <c r="B341" s="87">
        <v>5679.95</v>
      </c>
      <c r="C341" s="87">
        <v>6074.5</v>
      </c>
      <c r="D341" s="87">
        <v>2990</v>
      </c>
      <c r="E341" s="87">
        <v>3159.25</v>
      </c>
      <c r="F341" s="87">
        <v>176272</v>
      </c>
      <c r="G341" s="87">
        <v>21873</v>
      </c>
      <c r="H341" s="87">
        <v>924524699</v>
      </c>
      <c r="I341" s="87">
        <v>3084.5</v>
      </c>
      <c r="J341" s="87">
        <v>58694</v>
      </c>
      <c r="K341" s="87">
        <v>33.299999999999997</v>
      </c>
      <c r="L341" s="87">
        <v>-2520.6999999999998</v>
      </c>
    </row>
    <row r="342" spans="1:12">
      <c r="A342" s="88">
        <v>43435</v>
      </c>
      <c r="B342" s="87">
        <v>3184</v>
      </c>
      <c r="C342" s="87">
        <v>3245.1</v>
      </c>
      <c r="D342" s="87">
        <v>2933.85</v>
      </c>
      <c r="E342" s="87">
        <v>3118.4</v>
      </c>
      <c r="F342" s="87">
        <v>681212</v>
      </c>
      <c r="G342" s="87">
        <v>25802</v>
      </c>
      <c r="H342" s="87">
        <v>2108638132</v>
      </c>
      <c r="I342" s="87">
        <v>311.25</v>
      </c>
      <c r="J342" s="87">
        <v>149932</v>
      </c>
      <c r="K342" s="87">
        <v>22.01</v>
      </c>
      <c r="L342" s="87">
        <v>-65.599999999999994</v>
      </c>
    </row>
    <row r="343" spans="1:12">
      <c r="A343" s="88">
        <v>43466</v>
      </c>
      <c r="B343" s="87">
        <v>3129.9</v>
      </c>
      <c r="C343" s="87">
        <v>3270.4</v>
      </c>
      <c r="D343" s="87">
        <v>3064.55</v>
      </c>
      <c r="E343" s="87">
        <v>3195.95</v>
      </c>
      <c r="F343" s="87">
        <v>382536</v>
      </c>
      <c r="G343" s="87">
        <v>18323</v>
      </c>
      <c r="H343" s="87">
        <v>1196511971</v>
      </c>
      <c r="I343" s="87">
        <v>205.85</v>
      </c>
      <c r="J343" s="87">
        <v>236849</v>
      </c>
      <c r="K343" s="87">
        <v>61.92</v>
      </c>
      <c r="L343" s="87">
        <v>66.05</v>
      </c>
    </row>
    <row r="344" spans="1:12">
      <c r="A344" s="88">
        <v>43497</v>
      </c>
      <c r="B344" s="87">
        <v>3238</v>
      </c>
      <c r="C344" s="87">
        <v>3317</v>
      </c>
      <c r="D344" s="87">
        <v>2758.95</v>
      </c>
      <c r="E344" s="87">
        <v>3059.95</v>
      </c>
      <c r="F344" s="87">
        <v>435115</v>
      </c>
      <c r="G344" s="87">
        <v>33262</v>
      </c>
      <c r="H344" s="87">
        <v>1323595275</v>
      </c>
      <c r="I344" s="87">
        <v>558.04999999999995</v>
      </c>
      <c r="J344" s="87">
        <v>131711</v>
      </c>
      <c r="K344" s="87">
        <v>30.27</v>
      </c>
      <c r="L344" s="87">
        <v>-178.05</v>
      </c>
    </row>
    <row r="345" spans="1:12">
      <c r="A345" s="88">
        <v>43525</v>
      </c>
      <c r="B345" s="87">
        <v>3078.5</v>
      </c>
      <c r="C345" s="87">
        <v>3179.3</v>
      </c>
      <c r="D345" s="87">
        <v>3008.1</v>
      </c>
      <c r="E345" s="87">
        <v>3081.95</v>
      </c>
      <c r="F345" s="87">
        <v>371996</v>
      </c>
      <c r="G345" s="87">
        <v>20667</v>
      </c>
      <c r="H345" s="87">
        <v>1153270051</v>
      </c>
      <c r="I345" s="87">
        <v>171.2</v>
      </c>
      <c r="J345" s="87">
        <v>232045</v>
      </c>
      <c r="K345" s="87">
        <v>62.38</v>
      </c>
      <c r="L345" s="87">
        <v>3.45</v>
      </c>
    </row>
    <row r="346" spans="1:12">
      <c r="A346" s="88">
        <v>43556</v>
      </c>
      <c r="B346" s="87">
        <v>3080</v>
      </c>
      <c r="C346" s="87">
        <v>3107.45</v>
      </c>
      <c r="D346" s="87">
        <v>2879.15</v>
      </c>
      <c r="E346" s="87">
        <v>2893.1</v>
      </c>
      <c r="F346" s="87">
        <v>396648</v>
      </c>
      <c r="G346" s="87">
        <v>20944</v>
      </c>
      <c r="H346" s="87">
        <v>1181055357</v>
      </c>
      <c r="I346" s="87">
        <v>228.3</v>
      </c>
      <c r="J346" s="87">
        <v>178341</v>
      </c>
      <c r="K346" s="87">
        <v>44.96</v>
      </c>
      <c r="L346" s="87">
        <v>-186.9</v>
      </c>
    </row>
    <row r="347" spans="1:12">
      <c r="A347" s="88">
        <v>43586</v>
      </c>
      <c r="B347" s="87">
        <v>2911</v>
      </c>
      <c r="C347" s="87">
        <v>2965.35</v>
      </c>
      <c r="D347" s="87">
        <v>2616.4499999999998</v>
      </c>
      <c r="E347" s="87">
        <v>2932.9</v>
      </c>
      <c r="F347" s="87">
        <v>686927</v>
      </c>
      <c r="G347" s="87">
        <v>41163</v>
      </c>
      <c r="H347" s="87">
        <v>1895421421</v>
      </c>
      <c r="I347" s="87">
        <v>348.9</v>
      </c>
      <c r="J347" s="87">
        <v>283515</v>
      </c>
      <c r="K347" s="87">
        <v>41.27</v>
      </c>
      <c r="L347" s="87">
        <v>21.9</v>
      </c>
    </row>
    <row r="348" spans="1:12">
      <c r="A348" s="88">
        <v>43617</v>
      </c>
      <c r="B348" s="87">
        <v>2939</v>
      </c>
      <c r="C348" s="87">
        <v>3009.9</v>
      </c>
      <c r="D348" s="87">
        <v>2701</v>
      </c>
      <c r="E348" s="87">
        <v>2743.55</v>
      </c>
      <c r="F348" s="87">
        <v>411253</v>
      </c>
      <c r="G348" s="87">
        <v>26886</v>
      </c>
      <c r="H348" s="87">
        <v>1181964195</v>
      </c>
      <c r="I348" s="87">
        <v>308.89999999999998</v>
      </c>
      <c r="J348" s="87">
        <v>99516</v>
      </c>
      <c r="K348" s="87">
        <v>24.2</v>
      </c>
      <c r="L348" s="87">
        <v>-195.45</v>
      </c>
    </row>
    <row r="349" spans="1:12">
      <c r="A349" s="88">
        <v>43647</v>
      </c>
      <c r="B349" s="87">
        <v>2761</v>
      </c>
      <c r="C349" s="87">
        <v>2864</v>
      </c>
      <c r="D349" s="87">
        <v>2541.25</v>
      </c>
      <c r="E349" s="87">
        <v>2604</v>
      </c>
      <c r="F349" s="87">
        <v>385902</v>
      </c>
      <c r="G349" s="87">
        <v>30160</v>
      </c>
      <c r="H349" s="87">
        <v>1054669010</v>
      </c>
      <c r="I349" s="87">
        <v>322.75</v>
      </c>
      <c r="J349" s="87">
        <v>128463</v>
      </c>
      <c r="K349" s="87">
        <v>33.29</v>
      </c>
      <c r="L349" s="87">
        <v>-157</v>
      </c>
    </row>
    <row r="350" spans="1:12">
      <c r="A350" s="88">
        <v>43678</v>
      </c>
      <c r="B350" s="87">
        <v>2600</v>
      </c>
      <c r="C350" s="87">
        <v>2743</v>
      </c>
      <c r="D350" s="87">
        <v>2302</v>
      </c>
      <c r="E350" s="87">
        <v>2701.3</v>
      </c>
      <c r="F350" s="87">
        <v>682909</v>
      </c>
      <c r="G350" s="87">
        <v>58954</v>
      </c>
      <c r="H350" s="87">
        <v>1725158298</v>
      </c>
      <c r="I350" s="87">
        <v>441</v>
      </c>
      <c r="J350" s="87">
        <v>212452</v>
      </c>
      <c r="K350" s="87">
        <v>31.11</v>
      </c>
      <c r="L350" s="87">
        <v>101.3</v>
      </c>
    </row>
    <row r="351" spans="1:12">
      <c r="A351" s="88">
        <v>43709</v>
      </c>
      <c r="B351" s="87">
        <v>2701.3</v>
      </c>
      <c r="C351" s="87">
        <v>3443.9</v>
      </c>
      <c r="D351" s="87">
        <v>2590</v>
      </c>
      <c r="E351" s="87">
        <v>2946.2</v>
      </c>
      <c r="F351" s="87">
        <v>729602</v>
      </c>
      <c r="G351" s="87">
        <v>53950</v>
      </c>
      <c r="H351" s="87">
        <v>2123278907</v>
      </c>
      <c r="I351" s="87">
        <v>853.9</v>
      </c>
      <c r="J351" s="87">
        <v>298802</v>
      </c>
      <c r="K351" s="87">
        <v>40.950000000000003</v>
      </c>
      <c r="L351" s="87">
        <v>244.9</v>
      </c>
    </row>
    <row r="352" spans="1:12">
      <c r="A352" s="88">
        <v>43739</v>
      </c>
      <c r="B352" s="87">
        <v>2950</v>
      </c>
      <c r="C352" s="87">
        <v>3398.2</v>
      </c>
      <c r="D352" s="87">
        <v>2836.6</v>
      </c>
      <c r="E352" s="87">
        <v>3266.4</v>
      </c>
      <c r="F352" s="87">
        <v>325939</v>
      </c>
      <c r="G352" s="87">
        <v>27165</v>
      </c>
      <c r="H352" s="87">
        <v>1022390263</v>
      </c>
      <c r="I352" s="87">
        <v>561.6</v>
      </c>
      <c r="J352" s="87">
        <v>139403</v>
      </c>
      <c r="K352" s="87">
        <v>42.77</v>
      </c>
      <c r="L352" s="87">
        <v>316.39999999999998</v>
      </c>
    </row>
    <row r="353" spans="1:12">
      <c r="A353" s="88">
        <v>43770</v>
      </c>
      <c r="B353" s="87">
        <v>3272</v>
      </c>
      <c r="C353" s="87">
        <v>3299.05</v>
      </c>
      <c r="D353" s="87">
        <v>3007</v>
      </c>
      <c r="E353" s="87">
        <v>3056.55</v>
      </c>
      <c r="F353" s="87">
        <v>269924</v>
      </c>
      <c r="G353" s="87">
        <v>25725</v>
      </c>
      <c r="H353" s="87">
        <v>854658748</v>
      </c>
      <c r="I353" s="87">
        <v>292.05</v>
      </c>
      <c r="J353" s="87">
        <v>63244</v>
      </c>
      <c r="K353" s="87">
        <v>23.43</v>
      </c>
      <c r="L353" s="87">
        <v>-215.45</v>
      </c>
    </row>
    <row r="354" spans="1:12">
      <c r="A354" s="88">
        <v>43800</v>
      </c>
      <c r="B354" s="87">
        <v>3070</v>
      </c>
      <c r="C354" s="87">
        <v>3154.95</v>
      </c>
      <c r="D354" s="87">
        <v>3021</v>
      </c>
      <c r="E354" s="87">
        <v>3027.25</v>
      </c>
      <c r="F354" s="87">
        <v>229430</v>
      </c>
      <c r="G354" s="87">
        <v>17306</v>
      </c>
      <c r="H354" s="87">
        <v>703179100</v>
      </c>
      <c r="I354" s="87">
        <v>133.94999999999999</v>
      </c>
      <c r="J354" s="87">
        <v>122413</v>
      </c>
      <c r="K354" s="87">
        <v>53.36</v>
      </c>
      <c r="L354" s="87">
        <v>-42.75</v>
      </c>
    </row>
    <row r="355" spans="1:12">
      <c r="A355" s="88">
        <v>43831</v>
      </c>
      <c r="B355" s="87">
        <v>3064.5</v>
      </c>
      <c r="C355" s="87">
        <v>3273.55</v>
      </c>
      <c r="D355" s="87">
        <v>2979</v>
      </c>
      <c r="E355" s="87">
        <v>3202.35</v>
      </c>
      <c r="F355" s="87">
        <v>377483</v>
      </c>
      <c r="G355" s="87">
        <v>26963</v>
      </c>
      <c r="H355" s="87">
        <v>1184309058</v>
      </c>
      <c r="I355" s="87">
        <v>294.55</v>
      </c>
      <c r="J355" s="87">
        <v>250046</v>
      </c>
      <c r="K355" s="87">
        <v>66.239999999999995</v>
      </c>
      <c r="L355" s="87">
        <v>137.85</v>
      </c>
    </row>
    <row r="356" spans="1:12">
      <c r="A356" s="88">
        <v>43862</v>
      </c>
      <c r="B356" s="87">
        <v>3228</v>
      </c>
      <c r="C356" s="87">
        <v>3317.25</v>
      </c>
      <c r="D356" s="87">
        <v>2917.7</v>
      </c>
      <c r="E356" s="87">
        <v>2971.5</v>
      </c>
      <c r="F356" s="87">
        <v>331514</v>
      </c>
      <c r="G356" s="87">
        <v>35197</v>
      </c>
      <c r="H356" s="87">
        <v>1041296321</v>
      </c>
      <c r="I356" s="87">
        <v>399.55</v>
      </c>
      <c r="J356" s="87">
        <v>151187</v>
      </c>
      <c r="K356" s="87">
        <v>45.61</v>
      </c>
      <c r="L356" s="87">
        <v>-256.5</v>
      </c>
    </row>
    <row r="357" spans="1:12">
      <c r="A357" s="88">
        <v>43891</v>
      </c>
      <c r="B357" s="87">
        <v>2990</v>
      </c>
      <c r="C357" s="87">
        <v>3165</v>
      </c>
      <c r="D357" s="87">
        <v>2100.5500000000002</v>
      </c>
      <c r="E357" s="87">
        <v>2689.65</v>
      </c>
      <c r="F357" s="87">
        <v>453061</v>
      </c>
      <c r="G357" s="87">
        <v>58442</v>
      </c>
      <c r="H357" s="87">
        <v>1194823137</v>
      </c>
      <c r="I357" s="87">
        <v>1064.45</v>
      </c>
      <c r="J357" s="87">
        <v>176842</v>
      </c>
      <c r="K357" s="87">
        <v>39.03</v>
      </c>
      <c r="L357" s="87">
        <v>-300.35000000000002</v>
      </c>
    </row>
    <row r="358" spans="1:12">
      <c r="A358" s="88">
        <v>43922</v>
      </c>
      <c r="B358" s="87">
        <v>2695</v>
      </c>
      <c r="C358" s="87">
        <v>3292.6</v>
      </c>
      <c r="D358" s="87">
        <v>2475.1</v>
      </c>
      <c r="E358" s="87">
        <v>3164.8</v>
      </c>
      <c r="F358" s="87">
        <v>694607</v>
      </c>
      <c r="G358" s="87">
        <v>90542</v>
      </c>
      <c r="H358" s="87">
        <v>2026683969</v>
      </c>
      <c r="I358" s="87">
        <v>817.5</v>
      </c>
      <c r="J358" s="87">
        <v>190346</v>
      </c>
      <c r="K358" s="87">
        <v>27.4</v>
      </c>
      <c r="L358" s="87">
        <v>469.8</v>
      </c>
    </row>
    <row r="359" spans="1:12">
      <c r="A359" s="88">
        <v>43952</v>
      </c>
      <c r="B359" s="87">
        <v>3121</v>
      </c>
      <c r="C359" s="87">
        <v>3418.5</v>
      </c>
      <c r="D359" s="87">
        <v>2869.2</v>
      </c>
      <c r="E359" s="87">
        <v>3380.2</v>
      </c>
      <c r="F359" s="87">
        <v>416842</v>
      </c>
      <c r="G359" s="87">
        <v>53310</v>
      </c>
      <c r="H359" s="87">
        <v>1301264940</v>
      </c>
      <c r="I359" s="87">
        <v>549.29999999999995</v>
      </c>
      <c r="J359" s="87">
        <v>123219</v>
      </c>
      <c r="K359" s="87">
        <v>29.56</v>
      </c>
      <c r="L359" s="87">
        <v>259.2</v>
      </c>
    </row>
    <row r="360" spans="1:12">
      <c r="A360" s="88">
        <v>43983</v>
      </c>
      <c r="B360" s="87">
        <v>3385.25</v>
      </c>
      <c r="C360" s="87">
        <v>3704.55</v>
      </c>
      <c r="D360" s="87">
        <v>3201</v>
      </c>
      <c r="E360" s="87">
        <v>3602.5</v>
      </c>
      <c r="F360" s="87">
        <v>764685</v>
      </c>
      <c r="G360" s="87">
        <v>82891</v>
      </c>
      <c r="H360" s="87">
        <v>2645307449</v>
      </c>
      <c r="I360" s="87">
        <v>503.55</v>
      </c>
      <c r="J360" s="87">
        <v>288103</v>
      </c>
      <c r="K360" s="87">
        <v>37.68</v>
      </c>
      <c r="L360" s="87">
        <v>217.25</v>
      </c>
    </row>
    <row r="361" spans="1:12">
      <c r="A361" s="88">
        <v>44013</v>
      </c>
      <c r="B361" s="87">
        <v>3612.9</v>
      </c>
      <c r="C361" s="87">
        <v>4015</v>
      </c>
      <c r="D361" s="87">
        <v>3512.3</v>
      </c>
      <c r="E361" s="87">
        <v>3824.15</v>
      </c>
      <c r="F361" s="87">
        <v>726924</v>
      </c>
      <c r="G361" s="87">
        <v>96221</v>
      </c>
      <c r="H361" s="87">
        <v>2771473718</v>
      </c>
      <c r="I361" s="87">
        <v>502.7</v>
      </c>
      <c r="J361" s="87">
        <v>164327</v>
      </c>
      <c r="K361" s="87">
        <v>22.61</v>
      </c>
      <c r="L361" s="87">
        <v>211.25</v>
      </c>
    </row>
    <row r="362" spans="1:12">
      <c r="A362" s="88">
        <v>44044</v>
      </c>
      <c r="B362" s="87">
        <v>3835</v>
      </c>
      <c r="C362" s="87">
        <v>4004.35</v>
      </c>
      <c r="D362" s="87">
        <v>3754.1</v>
      </c>
      <c r="E362" s="87">
        <v>3792.6</v>
      </c>
      <c r="F362" s="87">
        <v>459932</v>
      </c>
      <c r="G362" s="87">
        <v>60960</v>
      </c>
      <c r="H362" s="87">
        <v>1778707009</v>
      </c>
      <c r="I362" s="87">
        <v>250.25</v>
      </c>
      <c r="J362" s="87">
        <v>166132</v>
      </c>
      <c r="K362" s="87">
        <v>36.119999999999997</v>
      </c>
      <c r="L362" s="87">
        <v>-42.4</v>
      </c>
    </row>
    <row r="363" spans="1:12">
      <c r="A363" s="87" t="s">
        <v>175</v>
      </c>
    </row>
  </sheetData>
  <autoFilter ref="A1:M36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pane xSplit="1" ySplit="1" topLeftCell="B49" activePane="bottomRight" state="frozen"/>
      <selection pane="topRight" activeCell="B1" sqref="B1"/>
      <selection pane="bottomLeft" activeCell="A2" sqref="A2"/>
      <selection pane="bottomRight" activeCell="F49" sqref="F49"/>
    </sheetView>
  </sheetViews>
  <sheetFormatPr defaultRowHeight="15"/>
  <cols>
    <col min="1" max="1" width="9.85546875" customWidth="1"/>
    <col min="2" max="2" width="17.140625" customWidth="1"/>
    <col min="3" max="3" width="11" customWidth="1"/>
    <col min="4" max="5" width="11.5703125" customWidth="1"/>
    <col min="6" max="6" width="33.5703125" customWidth="1"/>
    <col min="12" max="12" width="10.42578125" bestFit="1" customWidth="1"/>
    <col min="13" max="13" width="11.5703125" style="8" bestFit="1" customWidth="1"/>
    <col min="14" max="15" width="11.5703125" style="8" customWidth="1"/>
    <col min="16" max="16" width="10" bestFit="1" customWidth="1"/>
  </cols>
  <sheetData>
    <row r="1" spans="1:16">
      <c r="A1" s="2" t="s">
        <v>8</v>
      </c>
      <c r="B1" s="2" t="s">
        <v>9</v>
      </c>
      <c r="C1" s="1" t="s">
        <v>12</v>
      </c>
      <c r="D1" s="1" t="s">
        <v>13</v>
      </c>
      <c r="E1" s="11" t="s">
        <v>15</v>
      </c>
      <c r="F1" s="2" t="s">
        <v>10</v>
      </c>
      <c r="G1" t="s">
        <v>27</v>
      </c>
      <c r="H1" t="s">
        <v>16</v>
      </c>
      <c r="I1" t="s">
        <v>18</v>
      </c>
      <c r="J1" t="s">
        <v>19</v>
      </c>
      <c r="K1" t="s">
        <v>17</v>
      </c>
      <c r="L1" t="s">
        <v>25</v>
      </c>
      <c r="M1" s="8" t="s">
        <v>26</v>
      </c>
      <c r="N1" t="s">
        <v>29</v>
      </c>
      <c r="O1" s="8" t="s">
        <v>15</v>
      </c>
      <c r="P1" t="s">
        <v>30</v>
      </c>
    </row>
    <row r="2" spans="1:16">
      <c r="A2" s="16"/>
      <c r="B2" s="16"/>
      <c r="C2" s="11"/>
      <c r="D2" s="11"/>
      <c r="E2" s="11"/>
      <c r="F2" s="16"/>
      <c r="K2" s="14"/>
      <c r="L2" s="15">
        <v>20910</v>
      </c>
      <c r="M2" s="10">
        <f>-10*1</f>
        <v>-10</v>
      </c>
      <c r="N2" s="10"/>
      <c r="O2" s="10"/>
    </row>
    <row r="3" spans="1:16">
      <c r="A3" s="3">
        <v>1958</v>
      </c>
      <c r="B3" s="4" t="s">
        <v>11</v>
      </c>
      <c r="C3" s="5">
        <v>12</v>
      </c>
      <c r="D3" s="6">
        <v>4597</v>
      </c>
      <c r="E3" s="12">
        <v>10</v>
      </c>
      <c r="F3" s="1"/>
      <c r="H3" s="8">
        <v>1</v>
      </c>
      <c r="J3" s="13">
        <f>H3*E3</f>
        <v>10</v>
      </c>
      <c r="K3" s="14">
        <f>C3*J3/100</f>
        <v>1.2</v>
      </c>
      <c r="L3" s="15">
        <v>21275</v>
      </c>
      <c r="M3" s="17">
        <f>K3</f>
        <v>1.2</v>
      </c>
      <c r="N3" s="17"/>
      <c r="O3" s="17"/>
    </row>
    <row r="4" spans="1:16">
      <c r="A4" s="3">
        <v>1959</v>
      </c>
      <c r="B4" s="4" t="s">
        <v>11</v>
      </c>
      <c r="C4" s="5">
        <v>14</v>
      </c>
      <c r="D4" s="6">
        <v>4597</v>
      </c>
      <c r="E4" s="12">
        <v>10</v>
      </c>
      <c r="F4" s="1"/>
      <c r="H4" s="8">
        <f>H3</f>
        <v>1</v>
      </c>
      <c r="J4" s="13">
        <f t="shared" ref="J4:J54" si="0">H4*E4</f>
        <v>10</v>
      </c>
      <c r="K4" s="14">
        <f t="shared" ref="K4:K62" si="1">C4*J4/100</f>
        <v>1.4</v>
      </c>
      <c r="L4" s="15">
        <v>21640</v>
      </c>
      <c r="M4" s="17">
        <f t="shared" ref="M4:M61" si="2">K4</f>
        <v>1.4</v>
      </c>
      <c r="N4" s="17"/>
      <c r="O4" s="17"/>
    </row>
    <row r="5" spans="1:16">
      <c r="A5" s="3">
        <v>1960</v>
      </c>
      <c r="B5" s="4" t="s">
        <v>11</v>
      </c>
      <c r="C5" s="5">
        <v>25</v>
      </c>
      <c r="D5" s="6">
        <v>4597</v>
      </c>
      <c r="E5" s="12">
        <v>10</v>
      </c>
      <c r="F5" s="1"/>
      <c r="H5" s="8">
        <f>H4</f>
        <v>1</v>
      </c>
      <c r="J5" s="13">
        <f t="shared" si="0"/>
        <v>10</v>
      </c>
      <c r="K5" s="14">
        <f t="shared" si="1"/>
        <v>2.5</v>
      </c>
      <c r="L5" s="15">
        <v>22006</v>
      </c>
      <c r="M5" s="17">
        <f t="shared" si="2"/>
        <v>2.5</v>
      </c>
      <c r="N5" s="17"/>
      <c r="O5" s="17"/>
    </row>
    <row r="6" spans="1:16">
      <c r="A6" s="3">
        <v>1961</v>
      </c>
      <c r="B6" s="4" t="s">
        <v>11</v>
      </c>
      <c r="C6" s="5">
        <v>25</v>
      </c>
      <c r="D6" s="6">
        <v>4597</v>
      </c>
      <c r="E6" s="12">
        <v>10</v>
      </c>
      <c r="F6" s="1"/>
      <c r="H6" s="8">
        <f>H5</f>
        <v>1</v>
      </c>
      <c r="J6" s="13">
        <f t="shared" si="0"/>
        <v>10</v>
      </c>
      <c r="K6" s="14">
        <f t="shared" si="1"/>
        <v>2.5</v>
      </c>
      <c r="L6" s="15">
        <v>22371</v>
      </c>
      <c r="M6" s="17">
        <f t="shared" si="2"/>
        <v>2.5</v>
      </c>
      <c r="N6" s="17"/>
      <c r="O6" s="17"/>
    </row>
    <row r="7" spans="1:16">
      <c r="A7" s="3">
        <v>1962</v>
      </c>
      <c r="B7" s="4" t="s">
        <v>11</v>
      </c>
      <c r="C7" s="5">
        <v>27</v>
      </c>
      <c r="D7" s="7">
        <v>6896</v>
      </c>
      <c r="E7" s="12">
        <v>10</v>
      </c>
      <c r="F7" s="1" t="s">
        <v>0</v>
      </c>
      <c r="H7" s="10">
        <f t="shared" ref="H7:H28" si="3">H6*I7+H6</f>
        <v>1</v>
      </c>
      <c r="J7" s="13">
        <f t="shared" si="0"/>
        <v>10</v>
      </c>
      <c r="K7" s="14">
        <f t="shared" si="1"/>
        <v>2.7</v>
      </c>
      <c r="L7" s="15">
        <v>22736</v>
      </c>
      <c r="M7" s="17">
        <f t="shared" si="2"/>
        <v>2.7</v>
      </c>
      <c r="N7" s="17"/>
      <c r="O7" s="17"/>
    </row>
    <row r="8" spans="1:16">
      <c r="A8" s="3">
        <v>1963</v>
      </c>
      <c r="B8" s="4" t="s">
        <v>11</v>
      </c>
      <c r="C8" s="5">
        <v>21</v>
      </c>
      <c r="D8" s="6">
        <v>6896</v>
      </c>
      <c r="E8" s="12">
        <v>10</v>
      </c>
      <c r="F8" s="1"/>
      <c r="H8" s="10">
        <f t="shared" si="3"/>
        <v>1.5</v>
      </c>
      <c r="I8">
        <f>1/2</f>
        <v>0.5</v>
      </c>
      <c r="J8" s="13">
        <f t="shared" si="0"/>
        <v>15</v>
      </c>
      <c r="K8" s="14">
        <f t="shared" si="1"/>
        <v>3.15</v>
      </c>
      <c r="L8" s="15">
        <v>23101</v>
      </c>
      <c r="M8" s="17">
        <f t="shared" si="2"/>
        <v>3.15</v>
      </c>
      <c r="N8" s="17"/>
      <c r="O8" s="17"/>
    </row>
    <row r="9" spans="1:16">
      <c r="A9" s="3">
        <v>1964</v>
      </c>
      <c r="B9" s="4" t="s">
        <v>11</v>
      </c>
      <c r="C9" s="5">
        <v>21</v>
      </c>
      <c r="D9" s="6">
        <v>6896</v>
      </c>
      <c r="E9" s="12">
        <v>10</v>
      </c>
      <c r="F9" s="1"/>
      <c r="H9" s="10">
        <f t="shared" si="3"/>
        <v>1.5</v>
      </c>
      <c r="J9" s="13">
        <f t="shared" si="0"/>
        <v>15</v>
      </c>
      <c r="K9" s="14">
        <f t="shared" si="1"/>
        <v>3.15</v>
      </c>
      <c r="L9" s="15">
        <v>23467</v>
      </c>
      <c r="M9" s="17">
        <f t="shared" si="2"/>
        <v>3.15</v>
      </c>
      <c r="N9" s="17"/>
      <c r="O9" s="17"/>
    </row>
    <row r="10" spans="1:16">
      <c r="A10" s="3">
        <v>1965</v>
      </c>
      <c r="B10" s="4" t="s">
        <v>11</v>
      </c>
      <c r="C10" s="5">
        <v>24</v>
      </c>
      <c r="D10" s="6">
        <v>6896</v>
      </c>
      <c r="E10" s="12">
        <v>10</v>
      </c>
      <c r="F10" s="1"/>
      <c r="H10" s="10">
        <f t="shared" si="3"/>
        <v>1.5</v>
      </c>
      <c r="J10" s="13">
        <f t="shared" si="0"/>
        <v>15</v>
      </c>
      <c r="K10" s="14">
        <f t="shared" si="1"/>
        <v>3.6</v>
      </c>
      <c r="L10" s="15">
        <v>23832</v>
      </c>
      <c r="M10" s="17">
        <f t="shared" si="2"/>
        <v>3.6</v>
      </c>
      <c r="N10" s="17"/>
      <c r="O10" s="17"/>
    </row>
    <row r="11" spans="1:16">
      <c r="A11" s="3">
        <v>1966</v>
      </c>
      <c r="B11" s="4" t="s">
        <v>11</v>
      </c>
      <c r="C11" s="5">
        <v>22</v>
      </c>
      <c r="D11" s="7">
        <v>6896</v>
      </c>
      <c r="E11" s="12">
        <v>10</v>
      </c>
      <c r="F11" s="1" t="s">
        <v>1</v>
      </c>
      <c r="H11" s="10">
        <f t="shared" si="3"/>
        <v>1.5</v>
      </c>
      <c r="I11" s="9"/>
      <c r="J11" s="13">
        <f t="shared" si="0"/>
        <v>15</v>
      </c>
      <c r="K11" s="14">
        <f t="shared" si="1"/>
        <v>3.3</v>
      </c>
      <c r="L11" s="15">
        <v>24197</v>
      </c>
      <c r="M11" s="17">
        <f t="shared" si="2"/>
        <v>3.3</v>
      </c>
      <c r="N11" s="17"/>
      <c r="O11" s="17"/>
    </row>
    <row r="12" spans="1:16">
      <c r="A12" s="3">
        <v>1967</v>
      </c>
      <c r="B12" s="4" t="s">
        <v>11</v>
      </c>
      <c r="C12" s="5">
        <v>20</v>
      </c>
      <c r="D12" s="6">
        <v>9960</v>
      </c>
      <c r="E12" s="12">
        <v>10</v>
      </c>
      <c r="F12" s="1"/>
      <c r="H12" s="10">
        <f t="shared" si="3"/>
        <v>2.1666666666666665</v>
      </c>
      <c r="I12" s="9">
        <f>4/9</f>
        <v>0.44444444444444442</v>
      </c>
      <c r="J12" s="13">
        <f t="shared" si="0"/>
        <v>21.666666666666664</v>
      </c>
      <c r="K12" s="14">
        <f t="shared" si="1"/>
        <v>4.3333333333333321</v>
      </c>
      <c r="L12" s="15">
        <v>24562</v>
      </c>
      <c r="M12" s="17">
        <f t="shared" si="2"/>
        <v>4.3333333333333321</v>
      </c>
      <c r="N12" s="17"/>
      <c r="O12" s="17"/>
    </row>
    <row r="13" spans="1:16">
      <c r="A13" s="3">
        <v>1968</v>
      </c>
      <c r="B13" s="4" t="s">
        <v>11</v>
      </c>
      <c r="C13" s="5">
        <v>18</v>
      </c>
      <c r="D13" s="7">
        <v>9960</v>
      </c>
      <c r="E13" s="12">
        <v>10</v>
      </c>
      <c r="F13" s="1" t="s">
        <v>2</v>
      </c>
      <c r="H13" s="10">
        <f t="shared" si="3"/>
        <v>2.1666666666666665</v>
      </c>
      <c r="J13" s="13">
        <f t="shared" si="0"/>
        <v>21.666666666666664</v>
      </c>
      <c r="K13" s="14">
        <f t="shared" si="1"/>
        <v>3.8999999999999995</v>
      </c>
      <c r="L13" s="15">
        <v>24928</v>
      </c>
      <c r="M13" s="17">
        <f t="shared" si="2"/>
        <v>3.8999999999999995</v>
      </c>
      <c r="N13" s="17"/>
      <c r="O13" s="17"/>
    </row>
    <row r="14" spans="1:16">
      <c r="A14" s="3">
        <v>1969</v>
      </c>
      <c r="B14" s="4" t="s">
        <v>11</v>
      </c>
      <c r="C14" s="5">
        <v>18</v>
      </c>
      <c r="D14" s="6">
        <v>16600</v>
      </c>
      <c r="E14" s="12">
        <v>10</v>
      </c>
      <c r="F14" s="1"/>
      <c r="H14" s="10">
        <f t="shared" si="3"/>
        <v>3.6111111111111107</v>
      </c>
      <c r="I14">
        <f>2/3</f>
        <v>0.66666666666666663</v>
      </c>
      <c r="J14" s="13">
        <f t="shared" si="0"/>
        <v>36.111111111111107</v>
      </c>
      <c r="K14" s="14">
        <f t="shared" si="1"/>
        <v>6.4999999999999991</v>
      </c>
      <c r="L14" s="15">
        <v>25293</v>
      </c>
      <c r="M14" s="17">
        <f t="shared" si="2"/>
        <v>6.4999999999999991</v>
      </c>
      <c r="N14" s="17"/>
      <c r="O14" s="17"/>
    </row>
    <row r="15" spans="1:16">
      <c r="A15" s="3">
        <v>1970</v>
      </c>
      <c r="B15" s="4" t="s">
        <v>11</v>
      </c>
      <c r="C15" s="5">
        <v>22</v>
      </c>
      <c r="D15" s="7">
        <v>16600</v>
      </c>
      <c r="E15" s="12">
        <v>10</v>
      </c>
      <c r="F15" s="1" t="s">
        <v>3</v>
      </c>
      <c r="H15" s="10">
        <f t="shared" si="3"/>
        <v>3.6111111111111107</v>
      </c>
      <c r="J15" s="13">
        <f t="shared" si="0"/>
        <v>36.111111111111107</v>
      </c>
      <c r="K15" s="14">
        <f t="shared" si="1"/>
        <v>7.9444444444444438</v>
      </c>
      <c r="L15" s="15">
        <v>25658</v>
      </c>
      <c r="M15" s="17">
        <f t="shared" si="2"/>
        <v>7.9444444444444438</v>
      </c>
      <c r="N15" s="17"/>
      <c r="O15" s="17"/>
    </row>
    <row r="16" spans="1:16">
      <c r="A16" s="3">
        <v>1971</v>
      </c>
      <c r="B16" s="4" t="s">
        <v>11</v>
      </c>
      <c r="C16" s="5">
        <v>16</v>
      </c>
      <c r="D16" s="6">
        <v>26600</v>
      </c>
      <c r="E16" s="12">
        <v>10</v>
      </c>
      <c r="F16" s="1"/>
      <c r="H16" s="10">
        <f t="shared" si="3"/>
        <v>5.7777777777777768</v>
      </c>
      <c r="I16">
        <f>3/5</f>
        <v>0.6</v>
      </c>
      <c r="J16" s="13">
        <f t="shared" si="0"/>
        <v>57.777777777777771</v>
      </c>
      <c r="K16" s="14">
        <f t="shared" si="1"/>
        <v>9.2444444444444436</v>
      </c>
      <c r="L16" s="15">
        <v>26023</v>
      </c>
      <c r="M16" s="17">
        <f t="shared" si="2"/>
        <v>9.2444444444444436</v>
      </c>
      <c r="N16" s="17"/>
      <c r="O16" s="17"/>
    </row>
    <row r="17" spans="1:16">
      <c r="A17" s="3">
        <v>1972</v>
      </c>
      <c r="B17" s="4" t="s">
        <v>11</v>
      </c>
      <c r="C17" s="5">
        <v>16</v>
      </c>
      <c r="D17" s="6">
        <v>26600</v>
      </c>
      <c r="E17" s="12">
        <v>10</v>
      </c>
      <c r="F17" s="1"/>
      <c r="H17" s="10">
        <f t="shared" si="3"/>
        <v>5.7777777777777768</v>
      </c>
      <c r="J17" s="13">
        <f t="shared" si="0"/>
        <v>57.777777777777771</v>
      </c>
      <c r="K17" s="14">
        <f t="shared" si="1"/>
        <v>9.2444444444444436</v>
      </c>
      <c r="L17" s="15">
        <v>26389</v>
      </c>
      <c r="M17" s="17">
        <f t="shared" si="2"/>
        <v>9.2444444444444436</v>
      </c>
      <c r="N17" s="17"/>
      <c r="O17" s="17"/>
    </row>
    <row r="18" spans="1:16">
      <c r="A18" s="3">
        <v>1973</v>
      </c>
      <c r="B18" s="4" t="s">
        <v>11</v>
      </c>
      <c r="C18" s="5">
        <v>17</v>
      </c>
      <c r="D18" s="6">
        <v>26600</v>
      </c>
      <c r="E18" s="12">
        <v>10</v>
      </c>
      <c r="F18" s="1"/>
      <c r="H18" s="10">
        <f t="shared" si="3"/>
        <v>5.7777777777777768</v>
      </c>
      <c r="J18" s="13">
        <f t="shared" si="0"/>
        <v>57.777777777777771</v>
      </c>
      <c r="K18" s="14">
        <f t="shared" si="1"/>
        <v>9.8222222222222211</v>
      </c>
      <c r="L18" s="15">
        <v>26754</v>
      </c>
      <c r="M18" s="17">
        <f t="shared" si="2"/>
        <v>9.8222222222222211</v>
      </c>
      <c r="N18" s="17"/>
      <c r="O18" s="17"/>
    </row>
    <row r="19" spans="1:16">
      <c r="A19" s="3">
        <v>1974</v>
      </c>
      <c r="B19" s="4" t="s">
        <v>11</v>
      </c>
      <c r="C19" s="5">
        <v>17</v>
      </c>
      <c r="D19" s="6">
        <v>26600</v>
      </c>
      <c r="E19" s="12">
        <v>10</v>
      </c>
      <c r="F19" s="1"/>
      <c r="H19" s="10">
        <f t="shared" si="3"/>
        <v>5.7777777777777768</v>
      </c>
      <c r="J19" s="13">
        <f t="shared" si="0"/>
        <v>57.777777777777771</v>
      </c>
      <c r="K19" s="14">
        <f t="shared" si="1"/>
        <v>9.8222222222222211</v>
      </c>
      <c r="L19" s="15">
        <v>27119</v>
      </c>
      <c r="M19" s="17">
        <f t="shared" si="2"/>
        <v>9.8222222222222211</v>
      </c>
      <c r="N19" s="17"/>
      <c r="O19" s="17"/>
    </row>
    <row r="20" spans="1:16">
      <c r="A20" s="3">
        <v>1975</v>
      </c>
      <c r="B20" s="4" t="s">
        <v>11</v>
      </c>
      <c r="C20" s="5">
        <v>12</v>
      </c>
      <c r="D20" s="7">
        <v>26600</v>
      </c>
      <c r="E20" s="12">
        <v>10</v>
      </c>
      <c r="F20" s="1" t="s">
        <v>4</v>
      </c>
      <c r="H20" s="10">
        <f t="shared" si="3"/>
        <v>5.7777777777777768</v>
      </c>
      <c r="J20" s="13">
        <f t="shared" si="0"/>
        <v>57.777777777777771</v>
      </c>
      <c r="K20" s="14">
        <f t="shared" si="1"/>
        <v>6.9333333333333327</v>
      </c>
      <c r="L20" s="15">
        <v>27484</v>
      </c>
      <c r="M20" s="17">
        <f t="shared" si="2"/>
        <v>6.9333333333333327</v>
      </c>
      <c r="N20" s="17"/>
      <c r="O20" s="17"/>
    </row>
    <row r="21" spans="1:16">
      <c r="A21" s="3">
        <v>1976</v>
      </c>
      <c r="B21" s="4" t="s">
        <v>11</v>
      </c>
      <c r="C21" s="5">
        <v>12</v>
      </c>
      <c r="D21" s="6">
        <v>26600</v>
      </c>
      <c r="E21" s="12">
        <v>10</v>
      </c>
      <c r="F21" s="1"/>
      <c r="H21" s="10">
        <f t="shared" si="3"/>
        <v>9.8222222222222193</v>
      </c>
      <c r="I21">
        <f>7/10</f>
        <v>0.7</v>
      </c>
      <c r="J21" s="13">
        <f t="shared" si="0"/>
        <v>98.2222222222222</v>
      </c>
      <c r="K21" s="14">
        <f t="shared" si="1"/>
        <v>11.786666666666665</v>
      </c>
      <c r="L21" s="15">
        <v>27850</v>
      </c>
      <c r="M21" s="17">
        <f t="shared" si="2"/>
        <v>11.786666666666665</v>
      </c>
      <c r="N21" s="17"/>
      <c r="O21" s="17"/>
    </row>
    <row r="22" spans="1:16">
      <c r="A22" s="3">
        <v>1977</v>
      </c>
      <c r="B22" s="4" t="s">
        <v>11</v>
      </c>
      <c r="C22" s="5">
        <v>15</v>
      </c>
      <c r="D22" s="6">
        <v>45200</v>
      </c>
      <c r="E22" s="12">
        <v>10</v>
      </c>
      <c r="F22" s="1"/>
      <c r="H22" s="10">
        <f t="shared" si="3"/>
        <v>9.8222222222222193</v>
      </c>
      <c r="J22" s="13">
        <f t="shared" si="0"/>
        <v>98.2222222222222</v>
      </c>
      <c r="K22" s="14">
        <f t="shared" si="1"/>
        <v>14.733333333333331</v>
      </c>
      <c r="L22" s="15">
        <v>28215</v>
      </c>
      <c r="M22" s="17">
        <f t="shared" si="2"/>
        <v>14.733333333333331</v>
      </c>
      <c r="N22" s="17"/>
      <c r="O22" s="17"/>
    </row>
    <row r="23" spans="1:16">
      <c r="A23" s="3">
        <v>1978</v>
      </c>
      <c r="B23" s="4" t="s">
        <v>11</v>
      </c>
      <c r="C23" s="5">
        <v>15</v>
      </c>
      <c r="D23" s="7">
        <v>45200</v>
      </c>
      <c r="E23" s="12">
        <v>10</v>
      </c>
      <c r="F23" s="1" t="s">
        <v>5</v>
      </c>
      <c r="H23" s="10">
        <f t="shared" si="3"/>
        <v>9.8222222222222193</v>
      </c>
      <c r="J23" s="13">
        <f t="shared" si="0"/>
        <v>98.2222222222222</v>
      </c>
      <c r="K23" s="14">
        <f t="shared" si="1"/>
        <v>14.733333333333331</v>
      </c>
      <c r="L23" s="15">
        <v>28580</v>
      </c>
      <c r="M23" s="17">
        <f t="shared" si="2"/>
        <v>14.733333333333331</v>
      </c>
      <c r="N23" s="17"/>
      <c r="O23" s="17"/>
      <c r="P23" s="10">
        <v>-15</v>
      </c>
    </row>
    <row r="24" spans="1:16">
      <c r="A24" s="3">
        <v>1979</v>
      </c>
      <c r="B24" s="4" t="s">
        <v>11</v>
      </c>
      <c r="C24" s="5">
        <v>15</v>
      </c>
      <c r="D24" s="6">
        <v>63200</v>
      </c>
      <c r="E24" s="12">
        <v>10</v>
      </c>
      <c r="F24" s="1"/>
      <c r="H24" s="10">
        <f t="shared" si="3"/>
        <v>9.8222222222222193</v>
      </c>
      <c r="J24" s="13">
        <f t="shared" si="0"/>
        <v>98.2222222222222</v>
      </c>
      <c r="K24" s="14">
        <f t="shared" si="1"/>
        <v>14.733333333333331</v>
      </c>
      <c r="L24" s="15">
        <v>28945</v>
      </c>
      <c r="M24" s="17">
        <f t="shared" si="2"/>
        <v>14.733333333333331</v>
      </c>
      <c r="N24" s="17">
        <v>1</v>
      </c>
      <c r="O24" s="17">
        <f>N24*E24</f>
        <v>10</v>
      </c>
      <c r="P24" s="14">
        <f>O24*C24/100</f>
        <v>1.5</v>
      </c>
    </row>
    <row r="25" spans="1:16">
      <c r="A25" s="3">
        <v>1980</v>
      </c>
      <c r="B25" s="4" t="s">
        <v>11</v>
      </c>
      <c r="C25" s="5">
        <v>15</v>
      </c>
      <c r="D25" s="6">
        <v>63200</v>
      </c>
      <c r="E25" s="12">
        <v>10</v>
      </c>
      <c r="F25" s="1"/>
      <c r="H25" s="10">
        <f t="shared" si="3"/>
        <v>9.8222222222222193</v>
      </c>
      <c r="J25" s="13">
        <f t="shared" si="0"/>
        <v>98.2222222222222</v>
      </c>
      <c r="K25" s="14">
        <f t="shared" si="1"/>
        <v>14.733333333333331</v>
      </c>
      <c r="L25" s="15">
        <v>29311</v>
      </c>
      <c r="M25" s="17">
        <f t="shared" si="2"/>
        <v>14.733333333333331</v>
      </c>
      <c r="N25" s="17">
        <v>1</v>
      </c>
      <c r="O25" s="17">
        <f t="shared" ref="O25:O54" si="4">N25*E25</f>
        <v>10</v>
      </c>
      <c r="P25" s="14">
        <f t="shared" ref="P25:P61" si="5">O25*C25/100</f>
        <v>1.5</v>
      </c>
    </row>
    <row r="26" spans="1:16">
      <c r="A26" s="3">
        <v>1981</v>
      </c>
      <c r="B26" s="4" t="s">
        <v>20</v>
      </c>
      <c r="C26" s="5">
        <v>19</v>
      </c>
      <c r="D26" s="6">
        <v>63200</v>
      </c>
      <c r="E26" s="12">
        <v>10</v>
      </c>
      <c r="F26" s="1"/>
      <c r="H26" s="10">
        <f t="shared" si="3"/>
        <v>9.8222222222222193</v>
      </c>
      <c r="J26" s="13">
        <f t="shared" si="0"/>
        <v>98.2222222222222</v>
      </c>
      <c r="K26" s="14">
        <f t="shared" si="1"/>
        <v>18.662222222222216</v>
      </c>
      <c r="L26" s="15">
        <v>29767</v>
      </c>
      <c r="M26" s="17">
        <f t="shared" si="2"/>
        <v>18.662222222222216</v>
      </c>
      <c r="N26" s="17">
        <v>1</v>
      </c>
      <c r="O26" s="17">
        <f t="shared" si="4"/>
        <v>10</v>
      </c>
      <c r="P26" s="14">
        <f t="shared" si="5"/>
        <v>1.9</v>
      </c>
    </row>
    <row r="27" spans="1:16">
      <c r="A27" s="3">
        <v>1982</v>
      </c>
      <c r="B27" s="4" t="s">
        <v>21</v>
      </c>
      <c r="C27" s="5">
        <v>19</v>
      </c>
      <c r="D27" s="6">
        <v>63200</v>
      </c>
      <c r="E27" s="12">
        <v>10</v>
      </c>
      <c r="F27" s="1"/>
      <c r="H27" s="10">
        <f t="shared" si="3"/>
        <v>9.8222222222222193</v>
      </c>
      <c r="J27" s="13">
        <f t="shared" si="0"/>
        <v>98.2222222222222</v>
      </c>
      <c r="K27" s="14">
        <f t="shared" si="1"/>
        <v>18.662222222222216</v>
      </c>
      <c r="L27" s="15">
        <v>30132</v>
      </c>
      <c r="M27" s="17">
        <f t="shared" si="2"/>
        <v>18.662222222222216</v>
      </c>
      <c r="N27" s="17">
        <v>1</v>
      </c>
      <c r="O27" s="17">
        <f t="shared" si="4"/>
        <v>10</v>
      </c>
      <c r="P27" s="14">
        <f t="shared" si="5"/>
        <v>1.9</v>
      </c>
    </row>
    <row r="28" spans="1:16">
      <c r="A28" s="3">
        <v>1983</v>
      </c>
      <c r="B28" s="4" t="s">
        <v>21</v>
      </c>
      <c r="C28" s="5">
        <v>16</v>
      </c>
      <c r="D28" s="7">
        <v>88400</v>
      </c>
      <c r="E28" s="12">
        <v>10</v>
      </c>
      <c r="F28" s="1" t="s">
        <v>6</v>
      </c>
      <c r="H28" s="10">
        <f t="shared" si="3"/>
        <v>9.8222222222222193</v>
      </c>
      <c r="J28" s="13">
        <f t="shared" si="0"/>
        <v>98.2222222222222</v>
      </c>
      <c r="K28" s="14">
        <f t="shared" si="1"/>
        <v>15.715555555555552</v>
      </c>
      <c r="L28" s="15">
        <v>30497</v>
      </c>
      <c r="M28" s="17">
        <f t="shared" si="2"/>
        <v>15.715555555555552</v>
      </c>
      <c r="N28" s="17">
        <v>1</v>
      </c>
      <c r="O28" s="17">
        <f t="shared" si="4"/>
        <v>10</v>
      </c>
      <c r="P28" s="14">
        <f t="shared" si="5"/>
        <v>1.6</v>
      </c>
    </row>
    <row r="29" spans="1:16">
      <c r="A29" s="3">
        <v>1984</v>
      </c>
      <c r="B29" s="4" t="s">
        <v>21</v>
      </c>
      <c r="C29" s="5">
        <v>18</v>
      </c>
      <c r="D29" s="6">
        <v>88400</v>
      </c>
      <c r="E29" s="12">
        <v>10</v>
      </c>
      <c r="F29" s="1"/>
      <c r="H29" s="10">
        <f t="shared" ref="H29:H62" si="6">H28*I29+H28</f>
        <v>13.751111111111108</v>
      </c>
      <c r="I29">
        <f>2/5</f>
        <v>0.4</v>
      </c>
      <c r="J29" s="13">
        <f t="shared" si="0"/>
        <v>137.51111111111106</v>
      </c>
      <c r="K29" s="14">
        <f t="shared" si="1"/>
        <v>24.751999999999988</v>
      </c>
      <c r="L29" s="15">
        <v>30863</v>
      </c>
      <c r="M29" s="17">
        <f t="shared" si="2"/>
        <v>24.751999999999988</v>
      </c>
      <c r="N29" s="17">
        <f>N28+N28*I29</f>
        <v>1.4</v>
      </c>
      <c r="O29" s="17">
        <f t="shared" si="4"/>
        <v>14</v>
      </c>
      <c r="P29" s="14">
        <f t="shared" si="5"/>
        <v>2.52</v>
      </c>
    </row>
    <row r="30" spans="1:16">
      <c r="A30" s="3">
        <v>1985</v>
      </c>
      <c r="B30" s="4" t="s">
        <v>22</v>
      </c>
      <c r="C30" s="5">
        <v>30</v>
      </c>
      <c r="D30" s="6">
        <v>88400</v>
      </c>
      <c r="E30" s="12">
        <v>10</v>
      </c>
      <c r="F30" s="1"/>
      <c r="H30" s="10">
        <f t="shared" si="6"/>
        <v>13.751111111111108</v>
      </c>
      <c r="J30" s="13">
        <f t="shared" si="0"/>
        <v>137.51111111111106</v>
      </c>
      <c r="K30" s="14">
        <f t="shared" si="1"/>
        <v>41.253333333333323</v>
      </c>
      <c r="L30" s="15">
        <v>31381</v>
      </c>
      <c r="M30" s="17">
        <f t="shared" si="2"/>
        <v>41.253333333333323</v>
      </c>
      <c r="N30" s="17">
        <f t="shared" ref="N30:N62" si="7">N29+N29*I30</f>
        <v>1.4</v>
      </c>
      <c r="O30" s="17">
        <f t="shared" si="4"/>
        <v>14</v>
      </c>
      <c r="P30" s="14">
        <f t="shared" si="5"/>
        <v>4.2</v>
      </c>
    </row>
    <row r="31" spans="1:16">
      <c r="A31" s="3">
        <v>1986</v>
      </c>
      <c r="B31" s="4" t="s">
        <v>23</v>
      </c>
      <c r="C31" s="5">
        <v>27</v>
      </c>
      <c r="D31" s="6">
        <v>88400</v>
      </c>
      <c r="E31" s="12">
        <v>10</v>
      </c>
      <c r="F31" s="1"/>
      <c r="H31" s="10">
        <f t="shared" si="6"/>
        <v>13.751111111111108</v>
      </c>
      <c r="J31" s="13">
        <f t="shared" si="0"/>
        <v>137.51111111111106</v>
      </c>
      <c r="K31" s="14">
        <f t="shared" si="1"/>
        <v>37.127999999999986</v>
      </c>
      <c r="L31" s="15">
        <v>31746</v>
      </c>
      <c r="M31" s="17">
        <f t="shared" si="2"/>
        <v>37.127999999999986</v>
      </c>
      <c r="N31" s="17">
        <f t="shared" si="7"/>
        <v>1.4</v>
      </c>
      <c r="O31" s="17">
        <f t="shared" si="4"/>
        <v>14</v>
      </c>
      <c r="P31" s="14">
        <f t="shared" si="5"/>
        <v>3.78</v>
      </c>
    </row>
    <row r="32" spans="1:16">
      <c r="A32" s="3">
        <v>1987</v>
      </c>
      <c r="B32" s="4" t="s">
        <v>23</v>
      </c>
      <c r="C32" s="5">
        <v>24</v>
      </c>
      <c r="D32" s="7">
        <v>123800</v>
      </c>
      <c r="E32" s="12">
        <v>10</v>
      </c>
      <c r="F32" s="1" t="s">
        <v>6</v>
      </c>
      <c r="H32" s="10">
        <f t="shared" si="6"/>
        <v>13.751111111111108</v>
      </c>
      <c r="J32" s="13">
        <f t="shared" si="0"/>
        <v>137.51111111111106</v>
      </c>
      <c r="K32" s="14">
        <f t="shared" si="1"/>
        <v>33.002666666666656</v>
      </c>
      <c r="L32" s="15">
        <v>32111</v>
      </c>
      <c r="M32" s="17">
        <f t="shared" si="2"/>
        <v>33.002666666666656</v>
      </c>
      <c r="N32" s="17">
        <f t="shared" si="7"/>
        <v>1.4</v>
      </c>
      <c r="O32" s="17">
        <f t="shared" si="4"/>
        <v>14</v>
      </c>
      <c r="P32" s="14">
        <f t="shared" si="5"/>
        <v>3.36</v>
      </c>
    </row>
    <row r="33" spans="1:17">
      <c r="A33" s="3">
        <v>1989</v>
      </c>
      <c r="B33" s="4" t="s">
        <v>24</v>
      </c>
      <c r="C33" s="5">
        <v>32</v>
      </c>
      <c r="D33" s="6">
        <v>123800</v>
      </c>
      <c r="E33" s="12">
        <v>10</v>
      </c>
      <c r="F33" s="1"/>
      <c r="H33" s="10">
        <f t="shared" si="6"/>
        <v>19.251555555555552</v>
      </c>
      <c r="I33">
        <f>2/5</f>
        <v>0.4</v>
      </c>
      <c r="J33" s="13">
        <f t="shared" si="0"/>
        <v>192.51555555555552</v>
      </c>
      <c r="K33" s="14">
        <f t="shared" si="1"/>
        <v>61.604977777777769</v>
      </c>
      <c r="L33" s="15">
        <v>32598</v>
      </c>
      <c r="M33" s="17">
        <f t="shared" si="2"/>
        <v>61.604977777777769</v>
      </c>
      <c r="N33" s="17">
        <f t="shared" si="7"/>
        <v>1.96</v>
      </c>
      <c r="O33" s="17">
        <f t="shared" si="4"/>
        <v>19.600000000000001</v>
      </c>
      <c r="P33" s="14">
        <f t="shared" si="5"/>
        <v>6.2720000000000002</v>
      </c>
    </row>
    <row r="34" spans="1:17">
      <c r="A34" s="3">
        <v>1990</v>
      </c>
      <c r="B34" s="4" t="s">
        <v>11</v>
      </c>
      <c r="C34" s="5">
        <v>24</v>
      </c>
      <c r="D34" s="7">
        <v>185700</v>
      </c>
      <c r="E34" s="12">
        <v>10</v>
      </c>
      <c r="F34" s="1" t="s">
        <v>0</v>
      </c>
      <c r="H34" s="10">
        <f t="shared" si="6"/>
        <v>19.251555555555552</v>
      </c>
      <c r="J34" s="13">
        <f t="shared" si="0"/>
        <v>192.51555555555552</v>
      </c>
      <c r="K34" s="14">
        <f t="shared" si="1"/>
        <v>46.203733333333332</v>
      </c>
      <c r="L34" s="15">
        <v>32963</v>
      </c>
      <c r="M34" s="17">
        <f t="shared" si="2"/>
        <v>46.203733333333332</v>
      </c>
      <c r="N34" s="17">
        <f t="shared" si="7"/>
        <v>1.96</v>
      </c>
      <c r="O34" s="17">
        <f t="shared" si="4"/>
        <v>19.600000000000001</v>
      </c>
      <c r="P34" s="14">
        <f t="shared" si="5"/>
        <v>4.7040000000000006</v>
      </c>
    </row>
    <row r="35" spans="1:17">
      <c r="A35" s="3">
        <v>1991</v>
      </c>
      <c r="B35" s="4" t="s">
        <v>11</v>
      </c>
      <c r="C35" s="5">
        <v>29</v>
      </c>
      <c r="D35" s="6">
        <v>185700</v>
      </c>
      <c r="E35" s="12">
        <v>10</v>
      </c>
      <c r="F35" s="1"/>
      <c r="H35" s="10">
        <f t="shared" si="6"/>
        <v>28.877333333333326</v>
      </c>
      <c r="I35">
        <f>1/2</f>
        <v>0.5</v>
      </c>
      <c r="J35" s="13">
        <f t="shared" si="0"/>
        <v>288.77333333333326</v>
      </c>
      <c r="K35" s="14">
        <f t="shared" si="1"/>
        <v>83.744266666666647</v>
      </c>
      <c r="L35" s="15">
        <v>33328</v>
      </c>
      <c r="M35" s="17">
        <f t="shared" si="2"/>
        <v>83.744266666666647</v>
      </c>
      <c r="N35" s="17">
        <f t="shared" si="7"/>
        <v>2.94</v>
      </c>
      <c r="O35" s="17">
        <f t="shared" si="4"/>
        <v>29.4</v>
      </c>
      <c r="P35" s="14">
        <f t="shared" si="5"/>
        <v>8.5259999999999998</v>
      </c>
    </row>
    <row r="36" spans="1:17">
      <c r="A36" s="3">
        <v>1992</v>
      </c>
      <c r="B36" s="4" t="s">
        <v>11</v>
      </c>
      <c r="C36" s="5">
        <v>32</v>
      </c>
      <c r="D36" s="6">
        <v>185700</v>
      </c>
      <c r="E36" s="12">
        <v>10</v>
      </c>
      <c r="F36" s="1"/>
      <c r="H36" s="10">
        <f t="shared" si="6"/>
        <v>28.877333333333326</v>
      </c>
      <c r="J36" s="13">
        <f t="shared" si="0"/>
        <v>288.77333333333326</v>
      </c>
      <c r="K36" s="14">
        <f t="shared" si="1"/>
        <v>92.407466666666636</v>
      </c>
      <c r="L36" s="15">
        <v>33694</v>
      </c>
      <c r="M36" s="17">
        <f t="shared" si="2"/>
        <v>92.407466666666636</v>
      </c>
      <c r="N36" s="17">
        <f t="shared" si="7"/>
        <v>2.94</v>
      </c>
      <c r="O36" s="17">
        <f t="shared" si="4"/>
        <v>29.4</v>
      </c>
      <c r="P36" s="14">
        <f t="shared" si="5"/>
        <v>9.4079999999999995</v>
      </c>
      <c r="Q36" s="20">
        <f>((P62/P36)^(1/26)-1)</f>
        <v>0.3487348742832741</v>
      </c>
    </row>
    <row r="37" spans="1:17">
      <c r="A37" s="3">
        <v>1993</v>
      </c>
      <c r="B37" s="4" t="s">
        <v>11</v>
      </c>
      <c r="C37" s="5">
        <v>32</v>
      </c>
      <c r="D37" s="6">
        <v>185700</v>
      </c>
      <c r="E37" s="12">
        <v>10</v>
      </c>
      <c r="F37" s="1"/>
      <c r="H37" s="10">
        <f t="shared" si="6"/>
        <v>28.877333333333326</v>
      </c>
      <c r="J37" s="13">
        <f t="shared" si="0"/>
        <v>288.77333333333326</v>
      </c>
      <c r="K37" s="14">
        <f t="shared" si="1"/>
        <v>92.407466666666636</v>
      </c>
      <c r="L37" s="15">
        <v>34059</v>
      </c>
      <c r="M37" s="17">
        <f t="shared" si="2"/>
        <v>92.407466666666636</v>
      </c>
      <c r="N37" s="17">
        <f t="shared" si="7"/>
        <v>2.94</v>
      </c>
      <c r="O37" s="17">
        <f t="shared" si="4"/>
        <v>29.4</v>
      </c>
      <c r="P37" s="14">
        <f t="shared" si="5"/>
        <v>9.4079999999999995</v>
      </c>
    </row>
    <row r="38" spans="1:17">
      <c r="A38" s="3">
        <v>1994</v>
      </c>
      <c r="B38" s="4" t="s">
        <v>11</v>
      </c>
      <c r="C38" s="5">
        <v>35</v>
      </c>
      <c r="D38" s="6">
        <v>185700</v>
      </c>
      <c r="E38" s="12">
        <v>10</v>
      </c>
      <c r="F38" s="1"/>
      <c r="H38" s="10">
        <f t="shared" si="6"/>
        <v>28.877333333333326</v>
      </c>
      <c r="J38" s="13">
        <f t="shared" si="0"/>
        <v>288.77333333333326</v>
      </c>
      <c r="K38" s="14">
        <f t="shared" si="1"/>
        <v>101.07066666666664</v>
      </c>
      <c r="L38" s="15">
        <v>34424</v>
      </c>
      <c r="M38" s="17">
        <f t="shared" si="2"/>
        <v>101.07066666666664</v>
      </c>
      <c r="N38" s="17">
        <f t="shared" si="7"/>
        <v>2.94</v>
      </c>
      <c r="O38" s="17">
        <f t="shared" si="4"/>
        <v>29.4</v>
      </c>
      <c r="P38" s="14">
        <f t="shared" si="5"/>
        <v>10.29</v>
      </c>
    </row>
    <row r="39" spans="1:17">
      <c r="A39" s="3">
        <v>1995</v>
      </c>
      <c r="B39" s="4" t="s">
        <v>11</v>
      </c>
      <c r="C39" s="5">
        <v>40</v>
      </c>
      <c r="D39" s="6">
        <v>185700</v>
      </c>
      <c r="E39" s="12">
        <v>10</v>
      </c>
      <c r="F39" s="1"/>
      <c r="H39" s="10">
        <f t="shared" si="6"/>
        <v>28.877333333333326</v>
      </c>
      <c r="J39" s="13">
        <f t="shared" si="0"/>
        <v>288.77333333333326</v>
      </c>
      <c r="K39" s="14">
        <f t="shared" si="1"/>
        <v>115.5093333333333</v>
      </c>
      <c r="L39" s="15">
        <v>34789</v>
      </c>
      <c r="M39" s="17">
        <f t="shared" si="2"/>
        <v>115.5093333333333</v>
      </c>
      <c r="N39" s="17">
        <f t="shared" si="7"/>
        <v>2.94</v>
      </c>
      <c r="O39" s="17">
        <f t="shared" si="4"/>
        <v>29.4</v>
      </c>
      <c r="P39" s="14">
        <f t="shared" si="5"/>
        <v>11.76</v>
      </c>
    </row>
    <row r="40" spans="1:17">
      <c r="A40" s="3">
        <v>1996</v>
      </c>
      <c r="B40" s="4" t="s">
        <v>11</v>
      </c>
      <c r="C40" s="5">
        <v>40</v>
      </c>
      <c r="D40" s="6">
        <v>185700</v>
      </c>
      <c r="E40" s="12">
        <v>10</v>
      </c>
      <c r="F40" s="1"/>
      <c r="H40" s="10">
        <f t="shared" si="6"/>
        <v>28.877333333333326</v>
      </c>
      <c r="J40" s="13">
        <f t="shared" si="0"/>
        <v>288.77333333333326</v>
      </c>
      <c r="K40" s="14">
        <f t="shared" si="1"/>
        <v>115.5093333333333</v>
      </c>
      <c r="L40" s="15">
        <v>35155</v>
      </c>
      <c r="M40" s="17">
        <f t="shared" si="2"/>
        <v>115.5093333333333</v>
      </c>
      <c r="N40" s="17">
        <f t="shared" si="7"/>
        <v>2.94</v>
      </c>
      <c r="O40" s="17">
        <f t="shared" si="4"/>
        <v>29.4</v>
      </c>
      <c r="P40" s="14">
        <f t="shared" si="5"/>
        <v>11.76</v>
      </c>
    </row>
    <row r="41" spans="1:17">
      <c r="A41" s="3">
        <v>1997</v>
      </c>
      <c r="B41" s="4" t="s">
        <v>11</v>
      </c>
      <c r="C41" s="5">
        <v>40</v>
      </c>
      <c r="D41" s="6">
        <v>185700</v>
      </c>
      <c r="E41" s="12">
        <v>10</v>
      </c>
      <c r="F41" s="1"/>
      <c r="H41" s="10">
        <f t="shared" si="6"/>
        <v>28.877333333333326</v>
      </c>
      <c r="J41" s="13">
        <f t="shared" si="0"/>
        <v>288.77333333333326</v>
      </c>
      <c r="K41" s="14">
        <f t="shared" si="1"/>
        <v>115.5093333333333</v>
      </c>
      <c r="L41" s="15">
        <v>35520</v>
      </c>
      <c r="M41" s="17">
        <f t="shared" si="2"/>
        <v>115.5093333333333</v>
      </c>
      <c r="N41" s="17">
        <f t="shared" si="7"/>
        <v>2.94</v>
      </c>
      <c r="O41" s="17">
        <f t="shared" si="4"/>
        <v>29.4</v>
      </c>
      <c r="P41" s="14">
        <f t="shared" si="5"/>
        <v>11.76</v>
      </c>
    </row>
    <row r="42" spans="1:17">
      <c r="A42" s="3">
        <v>1998</v>
      </c>
      <c r="B42" s="4" t="s">
        <v>11</v>
      </c>
      <c r="C42" s="5">
        <v>50</v>
      </c>
      <c r="D42" s="6">
        <v>185700</v>
      </c>
      <c r="E42" s="12">
        <v>10</v>
      </c>
      <c r="F42" s="1"/>
      <c r="H42" s="10">
        <f t="shared" si="6"/>
        <v>28.877333333333326</v>
      </c>
      <c r="J42" s="13">
        <f t="shared" si="0"/>
        <v>288.77333333333326</v>
      </c>
      <c r="K42" s="14">
        <f t="shared" si="1"/>
        <v>144.38666666666663</v>
      </c>
      <c r="L42" s="15">
        <v>35885</v>
      </c>
      <c r="M42" s="17">
        <f t="shared" si="2"/>
        <v>144.38666666666663</v>
      </c>
      <c r="N42" s="17">
        <f t="shared" si="7"/>
        <v>2.94</v>
      </c>
      <c r="O42" s="17">
        <f t="shared" si="4"/>
        <v>29.4</v>
      </c>
      <c r="P42" s="14">
        <f t="shared" si="5"/>
        <v>14.7</v>
      </c>
    </row>
    <row r="43" spans="1:17">
      <c r="A43" s="3">
        <v>1999</v>
      </c>
      <c r="B43" s="4" t="s">
        <v>11</v>
      </c>
      <c r="C43" s="5">
        <v>55</v>
      </c>
      <c r="D43" s="7">
        <v>185700</v>
      </c>
      <c r="E43" s="12">
        <v>10</v>
      </c>
      <c r="F43" s="1" t="s">
        <v>0</v>
      </c>
      <c r="H43" s="10">
        <f t="shared" si="6"/>
        <v>28.877333333333326</v>
      </c>
      <c r="J43" s="13">
        <f t="shared" si="0"/>
        <v>288.77333333333326</v>
      </c>
      <c r="K43" s="14">
        <f t="shared" si="1"/>
        <v>158.8253333333333</v>
      </c>
      <c r="L43" s="15">
        <v>36250</v>
      </c>
      <c r="M43" s="17">
        <f t="shared" si="2"/>
        <v>158.8253333333333</v>
      </c>
      <c r="N43" s="17">
        <f t="shared" si="7"/>
        <v>2.94</v>
      </c>
      <c r="O43" s="17">
        <f t="shared" si="4"/>
        <v>29.4</v>
      </c>
      <c r="P43" s="14">
        <f t="shared" si="5"/>
        <v>16.170000000000002</v>
      </c>
    </row>
    <row r="44" spans="1:17">
      <c r="A44" s="3">
        <v>2000</v>
      </c>
      <c r="B44" s="4" t="s">
        <v>11</v>
      </c>
      <c r="C44" s="5">
        <v>45</v>
      </c>
      <c r="D44" s="6">
        <v>278505</v>
      </c>
      <c r="E44" s="12">
        <v>10</v>
      </c>
      <c r="F44" s="1"/>
      <c r="H44" s="10">
        <f t="shared" si="6"/>
        <v>43.315999999999988</v>
      </c>
      <c r="I44">
        <f>1/2</f>
        <v>0.5</v>
      </c>
      <c r="J44" s="13">
        <f t="shared" si="0"/>
        <v>433.15999999999985</v>
      </c>
      <c r="K44" s="14">
        <f t="shared" si="1"/>
        <v>194.92199999999994</v>
      </c>
      <c r="L44" s="15">
        <v>36616</v>
      </c>
      <c r="M44" s="17">
        <f t="shared" si="2"/>
        <v>194.92199999999994</v>
      </c>
      <c r="N44" s="17">
        <f t="shared" si="7"/>
        <v>4.41</v>
      </c>
      <c r="O44" s="17">
        <f t="shared" si="4"/>
        <v>44.1</v>
      </c>
      <c r="P44" s="14">
        <f t="shared" si="5"/>
        <v>19.844999999999999</v>
      </c>
    </row>
    <row r="45" spans="1:17">
      <c r="A45" s="3">
        <v>2001</v>
      </c>
      <c r="B45" s="4" t="s">
        <v>11</v>
      </c>
      <c r="C45" s="5">
        <v>55</v>
      </c>
      <c r="D45" s="6">
        <v>278505</v>
      </c>
      <c r="E45" s="12">
        <v>10</v>
      </c>
      <c r="F45" s="1"/>
      <c r="H45" s="10">
        <f t="shared" si="6"/>
        <v>43.315999999999988</v>
      </c>
      <c r="J45" s="13">
        <f t="shared" si="0"/>
        <v>433.15999999999985</v>
      </c>
      <c r="K45" s="14">
        <f t="shared" si="1"/>
        <v>238.23799999999991</v>
      </c>
      <c r="L45" s="15">
        <v>36981</v>
      </c>
      <c r="M45" s="17">
        <f t="shared" si="2"/>
        <v>238.23799999999991</v>
      </c>
      <c r="N45" s="17">
        <f t="shared" si="7"/>
        <v>4.41</v>
      </c>
      <c r="O45" s="17">
        <f t="shared" si="4"/>
        <v>44.1</v>
      </c>
      <c r="P45" s="14">
        <f t="shared" si="5"/>
        <v>24.254999999999999</v>
      </c>
    </row>
    <row r="46" spans="1:17">
      <c r="A46" s="3">
        <v>2002</v>
      </c>
      <c r="B46" s="4" t="s">
        <v>11</v>
      </c>
      <c r="C46" s="5">
        <v>75</v>
      </c>
      <c r="D46" s="7">
        <v>268505</v>
      </c>
      <c r="E46" s="12">
        <v>10</v>
      </c>
      <c r="F46" s="1" t="s">
        <v>7</v>
      </c>
      <c r="H46" s="10">
        <f t="shared" si="6"/>
        <v>43.315999999999988</v>
      </c>
      <c r="J46" s="13">
        <f t="shared" si="0"/>
        <v>433.15999999999985</v>
      </c>
      <c r="K46" s="14">
        <f t="shared" si="1"/>
        <v>324.86999999999989</v>
      </c>
      <c r="L46" s="15">
        <v>37346</v>
      </c>
      <c r="M46" s="17">
        <f t="shared" si="2"/>
        <v>324.86999999999989</v>
      </c>
      <c r="N46" s="17">
        <f t="shared" si="7"/>
        <v>4.41</v>
      </c>
      <c r="O46" s="17">
        <f t="shared" si="4"/>
        <v>44.1</v>
      </c>
      <c r="P46" s="14">
        <f t="shared" si="5"/>
        <v>33.075000000000003</v>
      </c>
    </row>
    <row r="47" spans="1:17">
      <c r="A47" s="3">
        <v>2003</v>
      </c>
      <c r="B47" s="4" t="s">
        <v>11</v>
      </c>
      <c r="C47" s="5">
        <v>100</v>
      </c>
      <c r="D47" s="7">
        <v>259043</v>
      </c>
      <c r="E47" s="12">
        <v>10</v>
      </c>
      <c r="F47" s="1" t="s">
        <v>7</v>
      </c>
      <c r="H47" s="10">
        <f t="shared" si="6"/>
        <v>43.315999999999988</v>
      </c>
      <c r="J47" s="13">
        <f t="shared" si="0"/>
        <v>433.15999999999985</v>
      </c>
      <c r="K47" s="14">
        <f t="shared" si="1"/>
        <v>433.15999999999985</v>
      </c>
      <c r="L47" s="15">
        <v>37711</v>
      </c>
      <c r="M47" s="17">
        <f t="shared" si="2"/>
        <v>433.15999999999985</v>
      </c>
      <c r="N47" s="17">
        <f t="shared" si="7"/>
        <v>4.41</v>
      </c>
      <c r="O47" s="17">
        <f t="shared" si="4"/>
        <v>44.1</v>
      </c>
      <c r="P47" s="14">
        <f t="shared" si="5"/>
        <v>44.1</v>
      </c>
    </row>
    <row r="48" spans="1:17">
      <c r="A48" s="3">
        <v>2004</v>
      </c>
      <c r="B48" s="4" t="s">
        <v>11</v>
      </c>
      <c r="C48" s="5">
        <v>110</v>
      </c>
      <c r="D48" s="7">
        <v>251121</v>
      </c>
      <c r="E48" s="12">
        <v>10</v>
      </c>
      <c r="F48" s="1" t="s">
        <v>7</v>
      </c>
      <c r="H48" s="10">
        <f t="shared" si="6"/>
        <v>43.315999999999988</v>
      </c>
      <c r="J48" s="13">
        <f t="shared" si="0"/>
        <v>433.15999999999985</v>
      </c>
      <c r="K48" s="14">
        <f t="shared" si="1"/>
        <v>476.47599999999983</v>
      </c>
      <c r="L48" s="15">
        <v>38077</v>
      </c>
      <c r="M48" s="17">
        <f t="shared" si="2"/>
        <v>476.47599999999983</v>
      </c>
      <c r="N48" s="17">
        <f t="shared" si="7"/>
        <v>4.41</v>
      </c>
      <c r="O48" s="17">
        <f t="shared" si="4"/>
        <v>44.1</v>
      </c>
      <c r="P48" s="14">
        <f t="shared" si="5"/>
        <v>48.51</v>
      </c>
    </row>
    <row r="49" spans="1:16">
      <c r="A49" s="3">
        <v>2005</v>
      </c>
      <c r="B49" s="4" t="s">
        <v>11</v>
      </c>
      <c r="C49" s="5">
        <v>140</v>
      </c>
      <c r="D49" s="7">
        <v>238902</v>
      </c>
      <c r="E49" s="12">
        <v>10</v>
      </c>
      <c r="F49" s="1" t="s">
        <v>7</v>
      </c>
      <c r="H49" s="10">
        <f t="shared" si="6"/>
        <v>43.315999999999988</v>
      </c>
      <c r="J49" s="13">
        <f t="shared" si="0"/>
        <v>433.15999999999985</v>
      </c>
      <c r="K49" s="14">
        <f t="shared" si="1"/>
        <v>606.42399999999975</v>
      </c>
      <c r="L49" s="15">
        <v>38442</v>
      </c>
      <c r="M49" s="17">
        <f t="shared" si="2"/>
        <v>606.42399999999975</v>
      </c>
      <c r="N49" s="17">
        <f t="shared" si="7"/>
        <v>4.41</v>
      </c>
      <c r="O49" s="17">
        <f t="shared" si="4"/>
        <v>44.1</v>
      </c>
      <c r="P49" s="14">
        <f t="shared" si="5"/>
        <v>61.74</v>
      </c>
    </row>
    <row r="50" spans="1:16">
      <c r="A50" s="3">
        <v>2006</v>
      </c>
      <c r="B50" s="4" t="s">
        <v>11</v>
      </c>
      <c r="C50" s="5">
        <v>150</v>
      </c>
      <c r="D50" s="6">
        <v>238902</v>
      </c>
      <c r="E50" s="12">
        <v>10</v>
      </c>
      <c r="F50" s="1"/>
      <c r="H50" s="10">
        <f t="shared" si="6"/>
        <v>43.315999999999988</v>
      </c>
      <c r="J50" s="13">
        <f t="shared" si="0"/>
        <v>433.15999999999985</v>
      </c>
      <c r="K50" s="14">
        <f t="shared" si="1"/>
        <v>649.73999999999978</v>
      </c>
      <c r="L50" s="15">
        <v>38807</v>
      </c>
      <c r="M50" s="17">
        <f t="shared" si="2"/>
        <v>649.73999999999978</v>
      </c>
      <c r="N50" s="17">
        <f t="shared" si="7"/>
        <v>4.41</v>
      </c>
      <c r="O50" s="17">
        <f t="shared" si="4"/>
        <v>44.1</v>
      </c>
      <c r="P50" s="14">
        <f t="shared" si="5"/>
        <v>66.150000000000006</v>
      </c>
    </row>
    <row r="51" spans="1:16">
      <c r="A51" s="3">
        <v>2007</v>
      </c>
      <c r="B51" s="4" t="s">
        <v>11</v>
      </c>
      <c r="C51" s="5">
        <v>150</v>
      </c>
      <c r="D51" s="6">
        <v>238902</v>
      </c>
      <c r="E51" s="12">
        <v>10</v>
      </c>
      <c r="F51" s="1"/>
      <c r="H51" s="10">
        <f t="shared" si="6"/>
        <v>43.315999999999988</v>
      </c>
      <c r="J51" s="13">
        <f t="shared" si="0"/>
        <v>433.15999999999985</v>
      </c>
      <c r="K51" s="14">
        <f t="shared" si="1"/>
        <v>649.73999999999978</v>
      </c>
      <c r="L51" s="15">
        <v>39172</v>
      </c>
      <c r="M51" s="17">
        <f t="shared" si="2"/>
        <v>649.73999999999978</v>
      </c>
      <c r="N51" s="17">
        <f t="shared" si="7"/>
        <v>4.41</v>
      </c>
      <c r="O51" s="17">
        <f t="shared" si="4"/>
        <v>44.1</v>
      </c>
      <c r="P51" s="14">
        <f t="shared" si="5"/>
        <v>66.150000000000006</v>
      </c>
    </row>
    <row r="52" spans="1:16">
      <c r="A52" s="3">
        <v>2008</v>
      </c>
      <c r="B52" s="4" t="s">
        <v>11</v>
      </c>
      <c r="C52" s="5">
        <v>180</v>
      </c>
      <c r="D52" s="6">
        <v>238902</v>
      </c>
      <c r="E52" s="12">
        <v>10</v>
      </c>
      <c r="F52" s="1"/>
      <c r="H52" s="10">
        <f t="shared" si="6"/>
        <v>43.315999999999988</v>
      </c>
      <c r="J52" s="13">
        <f t="shared" si="0"/>
        <v>433.15999999999985</v>
      </c>
      <c r="K52" s="14">
        <f t="shared" si="1"/>
        <v>779.68799999999976</v>
      </c>
      <c r="L52" s="15">
        <v>39538</v>
      </c>
      <c r="M52" s="17">
        <f t="shared" si="2"/>
        <v>779.68799999999976</v>
      </c>
      <c r="N52" s="17">
        <f t="shared" si="7"/>
        <v>4.41</v>
      </c>
      <c r="O52" s="17">
        <f t="shared" si="4"/>
        <v>44.1</v>
      </c>
      <c r="P52" s="14">
        <f t="shared" si="5"/>
        <v>79.38</v>
      </c>
    </row>
    <row r="53" spans="1:16">
      <c r="A53" s="3">
        <v>2009</v>
      </c>
      <c r="B53" s="4" t="s">
        <v>11</v>
      </c>
      <c r="C53" s="5">
        <v>400</v>
      </c>
      <c r="D53" s="6">
        <v>238902</v>
      </c>
      <c r="E53" s="12">
        <v>10</v>
      </c>
      <c r="F53" s="1"/>
      <c r="H53" s="10">
        <f t="shared" si="6"/>
        <v>43.315999999999988</v>
      </c>
      <c r="J53" s="13">
        <f t="shared" si="0"/>
        <v>433.15999999999985</v>
      </c>
      <c r="K53" s="14">
        <f t="shared" si="1"/>
        <v>1732.6399999999994</v>
      </c>
      <c r="L53" s="15">
        <v>39903</v>
      </c>
      <c r="M53" s="17">
        <f t="shared" si="2"/>
        <v>1732.6399999999994</v>
      </c>
      <c r="N53" s="17">
        <f t="shared" si="7"/>
        <v>4.41</v>
      </c>
      <c r="O53" s="17">
        <f t="shared" si="4"/>
        <v>44.1</v>
      </c>
      <c r="P53" s="14">
        <f t="shared" si="5"/>
        <v>176.4</v>
      </c>
    </row>
    <row r="54" spans="1:16">
      <c r="A54" s="3">
        <v>2010</v>
      </c>
      <c r="B54" s="4" t="s">
        <v>11</v>
      </c>
      <c r="C54" s="5">
        <v>250</v>
      </c>
      <c r="D54" s="6">
        <v>238902</v>
      </c>
      <c r="E54" s="12">
        <v>10</v>
      </c>
      <c r="F54" s="1"/>
      <c r="H54" s="10">
        <f t="shared" si="6"/>
        <v>43.315999999999988</v>
      </c>
      <c r="J54" s="13">
        <f t="shared" si="0"/>
        <v>433.15999999999985</v>
      </c>
      <c r="K54" s="14">
        <f t="shared" si="1"/>
        <v>1082.8999999999996</v>
      </c>
      <c r="L54" s="15">
        <v>40268</v>
      </c>
      <c r="M54" s="17">
        <f t="shared" si="2"/>
        <v>1082.8999999999996</v>
      </c>
      <c r="N54" s="17">
        <f t="shared" si="7"/>
        <v>4.41</v>
      </c>
      <c r="O54" s="17">
        <f t="shared" si="4"/>
        <v>44.1</v>
      </c>
      <c r="P54" s="14">
        <f t="shared" si="5"/>
        <v>110.25</v>
      </c>
    </row>
    <row r="55" spans="1:16">
      <c r="A55" s="3">
        <v>2011</v>
      </c>
      <c r="B55" s="4" t="s">
        <v>11</v>
      </c>
      <c r="C55" s="5">
        <v>325</v>
      </c>
      <c r="D55" s="6">
        <v>1194508</v>
      </c>
      <c r="E55" s="12">
        <v>2</v>
      </c>
      <c r="F55" s="1" t="s">
        <v>14</v>
      </c>
      <c r="H55" s="10">
        <f t="shared" si="6"/>
        <v>43.315999999999988</v>
      </c>
      <c r="J55" s="13">
        <f>H55*E55*5</f>
        <v>433.15999999999985</v>
      </c>
      <c r="K55" s="14">
        <f t="shared" si="1"/>
        <v>1407.7699999999995</v>
      </c>
      <c r="L55" s="15">
        <v>40633</v>
      </c>
      <c r="M55" s="17">
        <f t="shared" si="2"/>
        <v>1407.7699999999995</v>
      </c>
      <c r="N55" s="17">
        <f t="shared" si="7"/>
        <v>4.41</v>
      </c>
      <c r="O55" s="17">
        <f>N55*E55*5</f>
        <v>44.1</v>
      </c>
      <c r="P55" s="14">
        <f t="shared" si="5"/>
        <v>143.32499999999999</v>
      </c>
    </row>
    <row r="56" spans="1:16">
      <c r="A56" s="3">
        <v>2012</v>
      </c>
      <c r="B56" s="4" t="s">
        <v>11</v>
      </c>
      <c r="C56" s="5">
        <v>425</v>
      </c>
      <c r="D56" s="6">
        <v>1194508</v>
      </c>
      <c r="E56" s="12">
        <v>2</v>
      </c>
      <c r="F56" s="1"/>
      <c r="H56" s="10">
        <f t="shared" si="6"/>
        <v>43.315999999999988</v>
      </c>
      <c r="J56" s="13">
        <f t="shared" ref="J56:J62" si="8">H56*E56*5</f>
        <v>433.15999999999985</v>
      </c>
      <c r="K56" s="14">
        <f t="shared" si="1"/>
        <v>1840.9299999999994</v>
      </c>
      <c r="L56" s="15">
        <v>40999</v>
      </c>
      <c r="M56" s="17">
        <f t="shared" si="2"/>
        <v>1840.9299999999994</v>
      </c>
      <c r="N56" s="17">
        <f t="shared" si="7"/>
        <v>4.41</v>
      </c>
      <c r="O56" s="17">
        <f t="shared" ref="O56:O62" si="9">N56*E56*5</f>
        <v>44.1</v>
      </c>
      <c r="P56" s="14">
        <f t="shared" si="5"/>
        <v>187.42500000000001</v>
      </c>
    </row>
    <row r="57" spans="1:16">
      <c r="A57" s="3">
        <v>2013</v>
      </c>
      <c r="B57" s="4" t="s">
        <v>11</v>
      </c>
      <c r="C57" s="5">
        <v>425</v>
      </c>
      <c r="D57" s="6">
        <v>1195258</v>
      </c>
      <c r="E57" s="12">
        <v>2</v>
      </c>
      <c r="F57" s="1"/>
      <c r="H57" s="10">
        <f t="shared" si="6"/>
        <v>43.315999999999988</v>
      </c>
      <c r="J57" s="13">
        <f t="shared" si="8"/>
        <v>433.15999999999985</v>
      </c>
      <c r="K57" s="14">
        <f t="shared" si="1"/>
        <v>1840.9299999999994</v>
      </c>
      <c r="L57" s="15">
        <v>41364</v>
      </c>
      <c r="M57" s="17">
        <f t="shared" si="2"/>
        <v>1840.9299999999994</v>
      </c>
      <c r="N57" s="17">
        <f t="shared" si="7"/>
        <v>4.41</v>
      </c>
      <c r="O57" s="17">
        <f t="shared" si="9"/>
        <v>44.1</v>
      </c>
      <c r="P57" s="14">
        <f t="shared" si="5"/>
        <v>187.42500000000001</v>
      </c>
    </row>
    <row r="58" spans="1:16">
      <c r="A58" s="3">
        <v>2014</v>
      </c>
      <c r="B58" s="4" t="s">
        <v>11</v>
      </c>
      <c r="C58" s="5">
        <v>600</v>
      </c>
      <c r="D58" s="6">
        <v>1199258</v>
      </c>
      <c r="E58" s="12">
        <v>2</v>
      </c>
      <c r="F58" s="1"/>
      <c r="H58" s="10">
        <f t="shared" si="6"/>
        <v>43.315999999999988</v>
      </c>
      <c r="J58" s="13">
        <f t="shared" si="8"/>
        <v>433.15999999999985</v>
      </c>
      <c r="K58" s="14">
        <f t="shared" si="1"/>
        <v>2598.9599999999991</v>
      </c>
      <c r="L58" s="15">
        <v>41729</v>
      </c>
      <c r="M58" s="17">
        <f t="shared" si="2"/>
        <v>2598.9599999999991</v>
      </c>
      <c r="N58" s="17">
        <f t="shared" si="7"/>
        <v>4.41</v>
      </c>
      <c r="O58" s="17">
        <f t="shared" si="9"/>
        <v>44.1</v>
      </c>
      <c r="P58" s="14">
        <f t="shared" si="5"/>
        <v>264.60000000000002</v>
      </c>
    </row>
    <row r="59" spans="1:16">
      <c r="A59" s="3">
        <v>2015</v>
      </c>
      <c r="B59" s="4" t="s">
        <v>11</v>
      </c>
      <c r="C59" s="5">
        <v>800</v>
      </c>
      <c r="D59" s="6">
        <v>1199258</v>
      </c>
      <c r="E59" s="12">
        <v>2</v>
      </c>
      <c r="F59" s="1"/>
      <c r="H59" s="10">
        <f t="shared" si="6"/>
        <v>43.315999999999988</v>
      </c>
      <c r="J59" s="13">
        <f t="shared" si="8"/>
        <v>433.15999999999985</v>
      </c>
      <c r="K59" s="14">
        <f t="shared" si="1"/>
        <v>3465.2799999999988</v>
      </c>
      <c r="L59" s="15">
        <v>42094</v>
      </c>
      <c r="M59" s="17">
        <f t="shared" si="2"/>
        <v>3465.2799999999988</v>
      </c>
      <c r="N59" s="17">
        <f t="shared" si="7"/>
        <v>4.41</v>
      </c>
      <c r="O59" s="17">
        <f t="shared" si="9"/>
        <v>44.1</v>
      </c>
      <c r="P59" s="14">
        <f t="shared" si="5"/>
        <v>352.8</v>
      </c>
    </row>
    <row r="60" spans="1:16">
      <c r="A60" s="3">
        <v>2016</v>
      </c>
      <c r="B60" s="4" t="s">
        <v>11</v>
      </c>
      <c r="C60" s="5">
        <v>1000</v>
      </c>
      <c r="D60" s="6">
        <v>1199758</v>
      </c>
      <c r="E60" s="12">
        <v>2</v>
      </c>
      <c r="F60" s="1"/>
      <c r="H60" s="10">
        <f t="shared" si="6"/>
        <v>43.315999999999988</v>
      </c>
      <c r="J60" s="13">
        <f t="shared" si="8"/>
        <v>433.15999999999985</v>
      </c>
      <c r="K60" s="14">
        <f t="shared" si="1"/>
        <v>4331.5999999999985</v>
      </c>
      <c r="L60" s="15">
        <v>42460</v>
      </c>
      <c r="M60" s="17">
        <f t="shared" si="2"/>
        <v>4331.5999999999985</v>
      </c>
      <c r="N60" s="17">
        <f t="shared" si="7"/>
        <v>4.41</v>
      </c>
      <c r="O60" s="17">
        <f t="shared" si="9"/>
        <v>44.1</v>
      </c>
      <c r="P60" s="14">
        <f t="shared" si="5"/>
        <v>441</v>
      </c>
    </row>
    <row r="61" spans="1:16">
      <c r="A61" s="3">
        <v>2017</v>
      </c>
      <c r="B61" s="4" t="s">
        <v>11</v>
      </c>
      <c r="C61" s="5">
        <v>1100</v>
      </c>
      <c r="D61" s="6">
        <v>1200008</v>
      </c>
      <c r="E61" s="12">
        <v>2</v>
      </c>
      <c r="F61" s="1"/>
      <c r="H61" s="10">
        <f t="shared" si="6"/>
        <v>43.315999999999988</v>
      </c>
      <c r="J61" s="13">
        <f t="shared" si="8"/>
        <v>433.15999999999985</v>
      </c>
      <c r="K61" s="14">
        <f t="shared" si="1"/>
        <v>4764.7599999999984</v>
      </c>
      <c r="L61" s="15">
        <v>42825</v>
      </c>
      <c r="M61" s="17">
        <f t="shared" si="2"/>
        <v>4764.7599999999984</v>
      </c>
      <c r="N61" s="17">
        <f t="shared" si="7"/>
        <v>4.41</v>
      </c>
      <c r="O61" s="17">
        <f t="shared" si="9"/>
        <v>44.1</v>
      </c>
      <c r="P61" s="14">
        <f t="shared" si="5"/>
        <v>485.1</v>
      </c>
    </row>
    <row r="62" spans="1:16">
      <c r="A62" s="3">
        <v>2018</v>
      </c>
      <c r="B62" s="4" t="s">
        <v>11</v>
      </c>
      <c r="C62" s="5">
        <v>1250</v>
      </c>
      <c r="D62" s="6">
        <v>1200591</v>
      </c>
      <c r="E62" s="12">
        <v>2</v>
      </c>
      <c r="F62" s="1"/>
      <c r="G62">
        <v>4970</v>
      </c>
      <c r="H62" s="10">
        <f t="shared" si="6"/>
        <v>43.315999999999988</v>
      </c>
      <c r="J62" s="13">
        <f t="shared" si="8"/>
        <v>433.15999999999985</v>
      </c>
      <c r="K62" s="14">
        <f t="shared" si="1"/>
        <v>5414.4999999999973</v>
      </c>
      <c r="L62" s="15">
        <v>43190</v>
      </c>
      <c r="M62" s="17">
        <f>K62+ROUND(H62*G62,2)</f>
        <v>220695.02</v>
      </c>
      <c r="N62" s="17">
        <f t="shared" si="7"/>
        <v>4.41</v>
      </c>
      <c r="O62" s="17">
        <f t="shared" si="9"/>
        <v>44.1</v>
      </c>
      <c r="P62" s="14">
        <f>O62*C62/100+ROUND(N62*G62,0)</f>
        <v>22469.25</v>
      </c>
    </row>
    <row r="63" spans="1:16">
      <c r="H63" s="8"/>
      <c r="K63" s="18" t="s">
        <v>28</v>
      </c>
      <c r="L63" s="18"/>
      <c r="M63" s="19">
        <f>XIRR(M2:M62,L2:L62)</f>
        <v>0.27875469326972957</v>
      </c>
      <c r="N63" s="19"/>
      <c r="O63" s="19"/>
      <c r="P63" s="19">
        <f>XIRR(P23:P62,L23:L62)</f>
        <v>0.25008338093757632</v>
      </c>
    </row>
    <row r="64" spans="1:16">
      <c r="H64" s="8"/>
    </row>
    <row r="65" spans="8:14">
      <c r="H65" s="8"/>
      <c r="N65" s="17">
        <f>N62*G62</f>
        <v>21917.7</v>
      </c>
    </row>
    <row r="66" spans="8:14">
      <c r="H66" s="8"/>
    </row>
    <row r="67" spans="8:14">
      <c r="H67" s="8"/>
    </row>
    <row r="68" spans="8:14">
      <c r="H68" s="8"/>
    </row>
    <row r="69" spans="8:14">
      <c r="H69" s="8"/>
    </row>
    <row r="70" spans="8:14">
      <c r="H70" s="8"/>
    </row>
    <row r="71" spans="8:14">
      <c r="H71" s="8"/>
    </row>
    <row r="72" spans="8:14">
      <c r="H72" s="8"/>
    </row>
    <row r="73" spans="8:14">
      <c r="H73" s="8"/>
    </row>
    <row r="74" spans="8:14">
      <c r="H74" s="8"/>
    </row>
    <row r="75" spans="8:14">
      <c r="H75" s="8"/>
    </row>
    <row r="76" spans="8:14">
      <c r="H76" s="8"/>
    </row>
    <row r="77" spans="8:14">
      <c r="H77" s="8"/>
    </row>
    <row r="78" spans="8:14">
      <c r="H78" s="8"/>
    </row>
    <row r="79" spans="8:14">
      <c r="H79" s="8"/>
    </row>
    <row r="80" spans="8:14">
      <c r="H80" s="8"/>
    </row>
    <row r="81" spans="8:8">
      <c r="H81" s="8"/>
    </row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63"/>
  <sheetViews>
    <sheetView tabSelected="1" workbookViewId="0">
      <pane xSplit="1" ySplit="1" topLeftCell="Q72" activePane="bottomRight" state="frozen"/>
      <selection pane="topRight" activeCell="B1" sqref="B1"/>
      <selection pane="bottomLeft" activeCell="A2" sqref="A2"/>
      <selection pane="bottomRight" activeCell="Y80" sqref="Y80:AD85"/>
    </sheetView>
  </sheetViews>
  <sheetFormatPr defaultRowHeight="15"/>
  <cols>
    <col min="1" max="1" width="10.42578125" style="27" bestFit="1" customWidth="1"/>
    <col min="2" max="2" width="10.42578125" style="27" customWidth="1"/>
    <col min="3" max="3" width="10.42578125" style="27" bestFit="1" customWidth="1"/>
    <col min="4" max="4" width="10.42578125" style="27" customWidth="1"/>
    <col min="5" max="5" width="10.42578125" style="27" bestFit="1" customWidth="1"/>
    <col min="6" max="6" width="9.140625" style="27"/>
    <col min="7" max="7" width="10.7109375" style="27" bestFit="1" customWidth="1"/>
    <col min="8" max="11" width="9.28515625" style="27" bestFit="1" customWidth="1"/>
    <col min="12" max="12" width="12" style="27" bestFit="1" customWidth="1"/>
    <col min="13" max="13" width="11.7109375" style="27" bestFit="1" customWidth="1"/>
    <col min="14" max="15" width="9.140625" style="27"/>
    <col min="16" max="16" width="9.140625" style="28"/>
    <col min="17" max="17" width="9.140625" style="27"/>
    <col min="18" max="18" width="9.140625" style="27" customWidth="1"/>
    <col min="19" max="19" width="10.7109375" style="27" customWidth="1"/>
    <col min="20" max="21" width="9.140625" style="27" customWidth="1"/>
    <col min="22" max="22" width="10.42578125" style="27" bestFit="1" customWidth="1"/>
    <col min="23" max="23" width="11" style="27" bestFit="1" customWidth="1"/>
    <col min="24" max="24" width="9.140625" style="27"/>
    <col min="25" max="25" width="23.7109375" style="27" bestFit="1" customWidth="1"/>
    <col min="26" max="26" width="9.85546875" style="27" bestFit="1" customWidth="1"/>
    <col min="27" max="27" width="13.5703125" style="27" bestFit="1" customWidth="1"/>
    <col min="28" max="28" width="12.5703125" style="27" bestFit="1" customWidth="1"/>
    <col min="29" max="29" width="17.7109375" style="27" bestFit="1" customWidth="1"/>
    <col min="30" max="30" width="15.28515625" style="27" customWidth="1"/>
    <col min="31" max="31" width="15.140625" style="27" bestFit="1" customWidth="1"/>
    <col min="32" max="32" width="15.140625" style="27" customWidth="1"/>
    <col min="33" max="33" width="11.7109375" style="27" bestFit="1" customWidth="1"/>
    <col min="34" max="16384" width="9.140625" style="27"/>
  </cols>
  <sheetData>
    <row r="1" spans="1:33">
      <c r="A1" s="27" t="s">
        <v>60</v>
      </c>
      <c r="B1" s="27" t="s">
        <v>61</v>
      </c>
      <c r="C1" s="27" t="s">
        <v>62</v>
      </c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 t="s">
        <v>68</v>
      </c>
      <c r="J1" s="27" t="s">
        <v>69</v>
      </c>
      <c r="K1" s="27" t="s">
        <v>70</v>
      </c>
      <c r="L1" s="27" t="s">
        <v>71</v>
      </c>
      <c r="M1" s="27" t="s">
        <v>72</v>
      </c>
      <c r="N1" s="27" t="s">
        <v>73</v>
      </c>
      <c r="O1" s="27" t="s">
        <v>74</v>
      </c>
      <c r="P1" s="28" t="s">
        <v>75</v>
      </c>
      <c r="Q1" s="27" t="s">
        <v>76</v>
      </c>
      <c r="R1" s="27" t="s">
        <v>77</v>
      </c>
      <c r="S1" s="27" t="s">
        <v>78</v>
      </c>
      <c r="T1" s="91" t="s">
        <v>189</v>
      </c>
      <c r="Y1" s="29"/>
      <c r="Z1" s="30" t="s">
        <v>79</v>
      </c>
      <c r="AA1" s="30" t="s">
        <v>80</v>
      </c>
      <c r="AB1" s="30" t="s">
        <v>81</v>
      </c>
      <c r="AC1" s="30" t="s">
        <v>82</v>
      </c>
      <c r="AD1" s="30" t="s">
        <v>190</v>
      </c>
      <c r="AE1" s="30" t="s">
        <v>191</v>
      </c>
      <c r="AF1" s="30"/>
      <c r="AG1" s="31" t="s">
        <v>83</v>
      </c>
    </row>
    <row r="2" spans="1:33" hidden="1">
      <c r="A2" s="32" t="s">
        <v>84</v>
      </c>
      <c r="B2" s="33">
        <v>1</v>
      </c>
      <c r="F2" s="27">
        <v>10</v>
      </c>
      <c r="Y2" s="34">
        <f>B2</f>
        <v>1</v>
      </c>
      <c r="Z2" s="35">
        <v>-10</v>
      </c>
      <c r="AA2" s="36" t="s">
        <v>85</v>
      </c>
      <c r="AB2" s="36">
        <v>100</v>
      </c>
      <c r="AC2" s="37">
        <f>-100*AB2</f>
        <v>-10000</v>
      </c>
      <c r="AD2" s="37"/>
      <c r="AE2" s="38">
        <v>30620</v>
      </c>
      <c r="AF2" s="38"/>
      <c r="AG2" s="39">
        <v>50.593199999999996</v>
      </c>
    </row>
    <row r="3" spans="1:33" hidden="1">
      <c r="A3" s="32"/>
      <c r="B3" s="32">
        <v>11779</v>
      </c>
      <c r="C3" s="27">
        <v>0</v>
      </c>
      <c r="I3" s="27">
        <v>0.1</v>
      </c>
      <c r="Y3" s="34"/>
      <c r="Z3" s="35"/>
      <c r="AA3" s="36"/>
      <c r="AB3" s="36"/>
      <c r="AC3" s="37"/>
      <c r="AD3" s="37"/>
      <c r="AE3" s="38"/>
      <c r="AF3" s="38"/>
      <c r="AG3" s="39"/>
    </row>
    <row r="4" spans="1:33" hidden="1">
      <c r="A4" s="32"/>
      <c r="B4" s="32">
        <v>12144</v>
      </c>
      <c r="C4" s="27">
        <v>0</v>
      </c>
      <c r="E4" s="27">
        <v>10</v>
      </c>
      <c r="I4" s="27">
        <v>0</v>
      </c>
      <c r="L4" s="40">
        <f>(-43984-12366)/100000</f>
        <v>-0.5635</v>
      </c>
      <c r="Y4" s="34"/>
      <c r="Z4" s="35"/>
      <c r="AA4" s="36"/>
      <c r="AB4" s="36"/>
      <c r="AC4" s="37"/>
      <c r="AD4" s="37"/>
      <c r="AE4" s="38"/>
      <c r="AF4" s="38"/>
      <c r="AG4" s="39"/>
    </row>
    <row r="5" spans="1:33" hidden="1">
      <c r="A5" s="32"/>
      <c r="B5" s="32">
        <v>12509</v>
      </c>
      <c r="C5" s="27">
        <v>0</v>
      </c>
      <c r="E5" s="27">
        <v>10</v>
      </c>
      <c r="I5" s="27">
        <v>0</v>
      </c>
      <c r="L5" s="40">
        <f>(18564+45248)/100000</f>
        <v>0.63812000000000002</v>
      </c>
      <c r="Y5" s="34"/>
      <c r="Z5" s="35"/>
      <c r="AA5" s="36"/>
      <c r="AB5" s="36"/>
      <c r="AC5" s="37"/>
      <c r="AD5" s="37"/>
      <c r="AE5" s="38"/>
      <c r="AF5" s="38"/>
      <c r="AG5" s="39"/>
    </row>
    <row r="6" spans="1:33" hidden="1">
      <c r="A6" s="32"/>
      <c r="B6" s="32">
        <v>12874</v>
      </c>
      <c r="C6" s="27">
        <v>0</v>
      </c>
      <c r="E6" s="27">
        <v>10</v>
      </c>
      <c r="F6" s="27">
        <f>(9.5+6.5)/2</f>
        <v>8</v>
      </c>
      <c r="I6" s="27">
        <v>0.25</v>
      </c>
      <c r="L6" s="40">
        <f>(49057+31296)/100000</f>
        <v>0.80352999999999997</v>
      </c>
      <c r="Y6" s="34"/>
      <c r="Z6" s="35"/>
      <c r="AA6" s="36"/>
      <c r="AB6" s="36"/>
      <c r="AC6" s="37"/>
      <c r="AD6" s="37"/>
      <c r="AE6" s="38"/>
      <c r="AF6" s="38"/>
      <c r="AG6" s="39"/>
    </row>
    <row r="7" spans="1:33" hidden="1">
      <c r="A7" s="32"/>
      <c r="B7" s="32">
        <v>13240</v>
      </c>
      <c r="C7" s="27">
        <v>0.35</v>
      </c>
      <c r="E7" s="27">
        <v>10</v>
      </c>
      <c r="F7" s="27">
        <f>(7.5+5.5)/2</f>
        <v>6.5</v>
      </c>
      <c r="I7" s="27">
        <v>0.1</v>
      </c>
      <c r="L7" s="40">
        <f>(42159+14881)/100000</f>
        <v>0.57040000000000002</v>
      </c>
      <c r="Y7" s="34"/>
      <c r="Z7" s="35"/>
      <c r="AA7" s="36"/>
      <c r="AB7" s="36"/>
      <c r="AC7" s="37"/>
      <c r="AD7" s="37"/>
      <c r="AE7" s="38"/>
      <c r="AF7" s="38"/>
      <c r="AG7" s="39"/>
    </row>
    <row r="8" spans="1:33" hidden="1">
      <c r="A8" s="32"/>
      <c r="B8" s="41">
        <v>13605</v>
      </c>
      <c r="C8" s="27">
        <v>0.7</v>
      </c>
      <c r="D8" s="32"/>
      <c r="E8" s="42">
        <v>10</v>
      </c>
      <c r="F8" s="40">
        <f>(10.5+6.25)/2</f>
        <v>8.375</v>
      </c>
      <c r="G8" s="27">
        <v>18.5717</v>
      </c>
      <c r="H8" s="27">
        <v>6.9714600000000004</v>
      </c>
      <c r="I8" s="27">
        <v>1.8</v>
      </c>
      <c r="J8" s="40">
        <f>(58455*10+75000*8)/100000</f>
        <v>11.845499999999999</v>
      </c>
      <c r="K8" s="40">
        <v>0.67298999999999998</v>
      </c>
      <c r="L8" s="43">
        <f>+(31077+47355)/100000</f>
        <v>0.78432000000000002</v>
      </c>
      <c r="O8" s="43"/>
      <c r="Q8" s="40"/>
      <c r="Y8" s="34"/>
      <c r="Z8" s="35"/>
      <c r="AA8" s="36"/>
      <c r="AB8" s="36"/>
      <c r="AC8" s="37"/>
      <c r="AD8" s="37"/>
      <c r="AE8" s="38"/>
      <c r="AF8" s="38"/>
      <c r="AG8" s="39"/>
    </row>
    <row r="9" spans="1:33" hidden="1">
      <c r="A9" s="32"/>
      <c r="B9" s="41">
        <v>13970</v>
      </c>
      <c r="C9" s="27">
        <f>0.35+0.5</f>
        <v>0.85</v>
      </c>
      <c r="D9" s="32"/>
      <c r="E9" s="42"/>
      <c r="F9" s="40"/>
      <c r="J9" s="40"/>
      <c r="K9" s="40"/>
      <c r="L9" s="43">
        <f>(28245+47094)/10^5</f>
        <v>0.75339</v>
      </c>
      <c r="O9" s="43"/>
      <c r="Q9" s="40"/>
      <c r="Y9" s="34"/>
      <c r="Z9" s="35"/>
      <c r="AA9" s="36"/>
      <c r="AB9" s="36"/>
      <c r="AC9" s="37"/>
      <c r="AD9" s="37"/>
      <c r="AE9" s="38"/>
      <c r="AF9" s="38"/>
      <c r="AG9" s="39"/>
    </row>
    <row r="10" spans="1:33" hidden="1">
      <c r="A10" s="32"/>
      <c r="B10" s="41">
        <v>14335</v>
      </c>
      <c r="C10" s="27">
        <v>0.1</v>
      </c>
      <c r="D10" s="32"/>
      <c r="E10" s="42">
        <v>10</v>
      </c>
      <c r="F10" s="40"/>
      <c r="G10" s="40">
        <v>11.10445</v>
      </c>
      <c r="I10" s="40">
        <v>2.3574700000000002</v>
      </c>
      <c r="J10" s="40">
        <v>11.85</v>
      </c>
      <c r="K10" s="40">
        <v>1.91568</v>
      </c>
      <c r="L10" s="43">
        <f>(66808+64183)/10^5</f>
        <v>1.3099099999999999</v>
      </c>
      <c r="O10" s="43"/>
      <c r="Q10" s="40"/>
      <c r="Y10" s="34"/>
      <c r="Z10" s="35"/>
      <c r="AA10" s="36"/>
      <c r="AB10" s="36"/>
      <c r="AC10" s="37"/>
      <c r="AD10" s="37"/>
      <c r="AE10" s="38"/>
      <c r="AF10" s="38"/>
      <c r="AG10" s="39"/>
    </row>
    <row r="11" spans="1:33" hidden="1">
      <c r="A11" s="32"/>
      <c r="B11" s="41"/>
      <c r="D11" s="32"/>
      <c r="E11" s="42"/>
      <c r="F11" s="40"/>
      <c r="J11" s="40"/>
      <c r="L11" s="43"/>
      <c r="O11" s="43"/>
      <c r="Q11" s="40"/>
      <c r="Y11" s="34"/>
      <c r="Z11" s="35"/>
      <c r="AA11" s="36"/>
      <c r="AB11" s="36"/>
      <c r="AC11" s="37"/>
      <c r="AD11" s="37"/>
      <c r="AE11" s="38"/>
      <c r="AF11" s="38"/>
      <c r="AG11" s="39"/>
    </row>
    <row r="12" spans="1:33" hidden="1">
      <c r="A12" s="32">
        <v>21884</v>
      </c>
      <c r="B12" s="41" t="s">
        <v>86</v>
      </c>
      <c r="D12" s="32"/>
      <c r="F12" s="41" t="s">
        <v>86</v>
      </c>
      <c r="L12" s="44"/>
      <c r="O12" s="43"/>
      <c r="Q12" s="40"/>
      <c r="Y12" s="34"/>
      <c r="Z12" s="35"/>
      <c r="AA12" s="36"/>
      <c r="AB12" s="36"/>
      <c r="AC12" s="37"/>
      <c r="AD12" s="37"/>
      <c r="AE12" s="38"/>
      <c r="AF12" s="38"/>
      <c r="AG12" s="39"/>
    </row>
    <row r="13" spans="1:33" hidden="1">
      <c r="A13" s="32">
        <v>22259</v>
      </c>
      <c r="B13" s="41"/>
      <c r="D13" s="32"/>
      <c r="L13" s="44"/>
      <c r="O13" s="43"/>
      <c r="Q13" s="40"/>
      <c r="Y13" s="34"/>
      <c r="Z13" s="35"/>
      <c r="AA13" s="36"/>
      <c r="AB13" s="36"/>
      <c r="AC13" s="37"/>
      <c r="AD13" s="37"/>
      <c r="AE13" s="38"/>
      <c r="AF13" s="38"/>
      <c r="AG13" s="39"/>
    </row>
    <row r="14" spans="1:33" hidden="1">
      <c r="A14" s="32">
        <v>22637</v>
      </c>
      <c r="B14" s="41"/>
      <c r="D14" s="32"/>
      <c r="L14" s="44"/>
      <c r="O14" s="43"/>
      <c r="Q14" s="40"/>
      <c r="Y14" s="34"/>
      <c r="Z14" s="35"/>
      <c r="AA14" s="36"/>
      <c r="AB14" s="36"/>
      <c r="AC14" s="37"/>
      <c r="AD14" s="37"/>
      <c r="AE14" s="38"/>
      <c r="AF14" s="38"/>
      <c r="AG14" s="39"/>
    </row>
    <row r="15" spans="1:33" hidden="1">
      <c r="A15" s="32">
        <v>22987</v>
      </c>
      <c r="B15" s="41"/>
      <c r="D15" s="32"/>
      <c r="L15" s="44"/>
      <c r="O15" s="43"/>
      <c r="Q15" s="40"/>
      <c r="Y15" s="34"/>
      <c r="Z15" s="35"/>
      <c r="AA15" s="36"/>
      <c r="AB15" s="36"/>
      <c r="AC15" s="37"/>
      <c r="AD15" s="37"/>
      <c r="AE15" s="38"/>
      <c r="AF15" s="38"/>
      <c r="AG15" s="39"/>
    </row>
    <row r="16" spans="1:33" hidden="1">
      <c r="A16" s="32">
        <v>23358</v>
      </c>
      <c r="B16" s="41"/>
      <c r="D16" s="32"/>
      <c r="L16" s="44"/>
      <c r="O16" s="43"/>
      <c r="Q16" s="40"/>
      <c r="Y16" s="34"/>
      <c r="Z16" s="35"/>
      <c r="AA16" s="36"/>
      <c r="AB16" s="36"/>
      <c r="AC16" s="37"/>
      <c r="AD16" s="37"/>
      <c r="AE16" s="38"/>
      <c r="AF16" s="38"/>
      <c r="AG16" s="39"/>
    </row>
    <row r="17" spans="1:33" hidden="1">
      <c r="A17" s="32">
        <v>23722</v>
      </c>
      <c r="B17" s="41"/>
      <c r="D17" s="32"/>
      <c r="L17" s="44"/>
      <c r="O17" s="43"/>
      <c r="Q17" s="40"/>
      <c r="Y17" s="34"/>
      <c r="Z17" s="35"/>
      <c r="AA17" s="36"/>
      <c r="AB17" s="36"/>
      <c r="AC17" s="37"/>
      <c r="AD17" s="37"/>
      <c r="AE17" s="38"/>
      <c r="AF17" s="38"/>
      <c r="AG17" s="39"/>
    </row>
    <row r="18" spans="1:33" hidden="1">
      <c r="A18" s="32">
        <v>24086</v>
      </c>
      <c r="B18" s="41"/>
      <c r="D18" s="32"/>
      <c r="L18" s="44"/>
      <c r="O18" s="43"/>
      <c r="Q18" s="40"/>
      <c r="Y18" s="34"/>
      <c r="Z18" s="35"/>
      <c r="AA18" s="36"/>
      <c r="AB18" s="36"/>
      <c r="AC18" s="37"/>
      <c r="AD18" s="37"/>
      <c r="AE18" s="38"/>
      <c r="AF18" s="38"/>
      <c r="AG18" s="39"/>
    </row>
    <row r="19" spans="1:33" hidden="1">
      <c r="A19" s="32">
        <v>24450</v>
      </c>
      <c r="B19" s="41"/>
      <c r="D19" s="32"/>
      <c r="L19" s="44"/>
      <c r="O19" s="43"/>
      <c r="Q19" s="40"/>
      <c r="Y19" s="34"/>
      <c r="Z19" s="35"/>
      <c r="AA19" s="36"/>
      <c r="AB19" s="36"/>
      <c r="AC19" s="37"/>
      <c r="AD19" s="37"/>
      <c r="AE19" s="38"/>
      <c r="AF19" s="38"/>
      <c r="AG19" s="39"/>
    </row>
    <row r="20" spans="1:33" hidden="1">
      <c r="A20" s="32">
        <v>24814</v>
      </c>
      <c r="B20" s="41"/>
      <c r="D20" s="32"/>
      <c r="L20" s="44"/>
      <c r="O20" s="43"/>
      <c r="Q20" s="40"/>
      <c r="Y20" s="34"/>
      <c r="Z20" s="35"/>
      <c r="AA20" s="36"/>
      <c r="AB20" s="36"/>
      <c r="AC20" s="37"/>
      <c r="AD20" s="37"/>
      <c r="AE20" s="38"/>
      <c r="AF20" s="38"/>
      <c r="AG20" s="39"/>
    </row>
    <row r="21" spans="1:33" hidden="1">
      <c r="A21" s="45">
        <v>25185</v>
      </c>
      <c r="B21" s="41"/>
      <c r="D21" s="32"/>
      <c r="L21" s="44"/>
      <c r="O21" s="43"/>
      <c r="Q21" s="40"/>
      <c r="Y21" s="34"/>
      <c r="Z21" s="35"/>
      <c r="AA21" s="36"/>
      <c r="AB21" s="36"/>
      <c r="AC21" s="37"/>
      <c r="AD21" s="37"/>
      <c r="AE21" s="38"/>
      <c r="AF21" s="38"/>
      <c r="AG21" s="39"/>
    </row>
    <row r="22" spans="1:33" hidden="1">
      <c r="A22" s="32">
        <v>25571</v>
      </c>
      <c r="B22" s="41"/>
      <c r="D22" s="32"/>
      <c r="L22" s="44"/>
      <c r="O22" s="43"/>
      <c r="Q22" s="40"/>
      <c r="Y22" s="34"/>
      <c r="Z22" s="35"/>
      <c r="AA22" s="36"/>
      <c r="AB22" s="36"/>
      <c r="AC22" s="37"/>
      <c r="AD22" s="37"/>
      <c r="AE22" s="38"/>
      <c r="AF22" s="38"/>
      <c r="AG22" s="39"/>
    </row>
    <row r="23" spans="1:33" hidden="1">
      <c r="A23" s="32">
        <v>25914</v>
      </c>
      <c r="B23" s="41"/>
      <c r="D23" s="32"/>
      <c r="L23" s="44"/>
      <c r="O23" s="43"/>
      <c r="Q23" s="40"/>
      <c r="Y23" s="34"/>
      <c r="Z23" s="35"/>
      <c r="AA23" s="36"/>
      <c r="AB23" s="36"/>
      <c r="AC23" s="37"/>
      <c r="AD23" s="37"/>
      <c r="AE23" s="38"/>
      <c r="AF23" s="38"/>
      <c r="AG23" s="39"/>
    </row>
    <row r="24" spans="1:33" hidden="1">
      <c r="A24" s="32">
        <v>26277</v>
      </c>
      <c r="B24" s="41"/>
      <c r="D24" s="32"/>
      <c r="L24" s="44"/>
      <c r="O24" s="43"/>
      <c r="Q24" s="40"/>
      <c r="Y24" s="34"/>
      <c r="Z24" s="35"/>
      <c r="AA24" s="36"/>
      <c r="AB24" s="36"/>
      <c r="AC24" s="37"/>
      <c r="AD24" s="37"/>
      <c r="AE24" s="38"/>
      <c r="AF24" s="38"/>
      <c r="AG24" s="39"/>
    </row>
    <row r="25" spans="1:33" hidden="1">
      <c r="A25" s="32">
        <v>26641</v>
      </c>
      <c r="B25" s="41"/>
      <c r="D25" s="32"/>
      <c r="L25" s="44"/>
      <c r="O25" s="43"/>
      <c r="Q25" s="40"/>
      <c r="Y25" s="34"/>
      <c r="Z25" s="35"/>
      <c r="AA25" s="36"/>
      <c r="AB25" s="36"/>
      <c r="AC25" s="37"/>
      <c r="AD25" s="37"/>
      <c r="AE25" s="38"/>
      <c r="AF25" s="38"/>
      <c r="AG25" s="39"/>
    </row>
    <row r="26" spans="1:33" hidden="1">
      <c r="A26" s="32">
        <v>27012</v>
      </c>
      <c r="B26" s="41"/>
      <c r="D26" s="32"/>
      <c r="L26" s="44"/>
      <c r="O26" s="43"/>
      <c r="Q26" s="40"/>
      <c r="Y26" s="34"/>
      <c r="Z26" s="35"/>
      <c r="AA26" s="36"/>
      <c r="AB26" s="36"/>
      <c r="AC26" s="37"/>
      <c r="AD26" s="37"/>
      <c r="AE26" s="38"/>
      <c r="AF26" s="38"/>
      <c r="AG26" s="39"/>
    </row>
    <row r="27" spans="1:33" hidden="1">
      <c r="A27" s="32">
        <v>27383</v>
      </c>
      <c r="B27" s="41"/>
      <c r="D27" s="32"/>
      <c r="L27" s="44"/>
      <c r="O27" s="43"/>
      <c r="Q27" s="40"/>
      <c r="Y27" s="34"/>
      <c r="Z27" s="35"/>
      <c r="AA27" s="36"/>
      <c r="AB27" s="36"/>
      <c r="AC27" s="37"/>
      <c r="AD27" s="37"/>
      <c r="AE27" s="38"/>
      <c r="AF27" s="38"/>
      <c r="AG27" s="39"/>
    </row>
    <row r="28" spans="1:33">
      <c r="A28" s="32">
        <v>27743</v>
      </c>
      <c r="B28" s="41">
        <v>27484</v>
      </c>
      <c r="C28" s="27">
        <v>1.2</v>
      </c>
      <c r="D28" s="32"/>
      <c r="L28" s="44"/>
      <c r="O28" s="43"/>
      <c r="Q28" s="40"/>
      <c r="Y28" s="34"/>
      <c r="Z28" s="35"/>
      <c r="AA28" s="36"/>
      <c r="AB28" s="36"/>
      <c r="AC28" s="37"/>
      <c r="AD28" s="37"/>
      <c r="AE28" s="38"/>
      <c r="AF28" s="38"/>
      <c r="AG28" s="39"/>
    </row>
    <row r="29" spans="1:33">
      <c r="A29" s="32">
        <v>28104</v>
      </c>
      <c r="B29" s="41">
        <v>27850</v>
      </c>
      <c r="C29" s="27">
        <v>1.2</v>
      </c>
      <c r="D29" s="32"/>
      <c r="L29" s="44"/>
      <c r="O29" s="43"/>
      <c r="Q29" s="40"/>
      <c r="Y29" s="34"/>
      <c r="Z29" s="35"/>
      <c r="AA29" s="36"/>
      <c r="AB29" s="36"/>
      <c r="AC29" s="37"/>
      <c r="AD29" s="37"/>
      <c r="AE29" s="38"/>
      <c r="AF29" s="38"/>
      <c r="AG29" s="39"/>
    </row>
    <row r="30" spans="1:33">
      <c r="A30" s="32">
        <v>28471</v>
      </c>
      <c r="B30" s="41">
        <v>28215</v>
      </c>
      <c r="C30" s="27">
        <v>1.5</v>
      </c>
      <c r="D30" s="32">
        <v>28411</v>
      </c>
      <c r="E30" s="27">
        <v>10</v>
      </c>
      <c r="F30" s="27">
        <v>21.75</v>
      </c>
      <c r="G30" s="27">
        <v>956.36</v>
      </c>
      <c r="H30" s="27">
        <v>431.45</v>
      </c>
      <c r="I30" s="27">
        <v>407.77</v>
      </c>
      <c r="J30" s="27">
        <v>451.53</v>
      </c>
      <c r="K30" s="27" t="s">
        <v>86</v>
      </c>
      <c r="L30" s="44">
        <f t="shared" ref="L30:L47" si="0">N30*(J30/E30)</f>
        <v>170.67833999999999</v>
      </c>
      <c r="M30" s="27">
        <v>19.03</v>
      </c>
      <c r="N30" s="40">
        <v>3.78</v>
      </c>
      <c r="O30" s="43">
        <f t="shared" ref="O30:O73" si="1">F30/N30</f>
        <v>5.753968253968254</v>
      </c>
      <c r="P30" s="28">
        <f t="shared" ref="P30:P73" si="2">C30/F30</f>
        <v>6.8965517241379309E-2</v>
      </c>
      <c r="Q30" s="40" t="e">
        <f t="shared" ref="Q30:Q73" si="3">J30/J29</f>
        <v>#DIV/0!</v>
      </c>
      <c r="S30" s="46">
        <f t="shared" ref="S30:S37" si="4">F30*J30/E30</f>
        <v>982.07775000000004</v>
      </c>
      <c r="T30" s="68">
        <f>L30/(I30+J30)</f>
        <v>0.19862485744210404</v>
      </c>
      <c r="Y30" s="34">
        <f>D30</f>
        <v>28411</v>
      </c>
      <c r="Z30" s="35">
        <v>-15</v>
      </c>
      <c r="AA30" s="92" t="s">
        <v>176</v>
      </c>
      <c r="AB30" s="36">
        <v>100</v>
      </c>
      <c r="AC30" s="37">
        <f>AB30*Z30</f>
        <v>-1500</v>
      </c>
      <c r="AD30" s="37">
        <f>-AB30*F30</f>
        <v>-2175</v>
      </c>
      <c r="AE30" s="35">
        <f>AC30</f>
        <v>-1500</v>
      </c>
      <c r="AF30" s="38"/>
      <c r="AG30" s="39">
        <f>L30</f>
        <v>170.67833999999999</v>
      </c>
    </row>
    <row r="31" spans="1:33">
      <c r="A31" s="32">
        <v>28847</v>
      </c>
      <c r="B31" s="41">
        <v>28580</v>
      </c>
      <c r="C31" s="27">
        <v>1.5</v>
      </c>
      <c r="D31" s="32">
        <v>28847</v>
      </c>
      <c r="E31" s="27">
        <v>10</v>
      </c>
      <c r="F31" s="27">
        <v>24.5</v>
      </c>
      <c r="G31" s="27">
        <v>1089.3800000000001</v>
      </c>
      <c r="H31" s="27">
        <v>496.02</v>
      </c>
      <c r="I31" s="27">
        <v>407.77</v>
      </c>
      <c r="J31" s="47">
        <v>451.53</v>
      </c>
      <c r="K31" s="27" t="s">
        <v>86</v>
      </c>
      <c r="L31" s="44">
        <f t="shared" si="0"/>
        <v>185.57883000000001</v>
      </c>
      <c r="M31" s="27">
        <v>21.26</v>
      </c>
      <c r="N31" s="40">
        <v>4.1100000000000003</v>
      </c>
      <c r="O31" s="43">
        <f t="shared" si="1"/>
        <v>5.9610705596107048</v>
      </c>
      <c r="P31" s="28">
        <f t="shared" si="2"/>
        <v>6.1224489795918366E-2</v>
      </c>
      <c r="Q31" s="40">
        <f t="shared" si="3"/>
        <v>1</v>
      </c>
      <c r="S31" s="46">
        <f t="shared" si="4"/>
        <v>1106.2484999999999</v>
      </c>
      <c r="T31" s="68">
        <f t="shared" ref="T31:T73" si="5">L31/(I31+J31)</f>
        <v>0.21596512277435123</v>
      </c>
      <c r="Y31" s="34">
        <v>28763</v>
      </c>
      <c r="Z31" s="35">
        <f>C31</f>
        <v>1.5</v>
      </c>
      <c r="AA31" s="92" t="s">
        <v>182</v>
      </c>
      <c r="AB31" s="36">
        <v>100</v>
      </c>
      <c r="AC31" s="37">
        <f t="shared" ref="AC31:AC36" si="6">Z31*AB31</f>
        <v>150</v>
      </c>
      <c r="AD31" s="37">
        <f t="shared" ref="AD31:AD73" si="7">-AB31*F31</f>
        <v>-2450</v>
      </c>
      <c r="AE31" s="35">
        <f t="shared" ref="AE31:AE73" si="8">IF($AC$78=Y31,AD31,IF($AC$78&gt;Y31,0,IF($AC$78&lt;Y31,IF($AC$79&gt;Y31,AC31,IF($AC$79&lt;Y31,0,-AD31)))))</f>
        <v>0</v>
      </c>
      <c r="AF31" s="38"/>
      <c r="AG31" s="39">
        <f>L31</f>
        <v>185.57883000000001</v>
      </c>
    </row>
    <row r="32" spans="1:33">
      <c r="A32" s="32">
        <v>29211</v>
      </c>
      <c r="B32" s="41">
        <v>28945</v>
      </c>
      <c r="C32" s="27">
        <v>1.5</v>
      </c>
      <c r="D32" s="32">
        <v>29211</v>
      </c>
      <c r="E32" s="27">
        <v>10</v>
      </c>
      <c r="F32" s="27">
        <v>21.75</v>
      </c>
      <c r="G32" s="27">
        <v>1245.1600000000001</v>
      </c>
      <c r="H32" s="27">
        <v>560.12</v>
      </c>
      <c r="I32" s="27">
        <v>499.88</v>
      </c>
      <c r="J32" s="27">
        <v>630.72</v>
      </c>
      <c r="K32" s="27" t="s">
        <v>86</v>
      </c>
      <c r="L32" s="44">
        <f t="shared" si="0"/>
        <v>199.30752000000001</v>
      </c>
      <c r="M32" s="27">
        <v>21.08</v>
      </c>
      <c r="N32" s="40">
        <v>3.16</v>
      </c>
      <c r="O32" s="43">
        <f t="shared" si="1"/>
        <v>6.8829113924050631</v>
      </c>
      <c r="P32" s="28">
        <f t="shared" si="2"/>
        <v>6.8965517241379309E-2</v>
      </c>
      <c r="Q32" s="48">
        <f t="shared" si="3"/>
        <v>1.3968507075941798</v>
      </c>
      <c r="R32" s="91" t="s">
        <v>85</v>
      </c>
      <c r="S32" s="46">
        <f t="shared" si="4"/>
        <v>1371.816</v>
      </c>
      <c r="T32" s="68">
        <f t="shared" si="5"/>
        <v>0.17628473376967985</v>
      </c>
      <c r="Y32" s="34">
        <v>29128</v>
      </c>
      <c r="Z32" s="35">
        <f t="shared" ref="Z32:Z62" si="9">C32</f>
        <v>1.5</v>
      </c>
      <c r="AA32" s="92" t="s">
        <v>181</v>
      </c>
      <c r="AB32" s="36">
        <v>100</v>
      </c>
      <c r="AC32" s="37">
        <f t="shared" si="6"/>
        <v>150</v>
      </c>
      <c r="AD32" s="37">
        <f t="shared" si="7"/>
        <v>-2175</v>
      </c>
      <c r="AE32" s="35">
        <f t="shared" si="8"/>
        <v>0</v>
      </c>
      <c r="AF32" s="38"/>
      <c r="AG32" s="39"/>
    </row>
    <row r="33" spans="1:33">
      <c r="A33" s="32">
        <v>29578</v>
      </c>
      <c r="B33" s="41">
        <v>29311</v>
      </c>
      <c r="C33" s="27">
        <v>1.5</v>
      </c>
      <c r="D33" s="32">
        <v>29574</v>
      </c>
      <c r="E33" s="27">
        <v>10</v>
      </c>
      <c r="F33" s="27">
        <v>23</v>
      </c>
      <c r="G33" s="27">
        <v>1419.35</v>
      </c>
      <c r="H33" s="27">
        <v>623.64</v>
      </c>
      <c r="I33" s="27">
        <v>810.96</v>
      </c>
      <c r="J33" s="27">
        <v>630.72</v>
      </c>
      <c r="K33" s="27" t="s">
        <v>86</v>
      </c>
      <c r="L33" s="44">
        <f t="shared" si="0"/>
        <v>225.16703999999999</v>
      </c>
      <c r="M33" s="27">
        <v>23.15</v>
      </c>
      <c r="N33" s="40">
        <v>3.57</v>
      </c>
      <c r="O33" s="43">
        <f t="shared" si="1"/>
        <v>6.4425770308123251</v>
      </c>
      <c r="P33" s="28">
        <f t="shared" si="2"/>
        <v>6.5217391304347824E-2</v>
      </c>
      <c r="Q33" s="40">
        <f t="shared" si="3"/>
        <v>1</v>
      </c>
      <c r="S33" s="46">
        <f t="shared" si="4"/>
        <v>1450.6560000000002</v>
      </c>
      <c r="T33" s="68">
        <f t="shared" si="5"/>
        <v>0.15618378558348592</v>
      </c>
      <c r="Y33" s="34">
        <v>29494</v>
      </c>
      <c r="Z33" s="35">
        <f t="shared" si="9"/>
        <v>1.5</v>
      </c>
      <c r="AA33" s="92" t="s">
        <v>180</v>
      </c>
      <c r="AB33" s="36">
        <v>100</v>
      </c>
      <c r="AC33" s="37">
        <f t="shared" si="6"/>
        <v>150</v>
      </c>
      <c r="AD33" s="37">
        <f t="shared" si="7"/>
        <v>-2300</v>
      </c>
      <c r="AE33" s="35">
        <f t="shared" si="8"/>
        <v>0</v>
      </c>
      <c r="AF33" s="38"/>
      <c r="AG33" s="39"/>
    </row>
    <row r="34" spans="1:33">
      <c r="A34" s="32">
        <v>29944</v>
      </c>
      <c r="B34" s="41">
        <v>29676</v>
      </c>
      <c r="C34" s="27">
        <v>1.9</v>
      </c>
      <c r="D34" s="32">
        <v>29943</v>
      </c>
      <c r="E34" s="27">
        <v>10</v>
      </c>
      <c r="F34" s="27">
        <v>18.75</v>
      </c>
      <c r="G34" s="27">
        <v>1503.49</v>
      </c>
      <c r="H34" s="27">
        <v>727.41</v>
      </c>
      <c r="I34" s="27">
        <v>933.98</v>
      </c>
      <c r="J34" s="27">
        <v>631.49</v>
      </c>
      <c r="K34" s="27" t="s">
        <v>86</v>
      </c>
      <c r="L34" s="44">
        <f t="shared" si="0"/>
        <v>222.91596999999999</v>
      </c>
      <c r="M34" s="27">
        <v>24.78</v>
      </c>
      <c r="N34" s="40">
        <v>3.53</v>
      </c>
      <c r="O34" s="43">
        <f t="shared" si="1"/>
        <v>5.3116147308781869</v>
      </c>
      <c r="P34" s="28">
        <f t="shared" si="2"/>
        <v>0.10133333333333333</v>
      </c>
      <c r="Q34" s="40">
        <f t="shared" si="3"/>
        <v>1.0012208269913749</v>
      </c>
      <c r="S34" s="46">
        <f t="shared" si="4"/>
        <v>1184.04375</v>
      </c>
      <c r="T34" s="68">
        <f t="shared" si="5"/>
        <v>0.14239555532843171</v>
      </c>
      <c r="Y34" s="34">
        <v>29859</v>
      </c>
      <c r="Z34" s="35">
        <f t="shared" si="9"/>
        <v>1.9</v>
      </c>
      <c r="AA34" s="92" t="s">
        <v>179</v>
      </c>
      <c r="AB34" s="36">
        <v>100</v>
      </c>
      <c r="AC34" s="37">
        <f t="shared" si="6"/>
        <v>190</v>
      </c>
      <c r="AD34" s="37">
        <f t="shared" si="7"/>
        <v>-1875</v>
      </c>
      <c r="AE34" s="35">
        <f t="shared" si="8"/>
        <v>0</v>
      </c>
      <c r="AF34" s="38"/>
      <c r="AG34" s="39"/>
    </row>
    <row r="35" spans="1:33">
      <c r="A35" s="32">
        <v>30295</v>
      </c>
      <c r="B35" s="41">
        <v>30041</v>
      </c>
      <c r="C35" s="27">
        <v>1.9</v>
      </c>
      <c r="D35" s="32">
        <v>30295</v>
      </c>
      <c r="E35" s="27">
        <v>10</v>
      </c>
      <c r="F35" s="27">
        <v>48</v>
      </c>
      <c r="G35" s="27">
        <v>1602.4</v>
      </c>
      <c r="H35" s="27">
        <v>809.72</v>
      </c>
      <c r="I35" s="27">
        <v>1038.96</v>
      </c>
      <c r="J35" s="27">
        <v>631.49</v>
      </c>
      <c r="K35" s="27" t="s">
        <v>86</v>
      </c>
      <c r="L35" s="44">
        <f t="shared" si="0"/>
        <v>209.02319</v>
      </c>
      <c r="M35" s="27">
        <v>26.32</v>
      </c>
      <c r="N35" s="40">
        <v>3.31</v>
      </c>
      <c r="O35" s="43">
        <f t="shared" si="1"/>
        <v>14.501510574018127</v>
      </c>
      <c r="P35" s="28">
        <f t="shared" si="2"/>
        <v>3.9583333333333331E-2</v>
      </c>
      <c r="Q35" s="40">
        <f t="shared" si="3"/>
        <v>1</v>
      </c>
      <c r="S35" s="46">
        <f t="shared" si="4"/>
        <v>3031.152</v>
      </c>
      <c r="T35" s="68">
        <f t="shared" si="5"/>
        <v>0.12512986919692298</v>
      </c>
      <c r="Y35" s="34">
        <v>30224</v>
      </c>
      <c r="Z35" s="35">
        <f t="shared" si="9"/>
        <v>1.9</v>
      </c>
      <c r="AA35" s="92" t="s">
        <v>178</v>
      </c>
      <c r="AB35" s="36">
        <v>100</v>
      </c>
      <c r="AC35" s="37">
        <f t="shared" si="6"/>
        <v>190</v>
      </c>
      <c r="AD35" s="37">
        <f t="shared" si="7"/>
        <v>-4800</v>
      </c>
      <c r="AE35" s="35">
        <f t="shared" si="8"/>
        <v>0</v>
      </c>
      <c r="AF35" s="38"/>
      <c r="AG35" s="39"/>
    </row>
    <row r="36" spans="1:33">
      <c r="A36" s="32">
        <v>30673</v>
      </c>
      <c r="B36" s="49">
        <v>30406</v>
      </c>
      <c r="C36" s="43">
        <v>1.6</v>
      </c>
      <c r="D36" s="45">
        <v>30673</v>
      </c>
      <c r="E36" s="27">
        <v>10</v>
      </c>
      <c r="F36" s="43">
        <v>38</v>
      </c>
      <c r="G36" s="43">
        <v>1603</v>
      </c>
      <c r="H36" s="43">
        <v>810</v>
      </c>
      <c r="I36" s="43">
        <v>1044</v>
      </c>
      <c r="J36" s="44">
        <v>631</v>
      </c>
      <c r="K36" s="27" t="s">
        <v>86</v>
      </c>
      <c r="L36" s="44">
        <f t="shared" si="0"/>
        <v>210.12300000000002</v>
      </c>
      <c r="M36" s="44">
        <v>26.32</v>
      </c>
      <c r="N36" s="43">
        <v>3.33</v>
      </c>
      <c r="O36" s="43">
        <f t="shared" si="1"/>
        <v>11.411411411411411</v>
      </c>
      <c r="P36" s="28">
        <f t="shared" si="2"/>
        <v>4.2105263157894736E-2</v>
      </c>
      <c r="Q36" s="40">
        <f t="shared" si="3"/>
        <v>0.99922405738808218</v>
      </c>
      <c r="S36" s="46">
        <f t="shared" si="4"/>
        <v>2397.8000000000002</v>
      </c>
      <c r="T36" s="68">
        <f t="shared" si="5"/>
        <v>0.12544656716417912</v>
      </c>
      <c r="Y36" s="34">
        <v>30589</v>
      </c>
      <c r="Z36" s="35">
        <f t="shared" si="9"/>
        <v>1.6</v>
      </c>
      <c r="AA36" s="92" t="s">
        <v>177</v>
      </c>
      <c r="AB36" s="36">
        <v>100</v>
      </c>
      <c r="AC36" s="37">
        <f t="shared" si="6"/>
        <v>160</v>
      </c>
      <c r="AD36" s="37">
        <f t="shared" si="7"/>
        <v>-3800</v>
      </c>
      <c r="AE36" s="35">
        <f t="shared" si="8"/>
        <v>0</v>
      </c>
      <c r="AF36" s="38"/>
      <c r="AG36" s="39"/>
    </row>
    <row r="37" spans="1:33">
      <c r="A37" s="32">
        <v>31037</v>
      </c>
      <c r="B37" s="50">
        <v>30863</v>
      </c>
      <c r="C37" s="43">
        <v>1.8</v>
      </c>
      <c r="D37" s="45">
        <v>31030</v>
      </c>
      <c r="E37" s="27">
        <v>10</v>
      </c>
      <c r="F37" s="43">
        <v>79</v>
      </c>
      <c r="G37" s="44">
        <v>1835</v>
      </c>
      <c r="H37" s="44">
        <v>1042</v>
      </c>
      <c r="I37" s="44">
        <v>1015</v>
      </c>
      <c r="J37" s="44">
        <v>884</v>
      </c>
      <c r="K37" s="27" t="s">
        <v>86</v>
      </c>
      <c r="L37" s="44">
        <f t="shared" si="0"/>
        <v>267.85199999999998</v>
      </c>
      <c r="M37" s="44">
        <v>21.48</v>
      </c>
      <c r="N37" s="43">
        <v>3.03</v>
      </c>
      <c r="O37" s="43">
        <f t="shared" si="1"/>
        <v>26.072607260726073</v>
      </c>
      <c r="P37" s="28">
        <f t="shared" si="2"/>
        <v>2.2784810126582278E-2</v>
      </c>
      <c r="Q37" s="48">
        <f t="shared" si="3"/>
        <v>1.4009508716323296</v>
      </c>
      <c r="R37" s="91" t="s">
        <v>183</v>
      </c>
      <c r="S37" s="46">
        <f t="shared" si="4"/>
        <v>6983.6</v>
      </c>
      <c r="T37" s="68">
        <f t="shared" si="5"/>
        <v>0.14104897314375986</v>
      </c>
      <c r="Y37" s="34">
        <v>30955</v>
      </c>
      <c r="Z37" s="35">
        <f t="shared" si="9"/>
        <v>1.8</v>
      </c>
      <c r="AA37" s="36" t="s">
        <v>88</v>
      </c>
      <c r="AB37" s="95">
        <f>AB36*7/5</f>
        <v>140</v>
      </c>
      <c r="AC37" s="37">
        <f t="shared" ref="AC37:AC69" si="10">Z37*AB37</f>
        <v>252</v>
      </c>
      <c r="AD37" s="37">
        <f t="shared" si="7"/>
        <v>-11060</v>
      </c>
      <c r="AE37" s="35">
        <f t="shared" si="8"/>
        <v>0</v>
      </c>
      <c r="AF37" s="36"/>
      <c r="AG37" s="52"/>
    </row>
    <row r="38" spans="1:33">
      <c r="A38" s="32">
        <v>31404</v>
      </c>
      <c r="B38" s="49"/>
      <c r="C38" s="53"/>
      <c r="D38" s="32">
        <v>31404</v>
      </c>
      <c r="E38" s="27">
        <v>10</v>
      </c>
      <c r="F38" s="43">
        <v>79</v>
      </c>
      <c r="G38" s="44">
        <v>1835</v>
      </c>
      <c r="H38" s="44">
        <v>1042</v>
      </c>
      <c r="I38" s="44">
        <v>1015</v>
      </c>
      <c r="J38" s="44">
        <v>884</v>
      </c>
      <c r="K38" s="27" t="s">
        <v>86</v>
      </c>
      <c r="L38" s="44">
        <f t="shared" si="0"/>
        <v>267.85199999999998</v>
      </c>
      <c r="M38" s="44">
        <v>21.48</v>
      </c>
      <c r="N38" s="43">
        <v>3.03</v>
      </c>
      <c r="O38" s="43">
        <f t="shared" si="1"/>
        <v>26.072607260726073</v>
      </c>
      <c r="P38" s="28">
        <f t="shared" si="2"/>
        <v>0</v>
      </c>
      <c r="Q38" s="40">
        <f t="shared" si="3"/>
        <v>1</v>
      </c>
      <c r="S38" s="46">
        <f>F38*J38/E38</f>
        <v>6983.6</v>
      </c>
      <c r="T38" s="68">
        <f t="shared" si="5"/>
        <v>0.14104897314375986</v>
      </c>
      <c r="Y38" s="34">
        <v>31320</v>
      </c>
      <c r="Z38" s="35">
        <v>3</v>
      </c>
      <c r="AA38" s="36" t="s">
        <v>89</v>
      </c>
      <c r="AB38" s="36">
        <f>AB37</f>
        <v>140</v>
      </c>
      <c r="AC38" s="37">
        <f t="shared" si="10"/>
        <v>420</v>
      </c>
      <c r="AD38" s="37">
        <f t="shared" si="7"/>
        <v>-11060</v>
      </c>
      <c r="AE38" s="35">
        <f t="shared" si="8"/>
        <v>0</v>
      </c>
      <c r="AF38" s="36"/>
      <c r="AG38" s="52"/>
    </row>
    <row r="39" spans="1:33">
      <c r="A39" s="32">
        <v>31769</v>
      </c>
      <c r="B39" s="54">
        <v>31381</v>
      </c>
      <c r="C39" s="53">
        <v>3</v>
      </c>
      <c r="D39" s="45">
        <v>31769</v>
      </c>
      <c r="E39" s="27">
        <v>10</v>
      </c>
      <c r="F39" s="43">
        <v>172.5</v>
      </c>
      <c r="G39" s="44">
        <v>2262</v>
      </c>
      <c r="H39" s="44">
        <v>1153</v>
      </c>
      <c r="I39" s="44">
        <v>1462</v>
      </c>
      <c r="J39" s="44">
        <v>884</v>
      </c>
      <c r="K39" s="27" t="s">
        <v>86</v>
      </c>
      <c r="L39" s="44">
        <f t="shared" si="0"/>
        <v>711.62000000000012</v>
      </c>
      <c r="M39" s="44">
        <v>26.53</v>
      </c>
      <c r="N39" s="43">
        <v>8.0500000000000007</v>
      </c>
      <c r="O39" s="43">
        <f t="shared" si="1"/>
        <v>21.428571428571427</v>
      </c>
      <c r="P39" s="28">
        <f t="shared" si="2"/>
        <v>1.7391304347826087E-2</v>
      </c>
      <c r="Q39" s="40">
        <f t="shared" si="3"/>
        <v>1</v>
      </c>
      <c r="R39" s="55"/>
      <c r="S39" s="46">
        <f t="shared" ref="S39:S73" si="11">F39*J39/E39</f>
        <v>15249</v>
      </c>
      <c r="T39" s="68">
        <f t="shared" si="5"/>
        <v>0.3033333333333334</v>
      </c>
      <c r="Y39" s="34">
        <v>31685</v>
      </c>
      <c r="Z39" s="35">
        <v>2.7</v>
      </c>
      <c r="AA39" s="36" t="s">
        <v>90</v>
      </c>
      <c r="AB39" s="36">
        <f>AB38</f>
        <v>140</v>
      </c>
      <c r="AC39" s="37">
        <f t="shared" si="10"/>
        <v>378</v>
      </c>
      <c r="AD39" s="37">
        <f t="shared" si="7"/>
        <v>-24150</v>
      </c>
      <c r="AE39" s="35">
        <f t="shared" si="8"/>
        <v>0</v>
      </c>
      <c r="AF39" s="36"/>
      <c r="AG39" s="52"/>
    </row>
    <row r="40" spans="1:33">
      <c r="A40" s="32">
        <v>32135</v>
      </c>
      <c r="B40" s="54">
        <v>31776</v>
      </c>
      <c r="C40" s="53">
        <v>2.7</v>
      </c>
      <c r="D40" s="45">
        <v>32135</v>
      </c>
      <c r="E40" s="27">
        <v>10</v>
      </c>
      <c r="F40" s="43">
        <v>92</v>
      </c>
      <c r="G40" s="44">
        <v>2931</v>
      </c>
      <c r="H40" s="44">
        <v>1224</v>
      </c>
      <c r="I40" s="44">
        <v>2331</v>
      </c>
      <c r="J40" s="44">
        <v>884</v>
      </c>
      <c r="K40" s="27" t="s">
        <v>86</v>
      </c>
      <c r="L40" s="44">
        <f t="shared" si="0"/>
        <v>735.48800000000006</v>
      </c>
      <c r="M40" s="44">
        <v>29.51</v>
      </c>
      <c r="N40" s="43">
        <v>8.32</v>
      </c>
      <c r="O40" s="43">
        <f t="shared" si="1"/>
        <v>11.057692307692307</v>
      </c>
      <c r="P40" s="28">
        <f t="shared" si="2"/>
        <v>2.9347826086956522E-2</v>
      </c>
      <c r="Q40" s="40">
        <f t="shared" si="3"/>
        <v>1</v>
      </c>
      <c r="S40" s="46">
        <f t="shared" si="11"/>
        <v>8132.8</v>
      </c>
      <c r="T40" s="68">
        <f t="shared" si="5"/>
        <v>0.22876765163297047</v>
      </c>
      <c r="Y40" s="34">
        <v>32050</v>
      </c>
      <c r="Z40" s="35">
        <v>2.4</v>
      </c>
      <c r="AA40" s="36" t="s">
        <v>91</v>
      </c>
      <c r="AB40" s="36">
        <f>AB39</f>
        <v>140</v>
      </c>
      <c r="AC40" s="37">
        <f t="shared" si="10"/>
        <v>336</v>
      </c>
      <c r="AD40" s="37">
        <f t="shared" si="7"/>
        <v>-12880</v>
      </c>
      <c r="AE40" s="35">
        <f t="shared" si="8"/>
        <v>0</v>
      </c>
      <c r="AF40" s="36"/>
      <c r="AG40" s="52"/>
    </row>
    <row r="41" spans="1:33">
      <c r="A41" s="32">
        <v>32500</v>
      </c>
      <c r="B41" s="32">
        <v>32142</v>
      </c>
      <c r="C41" s="53">
        <v>2.7</v>
      </c>
      <c r="D41" s="45">
        <v>32500</v>
      </c>
      <c r="E41" s="27">
        <v>10</v>
      </c>
      <c r="F41" s="43">
        <v>105</v>
      </c>
      <c r="G41" s="44">
        <v>2931</v>
      </c>
      <c r="H41" s="44">
        <v>1224</v>
      </c>
      <c r="I41" s="44">
        <v>2331</v>
      </c>
      <c r="J41" s="44">
        <v>884</v>
      </c>
      <c r="K41" s="27" t="s">
        <v>86</v>
      </c>
      <c r="L41" s="44">
        <f t="shared" si="0"/>
        <v>735.48800000000006</v>
      </c>
      <c r="M41" s="44">
        <v>29.51</v>
      </c>
      <c r="N41" s="43">
        <v>8.32</v>
      </c>
      <c r="O41" s="43">
        <f t="shared" si="1"/>
        <v>12.620192307692307</v>
      </c>
      <c r="P41" s="28">
        <f t="shared" si="2"/>
        <v>2.5714285714285717E-2</v>
      </c>
      <c r="Q41" s="48">
        <f t="shared" si="3"/>
        <v>1</v>
      </c>
      <c r="R41" s="91" t="s">
        <v>183</v>
      </c>
      <c r="S41" s="46">
        <f t="shared" si="11"/>
        <v>9282</v>
      </c>
      <c r="T41" s="68">
        <f t="shared" si="5"/>
        <v>0.22876765163297047</v>
      </c>
      <c r="Y41" s="34">
        <v>32416</v>
      </c>
      <c r="Z41" s="35">
        <v>0</v>
      </c>
      <c r="AA41" s="36" t="s">
        <v>92</v>
      </c>
      <c r="AB41" s="95">
        <f>AB40*7/5</f>
        <v>196</v>
      </c>
      <c r="AC41" s="37">
        <f t="shared" si="10"/>
        <v>0</v>
      </c>
      <c r="AD41" s="37">
        <f t="shared" si="7"/>
        <v>-20580</v>
      </c>
      <c r="AE41" s="35">
        <f t="shared" si="8"/>
        <v>0</v>
      </c>
      <c r="AF41" s="36"/>
      <c r="AG41" s="52"/>
    </row>
    <row r="42" spans="1:33">
      <c r="A42" s="32">
        <v>32841</v>
      </c>
      <c r="B42" s="49">
        <v>32508</v>
      </c>
      <c r="C42" s="53">
        <v>3.2</v>
      </c>
      <c r="D42" s="45">
        <v>32841</v>
      </c>
      <c r="E42" s="27">
        <v>10</v>
      </c>
      <c r="F42" s="43">
        <v>87.5</v>
      </c>
      <c r="G42" s="44">
        <v>2931</v>
      </c>
      <c r="H42" s="44">
        <v>1224</v>
      </c>
      <c r="I42" s="44">
        <v>2331</v>
      </c>
      <c r="J42" s="44">
        <v>884</v>
      </c>
      <c r="K42" s="27" t="s">
        <v>86</v>
      </c>
      <c r="L42" s="44">
        <f t="shared" si="0"/>
        <v>735.48800000000006</v>
      </c>
      <c r="M42" s="44">
        <v>29.51</v>
      </c>
      <c r="N42" s="43">
        <v>8.32</v>
      </c>
      <c r="O42" s="43">
        <f t="shared" si="1"/>
        <v>10.516826923076923</v>
      </c>
      <c r="P42" s="28">
        <f t="shared" si="2"/>
        <v>3.6571428571428574E-2</v>
      </c>
      <c r="Q42" s="40">
        <f t="shared" si="3"/>
        <v>1</v>
      </c>
      <c r="R42" s="55"/>
      <c r="S42" s="46">
        <f t="shared" si="11"/>
        <v>7735</v>
      </c>
      <c r="T42" s="68">
        <f t="shared" si="5"/>
        <v>0.22876765163297047</v>
      </c>
      <c r="Y42" s="34">
        <v>32781</v>
      </c>
      <c r="Z42" s="35">
        <f t="shared" si="9"/>
        <v>3.2</v>
      </c>
      <c r="AA42" s="36" t="s">
        <v>93</v>
      </c>
      <c r="AB42" s="36">
        <f>AB41</f>
        <v>196</v>
      </c>
      <c r="AC42" s="37">
        <f t="shared" si="10"/>
        <v>627.20000000000005</v>
      </c>
      <c r="AD42" s="37">
        <f t="shared" si="7"/>
        <v>-17150</v>
      </c>
      <c r="AE42" s="35">
        <f t="shared" si="8"/>
        <v>0</v>
      </c>
      <c r="AF42" s="36"/>
      <c r="AG42" s="52"/>
    </row>
    <row r="43" spans="1:33">
      <c r="A43" s="32">
        <v>33213</v>
      </c>
      <c r="B43" s="32">
        <v>32873</v>
      </c>
      <c r="C43" s="53">
        <v>2.4</v>
      </c>
      <c r="D43" s="45">
        <v>33213</v>
      </c>
      <c r="E43" s="27">
        <v>10</v>
      </c>
      <c r="F43" s="43">
        <v>125</v>
      </c>
      <c r="G43" s="44">
        <v>2931</v>
      </c>
      <c r="H43" s="44">
        <v>1224</v>
      </c>
      <c r="I43" s="44">
        <v>2331</v>
      </c>
      <c r="J43" s="44">
        <v>884</v>
      </c>
      <c r="K43" s="27" t="s">
        <v>86</v>
      </c>
      <c r="L43" s="44">
        <f t="shared" si="0"/>
        <v>735.48800000000006</v>
      </c>
      <c r="M43" s="44">
        <v>29.51</v>
      </c>
      <c r="N43" s="43">
        <v>8.32</v>
      </c>
      <c r="O43" s="43">
        <f t="shared" si="1"/>
        <v>15.024038461538462</v>
      </c>
      <c r="P43" s="28">
        <f t="shared" si="2"/>
        <v>1.9199999999999998E-2</v>
      </c>
      <c r="Q43" s="40">
        <f t="shared" si="3"/>
        <v>1</v>
      </c>
      <c r="S43" s="46">
        <f t="shared" si="11"/>
        <v>11050</v>
      </c>
      <c r="T43" s="68">
        <f t="shared" si="5"/>
        <v>0.22876765163297047</v>
      </c>
      <c r="Y43" s="34">
        <v>33146</v>
      </c>
      <c r="Z43" s="35">
        <f t="shared" si="9"/>
        <v>2.4</v>
      </c>
      <c r="AA43" s="36" t="s">
        <v>94</v>
      </c>
      <c r="AB43" s="36">
        <f>AB42</f>
        <v>196</v>
      </c>
      <c r="AC43" s="37">
        <f t="shared" si="10"/>
        <v>470.4</v>
      </c>
      <c r="AD43" s="37">
        <f t="shared" si="7"/>
        <v>-24500</v>
      </c>
      <c r="AE43" s="35">
        <f t="shared" si="8"/>
        <v>0</v>
      </c>
      <c r="AF43" s="36"/>
      <c r="AG43" s="52"/>
    </row>
    <row r="44" spans="1:33">
      <c r="A44" s="32">
        <v>33584</v>
      </c>
      <c r="B44" s="54">
        <v>33328</v>
      </c>
      <c r="C44" s="53">
        <v>2.9</v>
      </c>
      <c r="D44" s="45">
        <v>33584</v>
      </c>
      <c r="E44" s="27">
        <v>10</v>
      </c>
      <c r="F44" s="43">
        <v>238.75</v>
      </c>
      <c r="G44" s="44">
        <v>5860</v>
      </c>
      <c r="H44" s="44">
        <v>1814</v>
      </c>
      <c r="I44" s="44">
        <v>3193</v>
      </c>
      <c r="J44" s="44">
        <v>2627</v>
      </c>
      <c r="K44" s="27" t="s">
        <v>86</v>
      </c>
      <c r="L44" s="44">
        <f t="shared" si="0"/>
        <v>1421.2069999999999</v>
      </c>
      <c r="M44" s="44">
        <v>27.19</v>
      </c>
      <c r="N44" s="43">
        <v>5.41</v>
      </c>
      <c r="O44" s="43">
        <f t="shared" si="1"/>
        <v>44.131238447319774</v>
      </c>
      <c r="P44" s="28">
        <f t="shared" si="2"/>
        <v>1.2146596858638743E-2</v>
      </c>
      <c r="Q44" s="48">
        <f t="shared" si="3"/>
        <v>2.9717194570135748</v>
      </c>
      <c r="R44" s="91" t="s">
        <v>161</v>
      </c>
      <c r="S44" s="46">
        <f t="shared" si="11"/>
        <v>62719.625</v>
      </c>
      <c r="T44" s="68">
        <f t="shared" si="5"/>
        <v>0.24419364261168383</v>
      </c>
      <c r="Y44" s="34">
        <v>33511</v>
      </c>
      <c r="Z44" s="35">
        <f t="shared" si="9"/>
        <v>2.9</v>
      </c>
      <c r="AA44" s="36" t="s">
        <v>95</v>
      </c>
      <c r="AB44" s="93">
        <f>AB43*3/2</f>
        <v>294</v>
      </c>
      <c r="AC44" s="37">
        <f t="shared" si="10"/>
        <v>852.6</v>
      </c>
      <c r="AD44" s="37">
        <f t="shared" si="7"/>
        <v>-70192.5</v>
      </c>
      <c r="AE44" s="35">
        <f t="shared" si="8"/>
        <v>0</v>
      </c>
      <c r="AF44" s="36"/>
      <c r="AG44" s="52"/>
    </row>
    <row r="45" spans="1:33">
      <c r="A45" s="32">
        <v>33953</v>
      </c>
      <c r="B45" s="49">
        <v>33694</v>
      </c>
      <c r="C45" s="53">
        <v>3.2</v>
      </c>
      <c r="D45" s="45">
        <v>33953</v>
      </c>
      <c r="E45" s="27">
        <v>10</v>
      </c>
      <c r="F45" s="43">
        <v>225</v>
      </c>
      <c r="G45" s="44">
        <v>5860</v>
      </c>
      <c r="H45" s="44">
        <v>1814</v>
      </c>
      <c r="I45" s="44">
        <v>3193</v>
      </c>
      <c r="J45" s="44">
        <v>2627</v>
      </c>
      <c r="K45" s="27" t="s">
        <v>86</v>
      </c>
      <c r="L45" s="44">
        <f t="shared" si="0"/>
        <v>1421.2069999999999</v>
      </c>
      <c r="M45" s="44">
        <v>27.19</v>
      </c>
      <c r="N45" s="43">
        <v>5.41</v>
      </c>
      <c r="O45" s="43">
        <f t="shared" si="1"/>
        <v>41.589648798521253</v>
      </c>
      <c r="P45" s="28">
        <f t="shared" si="2"/>
        <v>1.4222222222222223E-2</v>
      </c>
      <c r="Q45" s="40">
        <f t="shared" si="3"/>
        <v>1</v>
      </c>
      <c r="S45" s="46">
        <f t="shared" si="11"/>
        <v>59107.5</v>
      </c>
      <c r="T45" s="68">
        <f t="shared" si="5"/>
        <v>0.24419364261168383</v>
      </c>
      <c r="U45" s="40"/>
      <c r="V45" s="40"/>
      <c r="Y45" s="34">
        <v>33877</v>
      </c>
      <c r="Z45" s="35">
        <f t="shared" si="9"/>
        <v>3.2</v>
      </c>
      <c r="AA45" s="36" t="s">
        <v>96</v>
      </c>
      <c r="AB45" s="51">
        <f t="shared" ref="AB45:AB58" si="12">AB44</f>
        <v>294</v>
      </c>
      <c r="AC45" s="37">
        <f t="shared" si="10"/>
        <v>940.80000000000007</v>
      </c>
      <c r="AD45" s="37">
        <f t="shared" si="7"/>
        <v>-66150</v>
      </c>
      <c r="AE45" s="35">
        <f t="shared" si="8"/>
        <v>0</v>
      </c>
      <c r="AF45" s="36"/>
      <c r="AG45" s="52"/>
    </row>
    <row r="46" spans="1:33">
      <c r="A46" s="32">
        <v>34313</v>
      </c>
      <c r="B46" s="49">
        <v>34059</v>
      </c>
      <c r="C46" s="53">
        <v>3.2</v>
      </c>
      <c r="D46" s="45">
        <v>34313</v>
      </c>
      <c r="E46" s="27">
        <v>10</v>
      </c>
      <c r="F46" s="43">
        <v>380</v>
      </c>
      <c r="G46" s="44">
        <v>5860</v>
      </c>
      <c r="H46" s="44">
        <v>1814</v>
      </c>
      <c r="I46" s="44">
        <v>3193</v>
      </c>
      <c r="J46" s="44">
        <v>2627</v>
      </c>
      <c r="K46" s="27" t="s">
        <v>86</v>
      </c>
      <c r="L46" s="44">
        <f t="shared" si="0"/>
        <v>1421.2069999999999</v>
      </c>
      <c r="M46" s="44">
        <v>27.19</v>
      </c>
      <c r="N46" s="43">
        <v>5.41</v>
      </c>
      <c r="O46" s="43">
        <f t="shared" si="1"/>
        <v>70.240295748613676</v>
      </c>
      <c r="P46" s="28">
        <f t="shared" si="2"/>
        <v>8.4210526315789472E-3</v>
      </c>
      <c r="Q46" s="40">
        <f t="shared" si="3"/>
        <v>1</v>
      </c>
      <c r="R46" s="55"/>
      <c r="S46" s="46">
        <f t="shared" si="11"/>
        <v>99826</v>
      </c>
      <c r="T46" s="68">
        <f t="shared" si="5"/>
        <v>0.24419364261168383</v>
      </c>
      <c r="U46" s="40"/>
      <c r="V46" s="40"/>
      <c r="Y46" s="34">
        <v>34242</v>
      </c>
      <c r="Z46" s="35">
        <f t="shared" si="9"/>
        <v>3.2</v>
      </c>
      <c r="AA46" s="36" t="s">
        <v>97</v>
      </c>
      <c r="AB46" s="51">
        <f>AB45</f>
        <v>294</v>
      </c>
      <c r="AC46" s="37">
        <f t="shared" si="10"/>
        <v>940.80000000000007</v>
      </c>
      <c r="AD46" s="37">
        <f t="shared" si="7"/>
        <v>-111720</v>
      </c>
      <c r="AE46" s="35">
        <f t="shared" si="8"/>
        <v>0</v>
      </c>
      <c r="AF46" s="36"/>
      <c r="AG46" s="52"/>
    </row>
    <row r="47" spans="1:33">
      <c r="A47" s="32">
        <v>34691</v>
      </c>
      <c r="B47" s="32">
        <v>34424</v>
      </c>
      <c r="C47" s="53">
        <v>3.5</v>
      </c>
      <c r="D47" s="45">
        <v>34691</v>
      </c>
      <c r="E47" s="27">
        <v>10</v>
      </c>
      <c r="F47" s="43">
        <v>325</v>
      </c>
      <c r="G47" s="44">
        <v>6039</v>
      </c>
      <c r="H47" s="44">
        <v>1735</v>
      </c>
      <c r="I47" s="44">
        <v>4365</v>
      </c>
      <c r="J47" s="44">
        <v>2627</v>
      </c>
      <c r="K47" s="27" t="s">
        <v>86</v>
      </c>
      <c r="L47" s="44">
        <f t="shared" si="0"/>
        <v>2464.1260000000002</v>
      </c>
      <c r="M47" s="43">
        <v>39.4</v>
      </c>
      <c r="N47" s="43">
        <v>9.3800000000000008</v>
      </c>
      <c r="O47" s="43">
        <f t="shared" si="1"/>
        <v>34.64818763326226</v>
      </c>
      <c r="P47" s="28">
        <f t="shared" si="2"/>
        <v>1.0769230769230769E-2</v>
      </c>
      <c r="Q47" s="40">
        <f t="shared" si="3"/>
        <v>1</v>
      </c>
      <c r="S47" s="46">
        <f t="shared" si="11"/>
        <v>85377.5</v>
      </c>
      <c r="T47" s="68">
        <f t="shared" si="5"/>
        <v>0.35242076659038907</v>
      </c>
      <c r="U47" s="40"/>
      <c r="V47" s="40"/>
      <c r="Y47" s="34">
        <v>34607</v>
      </c>
      <c r="Z47" s="35">
        <f t="shared" si="9"/>
        <v>3.5</v>
      </c>
      <c r="AA47" s="36" t="s">
        <v>98</v>
      </c>
      <c r="AB47" s="51">
        <f>AB46</f>
        <v>294</v>
      </c>
      <c r="AC47" s="37">
        <f t="shared" si="10"/>
        <v>1029</v>
      </c>
      <c r="AD47" s="37">
        <f t="shared" si="7"/>
        <v>-95550</v>
      </c>
      <c r="AE47" s="35">
        <f t="shared" si="8"/>
        <v>0</v>
      </c>
      <c r="AF47" s="36"/>
      <c r="AG47" s="52"/>
    </row>
    <row r="48" spans="1:33">
      <c r="A48" s="32">
        <v>35064</v>
      </c>
      <c r="B48" s="32">
        <v>34789</v>
      </c>
      <c r="C48" s="53">
        <v>4</v>
      </c>
      <c r="D48" s="45">
        <f>A48</f>
        <v>35064</v>
      </c>
      <c r="F48" s="43"/>
      <c r="G48" s="44"/>
      <c r="H48" s="44"/>
      <c r="I48" s="44"/>
      <c r="J48" s="44"/>
      <c r="K48" s="44"/>
      <c r="L48" s="43"/>
      <c r="M48" s="43" t="e">
        <f>(J48+I48)/(J48/E48)</f>
        <v>#DIV/0!</v>
      </c>
      <c r="N48" s="43" t="e">
        <f>L48/(J48/E48)</f>
        <v>#DIV/0!</v>
      </c>
      <c r="O48" s="43"/>
      <c r="Q48" s="40">
        <f t="shared" si="3"/>
        <v>0</v>
      </c>
      <c r="R48" s="55"/>
      <c r="S48" s="46" t="e">
        <f t="shared" si="11"/>
        <v>#DIV/0!</v>
      </c>
      <c r="T48" s="68"/>
      <c r="U48" s="40"/>
      <c r="V48" s="40"/>
      <c r="Y48" s="34">
        <v>34972</v>
      </c>
      <c r="Z48" s="35">
        <v>4</v>
      </c>
      <c r="AA48" s="36" t="s">
        <v>99</v>
      </c>
      <c r="AB48" s="51">
        <f>AB47</f>
        <v>294</v>
      </c>
      <c r="AC48" s="37">
        <f t="shared" si="10"/>
        <v>1176</v>
      </c>
      <c r="AD48" s="37">
        <f t="shared" si="7"/>
        <v>0</v>
      </c>
      <c r="AE48" s="35">
        <f t="shared" si="8"/>
        <v>0</v>
      </c>
      <c r="AF48" s="36"/>
      <c r="AG48" s="52"/>
    </row>
    <row r="49" spans="1:33">
      <c r="A49" s="32">
        <v>35430</v>
      </c>
      <c r="B49" s="69">
        <v>35155</v>
      </c>
      <c r="C49" s="70">
        <v>4</v>
      </c>
      <c r="D49" s="69">
        <f t="shared" ref="D49:D72" si="13">A49</f>
        <v>35430</v>
      </c>
      <c r="E49" s="71">
        <v>10</v>
      </c>
      <c r="F49" s="89">
        <v>230</v>
      </c>
      <c r="G49" s="73">
        <v>7140</v>
      </c>
      <c r="H49" s="73"/>
      <c r="I49" s="73">
        <v>7410</v>
      </c>
      <c r="J49" s="73">
        <v>1860</v>
      </c>
      <c r="K49" s="73">
        <v>7260</v>
      </c>
      <c r="L49" s="72">
        <v>1600</v>
      </c>
      <c r="M49" s="72">
        <f>(J49+I49)/(J49/E49)</f>
        <v>49.838709677419352</v>
      </c>
      <c r="N49" s="72">
        <f>L49/(J49/E49)</f>
        <v>8.6021505376344081</v>
      </c>
      <c r="O49" s="72">
        <f t="shared" si="1"/>
        <v>26.737500000000001</v>
      </c>
      <c r="P49" s="74">
        <f t="shared" si="2"/>
        <v>1.7391304347826087E-2</v>
      </c>
      <c r="Q49" s="72" t="e">
        <f t="shared" si="3"/>
        <v>#DIV/0!</v>
      </c>
      <c r="S49" s="46">
        <f t="shared" si="11"/>
        <v>42780</v>
      </c>
      <c r="T49" s="68">
        <f t="shared" si="5"/>
        <v>0.1725997842502697</v>
      </c>
      <c r="U49" s="40"/>
      <c r="V49" s="40"/>
      <c r="Y49" s="34">
        <v>35338</v>
      </c>
      <c r="Z49" s="35">
        <f t="shared" si="9"/>
        <v>4</v>
      </c>
      <c r="AA49" s="36" t="s">
        <v>100</v>
      </c>
      <c r="AB49" s="51">
        <f>AB48</f>
        <v>294</v>
      </c>
      <c r="AC49" s="37">
        <f t="shared" si="10"/>
        <v>1176</v>
      </c>
      <c r="AD49" s="37">
        <f t="shared" si="7"/>
        <v>-67620</v>
      </c>
      <c r="AE49" s="35">
        <f t="shared" si="8"/>
        <v>0</v>
      </c>
      <c r="AF49" s="36"/>
      <c r="AG49" s="52"/>
    </row>
    <row r="50" spans="1:33">
      <c r="A50" s="32">
        <v>35795</v>
      </c>
      <c r="B50" s="69">
        <v>35520</v>
      </c>
      <c r="C50" s="70">
        <v>4</v>
      </c>
      <c r="D50" s="69">
        <f t="shared" si="13"/>
        <v>35795</v>
      </c>
      <c r="E50" s="71">
        <v>10</v>
      </c>
      <c r="F50" s="72">
        <v>403.75</v>
      </c>
      <c r="G50" s="73">
        <v>8530</v>
      </c>
      <c r="H50" s="73"/>
      <c r="I50" s="73">
        <v>8380</v>
      </c>
      <c r="J50" s="73">
        <v>1860</v>
      </c>
      <c r="K50" s="73">
        <v>6380</v>
      </c>
      <c r="L50" s="72">
        <v>1790</v>
      </c>
      <c r="M50" s="72">
        <f t="shared" ref="M50:M58" si="14">(J50+I50)/(J50/E50)</f>
        <v>55.053763440860216</v>
      </c>
      <c r="N50" s="72">
        <f>L50/(J50/E50)</f>
        <v>9.6236559139784941</v>
      </c>
      <c r="O50" s="72">
        <f t="shared" si="1"/>
        <v>41.953910614525142</v>
      </c>
      <c r="P50" s="74">
        <f t="shared" si="2"/>
        <v>9.9071207430340563E-3</v>
      </c>
      <c r="Q50" s="72">
        <f t="shared" si="3"/>
        <v>1</v>
      </c>
      <c r="S50" s="46">
        <f t="shared" si="11"/>
        <v>75097.5</v>
      </c>
      <c r="T50" s="68">
        <f t="shared" si="5"/>
        <v>0.1748046875</v>
      </c>
      <c r="U50" s="40"/>
      <c r="V50" s="40"/>
      <c r="Y50" s="34">
        <v>35703</v>
      </c>
      <c r="Z50" s="35">
        <f t="shared" si="9"/>
        <v>4</v>
      </c>
      <c r="AA50" s="36" t="s">
        <v>101</v>
      </c>
      <c r="AB50" s="51">
        <f t="shared" ref="AB50:AB52" si="15">AB49</f>
        <v>294</v>
      </c>
      <c r="AC50" s="37">
        <f t="shared" si="10"/>
        <v>1176</v>
      </c>
      <c r="AD50" s="37">
        <f t="shared" si="7"/>
        <v>-118702.5</v>
      </c>
      <c r="AE50" s="35">
        <f t="shared" si="8"/>
        <v>0</v>
      </c>
      <c r="AF50" s="36"/>
      <c r="AG50" s="52"/>
    </row>
    <row r="51" spans="1:33">
      <c r="A51" s="32">
        <v>36160</v>
      </c>
      <c r="B51" s="69">
        <v>35885</v>
      </c>
      <c r="C51" s="70">
        <v>5</v>
      </c>
      <c r="D51" s="69">
        <f t="shared" si="13"/>
        <v>36160</v>
      </c>
      <c r="E51" s="71">
        <v>10</v>
      </c>
      <c r="F51" s="72">
        <v>872</v>
      </c>
      <c r="G51" s="73">
        <v>12770</v>
      </c>
      <c r="H51" s="73"/>
      <c r="I51" s="73">
        <v>10260</v>
      </c>
      <c r="J51" s="73">
        <v>1860</v>
      </c>
      <c r="K51" s="73">
        <v>9840</v>
      </c>
      <c r="L51" s="72">
        <v>2890</v>
      </c>
      <c r="M51" s="72">
        <f t="shared" si="14"/>
        <v>65.161290322580641</v>
      </c>
      <c r="N51" s="72">
        <f t="shared" ref="N51:N73" si="16">L51/(J51/E51)</f>
        <v>15.53763440860215</v>
      </c>
      <c r="O51" s="72">
        <f t="shared" si="1"/>
        <v>56.121799307958476</v>
      </c>
      <c r="P51" s="74">
        <f t="shared" si="2"/>
        <v>5.7339449541284407E-3</v>
      </c>
      <c r="Q51" s="72">
        <f t="shared" si="3"/>
        <v>1</v>
      </c>
      <c r="S51" s="46">
        <f t="shared" si="11"/>
        <v>162192</v>
      </c>
      <c r="T51" s="68">
        <f t="shared" si="5"/>
        <v>0.23844884488448845</v>
      </c>
      <c r="U51" s="40"/>
      <c r="V51" s="40"/>
      <c r="Y51" s="34">
        <v>36068</v>
      </c>
      <c r="Z51" s="35">
        <f t="shared" si="9"/>
        <v>5</v>
      </c>
      <c r="AA51" s="36" t="s">
        <v>102</v>
      </c>
      <c r="AB51" s="51">
        <f t="shared" si="15"/>
        <v>294</v>
      </c>
      <c r="AC51" s="37">
        <f t="shared" si="10"/>
        <v>1470</v>
      </c>
      <c r="AD51" s="37">
        <f t="shared" si="7"/>
        <v>-256368</v>
      </c>
      <c r="AE51" s="35">
        <f t="shared" si="8"/>
        <v>0</v>
      </c>
      <c r="AF51" s="38"/>
      <c r="AG51" s="52"/>
    </row>
    <row r="52" spans="1:33">
      <c r="A52" s="32">
        <v>36525</v>
      </c>
      <c r="B52" s="69">
        <v>36250</v>
      </c>
      <c r="C52" s="70">
        <v>5.5</v>
      </c>
      <c r="D52" s="69">
        <f t="shared" si="13"/>
        <v>36525</v>
      </c>
      <c r="E52" s="71">
        <v>10</v>
      </c>
      <c r="F52" s="72">
        <v>695</v>
      </c>
      <c r="G52" s="73">
        <v>13530</v>
      </c>
      <c r="H52" s="73"/>
      <c r="I52" s="73">
        <v>13080</v>
      </c>
      <c r="J52" s="73">
        <v>1860</v>
      </c>
      <c r="K52" s="73">
        <v>11700</v>
      </c>
      <c r="L52" s="72">
        <v>3960</v>
      </c>
      <c r="M52" s="72">
        <f t="shared" si="14"/>
        <v>80.322580645161295</v>
      </c>
      <c r="N52" s="72">
        <f t="shared" si="16"/>
        <v>21.29032258064516</v>
      </c>
      <c r="O52" s="72">
        <f t="shared" si="1"/>
        <v>32.643939393939398</v>
      </c>
      <c r="P52" s="74">
        <f t="shared" si="2"/>
        <v>7.9136690647482015E-3</v>
      </c>
      <c r="Q52" s="72">
        <f t="shared" si="3"/>
        <v>1</v>
      </c>
      <c r="S52" s="46">
        <f t="shared" si="11"/>
        <v>129270</v>
      </c>
      <c r="T52" s="68">
        <f t="shared" si="5"/>
        <v>0.26506024096385544</v>
      </c>
      <c r="U52" s="40"/>
      <c r="V52" s="40"/>
      <c r="Y52" s="34">
        <v>36433</v>
      </c>
      <c r="Z52" s="35">
        <f t="shared" si="9"/>
        <v>5.5</v>
      </c>
      <c r="AA52" s="36" t="s">
        <v>103</v>
      </c>
      <c r="AB52" s="51">
        <f t="shared" si="15"/>
        <v>294</v>
      </c>
      <c r="AC52" s="37">
        <f t="shared" si="10"/>
        <v>1617</v>
      </c>
      <c r="AD52" s="37">
        <f t="shared" si="7"/>
        <v>-204330</v>
      </c>
      <c r="AE52" s="35">
        <f t="shared" si="8"/>
        <v>0</v>
      </c>
      <c r="AF52" s="36"/>
      <c r="AG52" s="52"/>
    </row>
    <row r="53" spans="1:33">
      <c r="A53" s="32">
        <v>36891</v>
      </c>
      <c r="B53" s="69">
        <v>36616</v>
      </c>
      <c r="C53" s="70">
        <v>4.5</v>
      </c>
      <c r="D53" s="69">
        <f t="shared" si="13"/>
        <v>36891</v>
      </c>
      <c r="E53" s="71">
        <v>10</v>
      </c>
      <c r="F53" s="72">
        <v>804.5</v>
      </c>
      <c r="G53" s="73">
        <v>13060</v>
      </c>
      <c r="H53" s="73"/>
      <c r="I53" s="73">
        <v>15860</v>
      </c>
      <c r="J53" s="73">
        <v>2790</v>
      </c>
      <c r="K53" s="73">
        <v>10980</v>
      </c>
      <c r="L53" s="72">
        <v>5100</v>
      </c>
      <c r="M53" s="72">
        <f t="shared" si="14"/>
        <v>66.84587813620071</v>
      </c>
      <c r="N53" s="72">
        <f t="shared" si="16"/>
        <v>18.27956989247312</v>
      </c>
      <c r="O53" s="72">
        <f t="shared" si="1"/>
        <v>44.010882352941174</v>
      </c>
      <c r="P53" s="74">
        <f t="shared" si="2"/>
        <v>5.5935363579863269E-3</v>
      </c>
      <c r="Q53" s="90">
        <f t="shared" si="3"/>
        <v>1.5</v>
      </c>
      <c r="R53" s="27" t="s">
        <v>161</v>
      </c>
      <c r="S53" s="46">
        <f t="shared" si="11"/>
        <v>224455.5</v>
      </c>
      <c r="T53" s="68">
        <f t="shared" si="5"/>
        <v>0.27345844504021449</v>
      </c>
      <c r="U53" s="40"/>
      <c r="V53" s="40"/>
      <c r="Y53" s="34">
        <v>36799</v>
      </c>
      <c r="Z53" s="35">
        <f t="shared" si="9"/>
        <v>4.5</v>
      </c>
      <c r="AA53" s="36" t="s">
        <v>104</v>
      </c>
      <c r="AB53" s="93">
        <f>AB52*1.5</f>
        <v>441</v>
      </c>
      <c r="AC53" s="37">
        <f t="shared" si="10"/>
        <v>1984.5</v>
      </c>
      <c r="AD53" s="37">
        <f t="shared" si="7"/>
        <v>-354784.5</v>
      </c>
      <c r="AE53" s="35">
        <f t="shared" si="8"/>
        <v>0</v>
      </c>
      <c r="AF53" s="36"/>
      <c r="AG53" s="56"/>
    </row>
    <row r="54" spans="1:33">
      <c r="A54" s="32">
        <v>37256</v>
      </c>
      <c r="B54" s="69">
        <v>36981</v>
      </c>
      <c r="C54" s="70">
        <v>5.5</v>
      </c>
      <c r="D54" s="69">
        <f t="shared" si="13"/>
        <v>37256</v>
      </c>
      <c r="E54" s="71">
        <v>10</v>
      </c>
      <c r="F54" s="72">
        <v>616.1</v>
      </c>
      <c r="G54" s="73">
        <v>15880</v>
      </c>
      <c r="H54" s="73"/>
      <c r="I54" s="73">
        <v>21230</v>
      </c>
      <c r="J54" s="73">
        <v>2790</v>
      </c>
      <c r="K54" s="73">
        <v>17620</v>
      </c>
      <c r="L54" s="72">
        <v>7050</v>
      </c>
      <c r="M54" s="72">
        <f t="shared" si="14"/>
        <v>86.093189964157702</v>
      </c>
      <c r="N54" s="72">
        <f t="shared" si="16"/>
        <v>25.268817204301076</v>
      </c>
      <c r="O54" s="72">
        <f t="shared" si="1"/>
        <v>24.381829787234043</v>
      </c>
      <c r="P54" s="74">
        <f t="shared" si="2"/>
        <v>8.9271222204187622E-3</v>
      </c>
      <c r="Q54" s="72">
        <f t="shared" si="3"/>
        <v>1</v>
      </c>
      <c r="S54" s="46">
        <f t="shared" si="11"/>
        <v>171891.9</v>
      </c>
      <c r="T54" s="68">
        <f t="shared" si="5"/>
        <v>0.29350541215653619</v>
      </c>
      <c r="U54" s="40"/>
      <c r="V54" s="40"/>
      <c r="Y54" s="34">
        <v>37164</v>
      </c>
      <c r="Z54" s="35">
        <f t="shared" si="9"/>
        <v>5.5</v>
      </c>
      <c r="AA54" s="36" t="s">
        <v>105</v>
      </c>
      <c r="AB54" s="51">
        <f t="shared" si="12"/>
        <v>441</v>
      </c>
      <c r="AC54" s="37">
        <f t="shared" si="10"/>
        <v>2425.5</v>
      </c>
      <c r="AD54" s="37">
        <f t="shared" si="7"/>
        <v>-271700.10000000003</v>
      </c>
      <c r="AE54" s="35">
        <f t="shared" si="8"/>
        <v>0</v>
      </c>
      <c r="AF54" s="36"/>
      <c r="AG54" s="39"/>
    </row>
    <row r="55" spans="1:33">
      <c r="A55" s="32">
        <v>37621</v>
      </c>
      <c r="B55" s="69">
        <v>37346</v>
      </c>
      <c r="C55" s="70">
        <v>7.5</v>
      </c>
      <c r="D55" s="69">
        <f t="shared" si="13"/>
        <v>37621</v>
      </c>
      <c r="E55" s="71">
        <v>10</v>
      </c>
      <c r="F55" s="72">
        <v>515</v>
      </c>
      <c r="G55" s="73">
        <v>16320</v>
      </c>
      <c r="H55" s="73"/>
      <c r="I55" s="73">
        <v>34300</v>
      </c>
      <c r="J55" s="73">
        <v>2690</v>
      </c>
      <c r="K55" s="73">
        <v>18460</v>
      </c>
      <c r="L55" s="72">
        <v>20320</v>
      </c>
      <c r="M55" s="72">
        <f t="shared" si="14"/>
        <v>137.50929368029739</v>
      </c>
      <c r="N55" s="72">
        <f t="shared" si="16"/>
        <v>75.539033457249076</v>
      </c>
      <c r="O55" s="72">
        <f t="shared" si="1"/>
        <v>6.8176673228346454</v>
      </c>
      <c r="P55" s="74">
        <f t="shared" si="2"/>
        <v>1.4563106796116505E-2</v>
      </c>
      <c r="Q55" s="72">
        <f t="shared" si="3"/>
        <v>0.96415770609318996</v>
      </c>
      <c r="S55" s="46">
        <f t="shared" si="11"/>
        <v>138535</v>
      </c>
      <c r="T55" s="68">
        <f t="shared" si="5"/>
        <v>0.54933765882670993</v>
      </c>
      <c r="U55" s="40"/>
      <c r="V55" s="40"/>
      <c r="Y55" s="34">
        <v>37529</v>
      </c>
      <c r="Z55" s="35">
        <f t="shared" si="9"/>
        <v>7.5</v>
      </c>
      <c r="AA55" s="36" t="s">
        <v>106</v>
      </c>
      <c r="AB55" s="51">
        <f t="shared" si="12"/>
        <v>441</v>
      </c>
      <c r="AC55" s="37">
        <f t="shared" si="10"/>
        <v>3307.5</v>
      </c>
      <c r="AD55" s="37">
        <f t="shared" si="7"/>
        <v>-227115</v>
      </c>
      <c r="AE55" s="35">
        <f t="shared" si="8"/>
        <v>0</v>
      </c>
      <c r="AF55" s="36"/>
      <c r="AG55" s="52"/>
    </row>
    <row r="56" spans="1:33">
      <c r="A56" s="32">
        <v>37986</v>
      </c>
      <c r="B56" s="69">
        <v>37711</v>
      </c>
      <c r="C56" s="70">
        <v>9.6999999999999993</v>
      </c>
      <c r="D56" s="69">
        <f t="shared" si="13"/>
        <v>37986</v>
      </c>
      <c r="E56" s="71">
        <v>10</v>
      </c>
      <c r="F56" s="72">
        <v>685.3</v>
      </c>
      <c r="G56" s="73">
        <v>14810</v>
      </c>
      <c r="H56" s="73"/>
      <c r="I56" s="73">
        <v>36530</v>
      </c>
      <c r="J56" s="73">
        <v>2590</v>
      </c>
      <c r="K56" s="73">
        <v>15450</v>
      </c>
      <c r="L56" s="72">
        <v>9910</v>
      </c>
      <c r="M56" s="72">
        <f t="shared" si="14"/>
        <v>151.04247104247105</v>
      </c>
      <c r="N56" s="72">
        <f t="shared" si="16"/>
        <v>38.262548262548265</v>
      </c>
      <c r="O56" s="72">
        <f t="shared" si="1"/>
        <v>17.910464177598385</v>
      </c>
      <c r="P56" s="74">
        <f t="shared" si="2"/>
        <v>1.4154384940901795E-2</v>
      </c>
      <c r="Q56" s="72">
        <f t="shared" si="3"/>
        <v>0.96282527881040891</v>
      </c>
      <c r="S56" s="46">
        <f t="shared" si="11"/>
        <v>177492.69999999998</v>
      </c>
      <c r="T56" s="68">
        <f t="shared" si="5"/>
        <v>0.2533231083844581</v>
      </c>
      <c r="U56" s="40"/>
      <c r="V56" s="40"/>
      <c r="Y56" s="34">
        <v>37894</v>
      </c>
      <c r="Z56" s="35">
        <v>10</v>
      </c>
      <c r="AA56" s="36" t="s">
        <v>107</v>
      </c>
      <c r="AB56" s="51">
        <f t="shared" si="12"/>
        <v>441</v>
      </c>
      <c r="AC56" s="37">
        <f t="shared" si="10"/>
        <v>4410</v>
      </c>
      <c r="AD56" s="37">
        <f t="shared" si="7"/>
        <v>-302217.3</v>
      </c>
      <c r="AE56" s="35">
        <f t="shared" si="8"/>
        <v>0</v>
      </c>
      <c r="AF56" s="36"/>
      <c r="AG56" s="52"/>
    </row>
    <row r="57" spans="1:33">
      <c r="A57" s="32">
        <v>38352</v>
      </c>
      <c r="B57" s="69">
        <v>38077</v>
      </c>
      <c r="C57" s="70">
        <v>10.8</v>
      </c>
      <c r="D57" s="69">
        <f t="shared" si="13"/>
        <v>38352</v>
      </c>
      <c r="E57" s="71">
        <v>10</v>
      </c>
      <c r="F57" s="72">
        <v>920.95</v>
      </c>
      <c r="G57" s="73">
        <v>12830</v>
      </c>
      <c r="H57" s="73"/>
      <c r="I57" s="73">
        <v>40590</v>
      </c>
      <c r="J57" s="73">
        <v>2510</v>
      </c>
      <c r="K57" s="73">
        <v>3920</v>
      </c>
      <c r="L57" s="72">
        <v>11880</v>
      </c>
      <c r="M57" s="72">
        <f t="shared" si="14"/>
        <v>171.71314741035857</v>
      </c>
      <c r="N57" s="72">
        <f t="shared" si="16"/>
        <v>47.330677290836654</v>
      </c>
      <c r="O57" s="72">
        <f t="shared" si="1"/>
        <v>19.457781986531987</v>
      </c>
      <c r="P57" s="74">
        <f t="shared" si="2"/>
        <v>1.1727021010912645E-2</v>
      </c>
      <c r="Q57" s="72">
        <f t="shared" si="3"/>
        <v>0.96911196911196906</v>
      </c>
      <c r="S57" s="46">
        <f t="shared" si="11"/>
        <v>231158.45</v>
      </c>
      <c r="T57" s="68">
        <f t="shared" si="5"/>
        <v>0.27563805104408351</v>
      </c>
      <c r="U57" s="40"/>
      <c r="V57" s="40"/>
      <c r="Y57" s="34">
        <v>38260</v>
      </c>
      <c r="Z57" s="35">
        <v>11</v>
      </c>
      <c r="AA57" s="36" t="s">
        <v>108</v>
      </c>
      <c r="AB57" s="51">
        <f>AB56</f>
        <v>441</v>
      </c>
      <c r="AC57" s="37">
        <f t="shared" si="10"/>
        <v>4851</v>
      </c>
      <c r="AD57" s="37">
        <f t="shared" si="7"/>
        <v>-406138.95</v>
      </c>
      <c r="AE57" s="35">
        <f t="shared" si="8"/>
        <v>0</v>
      </c>
      <c r="AF57" s="36"/>
      <c r="AG57" s="52"/>
    </row>
    <row r="58" spans="1:33">
      <c r="A58" s="32">
        <v>38717</v>
      </c>
      <c r="B58" s="69">
        <v>38442</v>
      </c>
      <c r="C58" s="70">
        <v>14</v>
      </c>
      <c r="D58" s="69">
        <f t="shared" si="13"/>
        <v>38717</v>
      </c>
      <c r="E58" s="71">
        <v>10</v>
      </c>
      <c r="F58" s="72">
        <v>1352.75</v>
      </c>
      <c r="G58" s="73">
        <v>12770</v>
      </c>
      <c r="H58" s="73"/>
      <c r="I58" s="73">
        <v>41960</v>
      </c>
      <c r="J58" s="73">
        <v>2390</v>
      </c>
      <c r="K58" s="73">
        <v>610</v>
      </c>
      <c r="L58" s="72">
        <v>14880</v>
      </c>
      <c r="M58" s="72">
        <f t="shared" si="14"/>
        <v>185.56485355648536</v>
      </c>
      <c r="N58" s="72">
        <f t="shared" si="16"/>
        <v>62.25941422594142</v>
      </c>
      <c r="O58" s="72">
        <f t="shared" si="1"/>
        <v>21.727637768817207</v>
      </c>
      <c r="P58" s="74">
        <f t="shared" si="2"/>
        <v>1.034928848641656E-2</v>
      </c>
      <c r="Q58" s="72">
        <f t="shared" si="3"/>
        <v>0.952191235059761</v>
      </c>
      <c r="S58" s="46">
        <f t="shared" si="11"/>
        <v>323307.25</v>
      </c>
      <c r="T58" s="68">
        <f t="shared" si="5"/>
        <v>0.3355129650507328</v>
      </c>
      <c r="U58" s="40"/>
      <c r="V58" s="40"/>
      <c r="Y58" s="34">
        <v>38625</v>
      </c>
      <c r="Z58" s="35">
        <f t="shared" si="9"/>
        <v>14</v>
      </c>
      <c r="AA58" s="36" t="s">
        <v>109</v>
      </c>
      <c r="AB58" s="51">
        <f t="shared" si="12"/>
        <v>441</v>
      </c>
      <c r="AC58" s="37">
        <f t="shared" si="10"/>
        <v>6174</v>
      </c>
      <c r="AD58" s="37">
        <f t="shared" si="7"/>
        <v>-596562.75</v>
      </c>
      <c r="AE58" s="35">
        <f t="shared" si="8"/>
        <v>0</v>
      </c>
      <c r="AF58" s="36"/>
      <c r="AG58" s="52"/>
    </row>
    <row r="59" spans="1:33">
      <c r="A59" s="32">
        <v>39082</v>
      </c>
      <c r="B59" s="75">
        <v>38807</v>
      </c>
      <c r="C59" s="76">
        <v>15</v>
      </c>
      <c r="D59" s="75">
        <f t="shared" si="13"/>
        <v>39082</v>
      </c>
      <c r="E59" s="77">
        <v>10</v>
      </c>
      <c r="F59" s="78">
        <v>1091.8</v>
      </c>
      <c r="G59" s="79">
        <v>15164</v>
      </c>
      <c r="H59" s="79"/>
      <c r="I59" s="79">
        <v>52520</v>
      </c>
      <c r="J59" s="79">
        <v>2389</v>
      </c>
      <c r="K59" s="79">
        <v>936</v>
      </c>
      <c r="L59" s="78">
        <v>14643</v>
      </c>
      <c r="M59" s="78">
        <f t="shared" ref="M59:M68" si="17">(J59+I59)/(J59/E59)</f>
        <v>229.84093763080787</v>
      </c>
      <c r="N59" s="78">
        <f t="shared" ref="N59:N68" si="18">L59/(J59/E59)</f>
        <v>61.293428212641274</v>
      </c>
      <c r="O59" s="78">
        <f t="shared" si="1"/>
        <v>17.812676364133033</v>
      </c>
      <c r="P59" s="80">
        <f t="shared" si="2"/>
        <v>1.3738779996336326E-2</v>
      </c>
      <c r="Q59" s="78">
        <f t="shared" si="3"/>
        <v>0.99958158995815904</v>
      </c>
      <c r="S59" s="46">
        <f t="shared" si="11"/>
        <v>260831.01999999996</v>
      </c>
      <c r="T59" s="68">
        <f t="shared" si="5"/>
        <v>0.2666775938370759</v>
      </c>
      <c r="U59" s="40"/>
      <c r="V59" s="40"/>
      <c r="Y59" s="34">
        <v>38990</v>
      </c>
      <c r="Z59" s="35">
        <f t="shared" si="9"/>
        <v>15</v>
      </c>
      <c r="AA59" s="36" t="s">
        <v>110</v>
      </c>
      <c r="AB59" s="51">
        <f>AB58</f>
        <v>441</v>
      </c>
      <c r="AC59" s="37">
        <f t="shared" si="10"/>
        <v>6615</v>
      </c>
      <c r="AD59" s="37">
        <f t="shared" si="7"/>
        <v>-481483.8</v>
      </c>
      <c r="AE59" s="35">
        <f t="shared" si="8"/>
        <v>0</v>
      </c>
      <c r="AF59" s="36"/>
      <c r="AG59" s="52"/>
    </row>
    <row r="60" spans="1:33">
      <c r="A60" s="32">
        <v>39447</v>
      </c>
      <c r="B60" s="75">
        <v>39172</v>
      </c>
      <c r="C60" s="76">
        <v>15</v>
      </c>
      <c r="D60" s="75">
        <f t="shared" si="13"/>
        <v>39447</v>
      </c>
      <c r="E60" s="77">
        <v>10</v>
      </c>
      <c r="F60" s="78">
        <v>1475.3</v>
      </c>
      <c r="G60" s="79">
        <v>21440</v>
      </c>
      <c r="H60" s="79"/>
      <c r="I60" s="79">
        <v>59093</v>
      </c>
      <c r="J60" s="79">
        <v>2389</v>
      </c>
      <c r="K60" s="79">
        <v>478</v>
      </c>
      <c r="L60" s="78">
        <v>10765</v>
      </c>
      <c r="M60" s="78">
        <f t="shared" si="17"/>
        <v>257.35454164922561</v>
      </c>
      <c r="N60" s="78">
        <f t="shared" si="18"/>
        <v>45.06069485140226</v>
      </c>
      <c r="O60" s="78">
        <f t="shared" si="1"/>
        <v>32.740285183464934</v>
      </c>
      <c r="P60" s="80">
        <f t="shared" si="2"/>
        <v>1.0167423574866129E-2</v>
      </c>
      <c r="Q60" s="78">
        <f t="shared" si="3"/>
        <v>1</v>
      </c>
      <c r="S60" s="46">
        <f t="shared" si="11"/>
        <v>352449.17</v>
      </c>
      <c r="T60" s="68">
        <f t="shared" si="5"/>
        <v>0.17509189681532805</v>
      </c>
      <c r="U60" s="40"/>
      <c r="V60" s="40"/>
      <c r="Y60" s="34">
        <v>39355</v>
      </c>
      <c r="Z60" s="35">
        <f t="shared" si="9"/>
        <v>15</v>
      </c>
      <c r="AA60" s="36" t="s">
        <v>111</v>
      </c>
      <c r="AB60" s="51">
        <f>AB59</f>
        <v>441</v>
      </c>
      <c r="AC60" s="37">
        <f t="shared" si="10"/>
        <v>6615</v>
      </c>
      <c r="AD60" s="37">
        <f t="shared" si="7"/>
        <v>-650607.29999999993</v>
      </c>
      <c r="AE60" s="35">
        <f t="shared" si="8"/>
        <v>0</v>
      </c>
      <c r="AF60" s="36"/>
      <c r="AG60" s="52"/>
    </row>
    <row r="61" spans="1:33">
      <c r="A61" s="32">
        <v>39813</v>
      </c>
      <c r="B61" s="75">
        <v>39538</v>
      </c>
      <c r="C61" s="76">
        <v>18</v>
      </c>
      <c r="D61" s="75">
        <f t="shared" si="13"/>
        <v>39813</v>
      </c>
      <c r="E61" s="77">
        <v>10</v>
      </c>
      <c r="F61" s="78">
        <v>1324.9</v>
      </c>
      <c r="G61" s="79">
        <v>25068</v>
      </c>
      <c r="H61" s="79"/>
      <c r="I61" s="79">
        <v>73192</v>
      </c>
      <c r="J61" s="79">
        <v>2389</v>
      </c>
      <c r="K61" s="79">
        <v>10610</v>
      </c>
      <c r="L61" s="78">
        <v>19100</v>
      </c>
      <c r="M61" s="78">
        <f t="shared" si="17"/>
        <v>316.37086647132691</v>
      </c>
      <c r="N61" s="78">
        <f t="shared" si="18"/>
        <v>79.949769778149857</v>
      </c>
      <c r="O61" s="78">
        <f t="shared" si="1"/>
        <v>16.571654973821989</v>
      </c>
      <c r="P61" s="80">
        <f t="shared" si="2"/>
        <v>1.3585931013661408E-2</v>
      </c>
      <c r="Q61" s="78">
        <f t="shared" si="3"/>
        <v>1</v>
      </c>
      <c r="S61" s="46">
        <f t="shared" si="11"/>
        <v>316518.61</v>
      </c>
      <c r="T61" s="68">
        <f t="shared" si="5"/>
        <v>0.25270901417022795</v>
      </c>
      <c r="U61" s="40"/>
      <c r="V61" s="40"/>
      <c r="Y61" s="34">
        <v>39721</v>
      </c>
      <c r="Z61" s="35">
        <f t="shared" si="9"/>
        <v>18</v>
      </c>
      <c r="AA61" s="36" t="s">
        <v>112</v>
      </c>
      <c r="AB61" s="51">
        <f>AB60</f>
        <v>441</v>
      </c>
      <c r="AC61" s="37">
        <f t="shared" si="10"/>
        <v>7938</v>
      </c>
      <c r="AD61" s="37">
        <f t="shared" si="7"/>
        <v>-584280.9</v>
      </c>
      <c r="AE61" s="35">
        <f t="shared" si="8"/>
        <v>0</v>
      </c>
      <c r="AF61" s="36"/>
      <c r="AG61" s="52"/>
    </row>
    <row r="62" spans="1:33">
      <c r="A62" s="32">
        <v>40178</v>
      </c>
      <c r="B62" s="75">
        <v>39903</v>
      </c>
      <c r="C62" s="76">
        <v>40</v>
      </c>
      <c r="D62" s="75">
        <f t="shared" si="13"/>
        <v>40178</v>
      </c>
      <c r="E62" s="77">
        <v>10</v>
      </c>
      <c r="F62" s="78">
        <v>1680.6</v>
      </c>
      <c r="G62" s="79">
        <v>28386</v>
      </c>
      <c r="H62" s="79"/>
      <c r="I62" s="79">
        <v>80065</v>
      </c>
      <c r="J62" s="79">
        <v>2389</v>
      </c>
      <c r="K62" s="79">
        <v>2516</v>
      </c>
      <c r="L62" s="78">
        <v>18040</v>
      </c>
      <c r="M62" s="78">
        <f t="shared" si="17"/>
        <v>345.1402260359983</v>
      </c>
      <c r="N62" s="78">
        <f t="shared" si="18"/>
        <v>75.512766848053573</v>
      </c>
      <c r="O62" s="78">
        <f t="shared" si="1"/>
        <v>22.255839246119734</v>
      </c>
      <c r="P62" s="80">
        <f t="shared" si="2"/>
        <v>2.3801023444008095E-2</v>
      </c>
      <c r="Q62" s="78">
        <f t="shared" si="3"/>
        <v>1</v>
      </c>
      <c r="S62" s="46">
        <f t="shared" si="11"/>
        <v>401495.33999999997</v>
      </c>
      <c r="T62" s="68">
        <f t="shared" si="5"/>
        <v>0.21878865791835447</v>
      </c>
      <c r="U62" s="40"/>
      <c r="V62" s="40"/>
      <c r="Y62" s="34">
        <v>40086</v>
      </c>
      <c r="Z62" s="35">
        <f t="shared" si="9"/>
        <v>40</v>
      </c>
      <c r="AA62" s="36" t="s">
        <v>113</v>
      </c>
      <c r="AB62" s="51">
        <f>AB61</f>
        <v>441</v>
      </c>
      <c r="AC62" s="37">
        <f t="shared" si="10"/>
        <v>17640</v>
      </c>
      <c r="AD62" s="37">
        <f t="shared" si="7"/>
        <v>-741144.6</v>
      </c>
      <c r="AE62" s="35">
        <f t="shared" si="8"/>
        <v>0</v>
      </c>
      <c r="AF62" s="36"/>
      <c r="AG62" s="52"/>
    </row>
    <row r="63" spans="1:33">
      <c r="A63" s="32">
        <v>40543</v>
      </c>
      <c r="B63" s="75">
        <v>40268</v>
      </c>
      <c r="C63" s="76">
        <f>25/5</f>
        <v>5</v>
      </c>
      <c r="D63" s="75">
        <f t="shared" si="13"/>
        <v>40543</v>
      </c>
      <c r="E63" s="77">
        <v>2</v>
      </c>
      <c r="F63" s="78">
        <v>410</v>
      </c>
      <c r="G63" s="79">
        <v>29147</v>
      </c>
      <c r="H63" s="79"/>
      <c r="I63" s="79">
        <v>37236</v>
      </c>
      <c r="J63" s="79">
        <v>2389</v>
      </c>
      <c r="K63" s="79">
        <v>42962</v>
      </c>
      <c r="L63" s="78">
        <v>11651</v>
      </c>
      <c r="M63" s="78">
        <f t="shared" si="17"/>
        <v>33.172875680200924</v>
      </c>
      <c r="N63" s="78">
        <f t="shared" si="18"/>
        <v>9.7538719129342812</v>
      </c>
      <c r="O63" s="78">
        <f t="shared" si="1"/>
        <v>42.034589305639003</v>
      </c>
      <c r="P63" s="80">
        <f t="shared" si="2"/>
        <v>1.2195121951219513E-2</v>
      </c>
      <c r="Q63" s="78">
        <f t="shared" si="3"/>
        <v>1</v>
      </c>
      <c r="R63" s="91" t="s">
        <v>184</v>
      </c>
      <c r="S63" s="46">
        <f t="shared" si="11"/>
        <v>489745</v>
      </c>
      <c r="T63" s="68">
        <f t="shared" si="5"/>
        <v>0.2940315457413249</v>
      </c>
      <c r="U63" s="40"/>
      <c r="V63" s="40"/>
      <c r="Y63" s="34">
        <v>40451</v>
      </c>
      <c r="Z63" s="35">
        <v>5</v>
      </c>
      <c r="AA63" s="36" t="s">
        <v>114</v>
      </c>
      <c r="AB63" s="51">
        <f>AB62*5</f>
        <v>2205</v>
      </c>
      <c r="AC63" s="37">
        <f>Z63*AB63</f>
        <v>11025</v>
      </c>
      <c r="AD63" s="37">
        <f t="shared" si="7"/>
        <v>-904050</v>
      </c>
      <c r="AE63" s="35">
        <f t="shared" si="8"/>
        <v>-904050</v>
      </c>
      <c r="AF63" s="36"/>
      <c r="AG63" s="52"/>
    </row>
    <row r="64" spans="1:33">
      <c r="A64" s="32">
        <v>40908</v>
      </c>
      <c r="B64" s="75">
        <v>40633</v>
      </c>
      <c r="C64" s="76">
        <f>32.5/5</f>
        <v>6.5</v>
      </c>
      <c r="D64" s="75">
        <f t="shared" si="13"/>
        <v>40908</v>
      </c>
      <c r="E64" s="77">
        <v>2</v>
      </c>
      <c r="F64" s="78">
        <v>448.15</v>
      </c>
      <c r="G64" s="79">
        <v>31540</v>
      </c>
      <c r="H64" s="79"/>
      <c r="I64" s="79">
        <v>42741</v>
      </c>
      <c r="J64" s="79">
        <v>2389</v>
      </c>
      <c r="K64" s="79">
        <v>43144</v>
      </c>
      <c r="L64" s="78">
        <v>14529</v>
      </c>
      <c r="M64" s="78">
        <f t="shared" si="17"/>
        <v>37.781498534951865</v>
      </c>
      <c r="N64" s="78">
        <f t="shared" si="18"/>
        <v>12.163248221012976</v>
      </c>
      <c r="O64" s="78">
        <f t="shared" si="1"/>
        <v>36.844598733567345</v>
      </c>
      <c r="P64" s="80">
        <f t="shared" si="2"/>
        <v>1.4504072297221914E-2</v>
      </c>
      <c r="Q64" s="78">
        <f t="shared" si="3"/>
        <v>1</v>
      </c>
      <c r="S64" s="46">
        <f t="shared" si="11"/>
        <v>535315.17499999993</v>
      </c>
      <c r="T64" s="68">
        <f t="shared" si="5"/>
        <v>0.32193662752049634</v>
      </c>
      <c r="U64" s="40"/>
      <c r="V64" s="40"/>
      <c r="Y64" s="34">
        <v>40816</v>
      </c>
      <c r="Z64" s="35">
        <f>2*3.25</f>
        <v>6.5</v>
      </c>
      <c r="AA64" s="36" t="s">
        <v>115</v>
      </c>
      <c r="AB64" s="51">
        <f>AB63</f>
        <v>2205</v>
      </c>
      <c r="AC64" s="37">
        <f t="shared" si="10"/>
        <v>14332.5</v>
      </c>
      <c r="AD64" s="37">
        <f t="shared" si="7"/>
        <v>-988170.75</v>
      </c>
      <c r="AE64" s="35">
        <f t="shared" si="8"/>
        <v>14332.5</v>
      </c>
      <c r="AF64" s="36"/>
      <c r="AG64" s="52"/>
    </row>
    <row r="65" spans="1:33">
      <c r="A65" s="32">
        <v>41274</v>
      </c>
      <c r="B65" s="75">
        <v>40999</v>
      </c>
      <c r="C65" s="76">
        <f>42.5/5</f>
        <v>8.5</v>
      </c>
      <c r="D65" s="75">
        <f t="shared" si="13"/>
        <v>41274</v>
      </c>
      <c r="E65" s="77">
        <v>2</v>
      </c>
      <c r="F65" s="78">
        <v>499.25</v>
      </c>
      <c r="G65" s="79">
        <v>45882</v>
      </c>
      <c r="H65" s="79"/>
      <c r="I65" s="79">
        <v>49615</v>
      </c>
      <c r="J65" s="79">
        <v>2389</v>
      </c>
      <c r="K65" s="79">
        <v>43450</v>
      </c>
      <c r="L65" s="78">
        <v>18674</v>
      </c>
      <c r="M65" s="78">
        <f t="shared" si="17"/>
        <v>43.536207618250316</v>
      </c>
      <c r="N65" s="78">
        <f t="shared" si="18"/>
        <v>15.63331938049393</v>
      </c>
      <c r="O65" s="78">
        <f t="shared" si="1"/>
        <v>31.93499651922459</v>
      </c>
      <c r="P65" s="80">
        <f t="shared" si="2"/>
        <v>1.7025538307461192E-2</v>
      </c>
      <c r="Q65" s="78">
        <f t="shared" si="3"/>
        <v>1</v>
      </c>
      <c r="S65" s="46">
        <f t="shared" si="11"/>
        <v>596354.125</v>
      </c>
      <c r="T65" s="68">
        <f t="shared" si="5"/>
        <v>0.35908776247980922</v>
      </c>
      <c r="U65" s="40"/>
      <c r="V65" s="40"/>
      <c r="Y65" s="34">
        <v>41182</v>
      </c>
      <c r="Z65" s="35">
        <f>4.25*2</f>
        <v>8.5</v>
      </c>
      <c r="AA65" s="36" t="s">
        <v>116</v>
      </c>
      <c r="AB65" s="51">
        <f>AB64</f>
        <v>2205</v>
      </c>
      <c r="AC65" s="37">
        <f>Z65*AB65</f>
        <v>18742.5</v>
      </c>
      <c r="AD65" s="37">
        <f t="shared" si="7"/>
        <v>-1100846.25</v>
      </c>
      <c r="AE65" s="35">
        <f t="shared" si="8"/>
        <v>18742.5</v>
      </c>
      <c r="AF65" s="36"/>
      <c r="AG65" s="52"/>
    </row>
    <row r="66" spans="1:33">
      <c r="A66" s="32">
        <v>41639</v>
      </c>
      <c r="B66" s="75">
        <v>41364</v>
      </c>
      <c r="C66" s="76">
        <f>42.5/5</f>
        <v>8.5</v>
      </c>
      <c r="D66" s="75">
        <f t="shared" si="13"/>
        <v>41639</v>
      </c>
      <c r="E66" s="77">
        <v>2</v>
      </c>
      <c r="F66" s="78">
        <v>920.4</v>
      </c>
      <c r="G66" s="79">
        <v>58012</v>
      </c>
      <c r="H66" s="79"/>
      <c r="I66" s="79">
        <v>61250</v>
      </c>
      <c r="J66" s="79">
        <v>2391</v>
      </c>
      <c r="K66" s="79">
        <v>22130</v>
      </c>
      <c r="L66" s="78">
        <v>23387</v>
      </c>
      <c r="M66" s="78">
        <f t="shared" si="17"/>
        <v>53.233793391886238</v>
      </c>
      <c r="N66" s="78">
        <f t="shared" si="18"/>
        <v>19.562526139690505</v>
      </c>
      <c r="O66" s="78">
        <f t="shared" si="1"/>
        <v>47.049138410227904</v>
      </c>
      <c r="P66" s="80">
        <f t="shared" si="2"/>
        <v>9.2351151673185569E-3</v>
      </c>
      <c r="Q66" s="78">
        <f t="shared" si="3"/>
        <v>1.0008371703641692</v>
      </c>
      <c r="S66" s="46">
        <f t="shared" si="11"/>
        <v>1100338.2</v>
      </c>
      <c r="T66" s="68">
        <f t="shared" si="5"/>
        <v>0.36748322622208951</v>
      </c>
      <c r="U66" s="40"/>
      <c r="V66" s="40"/>
      <c r="Y66" s="34">
        <v>41547</v>
      </c>
      <c r="Z66" s="35">
        <v>8.5</v>
      </c>
      <c r="AA66" s="36" t="s">
        <v>117</v>
      </c>
      <c r="AB66" s="51">
        <f t="shared" ref="AB66:AB69" si="19">AB65</f>
        <v>2205</v>
      </c>
      <c r="AC66" s="37">
        <f t="shared" si="10"/>
        <v>18742.5</v>
      </c>
      <c r="AD66" s="37">
        <f t="shared" si="7"/>
        <v>-2029482</v>
      </c>
      <c r="AE66" s="35">
        <f t="shared" si="8"/>
        <v>18742.5</v>
      </c>
      <c r="AF66" s="36"/>
      <c r="AG66" s="52"/>
    </row>
    <row r="67" spans="1:33">
      <c r="A67" s="32">
        <v>42004</v>
      </c>
      <c r="B67" s="75">
        <v>41729</v>
      </c>
      <c r="C67" s="76">
        <f>60/5</f>
        <v>12</v>
      </c>
      <c r="D67" s="75">
        <f t="shared" si="13"/>
        <v>42004</v>
      </c>
      <c r="E67" s="77">
        <v>2</v>
      </c>
      <c r="F67" s="78">
        <v>1840.2</v>
      </c>
      <c r="G67" s="79">
        <v>64288</v>
      </c>
      <c r="H67" s="79"/>
      <c r="I67" s="79">
        <v>82947</v>
      </c>
      <c r="J67" s="79">
        <v>2399</v>
      </c>
      <c r="K67" s="79">
        <v>169</v>
      </c>
      <c r="L67" s="78">
        <v>36983</v>
      </c>
      <c r="M67" s="78">
        <f t="shared" si="17"/>
        <v>71.15131304710296</v>
      </c>
      <c r="N67" s="78">
        <f t="shared" si="18"/>
        <v>30.832013338891205</v>
      </c>
      <c r="O67" s="78">
        <f t="shared" si="1"/>
        <v>59.684717302544414</v>
      </c>
      <c r="P67" s="80">
        <f t="shared" si="2"/>
        <v>6.5210303227910011E-3</v>
      </c>
      <c r="Q67" s="78">
        <f t="shared" si="3"/>
        <v>1.0033458803847763</v>
      </c>
      <c r="S67" s="46">
        <f t="shared" si="11"/>
        <v>2207319.9</v>
      </c>
      <c r="T67" s="68">
        <f t="shared" si="5"/>
        <v>0.43333020879713169</v>
      </c>
      <c r="U67" s="40"/>
      <c r="V67" s="40"/>
      <c r="Y67" s="34">
        <v>41912</v>
      </c>
      <c r="Z67" s="35">
        <v>12</v>
      </c>
      <c r="AA67" s="36" t="s">
        <v>118</v>
      </c>
      <c r="AB67" s="51">
        <f t="shared" si="19"/>
        <v>2205</v>
      </c>
      <c r="AC67" s="37">
        <f>Z67*AB67</f>
        <v>26460</v>
      </c>
      <c r="AD67" s="37">
        <f t="shared" si="7"/>
        <v>-4057641</v>
      </c>
      <c r="AE67" s="35">
        <f t="shared" si="8"/>
        <v>26460</v>
      </c>
      <c r="AF67" s="36"/>
      <c r="AG67" s="52"/>
    </row>
    <row r="68" spans="1:33">
      <c r="A68" s="32">
        <v>42369</v>
      </c>
      <c r="B68" s="75">
        <v>42094</v>
      </c>
      <c r="C68" s="76">
        <f>80/5</f>
        <v>16</v>
      </c>
      <c r="D68" s="75">
        <f t="shared" si="13"/>
        <v>42369</v>
      </c>
      <c r="E68" s="77">
        <v>2</v>
      </c>
      <c r="F68" s="78">
        <v>2963.7</v>
      </c>
      <c r="G68" s="79">
        <v>57416</v>
      </c>
      <c r="H68" s="79"/>
      <c r="I68" s="79">
        <v>121163</v>
      </c>
      <c r="J68" s="79">
        <v>2399</v>
      </c>
      <c r="K68" s="79">
        <v>213</v>
      </c>
      <c r="L68" s="78">
        <v>62241</v>
      </c>
      <c r="M68" s="78">
        <f t="shared" si="17"/>
        <v>103.01125468945393</v>
      </c>
      <c r="N68" s="78">
        <f t="shared" si="18"/>
        <v>51.889120466861193</v>
      </c>
      <c r="O68" s="78">
        <f t="shared" si="1"/>
        <v>57.116019183496405</v>
      </c>
      <c r="P68" s="80">
        <f t="shared" si="2"/>
        <v>5.3986570840503425E-3</v>
      </c>
      <c r="Q68" s="78">
        <f t="shared" si="3"/>
        <v>1</v>
      </c>
      <c r="S68" s="46">
        <f t="shared" si="11"/>
        <v>3554958.15</v>
      </c>
      <c r="T68" s="68">
        <f t="shared" si="5"/>
        <v>0.50372282740648422</v>
      </c>
      <c r="U68" s="40"/>
      <c r="V68" s="40"/>
      <c r="Y68" s="34">
        <v>42277</v>
      </c>
      <c r="Z68" s="35">
        <v>16</v>
      </c>
      <c r="AA68" s="36" t="s">
        <v>119</v>
      </c>
      <c r="AB68" s="51">
        <f t="shared" si="19"/>
        <v>2205</v>
      </c>
      <c r="AC68" s="37">
        <f>Z68*AB68</f>
        <v>35280</v>
      </c>
      <c r="AD68" s="37">
        <f t="shared" si="7"/>
        <v>-6534958.5</v>
      </c>
      <c r="AE68" s="35">
        <f t="shared" si="8"/>
        <v>35280</v>
      </c>
      <c r="AF68" s="38"/>
      <c r="AG68" s="52"/>
    </row>
    <row r="69" spans="1:33">
      <c r="A69" s="32">
        <v>42735</v>
      </c>
      <c r="B69" s="81">
        <v>42460</v>
      </c>
      <c r="C69" s="82">
        <f>100/5</f>
        <v>20</v>
      </c>
      <c r="D69" s="81">
        <f t="shared" si="13"/>
        <v>42735</v>
      </c>
      <c r="E69" s="83">
        <v>2</v>
      </c>
      <c r="F69" s="84">
        <v>2882.2</v>
      </c>
      <c r="G69" s="85">
        <v>71629</v>
      </c>
      <c r="H69" s="85"/>
      <c r="I69" s="85">
        <v>199203</v>
      </c>
      <c r="J69" s="85">
        <v>2400</v>
      </c>
      <c r="K69" s="85">
        <v>180</v>
      </c>
      <c r="L69" s="84">
        <v>76331</v>
      </c>
      <c r="M69" s="84">
        <f t="shared" ref="M69:M73" si="20">(J69+I69)/(J69/E69)</f>
        <v>168.0025</v>
      </c>
      <c r="N69" s="84">
        <f t="shared" si="16"/>
        <v>63.609166666666667</v>
      </c>
      <c r="O69" s="84">
        <f t="shared" si="1"/>
        <v>45.311079377972248</v>
      </c>
      <c r="P69" s="86">
        <f t="shared" si="2"/>
        <v>6.9391437096662277E-3</v>
      </c>
      <c r="Q69" s="84">
        <f t="shared" si="3"/>
        <v>1.0004168403501459</v>
      </c>
      <c r="S69" s="46">
        <f t="shared" si="11"/>
        <v>3458640</v>
      </c>
      <c r="T69" s="68">
        <f t="shared" si="5"/>
        <v>0.37862035783197673</v>
      </c>
      <c r="U69" s="40"/>
      <c r="V69" s="40"/>
      <c r="Y69" s="34">
        <v>42643</v>
      </c>
      <c r="Z69" s="35">
        <v>20</v>
      </c>
      <c r="AA69" s="36" t="s">
        <v>120</v>
      </c>
      <c r="AB69" s="51">
        <f t="shared" si="19"/>
        <v>2205</v>
      </c>
      <c r="AC69" s="37">
        <f t="shared" si="10"/>
        <v>44100</v>
      </c>
      <c r="AD69" s="37">
        <f t="shared" si="7"/>
        <v>-6355251</v>
      </c>
      <c r="AE69" s="35">
        <f t="shared" si="8"/>
        <v>44100</v>
      </c>
      <c r="AF69" s="36"/>
      <c r="AG69" s="52"/>
    </row>
    <row r="70" spans="1:33">
      <c r="A70" s="32">
        <v>43100</v>
      </c>
      <c r="B70" s="81">
        <v>42825</v>
      </c>
      <c r="C70" s="82">
        <f>110/5</f>
        <v>22</v>
      </c>
      <c r="D70" s="81">
        <f t="shared" si="13"/>
        <v>43100</v>
      </c>
      <c r="E70" s="83">
        <v>2</v>
      </c>
      <c r="F70" s="84">
        <v>4715.75</v>
      </c>
      <c r="G70" s="85">
        <v>86909</v>
      </c>
      <c r="H70" s="85"/>
      <c r="I70" s="85">
        <v>255798</v>
      </c>
      <c r="J70" s="85">
        <v>2400</v>
      </c>
      <c r="K70" s="85">
        <v>173</v>
      </c>
      <c r="L70" s="84">
        <v>84369</v>
      </c>
      <c r="M70" s="84">
        <f t="shared" si="20"/>
        <v>215.16499999999999</v>
      </c>
      <c r="N70" s="84">
        <f t="shared" si="16"/>
        <v>70.307500000000005</v>
      </c>
      <c r="O70" s="84">
        <f t="shared" si="1"/>
        <v>67.073214095224543</v>
      </c>
      <c r="P70" s="86">
        <f t="shared" si="2"/>
        <v>4.6652176217992893E-3</v>
      </c>
      <c r="Q70" s="84">
        <f t="shared" si="3"/>
        <v>1</v>
      </c>
      <c r="S70" s="46">
        <f t="shared" si="11"/>
        <v>5658900</v>
      </c>
      <c r="T70" s="68">
        <f t="shared" si="5"/>
        <v>0.32676085794622733</v>
      </c>
      <c r="U70" s="40"/>
      <c r="V70" s="40"/>
      <c r="Y70" s="34">
        <v>43008</v>
      </c>
      <c r="Z70" s="35">
        <v>22</v>
      </c>
      <c r="AA70" s="36" t="s">
        <v>121</v>
      </c>
      <c r="AB70" s="51">
        <f>AB69</f>
        <v>2205</v>
      </c>
      <c r="AC70" s="37">
        <f>Z70*AB70</f>
        <v>48510</v>
      </c>
      <c r="AD70" s="37">
        <f t="shared" si="7"/>
        <v>-10398228.75</v>
      </c>
      <c r="AE70" s="35">
        <f t="shared" si="8"/>
        <v>48510</v>
      </c>
      <c r="AF70" s="36"/>
      <c r="AG70" s="56"/>
    </row>
    <row r="71" spans="1:33">
      <c r="A71" s="32">
        <v>43465</v>
      </c>
      <c r="B71" s="81">
        <v>43190</v>
      </c>
      <c r="C71" s="82">
        <f>125/5</f>
        <v>25</v>
      </c>
      <c r="D71" s="81">
        <f t="shared" si="13"/>
        <v>43465</v>
      </c>
      <c r="E71" s="83">
        <v>2</v>
      </c>
      <c r="F71" s="84">
        <v>3118.4</v>
      </c>
      <c r="G71" s="85">
        <v>123155</v>
      </c>
      <c r="H71" s="85"/>
      <c r="I71" s="85">
        <v>321127</v>
      </c>
      <c r="J71" s="85">
        <v>2401</v>
      </c>
      <c r="K71" s="85">
        <v>1060</v>
      </c>
      <c r="L71" s="84">
        <v>94789</v>
      </c>
      <c r="M71" s="84">
        <f t="shared" si="20"/>
        <v>269.49437734277382</v>
      </c>
      <c r="N71" s="84">
        <f t="shared" si="16"/>
        <v>78.957934194085794</v>
      </c>
      <c r="O71" s="84">
        <f t="shared" si="1"/>
        <v>39.494447667978356</v>
      </c>
      <c r="P71" s="86">
        <f t="shared" si="2"/>
        <v>8.0169317598768591E-3</v>
      </c>
      <c r="Q71" s="84">
        <f t="shared" si="3"/>
        <v>1.0004166666666667</v>
      </c>
      <c r="S71" s="46">
        <f t="shared" si="11"/>
        <v>3743639.2</v>
      </c>
      <c r="T71" s="68">
        <f t="shared" si="5"/>
        <v>0.2929854603001904</v>
      </c>
      <c r="U71" s="40"/>
      <c r="V71" s="40"/>
      <c r="Y71" s="34">
        <v>43373</v>
      </c>
      <c r="Z71" s="35">
        <v>25</v>
      </c>
      <c r="AA71" s="36" t="s">
        <v>122</v>
      </c>
      <c r="AB71" s="51">
        <f>AB70</f>
        <v>2205</v>
      </c>
      <c r="AC71" s="37">
        <f>Z71*AB71</f>
        <v>55125</v>
      </c>
      <c r="AD71" s="37">
        <f t="shared" si="7"/>
        <v>-6876072</v>
      </c>
      <c r="AE71" s="35">
        <f t="shared" si="8"/>
        <v>55125</v>
      </c>
      <c r="AF71" s="36"/>
      <c r="AG71" s="52"/>
    </row>
    <row r="72" spans="1:33">
      <c r="A72" s="32">
        <v>43830</v>
      </c>
      <c r="B72" s="81">
        <v>43555</v>
      </c>
      <c r="C72" s="82">
        <f>150/10</f>
        <v>15</v>
      </c>
      <c r="D72" s="81">
        <f t="shared" si="13"/>
        <v>43830</v>
      </c>
      <c r="E72" s="83">
        <v>1</v>
      </c>
      <c r="F72" s="84">
        <v>3027.25</v>
      </c>
      <c r="G72" s="85">
        <v>139251</v>
      </c>
      <c r="H72" s="85"/>
      <c r="I72" s="85">
        <v>401542</v>
      </c>
      <c r="J72" s="85">
        <v>2403</v>
      </c>
      <c r="K72" s="85">
        <v>174</v>
      </c>
      <c r="L72" s="84">
        <v>112220</v>
      </c>
      <c r="M72" s="84">
        <f t="shared" si="20"/>
        <v>168.10029130253849</v>
      </c>
      <c r="N72" s="84">
        <f t="shared" si="16"/>
        <v>46.699958385351643</v>
      </c>
      <c r="O72" s="84">
        <f t="shared" si="1"/>
        <v>64.823398235608622</v>
      </c>
      <c r="P72" s="86">
        <f t="shared" si="2"/>
        <v>4.9549921545957555E-3</v>
      </c>
      <c r="Q72" s="84">
        <f t="shared" si="3"/>
        <v>1.0008329862557268</v>
      </c>
      <c r="R72" s="91" t="s">
        <v>185</v>
      </c>
      <c r="S72" s="46">
        <f t="shared" si="11"/>
        <v>7274481.75</v>
      </c>
      <c r="T72" s="68">
        <f t="shared" si="5"/>
        <v>0.27781009790936884</v>
      </c>
      <c r="U72" s="40"/>
      <c r="V72" s="40"/>
      <c r="Y72" s="34">
        <v>43738</v>
      </c>
      <c r="Z72" s="35">
        <v>30</v>
      </c>
      <c r="AA72" s="36" t="s">
        <v>123</v>
      </c>
      <c r="AB72" s="93">
        <f>AB71*2</f>
        <v>4410</v>
      </c>
      <c r="AC72" s="37">
        <f>Z72*AB72</f>
        <v>132300</v>
      </c>
      <c r="AD72" s="37">
        <f t="shared" si="7"/>
        <v>-13350172.5</v>
      </c>
      <c r="AE72" s="35">
        <f t="shared" si="8"/>
        <v>132300</v>
      </c>
      <c r="AF72" s="38">
        <v>43555</v>
      </c>
      <c r="AG72" s="39">
        <f>L72</f>
        <v>112220</v>
      </c>
    </row>
    <row r="73" spans="1:33">
      <c r="A73" s="32"/>
      <c r="B73" s="81">
        <v>43921</v>
      </c>
      <c r="C73" s="82">
        <f>350/10</f>
        <v>35</v>
      </c>
      <c r="D73" s="83"/>
      <c r="E73" s="83">
        <v>1</v>
      </c>
      <c r="F73" s="84">
        <v>2689.65</v>
      </c>
      <c r="G73" s="85">
        <v>149945</v>
      </c>
      <c r="H73" s="85"/>
      <c r="I73" s="85">
        <v>425060</v>
      </c>
      <c r="J73" s="85">
        <v>2405</v>
      </c>
      <c r="K73" s="85">
        <v>120392</v>
      </c>
      <c r="L73" s="84">
        <v>148430</v>
      </c>
      <c r="M73" s="84">
        <f t="shared" si="20"/>
        <v>177.74012474012474</v>
      </c>
      <c r="N73" s="84">
        <f t="shared" si="16"/>
        <v>61.717255717255718</v>
      </c>
      <c r="O73" s="84">
        <f t="shared" si="1"/>
        <v>43.580194367715421</v>
      </c>
      <c r="P73" s="86">
        <f t="shared" si="2"/>
        <v>1.3012845537523469E-2</v>
      </c>
      <c r="Q73" s="84">
        <f t="shared" si="3"/>
        <v>1.0008322929671245</v>
      </c>
      <c r="S73" s="46">
        <f t="shared" si="11"/>
        <v>6468608.25</v>
      </c>
      <c r="T73" s="68">
        <f t="shared" si="5"/>
        <v>0.34723310680406583</v>
      </c>
      <c r="V73" s="41"/>
      <c r="Y73" s="34">
        <v>43921</v>
      </c>
      <c r="Z73" s="35">
        <f>F73</f>
        <v>2689.65</v>
      </c>
      <c r="AA73" s="36" t="s">
        <v>124</v>
      </c>
      <c r="AB73" s="51">
        <f>AB72</f>
        <v>4410</v>
      </c>
      <c r="AC73" s="37">
        <f>AB73*Z73</f>
        <v>11861356.5</v>
      </c>
      <c r="AD73" s="37">
        <f t="shared" si="7"/>
        <v>-11861356.5</v>
      </c>
      <c r="AE73" s="35">
        <f t="shared" si="8"/>
        <v>11861356.5</v>
      </c>
      <c r="AF73" s="38">
        <v>43921</v>
      </c>
      <c r="AG73" s="39">
        <f>L73</f>
        <v>148430</v>
      </c>
    </row>
    <row r="74" spans="1:33">
      <c r="A74" s="32"/>
      <c r="B74" s="32"/>
      <c r="F74" s="40"/>
      <c r="M74" s="40"/>
      <c r="N74" s="40"/>
      <c r="O74" s="40"/>
      <c r="T74" s="40" t="e">
        <f>T72/T48</f>
        <v>#DIV/0!</v>
      </c>
      <c r="V74" s="41"/>
      <c r="Y74" s="34" t="s">
        <v>28</v>
      </c>
      <c r="Z74" s="36"/>
      <c r="AA74" s="36"/>
      <c r="AB74" s="36"/>
      <c r="AC74" s="57">
        <f>XIRR(AC30:AC73,Y30:Y73)</f>
        <v>0.2668884336948395</v>
      </c>
      <c r="AD74" s="57"/>
      <c r="AE74" s="36"/>
      <c r="AF74" s="36"/>
      <c r="AG74" s="58">
        <f>((AG73/AG31)^(1/AG75)-1)</f>
        <v>0.17251629501751253</v>
      </c>
    </row>
    <row r="75" spans="1:33" ht="15.75" thickBot="1">
      <c r="A75" s="32"/>
      <c r="B75" s="32"/>
      <c r="F75" s="40"/>
      <c r="M75" s="40"/>
      <c r="N75" s="40"/>
      <c r="O75" s="40"/>
      <c r="V75" s="41"/>
      <c r="Y75" s="59" t="s">
        <v>125</v>
      </c>
      <c r="Z75" s="60"/>
      <c r="AA75" s="60"/>
      <c r="AB75" s="60"/>
      <c r="AC75" s="61">
        <f>YEARFRAC(Y30,Y73)</f>
        <v>42.466666666666669</v>
      </c>
      <c r="AD75" s="61"/>
      <c r="AE75" s="60"/>
      <c r="AF75" s="60"/>
      <c r="AG75" s="62">
        <f>YEARFRAC(B31,B73)</f>
        <v>42</v>
      </c>
    </row>
    <row r="76" spans="1:33">
      <c r="A76" s="32"/>
      <c r="B76" s="32"/>
      <c r="F76" s="40"/>
      <c r="M76" s="40"/>
      <c r="N76" s="40"/>
      <c r="O76" s="40"/>
      <c r="V76" s="41"/>
      <c r="Y76" s="38"/>
      <c r="Z76" s="36"/>
      <c r="AA76" s="36"/>
      <c r="AB76" s="36"/>
      <c r="AC76" s="96"/>
      <c r="AD76" s="96"/>
      <c r="AE76" s="94"/>
      <c r="AF76" s="94"/>
      <c r="AG76" s="96"/>
    </row>
    <row r="77" spans="1:33">
      <c r="A77" s="32"/>
      <c r="B77" s="32"/>
      <c r="F77" s="40"/>
      <c r="M77" s="40"/>
      <c r="N77" s="40"/>
      <c r="O77" s="40"/>
      <c r="V77" s="41"/>
      <c r="Y77" s="38"/>
      <c r="Z77" s="36"/>
      <c r="AA77" s="36"/>
      <c r="AB77" s="36"/>
      <c r="AC77" s="96"/>
      <c r="AD77" s="96"/>
      <c r="AE77" s="94"/>
      <c r="AF77" s="94"/>
      <c r="AG77" s="96"/>
    </row>
    <row r="78" spans="1:33">
      <c r="A78" s="32"/>
      <c r="B78" s="32"/>
      <c r="F78" s="40"/>
      <c r="M78" s="40"/>
      <c r="N78" s="40"/>
      <c r="O78" s="40"/>
      <c r="V78" s="41"/>
      <c r="Y78" s="97" t="s">
        <v>192</v>
      </c>
      <c r="Z78" s="36"/>
      <c r="AA78" s="36"/>
      <c r="AB78" s="36"/>
      <c r="AC78" s="98">
        <v>40451</v>
      </c>
      <c r="AD78" s="96"/>
      <c r="AE78" s="94">
        <f>XIRR(AE63:AE73,Y63:Y73)</f>
        <v>0.3235304772853852</v>
      </c>
      <c r="AF78" s="94"/>
      <c r="AG78" s="96"/>
    </row>
    <row r="79" spans="1:33" ht="15.75" thickBot="1">
      <c r="A79" s="32"/>
      <c r="B79" s="32"/>
      <c r="F79" s="40"/>
      <c r="M79" s="40"/>
      <c r="N79" s="40"/>
      <c r="O79" s="40"/>
      <c r="V79" s="41"/>
      <c r="Y79" s="97" t="s">
        <v>193</v>
      </c>
      <c r="Z79" s="36"/>
      <c r="AA79" s="36"/>
      <c r="AB79" s="36"/>
      <c r="AC79" s="98">
        <v>43921</v>
      </c>
      <c r="AD79" s="96"/>
      <c r="AE79" s="94"/>
      <c r="AF79" s="94"/>
      <c r="AG79" s="96"/>
    </row>
    <row r="80" spans="1:33" ht="15.75" thickBot="1">
      <c r="A80" s="32"/>
      <c r="B80" s="32"/>
      <c r="F80" s="40"/>
      <c r="M80" s="40"/>
      <c r="N80" s="40"/>
      <c r="O80" s="40"/>
      <c r="V80" s="41"/>
      <c r="Y80" s="99" t="s">
        <v>194</v>
      </c>
      <c r="Z80" s="100" t="s">
        <v>74</v>
      </c>
      <c r="AA80" s="100" t="s">
        <v>75</v>
      </c>
      <c r="AB80" s="100" t="s">
        <v>195</v>
      </c>
      <c r="AC80" s="101" t="s">
        <v>196</v>
      </c>
      <c r="AD80" s="101" t="s">
        <v>197</v>
      </c>
      <c r="AE80" s="94"/>
      <c r="AF80" s="94"/>
      <c r="AG80" s="96"/>
    </row>
    <row r="81" spans="1:33" ht="15.75" thickBot="1">
      <c r="A81" s="32" t="str">
        <f>Y81</f>
        <v>1978-1990</v>
      </c>
      <c r="B81" s="32"/>
      <c r="F81" s="40"/>
      <c r="L81" s="68">
        <f>((L43/L31)^(1/12)-1)</f>
        <v>0.12159809566987434</v>
      </c>
      <c r="M81" s="40"/>
      <c r="N81" s="40"/>
      <c r="O81" s="40">
        <f>AVERAGE(O31:O43)</f>
        <v>13.331048588396875</v>
      </c>
      <c r="P81" s="28">
        <f>AVERAGE(P31:P43)</f>
        <v>4.0726075616406621E-2</v>
      </c>
      <c r="T81" s="28">
        <f>AVERAGE(T31:T43)</f>
        <v>0.18783903999767584</v>
      </c>
      <c r="V81" s="41"/>
      <c r="Y81" s="102" t="s">
        <v>198</v>
      </c>
      <c r="Z81" s="103">
        <v>13.331048588396875</v>
      </c>
      <c r="AA81" s="104">
        <v>4.0726075616406621E-2</v>
      </c>
      <c r="AB81" s="104">
        <v>0.18783903999767584</v>
      </c>
      <c r="AC81" s="104">
        <v>0.29266788363456731</v>
      </c>
      <c r="AD81" s="104">
        <v>0.12159809566987434</v>
      </c>
      <c r="AE81" s="94"/>
      <c r="AF81" s="94"/>
      <c r="AG81" s="96"/>
    </row>
    <row r="82" spans="1:33" ht="15.75" thickBot="1">
      <c r="A82" s="32" t="str">
        <f t="shared" ref="A82:A85" si="21">Y82</f>
        <v>1990-2000</v>
      </c>
      <c r="B82" s="32"/>
      <c r="F82" s="40"/>
      <c r="L82" s="68">
        <f>((L53/L43)^(1/10)-1)</f>
        <v>0.21366676242300864</v>
      </c>
      <c r="M82" s="40"/>
      <c r="N82" s="40"/>
      <c r="O82" s="40">
        <f>AVERAGE(O44:O53)</f>
        <v>43.564155810786794</v>
      </c>
      <c r="P82" s="28">
        <f>AVERAGE(P44:P53)</f>
        <v>1.0233186438821533E-2</v>
      </c>
      <c r="T82" s="28">
        <f>AVERAGE(T44:T53)</f>
        <v>0.24548596634047432</v>
      </c>
      <c r="V82" s="41"/>
      <c r="Y82" s="102" t="s">
        <v>186</v>
      </c>
      <c r="Z82" s="103">
        <v>43.564155810786794</v>
      </c>
      <c r="AA82" s="104">
        <v>1.0233186438821533E-2</v>
      </c>
      <c r="AB82" s="104">
        <v>0.24548596634047432</v>
      </c>
      <c r="AC82" s="104">
        <v>0.32259092926979072</v>
      </c>
      <c r="AD82" s="104">
        <v>0.21366676242300864</v>
      </c>
      <c r="AE82" s="94"/>
      <c r="AF82" s="94"/>
      <c r="AG82" s="96"/>
    </row>
    <row r="83" spans="1:33" ht="15.75" thickBot="1">
      <c r="A83" s="32" t="str">
        <f t="shared" si="21"/>
        <v>2000-2010</v>
      </c>
      <c r="B83" s="32"/>
      <c r="F83" s="40"/>
      <c r="L83" s="68">
        <f>((L63/L53)^(1/10)-1)</f>
        <v>8.6123730509080731E-2</v>
      </c>
      <c r="M83" s="40"/>
      <c r="N83" s="40"/>
      <c r="O83" s="40">
        <f>AVERAGE(O53:O63)</f>
        <v>24.156482588103287</v>
      </c>
      <c r="P83" s="28">
        <f>AVERAGE(P53:P63)</f>
        <v>1.2618430890258549E-2</v>
      </c>
      <c r="T83" s="28">
        <f>AVERAGE(T53:T63)</f>
        <v>0.28982494081682236</v>
      </c>
      <c r="V83" s="41"/>
      <c r="Y83" s="102" t="s">
        <v>187</v>
      </c>
      <c r="Z83" s="103">
        <v>24.156482588103287</v>
      </c>
      <c r="AA83" s="104">
        <v>1.2618430890258549E-2</v>
      </c>
      <c r="AB83" s="104">
        <v>0.28982494081682236</v>
      </c>
      <c r="AC83" s="104">
        <v>0.10850459933280943</v>
      </c>
      <c r="AD83" s="104">
        <v>8.6123730509080731E-2</v>
      </c>
      <c r="AE83" s="94"/>
      <c r="AF83" s="94"/>
      <c r="AG83" s="96"/>
    </row>
    <row r="84" spans="1:33" ht="15.75" thickBot="1">
      <c r="A84" s="32" t="str">
        <f t="shared" si="21"/>
        <v>2010-2020</v>
      </c>
      <c r="B84" s="32"/>
      <c r="F84" s="40"/>
      <c r="L84" s="68">
        <f>((L73/L63)^(1/10)-1)</f>
        <v>0.28978062444199715</v>
      </c>
      <c r="M84" s="40"/>
      <c r="N84" s="40"/>
      <c r="O84" s="40">
        <f>AVERAGE(O63:O73)</f>
        <v>48.631490290836261</v>
      </c>
      <c r="P84" s="28">
        <f>AVERAGE(P63:P73)</f>
        <v>9.3153332648658292E-3</v>
      </c>
      <c r="T84" s="28">
        <f>AVERAGE(T63:T73)</f>
        <v>0.35481837081446954</v>
      </c>
      <c r="V84" s="41"/>
      <c r="Y84" s="102" t="s">
        <v>188</v>
      </c>
      <c r="Z84" s="103">
        <v>48.631490290836261</v>
      </c>
      <c r="AA84" s="104">
        <v>9.3153332648658292E-3</v>
      </c>
      <c r="AB84" s="104">
        <v>0.35481837081446954</v>
      </c>
      <c r="AC84" s="104">
        <v>0.3235304772853852</v>
      </c>
      <c r="AD84" s="104">
        <v>0.28978062444199715</v>
      </c>
      <c r="AE84" s="94"/>
      <c r="AF84" s="94"/>
      <c r="AG84" s="96"/>
    </row>
    <row r="85" spans="1:33" ht="15.75" thickBot="1">
      <c r="A85" s="32" t="str">
        <f t="shared" si="21"/>
        <v>1978-2020</v>
      </c>
      <c r="B85" s="32"/>
      <c r="F85" s="40"/>
      <c r="L85" s="68">
        <f>((L73/L31)^(1/42)-1)</f>
        <v>0.17251629501751253</v>
      </c>
      <c r="M85" s="40"/>
      <c r="N85" s="40"/>
      <c r="O85" s="40">
        <f>AVERAGE(O31:O73)</f>
        <v>30.476268189428463</v>
      </c>
      <c r="P85" s="28">
        <f>AVERAGE(P31:P73)</f>
        <v>2.01195335323772E-2</v>
      </c>
      <c r="T85" s="28">
        <f>AVERAGE(T31:T73)</f>
        <v>0.26606827748087442</v>
      </c>
      <c r="V85" s="41"/>
      <c r="Y85" s="102" t="s">
        <v>199</v>
      </c>
      <c r="Z85" s="103">
        <v>30.476268189428463</v>
      </c>
      <c r="AA85" s="104">
        <v>2.01195335323772E-2</v>
      </c>
      <c r="AB85" s="104">
        <v>0.26606827748087442</v>
      </c>
      <c r="AC85" s="104">
        <v>0.2668884336948395</v>
      </c>
      <c r="AD85" s="104">
        <v>0.17251629501751253</v>
      </c>
      <c r="AE85" s="94"/>
      <c r="AF85" s="94"/>
      <c r="AG85" s="96"/>
    </row>
    <row r="86" spans="1:33">
      <c r="A86" s="32"/>
      <c r="B86" s="32"/>
      <c r="F86" s="40"/>
      <c r="M86" s="40"/>
      <c r="N86" s="40"/>
      <c r="O86" s="40"/>
      <c r="V86" s="41"/>
      <c r="Y86" s="38"/>
      <c r="Z86" s="36"/>
      <c r="AA86" s="36"/>
      <c r="AB86" s="36"/>
      <c r="AC86" s="96"/>
      <c r="AD86" s="96"/>
      <c r="AE86" s="94"/>
      <c r="AF86" s="94"/>
      <c r="AG86" s="96"/>
    </row>
    <row r="87" spans="1:33">
      <c r="A87" s="32"/>
      <c r="B87" s="32"/>
      <c r="F87" s="40"/>
      <c r="M87" s="40"/>
      <c r="N87" s="40"/>
      <c r="O87" s="40"/>
      <c r="V87" s="41"/>
      <c r="Y87" s="38"/>
      <c r="Z87" s="36"/>
      <c r="AA87" s="36"/>
      <c r="AB87" s="36"/>
      <c r="AC87" s="96"/>
      <c r="AD87" s="96"/>
      <c r="AE87" s="94"/>
      <c r="AF87" s="94"/>
      <c r="AG87" s="96"/>
    </row>
    <row r="88" spans="1:33">
      <c r="A88" s="32"/>
      <c r="B88" s="32"/>
      <c r="F88" s="40"/>
      <c r="M88" s="40"/>
      <c r="N88" s="40"/>
      <c r="O88" s="40"/>
      <c r="V88" s="41"/>
      <c r="Y88" s="38"/>
      <c r="Z88" s="36"/>
      <c r="AA88" s="36"/>
      <c r="AB88" s="36"/>
      <c r="AC88" s="96"/>
      <c r="AD88" s="96"/>
      <c r="AE88" s="94"/>
      <c r="AF88" s="94"/>
      <c r="AG88" s="96"/>
    </row>
    <row r="89" spans="1:33">
      <c r="A89" s="32"/>
      <c r="B89" s="32"/>
      <c r="F89" s="40"/>
      <c r="M89" s="40"/>
      <c r="N89" s="40"/>
      <c r="O89" s="40"/>
      <c r="V89" s="41"/>
      <c r="Y89" s="38"/>
      <c r="Z89" s="36"/>
      <c r="AA89" s="36"/>
      <c r="AB89" s="36"/>
      <c r="AC89" s="96"/>
      <c r="AD89" s="96"/>
      <c r="AE89" s="94"/>
      <c r="AF89" s="94"/>
      <c r="AG89" s="96"/>
    </row>
    <row r="90" spans="1:33">
      <c r="A90" s="32"/>
      <c r="B90" s="32"/>
      <c r="F90" s="40"/>
      <c r="M90" s="40"/>
      <c r="N90" s="40"/>
      <c r="O90" s="40"/>
      <c r="V90" s="41"/>
      <c r="Y90" s="38"/>
      <c r="Z90" s="36"/>
      <c r="AA90" s="36"/>
      <c r="AB90" s="36"/>
      <c r="AC90" s="96"/>
      <c r="AD90" s="96"/>
      <c r="AE90" s="94"/>
      <c r="AF90" s="94"/>
      <c r="AG90" s="96"/>
    </row>
    <row r="91" spans="1:33">
      <c r="A91" s="32"/>
      <c r="B91" s="32"/>
      <c r="F91" s="40"/>
      <c r="M91" s="40"/>
      <c r="N91" s="40"/>
      <c r="O91" s="40"/>
      <c r="V91" s="41"/>
      <c r="Y91" s="38"/>
      <c r="Z91" s="36"/>
      <c r="AA91" s="36"/>
      <c r="AB91" s="36"/>
      <c r="AC91" s="96"/>
      <c r="AD91" s="96"/>
      <c r="AE91" s="94"/>
      <c r="AF91" s="94"/>
      <c r="AG91" s="96"/>
    </row>
    <row r="92" spans="1:33">
      <c r="A92" s="32"/>
      <c r="B92" s="32"/>
      <c r="F92" s="40"/>
      <c r="M92" s="40"/>
      <c r="N92" s="40"/>
      <c r="O92" s="40"/>
      <c r="V92" s="41"/>
      <c r="Y92" s="38"/>
      <c r="Z92" s="36"/>
      <c r="AA92" s="36"/>
      <c r="AB92" s="36"/>
      <c r="AC92" s="96"/>
      <c r="AD92" s="96"/>
      <c r="AE92" s="94"/>
      <c r="AF92" s="94"/>
      <c r="AG92" s="96"/>
    </row>
    <row r="93" spans="1:33">
      <c r="A93" s="32"/>
      <c r="B93" s="32"/>
      <c r="F93" s="40"/>
      <c r="M93" s="40"/>
      <c r="N93" s="40"/>
      <c r="O93" s="40"/>
      <c r="V93" s="41"/>
      <c r="Y93" s="38"/>
      <c r="Z93" s="36"/>
      <c r="AA93" s="36"/>
      <c r="AB93" s="36"/>
      <c r="AC93" s="96"/>
      <c r="AD93" s="96"/>
      <c r="AE93" s="94"/>
      <c r="AF93" s="94"/>
      <c r="AG93" s="96"/>
    </row>
    <row r="94" spans="1:33">
      <c r="A94" s="32"/>
      <c r="B94" s="32"/>
      <c r="F94" s="40"/>
      <c r="M94" s="40"/>
      <c r="N94" s="40"/>
      <c r="O94" s="40"/>
      <c r="V94" s="41"/>
      <c r="Y94" s="38"/>
      <c r="Z94" s="36"/>
      <c r="AA94" s="36"/>
      <c r="AB94" s="36"/>
      <c r="AC94" s="96"/>
      <c r="AD94" s="96"/>
      <c r="AE94" s="94"/>
      <c r="AF94" s="94"/>
      <c r="AG94" s="96"/>
    </row>
    <row r="95" spans="1:33">
      <c r="A95" s="32"/>
      <c r="B95" s="32"/>
      <c r="F95" s="40"/>
      <c r="M95" s="40"/>
      <c r="N95" s="40"/>
      <c r="O95" s="40"/>
      <c r="V95" s="41"/>
      <c r="Y95" s="38"/>
      <c r="Z95" s="36"/>
      <c r="AA95" s="36"/>
      <c r="AB95" s="36"/>
      <c r="AC95" s="96"/>
      <c r="AD95" s="96"/>
      <c r="AE95" s="94"/>
      <c r="AF95" s="94"/>
      <c r="AG95" s="96"/>
    </row>
    <row r="96" spans="1:33">
      <c r="A96" s="32"/>
      <c r="B96" s="32"/>
      <c r="F96" s="40"/>
      <c r="M96" s="40"/>
      <c r="N96" s="40"/>
      <c r="O96" s="40"/>
      <c r="V96" s="41"/>
      <c r="Y96" s="38"/>
      <c r="Z96" s="36"/>
      <c r="AA96" s="36"/>
      <c r="AB96" s="36"/>
      <c r="AC96" s="96"/>
      <c r="AD96" s="96"/>
      <c r="AE96" s="94"/>
      <c r="AF96" s="94"/>
      <c r="AG96" s="96"/>
    </row>
    <row r="97" spans="1:33">
      <c r="A97" s="32"/>
      <c r="B97" s="32"/>
      <c r="F97" s="40"/>
      <c r="M97" s="40"/>
      <c r="N97" s="40"/>
      <c r="O97" s="40"/>
      <c r="V97" s="41"/>
      <c r="Y97" s="38"/>
      <c r="Z97" s="36"/>
      <c r="AA97" s="36"/>
      <c r="AB97" s="36"/>
      <c r="AC97" s="96"/>
      <c r="AD97" s="96"/>
      <c r="AE97" s="94"/>
      <c r="AF97" s="94"/>
      <c r="AG97" s="96"/>
    </row>
    <row r="98" spans="1:33">
      <c r="A98" s="32"/>
      <c r="B98" s="32"/>
      <c r="F98" s="40"/>
      <c r="M98" s="40"/>
      <c r="N98" s="40"/>
      <c r="O98" s="40"/>
      <c r="V98" s="41"/>
      <c r="Y98" s="38"/>
      <c r="Z98" s="36"/>
      <c r="AA98" s="36"/>
      <c r="AB98" s="36"/>
      <c r="AC98" s="96"/>
      <c r="AD98" s="96"/>
      <c r="AE98" s="94"/>
      <c r="AF98" s="94"/>
      <c r="AG98" s="96"/>
    </row>
    <row r="99" spans="1:33">
      <c r="A99" s="32"/>
      <c r="B99" s="32"/>
      <c r="F99" s="40"/>
      <c r="M99" s="40"/>
      <c r="N99" s="40"/>
      <c r="O99" s="40"/>
      <c r="V99" s="41"/>
      <c r="Y99" s="38"/>
      <c r="Z99" s="36"/>
      <c r="AA99" s="36"/>
      <c r="AB99" s="36"/>
      <c r="AC99" s="96"/>
      <c r="AD99" s="96"/>
      <c r="AE99" s="94"/>
      <c r="AF99" s="94"/>
      <c r="AG99" s="96"/>
    </row>
    <row r="100" spans="1:33">
      <c r="A100" s="32"/>
      <c r="B100" s="32"/>
      <c r="F100" s="40"/>
      <c r="M100" s="40"/>
      <c r="N100" s="40"/>
      <c r="O100" s="40"/>
      <c r="V100" s="41"/>
      <c r="Y100" s="38"/>
      <c r="Z100" s="36"/>
      <c r="AA100" s="36"/>
      <c r="AB100" s="36"/>
      <c r="AC100" s="96"/>
      <c r="AD100" s="96"/>
      <c r="AE100" s="94"/>
      <c r="AF100" s="94"/>
      <c r="AG100" s="96"/>
    </row>
    <row r="101" spans="1:33">
      <c r="A101" s="32"/>
      <c r="B101" s="32"/>
      <c r="F101" s="40"/>
      <c r="M101" s="40"/>
      <c r="N101" s="40"/>
      <c r="O101" s="40"/>
      <c r="V101" s="41"/>
      <c r="Y101" s="38"/>
      <c r="Z101" s="36"/>
      <c r="AA101" s="36"/>
      <c r="AB101" s="36"/>
      <c r="AC101" s="96"/>
      <c r="AD101" s="96"/>
      <c r="AE101" s="94"/>
      <c r="AF101" s="94"/>
      <c r="AG101" s="96"/>
    </row>
    <row r="102" spans="1:33">
      <c r="A102" s="32"/>
      <c r="B102" s="32"/>
      <c r="F102" s="40"/>
      <c r="M102" s="40"/>
      <c r="N102" s="40"/>
      <c r="O102" s="40"/>
      <c r="V102" s="41"/>
      <c r="Y102" s="38"/>
      <c r="Z102" s="36"/>
      <c r="AA102" s="36"/>
      <c r="AB102" s="36"/>
      <c r="AC102" s="96"/>
      <c r="AD102" s="96"/>
      <c r="AE102" s="94"/>
      <c r="AF102" s="94"/>
      <c r="AG102" s="96"/>
    </row>
    <row r="103" spans="1:33">
      <c r="A103" s="32"/>
      <c r="B103" s="32"/>
      <c r="F103" s="40"/>
      <c r="M103" s="40"/>
      <c r="N103" s="40"/>
      <c r="O103" s="40"/>
      <c r="V103" s="41"/>
      <c r="Y103" s="38"/>
      <c r="Z103" s="36"/>
      <c r="AA103" s="36"/>
      <c r="AB103" s="36"/>
      <c r="AC103" s="96"/>
      <c r="AD103" s="96"/>
      <c r="AE103" s="94"/>
      <c r="AF103" s="94"/>
      <c r="AG103" s="96"/>
    </row>
    <row r="104" spans="1:33">
      <c r="A104" s="32"/>
      <c r="B104" s="32"/>
      <c r="F104" s="40"/>
      <c r="M104" s="40"/>
      <c r="N104" s="40"/>
      <c r="O104" s="40"/>
      <c r="V104" s="41"/>
      <c r="Y104" s="38"/>
      <c r="Z104" s="36"/>
      <c r="AA104" s="36"/>
      <c r="AB104" s="36"/>
      <c r="AC104" s="96"/>
      <c r="AD104" s="96"/>
      <c r="AE104" s="94"/>
      <c r="AF104" s="94"/>
      <c r="AG104" s="96"/>
    </row>
    <row r="105" spans="1:33">
      <c r="A105" s="32"/>
      <c r="B105" s="32"/>
      <c r="F105" s="40"/>
      <c r="M105" s="40"/>
      <c r="N105" s="40"/>
      <c r="O105" s="40"/>
      <c r="V105" s="41"/>
      <c r="Y105" s="38"/>
      <c r="Z105" s="36"/>
      <c r="AA105" s="36"/>
      <c r="AB105" s="36"/>
      <c r="AC105" s="96"/>
      <c r="AD105" s="96"/>
      <c r="AE105" s="94"/>
      <c r="AF105" s="94"/>
      <c r="AG105" s="96"/>
    </row>
    <row r="106" spans="1:33">
      <c r="A106" s="32"/>
      <c r="B106" s="32"/>
      <c r="F106" s="40"/>
      <c r="M106" s="40"/>
      <c r="N106" s="40"/>
      <c r="O106" s="40"/>
      <c r="V106" s="41"/>
      <c r="Y106" s="38"/>
      <c r="Z106" s="36"/>
      <c r="AA106" s="36"/>
      <c r="AB106" s="36"/>
      <c r="AC106" s="96"/>
      <c r="AD106" s="96"/>
      <c r="AE106" s="94"/>
      <c r="AF106" s="94"/>
      <c r="AG106" s="96"/>
    </row>
    <row r="107" spans="1:33">
      <c r="A107" s="32" t="s">
        <v>126</v>
      </c>
      <c r="B107" s="32">
        <v>30519</v>
      </c>
      <c r="F107" s="40"/>
      <c r="M107" s="40"/>
      <c r="N107" s="40"/>
      <c r="O107" s="40"/>
      <c r="V107" s="41"/>
      <c r="Y107" s="32"/>
      <c r="AC107" s="46"/>
      <c r="AD107" s="46"/>
    </row>
    <row r="108" spans="1:33">
      <c r="A108" s="63">
        <v>31413</v>
      </c>
      <c r="B108" s="32" t="s">
        <v>127</v>
      </c>
      <c r="F108" s="40"/>
      <c r="M108" s="40"/>
      <c r="N108" s="40"/>
      <c r="O108" s="40"/>
      <c r="Y108" s="32"/>
      <c r="AC108" s="46"/>
      <c r="AD108" s="46"/>
    </row>
    <row r="109" spans="1:33">
      <c r="A109" s="27">
        <v>1987</v>
      </c>
      <c r="B109" s="32" t="s">
        <v>127</v>
      </c>
      <c r="Y109" s="32"/>
      <c r="Z109" s="40"/>
      <c r="AC109" s="46"/>
      <c r="AD109" s="46"/>
    </row>
    <row r="110" spans="1:33">
      <c r="A110" s="27">
        <v>1992</v>
      </c>
      <c r="B110" s="32" t="s">
        <v>127</v>
      </c>
      <c r="Y110" s="32"/>
      <c r="Z110" s="40"/>
      <c r="AC110" s="46"/>
      <c r="AD110" s="46"/>
    </row>
    <row r="111" spans="1:33">
      <c r="A111" s="27">
        <v>1994</v>
      </c>
      <c r="B111" s="32" t="s">
        <v>128</v>
      </c>
      <c r="Y111" s="32"/>
      <c r="Z111" s="40"/>
      <c r="AC111" s="46"/>
      <c r="AD111" s="46"/>
    </row>
    <row r="112" spans="1:33">
      <c r="A112" s="27">
        <v>1995</v>
      </c>
      <c r="B112" s="32" t="s">
        <v>129</v>
      </c>
      <c r="Y112" s="32"/>
      <c r="Z112" s="40"/>
      <c r="AC112" s="46"/>
      <c r="AD112" s="46"/>
    </row>
    <row r="114" spans="1:5">
      <c r="A114" s="64" t="s">
        <v>87</v>
      </c>
    </row>
    <row r="115" spans="1:5">
      <c r="A115" s="64" t="s">
        <v>130</v>
      </c>
      <c r="B115" s="27" t="s">
        <v>131</v>
      </c>
      <c r="C115" s="27" t="s">
        <v>132</v>
      </c>
      <c r="D115" s="27" t="s">
        <v>133</v>
      </c>
    </row>
    <row r="116" spans="1:5">
      <c r="A116" s="65">
        <v>38759</v>
      </c>
      <c r="B116" s="66">
        <v>0.12638888888888888</v>
      </c>
      <c r="C116" s="32">
        <v>38832</v>
      </c>
      <c r="D116" s="32">
        <v>38831</v>
      </c>
    </row>
    <row r="117" spans="1:5">
      <c r="A117" s="65">
        <v>36440</v>
      </c>
      <c r="B117" s="66">
        <v>8.4027777777777771E-2</v>
      </c>
      <c r="C117" s="32">
        <v>36469</v>
      </c>
      <c r="D117" s="32">
        <v>36451</v>
      </c>
    </row>
    <row r="118" spans="1:5">
      <c r="A118" s="65">
        <v>34417</v>
      </c>
      <c r="B118" s="66">
        <v>0.20902777777777778</v>
      </c>
      <c r="C118" s="32">
        <v>34450</v>
      </c>
      <c r="D118" s="32">
        <v>34428</v>
      </c>
    </row>
    <row r="119" spans="1:5">
      <c r="A119" s="65">
        <v>33877</v>
      </c>
      <c r="B119" s="66">
        <v>4.2361111111111106E-2</v>
      </c>
      <c r="C119" s="32">
        <v>33914</v>
      </c>
      <c r="D119" s="32">
        <v>33883</v>
      </c>
    </row>
    <row r="120" spans="1:5">
      <c r="A120" s="65">
        <v>32427</v>
      </c>
      <c r="B120" s="66">
        <v>4.2361111111111106E-2</v>
      </c>
      <c r="C120" s="32">
        <v>32478</v>
      </c>
    </row>
    <row r="121" spans="1:5">
      <c r="A121" s="65">
        <v>31647</v>
      </c>
      <c r="B121" s="66">
        <v>4.2361111111111106E-2</v>
      </c>
    </row>
    <row r="122" spans="1:5">
      <c r="A122" s="65">
        <v>29456</v>
      </c>
      <c r="B122" s="67">
        <v>4.2361111111111106E-2</v>
      </c>
    </row>
    <row r="124" spans="1:5">
      <c r="A124" s="27" t="s">
        <v>134</v>
      </c>
    </row>
    <row r="125" spans="1:5">
      <c r="A125" s="27" t="s">
        <v>130</v>
      </c>
      <c r="B125" s="27" t="s">
        <v>135</v>
      </c>
      <c r="C125" s="27" t="s">
        <v>136</v>
      </c>
      <c r="D125" s="27" t="s">
        <v>132</v>
      </c>
      <c r="E125" s="27" t="s">
        <v>137</v>
      </c>
    </row>
    <row r="126" spans="1:5">
      <c r="A126" s="32">
        <v>34544</v>
      </c>
      <c r="B126" s="27">
        <v>100</v>
      </c>
      <c r="C126" s="27">
        <v>10</v>
      </c>
      <c r="E126" s="32">
        <v>34544</v>
      </c>
    </row>
    <row r="127" spans="1:5">
      <c r="A127" s="32">
        <v>38069</v>
      </c>
      <c r="B127" s="27">
        <v>10</v>
      </c>
      <c r="C127" s="27">
        <v>2</v>
      </c>
      <c r="D127" s="32">
        <v>38126</v>
      </c>
      <c r="E127" s="32">
        <v>38118</v>
      </c>
    </row>
    <row r="129" spans="1:8">
      <c r="A129" s="27" t="s">
        <v>138</v>
      </c>
    </row>
    <row r="130" spans="1:8">
      <c r="A130" s="27" t="s">
        <v>130</v>
      </c>
      <c r="B130" s="27" t="s">
        <v>139</v>
      </c>
      <c r="C130" s="27" t="s">
        <v>140</v>
      </c>
      <c r="D130" s="27" t="s">
        <v>141</v>
      </c>
      <c r="E130" s="27" t="s">
        <v>132</v>
      </c>
      <c r="F130" s="27" t="s">
        <v>142</v>
      </c>
      <c r="G130" s="27" t="s">
        <v>143</v>
      </c>
      <c r="H130" s="27" t="s">
        <v>144</v>
      </c>
    </row>
    <row r="131" spans="1:8">
      <c r="A131" s="32">
        <v>34822</v>
      </c>
      <c r="B131" s="66">
        <v>0.20138888888888887</v>
      </c>
      <c r="C131" s="27">
        <v>0</v>
      </c>
      <c r="D131" s="27">
        <v>660</v>
      </c>
      <c r="E131" s="32">
        <v>34760</v>
      </c>
      <c r="F131" s="32">
        <v>34733</v>
      </c>
      <c r="G131" s="27" t="s">
        <v>145</v>
      </c>
      <c r="H131" s="27" t="s">
        <v>145</v>
      </c>
    </row>
    <row r="132" spans="1:8">
      <c r="A132" s="27" t="s">
        <v>146</v>
      </c>
    </row>
    <row r="134" spans="1:8">
      <c r="A134" s="27" t="s">
        <v>147</v>
      </c>
    </row>
    <row r="136" spans="1:8">
      <c r="A136" s="27" t="s">
        <v>148</v>
      </c>
    </row>
    <row r="138" spans="1:8">
      <c r="A138" s="27" t="s">
        <v>130</v>
      </c>
      <c r="B138" s="27" t="s">
        <v>149</v>
      </c>
      <c r="C138" s="27" t="s">
        <v>150</v>
      </c>
      <c r="D138" s="27" t="s">
        <v>51</v>
      </c>
      <c r="E138" s="27" t="s">
        <v>10</v>
      </c>
    </row>
    <row r="139" spans="1:8">
      <c r="A139" s="32">
        <v>36007</v>
      </c>
      <c r="C139" s="27" t="s">
        <v>151</v>
      </c>
      <c r="D139" s="68">
        <v>0.55000000000000004</v>
      </c>
    </row>
    <row r="140" spans="1:8">
      <c r="A140" s="32">
        <v>36363</v>
      </c>
      <c r="C140" s="27" t="s">
        <v>151</v>
      </c>
      <c r="D140" s="68">
        <v>0.75</v>
      </c>
      <c r="E140" s="27" t="s">
        <v>152</v>
      </c>
    </row>
    <row r="141" spans="1:8">
      <c r="A141" s="32">
        <v>36613</v>
      </c>
      <c r="C141" s="27" t="s">
        <v>153</v>
      </c>
      <c r="D141" s="68">
        <v>0.55000000000000004</v>
      </c>
    </row>
    <row r="142" spans="1:8">
      <c r="A142" s="32">
        <v>37091</v>
      </c>
      <c r="B142" s="32">
        <v>37109</v>
      </c>
      <c r="C142" s="27" t="s">
        <v>151</v>
      </c>
      <c r="D142" s="68">
        <v>0.45</v>
      </c>
      <c r="E142" s="27" t="s">
        <v>154</v>
      </c>
    </row>
    <row r="143" spans="1:8">
      <c r="A143" s="32">
        <v>37461</v>
      </c>
      <c r="B143" s="32">
        <v>37482</v>
      </c>
      <c r="C143" s="27" t="s">
        <v>151</v>
      </c>
      <c r="D143" s="68">
        <v>0.7</v>
      </c>
      <c r="E143" s="27" t="s">
        <v>154</v>
      </c>
    </row>
    <row r="144" spans="1:8">
      <c r="A144" s="32">
        <v>37817</v>
      </c>
      <c r="B144" s="32">
        <v>37855</v>
      </c>
      <c r="C144" s="27" t="s">
        <v>151</v>
      </c>
      <c r="D144" s="68">
        <v>1</v>
      </c>
      <c r="E144" s="27" t="s">
        <v>154</v>
      </c>
    </row>
    <row r="145" spans="1:5">
      <c r="A145" s="32">
        <v>38194</v>
      </c>
      <c r="B145" s="32">
        <v>38218</v>
      </c>
      <c r="C145" s="27" t="s">
        <v>151</v>
      </c>
      <c r="D145" s="68">
        <v>1.5</v>
      </c>
      <c r="E145" s="27" t="s">
        <v>154</v>
      </c>
    </row>
    <row r="146" spans="1:5">
      <c r="A146" s="32">
        <v>38555</v>
      </c>
      <c r="B146" s="32">
        <v>38583</v>
      </c>
      <c r="C146" s="27" t="s">
        <v>151</v>
      </c>
      <c r="D146" s="68">
        <v>1.75</v>
      </c>
      <c r="E146" s="27" t="s">
        <v>154</v>
      </c>
    </row>
    <row r="147" spans="1:5">
      <c r="A147" s="32">
        <v>38919</v>
      </c>
      <c r="B147" s="32">
        <v>38947</v>
      </c>
      <c r="C147" s="27" t="s">
        <v>151</v>
      </c>
      <c r="D147" s="68">
        <v>1</v>
      </c>
      <c r="E147" s="27" t="s">
        <v>154</v>
      </c>
    </row>
    <row r="148" spans="1:5">
      <c r="A148" s="32">
        <v>39283</v>
      </c>
      <c r="B148" s="32">
        <v>39302</v>
      </c>
      <c r="C148" s="27" t="s">
        <v>151</v>
      </c>
      <c r="D148" s="68">
        <v>1</v>
      </c>
      <c r="E148" s="27" t="s">
        <v>154</v>
      </c>
    </row>
    <row r="149" spans="1:5">
      <c r="A149" s="32">
        <v>39647</v>
      </c>
      <c r="B149" s="32">
        <v>39672</v>
      </c>
      <c r="C149" s="27" t="s">
        <v>151</v>
      </c>
      <c r="D149" s="68">
        <v>1</v>
      </c>
      <c r="E149" s="27" t="s">
        <v>154</v>
      </c>
    </row>
    <row r="150" spans="1:5">
      <c r="A150" s="32">
        <v>40009</v>
      </c>
      <c r="B150" s="32">
        <v>40035</v>
      </c>
      <c r="C150" s="27" t="s">
        <v>151</v>
      </c>
      <c r="D150" s="68">
        <v>1</v>
      </c>
    </row>
    <row r="151" spans="1:5">
      <c r="A151" s="32">
        <v>40344</v>
      </c>
      <c r="B151" s="32">
        <v>40382</v>
      </c>
      <c r="C151" s="27" t="s">
        <v>151</v>
      </c>
      <c r="D151" s="68">
        <v>1</v>
      </c>
    </row>
    <row r="152" spans="1:5">
      <c r="A152" s="32">
        <v>40415</v>
      </c>
      <c r="B152" s="32">
        <v>40424</v>
      </c>
      <c r="C152" s="27" t="s">
        <v>153</v>
      </c>
      <c r="D152" s="68">
        <v>0.4</v>
      </c>
      <c r="E152" s="27" t="s">
        <v>155</v>
      </c>
    </row>
    <row r="153" spans="1:5">
      <c r="A153" s="32">
        <v>40723</v>
      </c>
      <c r="B153" s="32">
        <v>40764</v>
      </c>
      <c r="C153" s="27" t="s">
        <v>151</v>
      </c>
      <c r="D153" s="68">
        <v>1</v>
      </c>
    </row>
    <row r="154" spans="1:5">
      <c r="A154" s="32">
        <v>41067</v>
      </c>
      <c r="B154" s="32">
        <v>41122</v>
      </c>
      <c r="C154" s="27" t="s">
        <v>151</v>
      </c>
      <c r="D154" s="68">
        <v>1</v>
      </c>
    </row>
    <row r="155" spans="1:5">
      <c r="A155" s="32">
        <v>41423</v>
      </c>
      <c r="B155" s="32">
        <v>41492</v>
      </c>
      <c r="C155" s="27" t="s">
        <v>151</v>
      </c>
      <c r="D155" s="68">
        <v>1</v>
      </c>
      <c r="E155" s="27" t="s">
        <v>156</v>
      </c>
    </row>
    <row r="156" spans="1:5">
      <c r="A156" s="32">
        <v>41788</v>
      </c>
      <c r="B156" s="32">
        <v>41857</v>
      </c>
      <c r="C156" s="27" t="s">
        <v>151</v>
      </c>
      <c r="D156" s="68">
        <v>1</v>
      </c>
      <c r="E156" s="27" t="s">
        <v>156</v>
      </c>
    </row>
    <row r="157" spans="1:5">
      <c r="A157" s="32">
        <v>42153</v>
      </c>
      <c r="B157" s="32">
        <v>42227</v>
      </c>
      <c r="C157" s="27" t="s">
        <v>151</v>
      </c>
      <c r="D157" s="68">
        <v>1</v>
      </c>
      <c r="E157" s="27" t="s">
        <v>156</v>
      </c>
    </row>
    <row r="158" spans="1:5">
      <c r="A158" s="32">
        <v>42514</v>
      </c>
      <c r="B158" s="32">
        <v>42625</v>
      </c>
      <c r="C158" s="27" t="s">
        <v>151</v>
      </c>
      <c r="D158" s="68">
        <v>1</v>
      </c>
      <c r="E158" s="27" t="s">
        <v>156</v>
      </c>
    </row>
    <row r="159" spans="1:5">
      <c r="A159" s="32">
        <v>42880</v>
      </c>
      <c r="B159" s="32">
        <v>42942</v>
      </c>
      <c r="C159" s="27" t="s">
        <v>151</v>
      </c>
      <c r="D159" s="68">
        <v>1</v>
      </c>
      <c r="E159" s="27" t="s">
        <v>156</v>
      </c>
    </row>
    <row r="160" spans="1:5">
      <c r="A160" s="32">
        <v>43242</v>
      </c>
      <c r="B160" s="32">
        <v>43325</v>
      </c>
      <c r="C160" s="27" t="s">
        <v>151</v>
      </c>
      <c r="D160" s="68">
        <v>1.5</v>
      </c>
      <c r="E160" s="27" t="s">
        <v>157</v>
      </c>
    </row>
    <row r="161" spans="1:5">
      <c r="A161" s="32">
        <v>43607</v>
      </c>
      <c r="B161" s="32">
        <v>43677</v>
      </c>
      <c r="C161" s="27" t="s">
        <v>151</v>
      </c>
      <c r="D161" s="68">
        <v>1.5</v>
      </c>
      <c r="E161" s="27" t="s">
        <v>157</v>
      </c>
    </row>
    <row r="162" spans="1:5">
      <c r="A162" s="32">
        <v>43881</v>
      </c>
      <c r="B162" s="32">
        <v>43909</v>
      </c>
      <c r="C162" s="27" t="s">
        <v>153</v>
      </c>
      <c r="D162" s="68">
        <v>1.5</v>
      </c>
      <c r="E162" s="27" t="s">
        <v>158</v>
      </c>
    </row>
    <row r="163" spans="1:5">
      <c r="A163" s="32">
        <v>43882</v>
      </c>
      <c r="B163" s="32">
        <v>43909</v>
      </c>
      <c r="C163" s="27" t="s">
        <v>159</v>
      </c>
      <c r="D163" s="68">
        <v>0.5</v>
      </c>
      <c r="E163" s="27" t="s">
        <v>160</v>
      </c>
    </row>
  </sheetData>
  <dataValidations count="1">
    <dataValidation type="list" allowBlank="1" showInputMessage="1" showErrorMessage="1" sqref="AC78:AC79">
      <formula1>$Y$30:$Y$73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Birtannia 1991 onwards BSE Mont</vt:lpstr>
      <vt:lpstr>Old Working Bonus and Divid</vt:lpstr>
      <vt:lpstr>Britannia past 01</vt:lpstr>
    </vt:vector>
  </TitlesOfParts>
  <Company>Wondershare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Dhiraj</cp:lastModifiedBy>
  <dcterms:created xsi:type="dcterms:W3CDTF">2011-06-22T11:27:57Z</dcterms:created>
  <dcterms:modified xsi:type="dcterms:W3CDTF">2020-08-31T14:20:26Z</dcterms:modified>
</cp:coreProperties>
</file>