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1"/>
  </bookViews>
  <sheets>
    <sheet name="Consolidated" sheetId="1" r:id="rId1"/>
    <sheet name="Peers" sheetId="2" r:id="rId2"/>
  </sheets>
  <calcPr calcId="152511"/>
</workbook>
</file>

<file path=xl/calcChain.xml><?xml version="1.0" encoding="utf-8"?>
<calcChain xmlns="http://schemas.openxmlformats.org/spreadsheetml/2006/main">
  <c r="T32" i="1" l="1"/>
  <c r="T39" i="1"/>
  <c r="T31" i="1"/>
  <c r="U3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7" i="1"/>
  <c r="V25" i="1"/>
  <c r="U25" i="1"/>
  <c r="T25" i="1"/>
  <c r="T23" i="1"/>
  <c r="T20" i="1"/>
  <c r="T18" i="1"/>
  <c r="T17" i="1"/>
  <c r="T15" i="1"/>
  <c r="T14" i="1"/>
  <c r="T13" i="1"/>
  <c r="T12" i="1"/>
  <c r="T11" i="1"/>
  <c r="T16" i="1" s="1"/>
  <c r="T19" i="1" s="1"/>
  <c r="T21" i="1" s="1"/>
  <c r="T24" i="1" s="1"/>
  <c r="T10" i="1"/>
  <c r="T8" i="1"/>
  <c r="T7" i="1"/>
  <c r="AF50" i="1" l="1"/>
  <c r="AF52" i="1"/>
  <c r="AF53" i="1" s="1"/>
  <c r="AE50" i="1"/>
  <c r="AF49" i="1"/>
  <c r="AF47" i="1"/>
  <c r="AF46" i="1"/>
  <c r="AF45" i="1"/>
  <c r="AE49" i="1"/>
  <c r="AE47" i="1"/>
  <c r="AE46" i="1"/>
  <c r="AE45" i="1"/>
  <c r="AA55" i="1" l="1"/>
  <c r="Z55" i="1"/>
  <c r="Z53" i="1"/>
  <c r="AA53" i="1"/>
  <c r="Y25" i="2"/>
  <c r="Y24" i="2"/>
  <c r="Y23" i="2"/>
  <c r="Y22" i="2"/>
  <c r="Z10" i="2"/>
  <c r="Z20" i="2"/>
  <c r="Z19" i="2"/>
  <c r="Z9" i="2"/>
  <c r="Z17" i="2" s="1"/>
  <c r="Z16" i="2"/>
  <c r="Z15" i="2"/>
  <c r="Y21" i="2"/>
  <c r="Z21" i="2"/>
  <c r="Y20" i="2"/>
  <c r="Y16" i="2"/>
  <c r="Y15" i="2"/>
  <c r="Y19" i="2"/>
  <c r="Y17" i="2"/>
  <c r="Y14" i="2"/>
  <c r="Y13" i="2"/>
  <c r="Y12" i="2"/>
  <c r="Y11" i="2"/>
  <c r="Z14" i="2"/>
  <c r="Z13" i="2"/>
  <c r="Z12" i="2"/>
  <c r="Z11" i="2"/>
  <c r="W22" i="2"/>
  <c r="U20" i="2"/>
  <c r="S20" i="2"/>
  <c r="X13" i="2"/>
  <c r="X11" i="2"/>
  <c r="X9" i="2"/>
  <c r="W15" i="2"/>
  <c r="X15" i="2" s="1"/>
  <c r="X16" i="2" s="1"/>
  <c r="W13" i="2"/>
  <c r="W11" i="2"/>
  <c r="W9" i="2"/>
  <c r="W10" i="2" s="1"/>
  <c r="U25" i="2"/>
  <c r="U24" i="2"/>
  <c r="U23" i="2"/>
  <c r="V9" i="2"/>
  <c r="V16" i="2"/>
  <c r="V14" i="2"/>
  <c r="V13" i="2"/>
  <c r="V12" i="2"/>
  <c r="V11" i="2"/>
  <c r="V17" i="2" s="1"/>
  <c r="U16" i="2"/>
  <c r="U15" i="2"/>
  <c r="U21" i="2"/>
  <c r="U19" i="2"/>
  <c r="U17" i="2"/>
  <c r="U14" i="2"/>
  <c r="U13" i="2"/>
  <c r="U12" i="2"/>
  <c r="U11" i="2"/>
  <c r="U10" i="2"/>
  <c r="S23" i="2"/>
  <c r="S25" i="2" s="1"/>
  <c r="S22" i="2"/>
  <c r="T10" i="2"/>
  <c r="S16" i="2"/>
  <c r="S15" i="2"/>
  <c r="T16" i="2"/>
  <c r="T20" i="2" s="1"/>
  <c r="T15" i="2"/>
  <c r="T9" i="2"/>
  <c r="T19" i="2" s="1"/>
  <c r="S21" i="2"/>
  <c r="T21" i="2"/>
  <c r="S19" i="2"/>
  <c r="S17" i="2"/>
  <c r="S14" i="2"/>
  <c r="S13" i="2"/>
  <c r="S12" i="2"/>
  <c r="S18" i="2" s="1"/>
  <c r="S11" i="2"/>
  <c r="T12" i="2"/>
  <c r="T18" i="2"/>
  <c r="T14" i="2"/>
  <c r="T13" i="2"/>
  <c r="T11" i="2"/>
  <c r="Q23" i="2"/>
  <c r="Q25" i="2" s="1"/>
  <c r="Q22" i="2"/>
  <c r="R16" i="2"/>
  <c r="R20" i="2" s="1"/>
  <c r="R15" i="2"/>
  <c r="Q10" i="2"/>
  <c r="Q20" i="2"/>
  <c r="Q16" i="2"/>
  <c r="W16" i="2" l="1"/>
  <c r="W23" i="2"/>
  <c r="V20" i="2"/>
  <c r="V19" i="2"/>
  <c r="V21" i="2"/>
  <c r="S24" i="2"/>
  <c r="T17" i="2"/>
  <c r="Q24" i="2"/>
  <c r="Q14" i="2"/>
  <c r="Q21" i="2"/>
  <c r="R21" i="2"/>
  <c r="R13" i="2"/>
  <c r="Q13" i="2"/>
  <c r="Q12" i="2"/>
  <c r="Q11" i="2"/>
  <c r="Q17" i="2" s="1"/>
  <c r="R19" i="2"/>
  <c r="R17" i="2"/>
  <c r="R12" i="2"/>
  <c r="R18" i="2" s="1"/>
  <c r="R10" i="2"/>
  <c r="O23" i="2"/>
  <c r="O22" i="2"/>
  <c r="O25" i="2"/>
  <c r="O24" i="2"/>
  <c r="P20" i="2"/>
  <c r="P19" i="2"/>
  <c r="P17" i="2"/>
  <c r="P16" i="2"/>
  <c r="P15" i="2"/>
  <c r="P14" i="2"/>
  <c r="P13" i="2"/>
  <c r="P12" i="2"/>
  <c r="P11" i="2"/>
  <c r="P18" i="2" s="1"/>
  <c r="O20" i="2"/>
  <c r="O21" i="2"/>
  <c r="O13" i="2"/>
  <c r="O19" i="2"/>
  <c r="O17" i="2"/>
  <c r="O16" i="2"/>
  <c r="O15" i="2"/>
  <c r="O14" i="2"/>
  <c r="O12" i="2"/>
  <c r="O18" i="2" s="1"/>
  <c r="O11" i="2"/>
  <c r="P10" i="2"/>
  <c r="P9" i="2"/>
  <c r="M22" i="2"/>
  <c r="M17" i="2"/>
  <c r="N15" i="2"/>
  <c r="N16" i="2" s="1"/>
  <c r="M23" i="2" s="1"/>
  <c r="M15" i="2"/>
  <c r="M16" i="2" s="1"/>
  <c r="M20" i="2" s="1"/>
  <c r="N19" i="2"/>
  <c r="M19" i="2"/>
  <c r="N13" i="2"/>
  <c r="M13" i="2"/>
  <c r="N14" i="2"/>
  <c r="M14" i="2"/>
  <c r="N12" i="2"/>
  <c r="N21" i="2" s="1"/>
  <c r="M12" i="2"/>
  <c r="M21" i="2" s="1"/>
  <c r="N11" i="2"/>
  <c r="M11" i="2"/>
  <c r="M10" i="2"/>
  <c r="N9" i="2"/>
  <c r="N10" i="2" s="1"/>
  <c r="L19" i="2"/>
  <c r="L17" i="2"/>
  <c r="L16" i="2"/>
  <c r="L20" i="2" s="1"/>
  <c r="K16" i="2"/>
  <c r="L15" i="2"/>
  <c r="K15" i="2"/>
  <c r="K13" i="2"/>
  <c r="K12" i="2"/>
  <c r="L13" i="2"/>
  <c r="L12" i="2"/>
  <c r="L18" i="2" s="1"/>
  <c r="K22" i="2"/>
  <c r="K23" i="2" s="1"/>
  <c r="K25" i="2" s="1"/>
  <c r="I23" i="2"/>
  <c r="I25" i="2" s="1"/>
  <c r="I12" i="2"/>
  <c r="I20" i="2" s="1"/>
  <c r="I11" i="2"/>
  <c r="I17" i="2"/>
  <c r="I14" i="2"/>
  <c r="I13" i="2"/>
  <c r="J12" i="2"/>
  <c r="J21" i="2" s="1"/>
  <c r="J19" i="2"/>
  <c r="Z18" i="2"/>
  <c r="Y18" i="2"/>
  <c r="V18" i="2"/>
  <c r="U18" i="2"/>
  <c r="J17" i="2"/>
  <c r="G23" i="2"/>
  <c r="G25" i="2" s="1"/>
  <c r="G19" i="2"/>
  <c r="G17" i="2"/>
  <c r="G14" i="2"/>
  <c r="G13" i="2"/>
  <c r="G12" i="2"/>
  <c r="G11" i="2"/>
  <c r="H14" i="2"/>
  <c r="H13" i="2"/>
  <c r="H12" i="2"/>
  <c r="H19" i="2" s="1"/>
  <c r="H11" i="2"/>
  <c r="H17" i="2" s="1"/>
  <c r="AI19" i="1"/>
  <c r="W25" i="2" l="1"/>
  <c r="Q18" i="2"/>
  <c r="P21" i="2"/>
  <c r="M25" i="2"/>
  <c r="M24" i="2"/>
  <c r="N17" i="2"/>
  <c r="N20" i="2"/>
  <c r="J18" i="2"/>
  <c r="J20" i="2"/>
  <c r="I24" i="2"/>
  <c r="K21" i="2"/>
  <c r="L21" i="2"/>
  <c r="M18" i="2"/>
  <c r="K24" i="2"/>
  <c r="N18" i="2"/>
  <c r="K20" i="2"/>
  <c r="K18" i="2"/>
  <c r="I18" i="2"/>
  <c r="I21" i="2"/>
  <c r="G24" i="2"/>
  <c r="G21" i="2"/>
  <c r="H18" i="2"/>
  <c r="I19" i="2"/>
  <c r="H21" i="2"/>
  <c r="G18" i="2"/>
  <c r="Z63" i="1"/>
  <c r="V55" i="1"/>
  <c r="U55" i="1"/>
  <c r="V53" i="1"/>
  <c r="U53" i="1"/>
  <c r="S55" i="1"/>
  <c r="R55" i="1"/>
  <c r="S61" i="1"/>
  <c r="S53" i="1"/>
  <c r="R61" i="1"/>
  <c r="R53" i="1"/>
  <c r="P35" i="1"/>
  <c r="Q35" i="1"/>
  <c r="V35" i="1"/>
  <c r="U35" i="1"/>
  <c r="X17" i="2" s="1"/>
  <c r="R35" i="1"/>
  <c r="S35" i="1"/>
  <c r="W17" i="2" s="1"/>
  <c r="AF12" i="1" l="1"/>
  <c r="AF19" i="1" s="1"/>
  <c r="S62" i="1"/>
  <c r="R62" i="1"/>
  <c r="S60" i="1"/>
  <c r="R60" i="1"/>
  <c r="S56" i="1"/>
  <c r="R56" i="1"/>
  <c r="S54" i="1"/>
  <c r="R54" i="1"/>
  <c r="R52" i="1"/>
  <c r="S52" i="1"/>
  <c r="L49" i="1"/>
  <c r="M49" i="1"/>
  <c r="L46" i="1"/>
  <c r="M46" i="1"/>
  <c r="L45" i="1"/>
  <c r="M45" i="1"/>
  <c r="L15" i="1"/>
  <c r="M15" i="1"/>
  <c r="M13" i="1"/>
  <c r="L13" i="1"/>
  <c r="L12" i="1"/>
  <c r="L37" i="1" s="1"/>
  <c r="M12" i="1"/>
  <c r="L41" i="1"/>
  <c r="M41" i="1"/>
  <c r="L43" i="1"/>
  <c r="M43" i="1"/>
  <c r="L42" i="1"/>
  <c r="M42" i="1"/>
  <c r="L38" i="1"/>
  <c r="L35" i="1"/>
  <c r="M38" i="1"/>
  <c r="M37" i="1"/>
  <c r="M35" i="1"/>
  <c r="M27" i="1"/>
  <c r="L27" i="1"/>
  <c r="M26" i="1"/>
  <c r="L26" i="1"/>
  <c r="M23" i="1"/>
  <c r="L23" i="1"/>
  <c r="L20" i="1"/>
  <c r="M20" i="1"/>
  <c r="L18" i="1"/>
  <c r="M18" i="1"/>
  <c r="L17" i="1"/>
  <c r="M17" i="1"/>
  <c r="L14" i="1"/>
  <c r="M14" i="1"/>
  <c r="L11" i="1"/>
  <c r="L36" i="1" s="1"/>
  <c r="M11" i="1"/>
  <c r="M36" i="1" s="1"/>
  <c r="L10" i="1"/>
  <c r="M10" i="1"/>
  <c r="L8" i="1"/>
  <c r="M8" i="1"/>
  <c r="L7" i="1"/>
  <c r="M7" i="1"/>
  <c r="O49" i="1"/>
  <c r="P49" i="1"/>
  <c r="Q49" i="1"/>
  <c r="R49" i="1"/>
  <c r="S49" i="1"/>
  <c r="N49" i="1"/>
  <c r="O46" i="1"/>
  <c r="P46" i="1"/>
  <c r="Q46" i="1"/>
  <c r="R46" i="1"/>
  <c r="S46" i="1"/>
  <c r="N46" i="1"/>
  <c r="S45" i="1"/>
  <c r="R45" i="1"/>
  <c r="Q45" i="1"/>
  <c r="P45" i="1"/>
  <c r="O45" i="1"/>
  <c r="N45" i="1"/>
  <c r="N7" i="1"/>
  <c r="O7" i="1"/>
  <c r="O43" i="1"/>
  <c r="N43" i="1"/>
  <c r="O42" i="1"/>
  <c r="N42" i="1"/>
  <c r="N41" i="1"/>
  <c r="O41" i="1"/>
  <c r="N38" i="1"/>
  <c r="N37" i="1"/>
  <c r="O38" i="1"/>
  <c r="O37" i="1"/>
  <c r="O35" i="1"/>
  <c r="O27" i="1"/>
  <c r="N27" i="1"/>
  <c r="O26" i="1"/>
  <c r="N26" i="1"/>
  <c r="N23" i="1"/>
  <c r="O23" i="1"/>
  <c r="O22" i="1"/>
  <c r="N22" i="1"/>
  <c r="N20" i="1"/>
  <c r="O20" i="1"/>
  <c r="O18" i="1"/>
  <c r="N18" i="1"/>
  <c r="N17" i="1"/>
  <c r="O17" i="1"/>
  <c r="N15" i="1"/>
  <c r="O15" i="1"/>
  <c r="N13" i="1"/>
  <c r="O13" i="1"/>
  <c r="N12" i="1"/>
  <c r="O12" i="1"/>
  <c r="N14" i="1"/>
  <c r="O14" i="1"/>
  <c r="N11" i="1"/>
  <c r="N30" i="1" s="1"/>
  <c r="N10" i="1"/>
  <c r="O11" i="1"/>
  <c r="O36" i="1" s="1"/>
  <c r="O10" i="1"/>
  <c r="N8" i="1"/>
  <c r="O8" i="1"/>
  <c r="P43" i="1"/>
  <c r="Q43" i="1"/>
  <c r="P42" i="1"/>
  <c r="Q42" i="1"/>
  <c r="P41" i="1"/>
  <c r="Q41" i="1"/>
  <c r="P28" i="1"/>
  <c r="Q27" i="1"/>
  <c r="P27" i="1"/>
  <c r="Q26" i="1"/>
  <c r="P26" i="1"/>
  <c r="Q22" i="1"/>
  <c r="P22" i="1"/>
  <c r="Q23" i="1"/>
  <c r="P23" i="1"/>
  <c r="Q20" i="1"/>
  <c r="P20" i="1"/>
  <c r="Q18" i="1"/>
  <c r="P18" i="1"/>
  <c r="P17" i="1"/>
  <c r="Q17" i="1"/>
  <c r="Q7" i="1"/>
  <c r="P7" i="1"/>
  <c r="Q15" i="1"/>
  <c r="P13" i="1"/>
  <c r="Q13" i="1"/>
  <c r="Q38" i="1" s="1"/>
  <c r="Q12" i="1"/>
  <c r="P12" i="1"/>
  <c r="P37" i="1" s="1"/>
  <c r="P14" i="1"/>
  <c r="Q14" i="1"/>
  <c r="P10" i="1"/>
  <c r="Q10" i="1"/>
  <c r="P8" i="1"/>
  <c r="Q8" i="1"/>
  <c r="Q11" i="1" s="1"/>
  <c r="R43" i="1"/>
  <c r="S43" i="1"/>
  <c r="R42" i="1"/>
  <c r="S42" i="1"/>
  <c r="R41" i="1"/>
  <c r="S41" i="1"/>
  <c r="Z5" i="1"/>
  <c r="Z7" i="1"/>
  <c r="L30" i="1" l="1"/>
  <c r="O16" i="1"/>
  <c r="N16" i="1"/>
  <c r="M30" i="1"/>
  <c r="O30" i="1"/>
  <c r="N36" i="1"/>
  <c r="M16" i="1"/>
  <c r="L16" i="1"/>
  <c r="L47" i="1" s="1"/>
  <c r="N35" i="1"/>
  <c r="Q30" i="1"/>
  <c r="Q36" i="1"/>
  <c r="Q16" i="1"/>
  <c r="P11" i="1"/>
  <c r="P15" i="1"/>
  <c r="P16" i="1" s="1"/>
  <c r="P38" i="1"/>
  <c r="Q37" i="1"/>
  <c r="U7" i="1"/>
  <c r="V7" i="1"/>
  <c r="V27" i="1"/>
  <c r="V26" i="1"/>
  <c r="V23" i="1"/>
  <c r="U23" i="1"/>
  <c r="V20" i="1"/>
  <c r="U20" i="1"/>
  <c r="V18" i="1"/>
  <c r="U18" i="1"/>
  <c r="V17" i="1"/>
  <c r="U17" i="1"/>
  <c r="V15" i="1"/>
  <c r="U15" i="1"/>
  <c r="V14" i="1"/>
  <c r="U14" i="1"/>
  <c r="V13" i="1"/>
  <c r="V38" i="1" s="1"/>
  <c r="U13" i="1"/>
  <c r="V12" i="1"/>
  <c r="U12" i="1"/>
  <c r="U10" i="1"/>
  <c r="U38" i="1"/>
  <c r="V10" i="1"/>
  <c r="U8" i="1"/>
  <c r="U11" i="1" s="1"/>
  <c r="U16" i="1" s="1"/>
  <c r="V8" i="1"/>
  <c r="V11" i="1" s="1"/>
  <c r="V36" i="1" s="1"/>
  <c r="R15" i="1"/>
  <c r="S13" i="1"/>
  <c r="S38" i="1" s="1"/>
  <c r="R13" i="1"/>
  <c r="R38" i="1" s="1"/>
  <c r="S12" i="1"/>
  <c r="R12" i="1"/>
  <c r="R37" i="1" s="1"/>
  <c r="S7" i="1"/>
  <c r="S37" i="1" s="1"/>
  <c r="S27" i="1"/>
  <c r="R27" i="1"/>
  <c r="S26" i="1"/>
  <c r="R26" i="1"/>
  <c r="S23" i="1"/>
  <c r="R23" i="1"/>
  <c r="R22" i="1"/>
  <c r="S20" i="1"/>
  <c r="R20" i="1"/>
  <c r="S18" i="1"/>
  <c r="R18" i="1"/>
  <c r="S17" i="1"/>
  <c r="R17" i="1"/>
  <c r="S14" i="1"/>
  <c r="R14" i="1"/>
  <c r="S10" i="1"/>
  <c r="R10" i="1"/>
  <c r="R8" i="1"/>
  <c r="S8" i="1"/>
  <c r="Q39" i="1" l="1"/>
  <c r="Q47" i="1"/>
  <c r="Q19" i="1"/>
  <c r="Q21" i="1" s="1"/>
  <c r="N39" i="1"/>
  <c r="N47" i="1"/>
  <c r="N31" i="1"/>
  <c r="N19" i="1"/>
  <c r="N21" i="1" s="1"/>
  <c r="P31" i="1"/>
  <c r="P39" i="1"/>
  <c r="P19" i="1"/>
  <c r="P21" i="1" s="1"/>
  <c r="P47" i="1"/>
  <c r="O39" i="1"/>
  <c r="O47" i="1"/>
  <c r="O31" i="1"/>
  <c r="O19" i="1"/>
  <c r="O21" i="1" s="1"/>
  <c r="M19" i="1"/>
  <c r="M21" i="1" s="1"/>
  <c r="M33" i="1" s="1"/>
  <c r="M47" i="1"/>
  <c r="M39" i="1"/>
  <c r="U39" i="1"/>
  <c r="M31" i="1"/>
  <c r="L39" i="1"/>
  <c r="L19" i="1"/>
  <c r="L21" i="1" s="1"/>
  <c r="L31" i="1"/>
  <c r="U19" i="1"/>
  <c r="U21" i="1" s="1"/>
  <c r="V37" i="1"/>
  <c r="P30" i="1"/>
  <c r="P36" i="1"/>
  <c r="R11" i="1"/>
  <c r="S15" i="1"/>
  <c r="S11" i="1"/>
  <c r="S36" i="1" s="1"/>
  <c r="Q31" i="1"/>
  <c r="V30" i="1"/>
  <c r="V16" i="1"/>
  <c r="V39" i="1" s="1"/>
  <c r="U37" i="1"/>
  <c r="U30" i="1"/>
  <c r="U36" i="1"/>
  <c r="N33" i="1" l="1"/>
  <c r="N24" i="1"/>
  <c r="X19" i="2"/>
  <c r="X12" i="2"/>
  <c r="Q24" i="1"/>
  <c r="Q33" i="1"/>
  <c r="P24" i="1"/>
  <c r="P33" i="1"/>
  <c r="O33" i="1"/>
  <c r="O24" i="1"/>
  <c r="M24" i="1"/>
  <c r="L24" i="1"/>
  <c r="L33" i="1"/>
  <c r="R36" i="1"/>
  <c r="R30" i="1"/>
  <c r="R16" i="1"/>
  <c r="S30" i="1"/>
  <c r="S16" i="1"/>
  <c r="U33" i="1"/>
  <c r="U24" i="1"/>
  <c r="V31" i="1"/>
  <c r="V19" i="1"/>
  <c r="V21" i="1" s="1"/>
  <c r="W12" i="2" l="1"/>
  <c r="S39" i="1"/>
  <c r="W19" i="2" s="1"/>
  <c r="S63" i="1"/>
  <c r="S64" i="1" s="1"/>
  <c r="S47" i="1"/>
  <c r="R63" i="1"/>
  <c r="R64" i="1" s="1"/>
  <c r="R39" i="1"/>
  <c r="R47" i="1"/>
  <c r="P48" i="1"/>
  <c r="P32" i="1"/>
  <c r="Q48" i="1"/>
  <c r="Q32" i="1"/>
  <c r="U32" i="1"/>
  <c r="L32" i="1"/>
  <c r="L48" i="1"/>
  <c r="X21" i="2"/>
  <c r="X20" i="2"/>
  <c r="X18" i="2"/>
  <c r="W24" i="2"/>
  <c r="M32" i="1"/>
  <c r="M48" i="1"/>
  <c r="O48" i="1"/>
  <c r="O32" i="1"/>
  <c r="N32" i="1"/>
  <c r="N48" i="1"/>
  <c r="S19" i="1"/>
  <c r="S21" i="1" s="1"/>
  <c r="S31" i="1"/>
  <c r="R31" i="1"/>
  <c r="R19" i="1"/>
  <c r="V24" i="1"/>
  <c r="V32" i="1" s="1"/>
  <c r="V33" i="1"/>
  <c r="W20" i="2" l="1"/>
  <c r="W21" i="2"/>
  <c r="W18" i="2"/>
  <c r="X14" i="2"/>
  <c r="S24" i="1"/>
  <c r="S33" i="1"/>
  <c r="R21" i="1"/>
  <c r="R33" i="1" s="1"/>
  <c r="S32" i="1" l="1"/>
  <c r="W14" i="2"/>
  <c r="S48" i="1"/>
  <c r="R24" i="1"/>
  <c r="R32" i="1" l="1"/>
  <c r="R48" i="1"/>
</calcChain>
</file>

<file path=xl/sharedStrings.xml><?xml version="1.0" encoding="utf-8"?>
<sst xmlns="http://schemas.openxmlformats.org/spreadsheetml/2006/main" count="165" uniqueCount="123">
  <si>
    <t>FY18</t>
  </si>
  <si>
    <t>FY19</t>
  </si>
  <si>
    <t>Particulars</t>
  </si>
  <si>
    <t>Revenue</t>
  </si>
  <si>
    <t>COGS</t>
  </si>
  <si>
    <t>Power &amp; Fuel Cost</t>
  </si>
  <si>
    <t>Employee Cost</t>
  </si>
  <si>
    <t xml:space="preserve">Other expenses </t>
  </si>
  <si>
    <t>EBITDA</t>
  </si>
  <si>
    <t>Interest</t>
  </si>
  <si>
    <t xml:space="preserve">Depreciation </t>
  </si>
  <si>
    <t>Operating PBT</t>
  </si>
  <si>
    <t>Other income</t>
  </si>
  <si>
    <t>PBT</t>
  </si>
  <si>
    <t xml:space="preserve">Taxes </t>
  </si>
  <si>
    <t>PAT</t>
  </si>
  <si>
    <t>CFO</t>
  </si>
  <si>
    <t xml:space="preserve">Capex </t>
  </si>
  <si>
    <t>Gross margin (%)</t>
  </si>
  <si>
    <t>EBITDA margin (%)</t>
  </si>
  <si>
    <t>PAT Margin (%)</t>
  </si>
  <si>
    <t>Tax Rate</t>
  </si>
  <si>
    <t>Power &amp; Fuel Cost/tonne</t>
  </si>
  <si>
    <t>Freight Cost</t>
  </si>
  <si>
    <t>Freight Cost/tonne</t>
  </si>
  <si>
    <t>Exceptional item</t>
  </si>
  <si>
    <t>Volume (Million MT)</t>
  </si>
  <si>
    <t>EBITDA/tonne</t>
  </si>
  <si>
    <t>Realisation/tonne</t>
  </si>
  <si>
    <t>Q1FY20</t>
  </si>
  <si>
    <t>Q2FY20</t>
  </si>
  <si>
    <t>Total Debt</t>
  </si>
  <si>
    <t>Cash &amp; Liquid Investments</t>
  </si>
  <si>
    <t>FY17</t>
  </si>
  <si>
    <t>FY16</t>
  </si>
  <si>
    <t>Acquisition of subsidiary</t>
  </si>
  <si>
    <t xml:space="preserve">Installed capacity </t>
  </si>
  <si>
    <t>Gross Profit/tonne</t>
  </si>
  <si>
    <t xml:space="preserve">Networth </t>
  </si>
  <si>
    <t>FY15</t>
  </si>
  <si>
    <t>FY14</t>
  </si>
  <si>
    <t xml:space="preserve">Gross Profit </t>
  </si>
  <si>
    <t>Price</t>
  </si>
  <si>
    <t xml:space="preserve">Market Capitalisation </t>
  </si>
  <si>
    <t>EV/EBITDA</t>
  </si>
  <si>
    <t>P/E</t>
  </si>
  <si>
    <t>P/B</t>
  </si>
  <si>
    <t>FY13</t>
  </si>
  <si>
    <t>FY12</t>
  </si>
  <si>
    <t xml:space="preserve">Realisation </t>
  </si>
  <si>
    <t>EBITDA/Tonne</t>
  </si>
  <si>
    <t>Volume</t>
  </si>
  <si>
    <t>RCCPL</t>
  </si>
  <si>
    <t>Plant</t>
  </si>
  <si>
    <t xml:space="preserve">Location </t>
  </si>
  <si>
    <t>Rajasthan</t>
  </si>
  <si>
    <t>MP</t>
  </si>
  <si>
    <t>UP</t>
  </si>
  <si>
    <t>West Bengal</t>
  </si>
  <si>
    <t>Total</t>
  </si>
  <si>
    <t>Reliance Plants</t>
  </si>
  <si>
    <t>Capacity (MTPA)</t>
  </si>
  <si>
    <t>Kundanganj</t>
  </si>
  <si>
    <t>Maharashtra</t>
  </si>
  <si>
    <t>Future expansion</t>
  </si>
  <si>
    <t>Mukutban (greenfield)</t>
  </si>
  <si>
    <t xml:space="preserve">Cement matrix </t>
  </si>
  <si>
    <t>Standalone Cement</t>
  </si>
  <si>
    <t>Chanderia (integrated unit)</t>
  </si>
  <si>
    <t>Satna (integrated unit)</t>
  </si>
  <si>
    <t>Raebareli (grinding unit)</t>
  </si>
  <si>
    <t>Durgapur (grinding unit)</t>
  </si>
  <si>
    <t>Maihar (integrated unit)</t>
  </si>
  <si>
    <t>Kundanganj (grinding unit)</t>
  </si>
  <si>
    <t>Butibori (grinding unit)</t>
  </si>
  <si>
    <t>MP Birla cement</t>
  </si>
  <si>
    <t>Chanderia Klinker Expansion (for Kundanganj)</t>
  </si>
  <si>
    <t>H1FY20</t>
  </si>
  <si>
    <t>Installed capacity (MT)</t>
  </si>
  <si>
    <t>Key Geography</t>
  </si>
  <si>
    <t xml:space="preserve">Sales </t>
  </si>
  <si>
    <t>Interest Cost</t>
  </si>
  <si>
    <t xml:space="preserve">PAT </t>
  </si>
  <si>
    <t>Sales volume (MT)</t>
  </si>
  <si>
    <t xml:space="preserve">EBITDA/tonne </t>
  </si>
  <si>
    <t xml:space="preserve">Interest coverage </t>
  </si>
  <si>
    <t xml:space="preserve">Market capitalisation </t>
  </si>
  <si>
    <t>EV</t>
  </si>
  <si>
    <t>ACC</t>
  </si>
  <si>
    <t>Ambuja</t>
  </si>
  <si>
    <t xml:space="preserve">Ultratech </t>
  </si>
  <si>
    <t>Dalmia Bharat</t>
  </si>
  <si>
    <t>Ramco Cement</t>
  </si>
  <si>
    <t xml:space="preserve">JK Cement </t>
  </si>
  <si>
    <t>JK Lakshmi Cement</t>
  </si>
  <si>
    <t>Birla Corp</t>
  </si>
  <si>
    <t>India Cement</t>
  </si>
  <si>
    <t xml:space="preserve">Volume growth </t>
  </si>
  <si>
    <t>9MFY20</t>
  </si>
  <si>
    <t>EBITDA Margin (%)</t>
  </si>
  <si>
    <t>NA</t>
  </si>
  <si>
    <t>EV/EBITDA (times)</t>
  </si>
  <si>
    <t>EV/tonne (in USD)</t>
  </si>
  <si>
    <t>Pan India</t>
  </si>
  <si>
    <t>Net Debt</t>
  </si>
  <si>
    <t>Net Debt/EBITDA (times)</t>
  </si>
  <si>
    <t xml:space="preserve">North, East &amp; South </t>
  </si>
  <si>
    <t>Shree Cement (standalone)</t>
  </si>
  <si>
    <t xml:space="preserve">East and South </t>
  </si>
  <si>
    <t>South, East &amp; North East</t>
  </si>
  <si>
    <t xml:space="preserve">North, West &amp; South </t>
  </si>
  <si>
    <t>North &amp; West</t>
  </si>
  <si>
    <t>Central, North &amp; East</t>
  </si>
  <si>
    <t xml:space="preserve">South </t>
  </si>
  <si>
    <t>H1FY19</t>
  </si>
  <si>
    <t>Existing</t>
  </si>
  <si>
    <t>Mukutban</t>
  </si>
  <si>
    <t>Fy22</t>
  </si>
  <si>
    <t>FY23</t>
  </si>
  <si>
    <t>Q2FY19</t>
  </si>
  <si>
    <t>EPS</t>
  </si>
  <si>
    <t>YoY (%)</t>
  </si>
  <si>
    <t>QoQ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</si>
</sst>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2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  <xf numFmtId="164" fontId="0" fillId="0" borderId="1" xfId="1" applyNumberFormat="1" applyFont="1" applyBorder="1"/>
    <xf numFmtId="164" fontId="2" fillId="0" borderId="1" xfId="1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0" xfId="1" applyNumberFormat="1" applyFont="1"/>
    <xf numFmtId="43" fontId="0" fillId="0" borderId="1" xfId="0" applyNumberFormat="1" applyBorder="1"/>
    <xf numFmtId="0" fontId="0" fillId="0" borderId="0" xfId="0" applyFont="1"/>
    <xf numFmtId="164" fontId="0" fillId="0" borderId="0" xfId="0" applyNumberForma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" fontId="0" fillId="0" borderId="0" xfId="0" applyNumberFormat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9" fontId="0" fillId="0" borderId="1" xfId="0" applyNumberFormat="1" applyBorder="1"/>
    <xf numFmtId="0" fontId="0" fillId="0" borderId="1" xfId="0" applyBorder="1" applyAlignment="1">
      <alignment horizontal="right"/>
    </xf>
    <xf numFmtId="10" fontId="0" fillId="0" borderId="1" xfId="0" applyNumberFormat="1" applyBorder="1"/>
    <xf numFmtId="2" fontId="0" fillId="0" borderId="1" xfId="0" applyNumberFormat="1" applyBorder="1" applyAlignment="1">
      <alignment horizontal="center"/>
    </xf>
    <xf numFmtId="43" fontId="0" fillId="0" borderId="1" xfId="1" applyNumberFormat="1" applyFont="1" applyBorder="1" applyAlignment="1">
      <alignment horizontal="center"/>
    </xf>
    <xf numFmtId="9" fontId="0" fillId="0" borderId="1" xfId="2" applyFont="1" applyBorder="1"/>
    <xf numFmtId="10" fontId="0" fillId="0" borderId="1" xfId="2" applyNumberFormat="1" applyFont="1" applyBorder="1"/>
    <xf numFmtId="164" fontId="0" fillId="0" borderId="1" xfId="0" applyNumberFormat="1" applyBorder="1"/>
    <xf numFmtId="0" fontId="0" fillId="0" borderId="0" xfId="0" applyBorder="1"/>
    <xf numFmtId="1" fontId="0" fillId="0" borderId="0" xfId="0" applyNumberFormat="1" applyBorder="1"/>
    <xf numFmtId="43" fontId="0" fillId="0" borderId="0" xfId="0" applyNumberFormat="1" applyBorder="1"/>
    <xf numFmtId="43" fontId="1" fillId="0" borderId="1" xfId="1" applyNumberFormat="1" applyFont="1" applyBorder="1"/>
    <xf numFmtId="0" fontId="2" fillId="0" borderId="1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4" fontId="0" fillId="0" borderId="5" xfId="1" applyNumberFormat="1" applyFont="1" applyBorder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4:AI64"/>
  <sheetViews>
    <sheetView topLeftCell="K24" workbookViewId="0">
      <selection activeCell="K5" sqref="K5:V49"/>
    </sheetView>
  </sheetViews>
  <sheetFormatPr defaultRowHeight="14.5" x14ac:dyDescent="0.35"/>
  <cols>
    <col min="11" max="11" width="23" bestFit="1" customWidth="1"/>
    <col min="12" max="12" width="6.81640625" bestFit="1" customWidth="1"/>
    <col min="13" max="13" width="6.6328125" bestFit="1" customWidth="1"/>
    <col min="14" max="14" width="6.81640625" bestFit="1" customWidth="1"/>
    <col min="15" max="15" width="6.6328125" bestFit="1" customWidth="1"/>
    <col min="16" max="17" width="6.81640625" bestFit="1" customWidth="1"/>
    <col min="18" max="19" width="6.6328125" bestFit="1" customWidth="1"/>
    <col min="20" max="20" width="9.1796875" hidden="1" customWidth="1"/>
    <col min="21" max="21" width="9.1796875" customWidth="1"/>
    <col min="22" max="22" width="9.1796875" bestFit="1" customWidth="1"/>
    <col min="23" max="23" width="0" hidden="1" customWidth="1"/>
    <col min="25" max="25" width="0" hidden="1" customWidth="1"/>
    <col min="30" max="30" width="23.6328125" bestFit="1" customWidth="1"/>
    <col min="31" max="31" width="11.6328125" bestFit="1" customWidth="1"/>
    <col min="32" max="32" width="14.7265625" bestFit="1" customWidth="1"/>
    <col min="33" max="33" width="0" hidden="1" customWidth="1"/>
    <col min="34" max="34" width="39.54296875" bestFit="1" customWidth="1"/>
    <col min="35" max="35" width="14.7265625" bestFit="1" customWidth="1"/>
  </cols>
  <sheetData>
    <row r="4" spans="11:35" x14ac:dyDescent="0.35">
      <c r="X4" s="3" t="s">
        <v>30</v>
      </c>
    </row>
    <row r="5" spans="11:35" x14ac:dyDescent="0.35">
      <c r="K5" s="3" t="s">
        <v>2</v>
      </c>
      <c r="L5" s="3" t="s">
        <v>48</v>
      </c>
      <c r="M5" s="3" t="s">
        <v>47</v>
      </c>
      <c r="N5" s="3" t="s">
        <v>40</v>
      </c>
      <c r="O5" s="3" t="s">
        <v>39</v>
      </c>
      <c r="P5" s="3" t="s">
        <v>34</v>
      </c>
      <c r="Q5" s="3" t="s">
        <v>33</v>
      </c>
      <c r="R5" s="4" t="s">
        <v>0</v>
      </c>
      <c r="S5" s="4" t="s">
        <v>1</v>
      </c>
      <c r="T5" s="21" t="s">
        <v>119</v>
      </c>
      <c r="U5" s="3" t="s">
        <v>29</v>
      </c>
      <c r="V5" s="3" t="s">
        <v>30</v>
      </c>
      <c r="X5" s="3" t="s">
        <v>121</v>
      </c>
      <c r="Y5" t="s">
        <v>122</v>
      </c>
      <c r="Z5">
        <f>(5000+3500)/1400</f>
        <v>6.0714285714285712</v>
      </c>
    </row>
    <row r="6" spans="11:35" hidden="1" x14ac:dyDescent="0.35">
      <c r="K6" s="10" t="s">
        <v>36</v>
      </c>
      <c r="L6" s="10"/>
      <c r="M6" s="10"/>
      <c r="N6" s="10"/>
      <c r="O6" s="10"/>
      <c r="P6" s="10">
        <v>10</v>
      </c>
      <c r="Q6" s="10">
        <v>15.5</v>
      </c>
      <c r="R6" s="11">
        <v>15.5</v>
      </c>
      <c r="S6" s="11">
        <v>15.5</v>
      </c>
      <c r="T6" s="11"/>
      <c r="U6" s="3"/>
      <c r="V6" s="3"/>
      <c r="X6" s="5"/>
      <c r="AD6" s="3" t="s">
        <v>75</v>
      </c>
      <c r="AE6" s="5"/>
      <c r="AF6" s="5"/>
      <c r="AH6" s="3" t="s">
        <v>64</v>
      </c>
      <c r="AI6" s="5"/>
    </row>
    <row r="7" spans="11:35" x14ac:dyDescent="0.35">
      <c r="K7" s="5" t="s">
        <v>26</v>
      </c>
      <c r="L7" s="6">
        <f>5.953</f>
        <v>5.9530000000000003</v>
      </c>
      <c r="M7" s="6">
        <f>6.467</f>
        <v>6.4669999999999996</v>
      </c>
      <c r="N7" s="6">
        <f>7.363</f>
        <v>7.3630000000000004</v>
      </c>
      <c r="O7" s="6">
        <f>7.605</f>
        <v>7.6050000000000004</v>
      </c>
      <c r="P7" s="6">
        <f>8.036</f>
        <v>8.0359999999999996</v>
      </c>
      <c r="Q7" s="6">
        <f>7.829+2.25</f>
        <v>10.079000000000001</v>
      </c>
      <c r="R7" s="6">
        <v>12.4</v>
      </c>
      <c r="S7" s="6">
        <f>13.64</f>
        <v>13.64</v>
      </c>
      <c r="T7" s="6">
        <f>3.07</f>
        <v>3.07</v>
      </c>
      <c r="U7" s="6">
        <f>6.85-3.2</f>
        <v>3.6499999999999995</v>
      </c>
      <c r="V7" s="6">
        <f>3.2</f>
        <v>3.2</v>
      </c>
      <c r="X7" s="6">
        <f>(V7/T7-1)*100</f>
        <v>4.2345276872964188</v>
      </c>
      <c r="Z7">
        <f>13.64*1.05*1000</f>
        <v>14322.000000000002</v>
      </c>
      <c r="AD7" s="3" t="s">
        <v>53</v>
      </c>
      <c r="AE7" s="3" t="s">
        <v>54</v>
      </c>
      <c r="AF7" s="3" t="s">
        <v>61</v>
      </c>
      <c r="AH7" s="5"/>
      <c r="AI7" s="3" t="s">
        <v>61</v>
      </c>
    </row>
    <row r="8" spans="11:35" x14ac:dyDescent="0.35">
      <c r="K8" s="5" t="s">
        <v>3</v>
      </c>
      <c r="L8" s="8">
        <f>2286.8986</f>
        <v>2286.8986</v>
      </c>
      <c r="M8" s="8">
        <f>2602.9593</f>
        <v>2602.9593</v>
      </c>
      <c r="N8" s="8">
        <f>3016.3521</f>
        <v>3016.3521000000001</v>
      </c>
      <c r="O8" s="8">
        <f>3209.8924</f>
        <v>3209.8924000000002</v>
      </c>
      <c r="P8" s="8">
        <f>3761.5912-493.4341</f>
        <v>3268.1570999999999</v>
      </c>
      <c r="Q8" s="8">
        <f>4981.2197-633.5532</f>
        <v>4347.6664999999994</v>
      </c>
      <c r="R8" s="8">
        <f>5938.93-208.96</f>
        <v>5729.97</v>
      </c>
      <c r="S8" s="8">
        <f>6548.73</f>
        <v>6548.73</v>
      </c>
      <c r="T8" s="8">
        <f>1464.52</f>
        <v>1464.52</v>
      </c>
      <c r="U8" s="8">
        <f>1883.81</f>
        <v>1883.81</v>
      </c>
      <c r="V8" s="8">
        <f>1626.86</f>
        <v>1626.86</v>
      </c>
      <c r="X8" s="6">
        <f t="shared" ref="X8:X25" si="0">(V8/T8-1)*100</f>
        <v>11.084860568650479</v>
      </c>
      <c r="AD8" s="5" t="s">
        <v>68</v>
      </c>
      <c r="AE8" s="5" t="s">
        <v>55</v>
      </c>
      <c r="AF8" s="6">
        <v>4</v>
      </c>
      <c r="AH8" s="5" t="s">
        <v>76</v>
      </c>
      <c r="AI8" s="5"/>
    </row>
    <row r="9" spans="11:35" hidden="1" x14ac:dyDescent="0.35">
      <c r="K9" s="5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X9" s="6" t="e">
        <f t="shared" si="0"/>
        <v>#DIV/0!</v>
      </c>
      <c r="AD9" s="5" t="s">
        <v>69</v>
      </c>
      <c r="AE9" s="5" t="s">
        <v>56</v>
      </c>
      <c r="AF9" s="6">
        <v>2.2000000000000002</v>
      </c>
      <c r="AH9" s="5"/>
      <c r="AI9" s="5"/>
    </row>
    <row r="10" spans="11:35" hidden="1" x14ac:dyDescent="0.35">
      <c r="K10" s="5" t="s">
        <v>4</v>
      </c>
      <c r="L10" s="8">
        <f>362.0564+1.1775+40.5651</f>
        <v>403.79899999999998</v>
      </c>
      <c r="M10" s="8">
        <f>525.3545+4.8708-131.9063</f>
        <v>398.31900000000007</v>
      </c>
      <c r="N10" s="8">
        <f>492.1876+1.4008+39.1575</f>
        <v>532.74590000000001</v>
      </c>
      <c r="O10" s="8">
        <f>510.3051+1.2442-39.9888</f>
        <v>471.56049999999993</v>
      </c>
      <c r="P10" s="8">
        <f>616.9927+0.8891-14.0321</f>
        <v>603.84969999999998</v>
      </c>
      <c r="Q10" s="8">
        <f>664.5532+14.4346</f>
        <v>678.98779999999999</v>
      </c>
      <c r="R10" s="8">
        <f>786.67+0.45+46.36</f>
        <v>833.48</v>
      </c>
      <c r="S10" s="8">
        <f>961.25+1.45-20.91</f>
        <v>941.79000000000008</v>
      </c>
      <c r="T10" s="8">
        <f>244.09+0.07-74.98</f>
        <v>169.18</v>
      </c>
      <c r="U10" s="8">
        <f>265.71+1.75-16.82</f>
        <v>250.64</v>
      </c>
      <c r="V10" s="8">
        <f>228.34+3.45-54.16</f>
        <v>177.63</v>
      </c>
      <c r="X10" s="6">
        <f t="shared" si="0"/>
        <v>4.9946802222484932</v>
      </c>
      <c r="AD10" s="5" t="s">
        <v>70</v>
      </c>
      <c r="AE10" s="5" t="s">
        <v>57</v>
      </c>
      <c r="AF10" s="6">
        <v>1.5</v>
      </c>
      <c r="AH10" s="5"/>
      <c r="AI10" s="5"/>
    </row>
    <row r="11" spans="11:35" hidden="1" x14ac:dyDescent="0.35">
      <c r="K11" s="3" t="s">
        <v>41</v>
      </c>
      <c r="L11" s="9">
        <f t="shared" ref="L11:U11" si="1">L8-L10</f>
        <v>1883.0996</v>
      </c>
      <c r="M11" s="9">
        <f t="shared" si="1"/>
        <v>2204.6403</v>
      </c>
      <c r="N11" s="9">
        <f t="shared" si="1"/>
        <v>2483.6062000000002</v>
      </c>
      <c r="O11" s="9">
        <f t="shared" si="1"/>
        <v>2738.3319000000001</v>
      </c>
      <c r="P11" s="9">
        <f t="shared" si="1"/>
        <v>2664.3073999999997</v>
      </c>
      <c r="Q11" s="9">
        <f t="shared" si="1"/>
        <v>3668.6786999999995</v>
      </c>
      <c r="R11" s="9">
        <f t="shared" si="1"/>
        <v>4896.49</v>
      </c>
      <c r="S11" s="9">
        <f t="shared" si="1"/>
        <v>5606.94</v>
      </c>
      <c r="T11" s="9">
        <f t="shared" si="1"/>
        <v>1295.3399999999999</v>
      </c>
      <c r="U11" s="9">
        <f t="shared" si="1"/>
        <v>1633.17</v>
      </c>
      <c r="V11" s="9">
        <f t="shared" ref="V11" si="2">V8-V10</f>
        <v>1449.23</v>
      </c>
      <c r="X11" s="6">
        <f t="shared" si="0"/>
        <v>11.880278536909227</v>
      </c>
      <c r="AD11" s="5" t="s">
        <v>71</v>
      </c>
      <c r="AE11" s="5" t="s">
        <v>58</v>
      </c>
      <c r="AF11" s="6">
        <v>2.2999999999999998</v>
      </c>
      <c r="AH11" s="5"/>
      <c r="AI11" s="5"/>
    </row>
    <row r="12" spans="11:35" hidden="1" x14ac:dyDescent="0.35">
      <c r="K12" s="5" t="s">
        <v>5</v>
      </c>
      <c r="L12" s="8">
        <f>534.5578</f>
        <v>534.55780000000004</v>
      </c>
      <c r="M12" s="8">
        <f>617.5947</f>
        <v>617.59469999999999</v>
      </c>
      <c r="N12" s="8">
        <f>767.4028</f>
        <v>767.40279999999996</v>
      </c>
      <c r="O12" s="8">
        <f>867.511</f>
        <v>867.51099999999997</v>
      </c>
      <c r="P12" s="8">
        <f>774.937</f>
        <v>774.93700000000001</v>
      </c>
      <c r="Q12" s="8">
        <f>968.4334</f>
        <v>968.43340000000001</v>
      </c>
      <c r="R12" s="8">
        <f>1485</f>
        <v>1485</v>
      </c>
      <c r="S12" s="8">
        <f>1302.41</f>
        <v>1302.4100000000001</v>
      </c>
      <c r="T12" s="8">
        <f>369.02</f>
        <v>369.02</v>
      </c>
      <c r="U12" s="8">
        <f>381.98</f>
        <v>381.98</v>
      </c>
      <c r="V12" s="8">
        <f>352.67</f>
        <v>352.67</v>
      </c>
      <c r="X12" s="6">
        <f t="shared" si="0"/>
        <v>-4.4306541650858904</v>
      </c>
      <c r="AD12" s="5"/>
      <c r="AE12" s="3" t="s">
        <v>59</v>
      </c>
      <c r="AF12" s="20">
        <f>SUM(AF8:AF11)</f>
        <v>10</v>
      </c>
      <c r="AH12" s="5"/>
      <c r="AI12" s="5"/>
    </row>
    <row r="13" spans="11:35" hidden="1" x14ac:dyDescent="0.35">
      <c r="K13" s="5" t="s">
        <v>23</v>
      </c>
      <c r="L13" s="8">
        <f>84.1138+326.2746</f>
        <v>410.38840000000005</v>
      </c>
      <c r="M13" s="8">
        <f>113.9865+445.5954</f>
        <v>559.58190000000002</v>
      </c>
      <c r="N13" s="8">
        <f>115.1587+552.4183</f>
        <v>667.577</v>
      </c>
      <c r="O13" s="8">
        <f>159.6097+588.3595</f>
        <v>747.9692</v>
      </c>
      <c r="P13" s="8">
        <f>151.7785+631.3577</f>
        <v>783.13620000000003</v>
      </c>
      <c r="Q13" s="8">
        <f>183.8339+804.3098</f>
        <v>988.14369999999997</v>
      </c>
      <c r="R13" s="8">
        <f>256.75+1185.56</f>
        <v>1442.31</v>
      </c>
      <c r="S13" s="8">
        <f>297.08+1355.94</f>
        <v>1653.02</v>
      </c>
      <c r="T13" s="8">
        <f>297.54+57.31</f>
        <v>354.85</v>
      </c>
      <c r="U13" s="8">
        <f>374.69+69.71</f>
        <v>444.4</v>
      </c>
      <c r="V13" s="8">
        <f>313.91+69.12</f>
        <v>383.03000000000003</v>
      </c>
      <c r="X13" s="6">
        <f t="shared" si="0"/>
        <v>7.9413836832464391</v>
      </c>
      <c r="AD13" s="5"/>
      <c r="AE13" s="5"/>
      <c r="AF13" s="5"/>
      <c r="AH13" s="5"/>
      <c r="AI13" s="5"/>
    </row>
    <row r="14" spans="11:35" hidden="1" x14ac:dyDescent="0.35">
      <c r="K14" s="5" t="s">
        <v>6</v>
      </c>
      <c r="L14" s="8">
        <f>213.9623</f>
        <v>213.9623</v>
      </c>
      <c r="M14" s="8">
        <f>219.5972</f>
        <v>219.59719999999999</v>
      </c>
      <c r="N14" s="8">
        <f>221.5789</f>
        <v>221.5789</v>
      </c>
      <c r="O14" s="8">
        <f>225.4347</f>
        <v>225.43469999999999</v>
      </c>
      <c r="P14" s="8">
        <f>243.7465</f>
        <v>243.7465</v>
      </c>
      <c r="Q14" s="8">
        <f>306.2552</f>
        <v>306.2552</v>
      </c>
      <c r="R14" s="8">
        <f>357.34</f>
        <v>357.34</v>
      </c>
      <c r="S14" s="8">
        <f>370.63</f>
        <v>370.63</v>
      </c>
      <c r="T14" s="8">
        <f>91.1</f>
        <v>91.1</v>
      </c>
      <c r="U14" s="8">
        <f>100.77</f>
        <v>100.77</v>
      </c>
      <c r="V14" s="8">
        <f>104.8</f>
        <v>104.8</v>
      </c>
      <c r="X14" s="6">
        <f t="shared" si="0"/>
        <v>15.038419319429197</v>
      </c>
      <c r="AD14" s="3" t="s">
        <v>60</v>
      </c>
      <c r="AE14" s="5"/>
      <c r="AF14" s="5"/>
      <c r="AH14" s="5"/>
      <c r="AI14" s="5"/>
    </row>
    <row r="15" spans="11:35" hidden="1" x14ac:dyDescent="0.35">
      <c r="K15" s="5" t="s">
        <v>7</v>
      </c>
      <c r="L15" s="8">
        <f>1315.7501-L12-L13</f>
        <v>370.80389999999989</v>
      </c>
      <c r="M15" s="8">
        <f>1591.5176-M12-M13</f>
        <v>414.34099999999989</v>
      </c>
      <c r="N15" s="8">
        <f>2005.2237-N13-N12</f>
        <v>570.24390000000005</v>
      </c>
      <c r="O15" s="8">
        <f>2211.3605-O12-O13</f>
        <v>595.88029999999981</v>
      </c>
      <c r="P15" s="8">
        <f>2134.479-P12-P13</f>
        <v>576.40579999999989</v>
      </c>
      <c r="Q15" s="8">
        <f>2739.5558-Q12-Q13</f>
        <v>782.97870000000023</v>
      </c>
      <c r="R15" s="8">
        <f>3731.04-R12-R13</f>
        <v>803.73</v>
      </c>
      <c r="S15" s="8">
        <f>4287.7-S13-S12</f>
        <v>1332.2699999999998</v>
      </c>
      <c r="T15" s="8">
        <f>117.8+177.04</f>
        <v>294.83999999999997</v>
      </c>
      <c r="U15" s="8">
        <f>141.35+180.02</f>
        <v>321.37</v>
      </c>
      <c r="V15" s="8">
        <f>121.01+175.63</f>
        <v>296.64</v>
      </c>
      <c r="X15" s="6">
        <f t="shared" si="0"/>
        <v>0.61050061050060833</v>
      </c>
      <c r="AD15" s="3" t="s">
        <v>53</v>
      </c>
      <c r="AE15" s="3" t="s">
        <v>54</v>
      </c>
      <c r="AF15" s="3" t="s">
        <v>61</v>
      </c>
      <c r="AH15" s="5"/>
      <c r="AI15" s="5"/>
    </row>
    <row r="16" spans="11:35" x14ac:dyDescent="0.35">
      <c r="K16" s="3" t="s">
        <v>8</v>
      </c>
      <c r="L16" s="9">
        <f t="shared" ref="L16:T16" si="3">L11-L12-L13-L14-L15</f>
        <v>353.38720000000001</v>
      </c>
      <c r="M16" s="9">
        <f t="shared" si="3"/>
        <v>393.52549999999997</v>
      </c>
      <c r="N16" s="9">
        <f t="shared" si="3"/>
        <v>256.8036000000003</v>
      </c>
      <c r="O16" s="9">
        <f t="shared" si="3"/>
        <v>301.53670000000034</v>
      </c>
      <c r="P16" s="9">
        <f t="shared" si="3"/>
        <v>286.08190000000002</v>
      </c>
      <c r="Q16" s="9">
        <f t="shared" si="3"/>
        <v>622.86769999999922</v>
      </c>
      <c r="R16" s="9">
        <f t="shared" si="3"/>
        <v>808.1099999999999</v>
      </c>
      <c r="S16" s="9">
        <f t="shared" si="3"/>
        <v>948.6099999999999</v>
      </c>
      <c r="T16" s="9">
        <f t="shared" si="3"/>
        <v>185.52999999999992</v>
      </c>
      <c r="U16" s="9">
        <f t="shared" ref="U16:V16" si="4">U11-U12-U13-U14-U15</f>
        <v>384.65000000000009</v>
      </c>
      <c r="V16" s="9">
        <f t="shared" si="4"/>
        <v>312.09000000000003</v>
      </c>
      <c r="X16" s="6">
        <f t="shared" si="0"/>
        <v>68.215382956934278</v>
      </c>
      <c r="AD16" s="5" t="s">
        <v>72</v>
      </c>
      <c r="AE16" s="5" t="s">
        <v>56</v>
      </c>
      <c r="AF16" s="16">
        <v>3</v>
      </c>
      <c r="AH16" s="5"/>
      <c r="AI16" s="5"/>
    </row>
    <row r="17" spans="11:35" hidden="1" x14ac:dyDescent="0.35">
      <c r="K17" s="5" t="s">
        <v>9</v>
      </c>
      <c r="L17" s="8">
        <f>52.6417</f>
        <v>52.6417</v>
      </c>
      <c r="M17" s="8">
        <f>64.8574</f>
        <v>64.857399999999998</v>
      </c>
      <c r="N17" s="8">
        <f>85.5957</f>
        <v>85.595699999999994</v>
      </c>
      <c r="O17" s="8">
        <f>78.3726</f>
        <v>78.372600000000006</v>
      </c>
      <c r="P17" s="8">
        <f>82.2609</f>
        <v>82.260900000000007</v>
      </c>
      <c r="Q17" s="8">
        <f>276.7854</f>
        <v>276.78539999999998</v>
      </c>
      <c r="R17" s="8">
        <f>377.64</f>
        <v>377.64</v>
      </c>
      <c r="S17" s="8">
        <f>370.52</f>
        <v>370.52</v>
      </c>
      <c r="T17" s="8">
        <f>93.52</f>
        <v>93.52</v>
      </c>
      <c r="U17" s="8">
        <f>96.03</f>
        <v>96.03</v>
      </c>
      <c r="V17" s="8">
        <f>102.97</f>
        <v>102.97</v>
      </c>
      <c r="X17" s="6">
        <f t="shared" si="0"/>
        <v>10.104790419161681</v>
      </c>
      <c r="AD17" s="5" t="s">
        <v>73</v>
      </c>
      <c r="AE17" s="5" t="s">
        <v>57</v>
      </c>
      <c r="AF17" s="17">
        <v>2</v>
      </c>
      <c r="AH17" s="5" t="s">
        <v>62</v>
      </c>
      <c r="AI17" s="5">
        <v>1.2</v>
      </c>
    </row>
    <row r="18" spans="11:35" hidden="1" x14ac:dyDescent="0.35">
      <c r="K18" s="5" t="s">
        <v>10</v>
      </c>
      <c r="L18" s="8">
        <f>80.5801</f>
        <v>80.580100000000002</v>
      </c>
      <c r="M18" s="8">
        <f>104.9099</f>
        <v>104.90989999999999</v>
      </c>
      <c r="N18" s="8">
        <f>133.0586</f>
        <v>133.05860000000001</v>
      </c>
      <c r="O18" s="8">
        <f>153.7508</f>
        <v>153.7508</v>
      </c>
      <c r="P18" s="8">
        <f>148.7629</f>
        <v>148.7629</v>
      </c>
      <c r="Q18" s="8">
        <f>255.5031</f>
        <v>255.50309999999999</v>
      </c>
      <c r="R18" s="8">
        <f>332.16</f>
        <v>332.16</v>
      </c>
      <c r="S18" s="8">
        <f>339.12</f>
        <v>339.12</v>
      </c>
      <c r="T18" s="8">
        <f>87.01</f>
        <v>87.01</v>
      </c>
      <c r="U18" s="8">
        <f>86.24</f>
        <v>86.24</v>
      </c>
      <c r="V18" s="8">
        <f>87.94</f>
        <v>87.94</v>
      </c>
      <c r="X18" s="6">
        <f t="shared" si="0"/>
        <v>1.0688426617630142</v>
      </c>
      <c r="AD18" s="5" t="s">
        <v>74</v>
      </c>
      <c r="AE18" s="5" t="s">
        <v>63</v>
      </c>
      <c r="AF18" s="18">
        <v>0.57999999999999996</v>
      </c>
      <c r="AH18" s="5" t="s">
        <v>65</v>
      </c>
      <c r="AI18" s="5">
        <v>3.9</v>
      </c>
    </row>
    <row r="19" spans="11:35" hidden="1" x14ac:dyDescent="0.35">
      <c r="K19" s="3" t="s">
        <v>11</v>
      </c>
      <c r="L19" s="9">
        <f t="shared" ref="L19:T19" si="5">L16-L17-L18</f>
        <v>220.16539999999998</v>
      </c>
      <c r="M19" s="9">
        <f t="shared" si="5"/>
        <v>223.75819999999999</v>
      </c>
      <c r="N19" s="9">
        <f t="shared" si="5"/>
        <v>38.149300000000295</v>
      </c>
      <c r="O19" s="9">
        <f t="shared" si="5"/>
        <v>69.413300000000334</v>
      </c>
      <c r="P19" s="9">
        <f t="shared" si="5"/>
        <v>55.058100000000024</v>
      </c>
      <c r="Q19" s="9">
        <f t="shared" si="5"/>
        <v>90.579199999999247</v>
      </c>
      <c r="R19" s="9">
        <f t="shared" si="5"/>
        <v>98.309999999999889</v>
      </c>
      <c r="S19" s="9">
        <f t="shared" si="5"/>
        <v>238.96999999999991</v>
      </c>
      <c r="T19" s="9">
        <f t="shared" si="5"/>
        <v>4.9999999999999147</v>
      </c>
      <c r="U19" s="9">
        <f t="shared" ref="U19:V19" si="6">U16-U17-U18</f>
        <v>202.38000000000011</v>
      </c>
      <c r="V19" s="9">
        <f t="shared" si="6"/>
        <v>121.18000000000004</v>
      </c>
      <c r="X19" s="6">
        <f t="shared" si="0"/>
        <v>2323.6000000000422</v>
      </c>
      <c r="AD19" s="5"/>
      <c r="AE19" s="3" t="s">
        <v>59</v>
      </c>
      <c r="AF19" s="20">
        <f>AF12+AF16+AF17+AF18</f>
        <v>15.58</v>
      </c>
      <c r="AH19" s="5"/>
      <c r="AI19" s="20">
        <f>AI12+AI16+AI17+AI18</f>
        <v>5.0999999999999996</v>
      </c>
    </row>
    <row r="20" spans="11:35" hidden="1" x14ac:dyDescent="0.35">
      <c r="K20" s="5" t="s">
        <v>12</v>
      </c>
      <c r="L20" s="8">
        <f>126.264</f>
        <v>126.264</v>
      </c>
      <c r="M20" s="8">
        <f>127.6266</f>
        <v>127.6266</v>
      </c>
      <c r="N20" s="8">
        <f>125.2221</f>
        <v>125.2221</v>
      </c>
      <c r="O20" s="8">
        <f>156.0775</f>
        <v>156.07749999999999</v>
      </c>
      <c r="P20" s="8">
        <f>177.3891</f>
        <v>177.38910000000001</v>
      </c>
      <c r="Q20" s="8">
        <f>146.5375</f>
        <v>146.53749999999999</v>
      </c>
      <c r="R20" s="8">
        <f>74.01</f>
        <v>74.010000000000005</v>
      </c>
      <c r="S20" s="8">
        <f>78.47</f>
        <v>78.47</v>
      </c>
      <c r="T20" s="8">
        <f>20.34</f>
        <v>20.34</v>
      </c>
      <c r="U20" s="8">
        <f>16.86</f>
        <v>16.86</v>
      </c>
      <c r="V20" s="8">
        <f>19.87</f>
        <v>19.87</v>
      </c>
      <c r="X20" s="6">
        <f t="shared" si="0"/>
        <v>-2.3107177974434512</v>
      </c>
    </row>
    <row r="21" spans="11:35" hidden="1" x14ac:dyDescent="0.35">
      <c r="K21" s="5" t="s">
        <v>13</v>
      </c>
      <c r="L21" s="8">
        <f t="shared" ref="L21:T21" si="7">L19+L20</f>
        <v>346.42939999999999</v>
      </c>
      <c r="M21" s="8">
        <f t="shared" si="7"/>
        <v>351.38479999999998</v>
      </c>
      <c r="N21" s="8">
        <f t="shared" si="7"/>
        <v>163.37140000000028</v>
      </c>
      <c r="O21" s="8">
        <f t="shared" si="7"/>
        <v>225.49080000000032</v>
      </c>
      <c r="P21" s="8">
        <f t="shared" si="7"/>
        <v>232.44720000000004</v>
      </c>
      <c r="Q21" s="8">
        <f t="shared" si="7"/>
        <v>237.11669999999924</v>
      </c>
      <c r="R21" s="8">
        <f t="shared" si="7"/>
        <v>172.31999999999988</v>
      </c>
      <c r="S21" s="8">
        <f t="shared" si="7"/>
        <v>317.43999999999994</v>
      </c>
      <c r="T21" s="8">
        <f t="shared" si="7"/>
        <v>25.339999999999915</v>
      </c>
      <c r="U21" s="8">
        <f t="shared" ref="U21:V21" si="8">U19+U20</f>
        <v>219.24000000000012</v>
      </c>
      <c r="V21" s="8">
        <f t="shared" si="8"/>
        <v>141.05000000000004</v>
      </c>
      <c r="X21" s="6">
        <f t="shared" si="0"/>
        <v>456.62983425414569</v>
      </c>
    </row>
    <row r="22" spans="11:35" hidden="1" x14ac:dyDescent="0.35">
      <c r="K22" s="5" t="s">
        <v>25</v>
      </c>
      <c r="L22" s="8"/>
      <c r="M22" s="8"/>
      <c r="N22" s="8">
        <f>-10.9319</f>
        <v>-10.931900000000001</v>
      </c>
      <c r="O22" s="8">
        <f>-12.8447</f>
        <v>-12.8447</v>
      </c>
      <c r="P22" s="8">
        <f>-31.3948</f>
        <v>-31.3948</v>
      </c>
      <c r="Q22" s="8">
        <f>-6.8214</f>
        <v>-6.8213999999999997</v>
      </c>
      <c r="R22" s="8">
        <f>-12.48</f>
        <v>-12.48</v>
      </c>
      <c r="S22" s="8"/>
      <c r="T22" s="8"/>
      <c r="U22" s="8"/>
      <c r="V22" s="8"/>
      <c r="X22" s="6" t="e">
        <f t="shared" si="0"/>
        <v>#DIV/0!</v>
      </c>
    </row>
    <row r="23" spans="11:35" hidden="1" x14ac:dyDescent="0.35">
      <c r="K23" s="5" t="s">
        <v>14</v>
      </c>
      <c r="L23" s="8">
        <f>66.1564+40.8343</f>
        <v>106.9907</v>
      </c>
      <c r="M23" s="8">
        <f>22.6608+58.4341</f>
        <v>81.094899999999996</v>
      </c>
      <c r="N23" s="8">
        <f>0.0982+22.5122</f>
        <v>22.610399999999998</v>
      </c>
      <c r="O23" s="8">
        <f>29.3502+13.1339-5.0775</f>
        <v>37.406599999999997</v>
      </c>
      <c r="P23" s="8">
        <f>0.6136+32.7653+0.1572</f>
        <v>33.536100000000005</v>
      </c>
      <c r="Q23" s="8">
        <f>12.9385-2.1147</f>
        <v>10.823799999999999</v>
      </c>
      <c r="R23" s="8">
        <f>5.89</f>
        <v>5.89</v>
      </c>
      <c r="S23" s="8">
        <f>61.74</f>
        <v>61.74</v>
      </c>
      <c r="T23" s="8">
        <f>10.58-1.43-0.1</f>
        <v>9.0500000000000007</v>
      </c>
      <c r="U23" s="8">
        <f>50.77+33.91-6.06</f>
        <v>78.62</v>
      </c>
      <c r="V23" s="8">
        <f>18.75+33.96</f>
        <v>52.71</v>
      </c>
      <c r="X23" s="6">
        <f t="shared" si="0"/>
        <v>482.43093922651934</v>
      </c>
    </row>
    <row r="24" spans="11:35" x14ac:dyDescent="0.35">
      <c r="K24" s="3" t="s">
        <v>15</v>
      </c>
      <c r="L24" s="9">
        <f t="shared" ref="L24:T24" si="9">L21+L22-L23</f>
        <v>239.43869999999998</v>
      </c>
      <c r="M24" s="9">
        <f t="shared" si="9"/>
        <v>270.28989999999999</v>
      </c>
      <c r="N24" s="9">
        <f t="shared" si="9"/>
        <v>129.82910000000027</v>
      </c>
      <c r="O24" s="9">
        <f t="shared" si="9"/>
        <v>175.23950000000033</v>
      </c>
      <c r="P24" s="9">
        <f t="shared" si="9"/>
        <v>167.51630000000003</v>
      </c>
      <c r="Q24" s="9">
        <f t="shared" si="9"/>
        <v>219.47149999999922</v>
      </c>
      <c r="R24" s="9">
        <f t="shared" si="9"/>
        <v>153.9499999999999</v>
      </c>
      <c r="S24" s="9">
        <f t="shared" si="9"/>
        <v>255.69999999999993</v>
      </c>
      <c r="T24" s="9">
        <f t="shared" si="9"/>
        <v>16.289999999999914</v>
      </c>
      <c r="U24" s="9">
        <f t="shared" ref="U24:V24" si="10">U21+U22-U23</f>
        <v>140.62000000000012</v>
      </c>
      <c r="V24" s="9">
        <f t="shared" si="10"/>
        <v>88.340000000000032</v>
      </c>
      <c r="X24" s="6">
        <f t="shared" si="0"/>
        <v>442.29588704727132</v>
      </c>
    </row>
    <row r="25" spans="11:35" x14ac:dyDescent="0.35">
      <c r="K25" s="3" t="s">
        <v>120</v>
      </c>
      <c r="L25" s="9"/>
      <c r="M25" s="9"/>
      <c r="N25" s="9"/>
      <c r="O25" s="9"/>
      <c r="P25" s="9"/>
      <c r="Q25" s="9"/>
      <c r="R25" s="9"/>
      <c r="S25" s="9"/>
      <c r="T25" s="33">
        <f>2.12</f>
        <v>2.12</v>
      </c>
      <c r="U25" s="33">
        <f>18.236</f>
        <v>18.236000000000001</v>
      </c>
      <c r="V25" s="33">
        <f>11.47</f>
        <v>11.47</v>
      </c>
      <c r="X25" s="6">
        <f t="shared" si="0"/>
        <v>441.03773584905656</v>
      </c>
    </row>
    <row r="26" spans="11:35" hidden="1" x14ac:dyDescent="0.35">
      <c r="K26" s="3" t="s">
        <v>16</v>
      </c>
      <c r="L26" s="9">
        <f>244.945</f>
        <v>244.94499999999999</v>
      </c>
      <c r="M26" s="9">
        <f>196.4164</f>
        <v>196.41640000000001</v>
      </c>
      <c r="N26" s="9">
        <f>358.8226</f>
        <v>358.82260000000002</v>
      </c>
      <c r="O26" s="9">
        <f>281.7832</f>
        <v>281.78320000000002</v>
      </c>
      <c r="P26" s="9">
        <f>248.7302</f>
        <v>248.7302</v>
      </c>
      <c r="Q26" s="9">
        <f>677.2558</f>
        <v>677.25580000000002</v>
      </c>
      <c r="R26" s="9">
        <f>804.86</f>
        <v>804.86</v>
      </c>
      <c r="S26" s="9">
        <f>1064.13</f>
        <v>1064.1300000000001</v>
      </c>
      <c r="T26" s="9"/>
      <c r="U26" s="9"/>
      <c r="V26" s="9">
        <f>414.17</f>
        <v>414.17</v>
      </c>
    </row>
    <row r="27" spans="11:35" hidden="1" x14ac:dyDescent="0.35">
      <c r="K27" s="5" t="s">
        <v>17</v>
      </c>
      <c r="L27" s="8">
        <f>435.9471</f>
        <v>435.94709999999998</v>
      </c>
      <c r="M27" s="8">
        <f>184.8269</f>
        <v>184.82689999999999</v>
      </c>
      <c r="N27" s="8">
        <f>164.7716</f>
        <v>164.77160000000001</v>
      </c>
      <c r="O27" s="8">
        <f>220.4605</f>
        <v>220.4605</v>
      </c>
      <c r="P27" s="8">
        <f>169.4225</f>
        <v>169.42250000000001</v>
      </c>
      <c r="Q27" s="8">
        <f>206.5262</f>
        <v>206.52619999999999</v>
      </c>
      <c r="R27" s="8">
        <f>279.21</f>
        <v>279.20999999999998</v>
      </c>
      <c r="S27" s="8">
        <f>419.71</f>
        <v>419.71</v>
      </c>
      <c r="T27" s="8"/>
      <c r="U27" s="8"/>
      <c r="V27" s="8">
        <f>381.91</f>
        <v>381.91</v>
      </c>
    </row>
    <row r="28" spans="11:35" hidden="1" x14ac:dyDescent="0.35">
      <c r="K28" s="5" t="s">
        <v>35</v>
      </c>
      <c r="L28" s="5"/>
      <c r="M28" s="5"/>
      <c r="N28" s="8"/>
      <c r="O28" s="8"/>
      <c r="P28" s="8">
        <f>2160.62</f>
        <v>2160.62</v>
      </c>
      <c r="Q28" s="8"/>
      <c r="R28" s="8"/>
      <c r="S28" s="8"/>
      <c r="T28" s="8"/>
      <c r="U28" s="8"/>
      <c r="V28" s="8"/>
    </row>
    <row r="29" spans="11:35" x14ac:dyDescent="0.35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1:35" hidden="1" x14ac:dyDescent="0.35">
      <c r="K30" s="5" t="s">
        <v>18</v>
      </c>
      <c r="L30" s="6">
        <f t="shared" ref="L30:S30" si="11">L11/L8*100</f>
        <v>82.342942533612998</v>
      </c>
      <c r="M30" s="6">
        <f t="shared" si="11"/>
        <v>84.697455699749128</v>
      </c>
      <c r="N30" s="6">
        <f t="shared" si="11"/>
        <v>82.338073197754341</v>
      </c>
      <c r="O30" s="6">
        <f t="shared" si="11"/>
        <v>85.309149303571672</v>
      </c>
      <c r="P30" s="6">
        <f t="shared" si="11"/>
        <v>81.523235220240792</v>
      </c>
      <c r="Q30" s="6">
        <f t="shared" si="11"/>
        <v>84.382707367273909</v>
      </c>
      <c r="R30" s="6">
        <f t="shared" si="11"/>
        <v>85.454025064703643</v>
      </c>
      <c r="S30" s="6">
        <f t="shared" si="11"/>
        <v>85.618738289714187</v>
      </c>
      <c r="T30" s="6"/>
      <c r="U30" s="6">
        <f t="shared" ref="U30:V30" si="12">U11/U8*100</f>
        <v>86.695048863738918</v>
      </c>
      <c r="V30" s="6">
        <f t="shared" si="12"/>
        <v>89.081420650824299</v>
      </c>
    </row>
    <row r="31" spans="11:35" x14ac:dyDescent="0.35">
      <c r="K31" s="5" t="s">
        <v>19</v>
      </c>
      <c r="L31" s="6">
        <f t="shared" ref="L31:U31" si="13">L16/L8*100</f>
        <v>15.452683385262469</v>
      </c>
      <c r="M31" s="6">
        <f t="shared" si="13"/>
        <v>15.118388520327612</v>
      </c>
      <c r="N31" s="6">
        <f t="shared" si="13"/>
        <v>8.5137142974787423</v>
      </c>
      <c r="O31" s="6">
        <f t="shared" si="13"/>
        <v>9.3939815552695887</v>
      </c>
      <c r="P31" s="6">
        <f t="shared" si="13"/>
        <v>8.7536153020306173</v>
      </c>
      <c r="Q31" s="6">
        <f t="shared" si="13"/>
        <v>14.326482953556793</v>
      </c>
      <c r="R31" s="6">
        <f t="shared" si="13"/>
        <v>14.10321520007958</v>
      </c>
      <c r="S31" s="6">
        <f t="shared" si="13"/>
        <v>14.485404040172675</v>
      </c>
      <c r="T31" s="6">
        <f t="shared" si="13"/>
        <v>12.668314533089333</v>
      </c>
      <c r="U31" s="6">
        <f t="shared" si="13"/>
        <v>20.418725879998519</v>
      </c>
      <c r="V31" s="6">
        <f t="shared" ref="V31" si="14">V16/V8*100</f>
        <v>19.183580640005903</v>
      </c>
    </row>
    <row r="32" spans="11:35" x14ac:dyDescent="0.35">
      <c r="K32" s="5" t="s">
        <v>20</v>
      </c>
      <c r="L32" s="6">
        <f t="shared" ref="L32:S32" si="15">L24/L8*100</f>
        <v>10.470018215936641</v>
      </c>
      <c r="M32" s="6">
        <f t="shared" si="15"/>
        <v>10.383946456634954</v>
      </c>
      <c r="N32" s="6">
        <f t="shared" si="15"/>
        <v>4.3041758951151712</v>
      </c>
      <c r="O32" s="6">
        <f t="shared" si="15"/>
        <v>5.4593574538511112</v>
      </c>
      <c r="P32" s="6">
        <f t="shared" si="15"/>
        <v>5.1257113680367459</v>
      </c>
      <c r="Q32" s="6">
        <f t="shared" si="15"/>
        <v>5.0480297879333484</v>
      </c>
      <c r="R32" s="6">
        <f t="shared" si="15"/>
        <v>2.6867505414513495</v>
      </c>
      <c r="S32" s="6">
        <f t="shared" si="15"/>
        <v>3.9045738639400298</v>
      </c>
      <c r="T32" s="6">
        <f t="shared" ref="T32:V32" si="16">T24/T8*100</f>
        <v>1.1123098353043943</v>
      </c>
      <c r="U32" s="6">
        <f t="shared" si="16"/>
        <v>7.4646593870931852</v>
      </c>
      <c r="V32" s="6">
        <f t="shared" si="16"/>
        <v>5.4300923250925113</v>
      </c>
    </row>
    <row r="33" spans="11:32" x14ac:dyDescent="0.35">
      <c r="K33" s="5" t="s">
        <v>21</v>
      </c>
      <c r="L33" s="6">
        <f t="shared" ref="L33:S33" si="17">L23/(L21+L22)*100</f>
        <v>30.883839535559048</v>
      </c>
      <c r="M33" s="6">
        <f t="shared" si="17"/>
        <v>23.078659065503118</v>
      </c>
      <c r="N33" s="6">
        <f t="shared" si="17"/>
        <v>14.832376122986467</v>
      </c>
      <c r="O33" s="6">
        <f t="shared" si="17"/>
        <v>17.591011544533352</v>
      </c>
      <c r="P33" s="6">
        <f t="shared" si="17"/>
        <v>16.680278375189751</v>
      </c>
      <c r="Q33" s="6">
        <f t="shared" si="17"/>
        <v>4.6999656527944929</v>
      </c>
      <c r="R33" s="6">
        <f t="shared" si="17"/>
        <v>3.6849349349349372</v>
      </c>
      <c r="S33" s="6">
        <f t="shared" si="17"/>
        <v>19.44934475806452</v>
      </c>
      <c r="T33" s="6"/>
      <c r="U33" s="6">
        <f t="shared" ref="U33:V33" si="18">U23/(U21+U22)*100</f>
        <v>35.860244480934114</v>
      </c>
      <c r="V33" s="6">
        <f t="shared" si="18"/>
        <v>37.369727047146391</v>
      </c>
    </row>
    <row r="34" spans="11:32" x14ac:dyDescent="0.35">
      <c r="K34" s="3" t="s">
        <v>66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1:32" x14ac:dyDescent="0.35">
      <c r="K35" s="5" t="s">
        <v>28</v>
      </c>
      <c r="L35" s="7">
        <f t="shared" ref="L35:O35" si="19">(L8*10^7)/(L7*10^6)</f>
        <v>3841.5901226272467</v>
      </c>
      <c r="M35" s="7">
        <f t="shared" si="19"/>
        <v>4024.9873202412246</v>
      </c>
      <c r="N35" s="7">
        <f t="shared" si="19"/>
        <v>4096.6346597854135</v>
      </c>
      <c r="O35" s="7">
        <f t="shared" si="19"/>
        <v>4220.7658119658117</v>
      </c>
      <c r="P35" s="7">
        <f>((P8-313.42)*10^7)/(P7*10^6)</f>
        <v>3676.8754355400697</v>
      </c>
      <c r="Q35" s="7">
        <f>((Q8-327.62)*10^7)/(Q7*10^6)</f>
        <v>3988.5370572477423</v>
      </c>
      <c r="R35" s="7">
        <f>((R8-310.15)*10^7)/(R7*10^6)</f>
        <v>4370.8225806451619</v>
      </c>
      <c r="S35" s="7">
        <f>((S8-331.07)*10^7)/(S7*10^6)</f>
        <v>4558.4017595307914</v>
      </c>
      <c r="T35" s="7"/>
      <c r="U35" s="7">
        <f>((U8-80.07)*10^7)/(U7*10^6)</f>
        <v>4941.7534246575351</v>
      </c>
      <c r="V35" s="7">
        <f>((V8-87.72)*10^7)/(V7*10^6)</f>
        <v>4809.8124999999991</v>
      </c>
    </row>
    <row r="36" spans="11:32" x14ac:dyDescent="0.35">
      <c r="K36" s="5" t="s">
        <v>37</v>
      </c>
      <c r="L36" s="7">
        <f t="shared" ref="L36:R36" si="20">L11*10^7/(L7*10^6)</f>
        <v>3163.2783470519066</v>
      </c>
      <c r="M36" s="7">
        <f t="shared" si="20"/>
        <v>3409.061852481831</v>
      </c>
      <c r="N36" s="7">
        <f t="shared" si="20"/>
        <v>3373.0900448186881</v>
      </c>
      <c r="O36" s="7">
        <f t="shared" si="20"/>
        <v>3600.6994082840238</v>
      </c>
      <c r="P36" s="7">
        <f t="shared" si="20"/>
        <v>3315.464659034345</v>
      </c>
      <c r="Q36" s="7">
        <f t="shared" si="20"/>
        <v>3639.9233058835193</v>
      </c>
      <c r="R36" s="7">
        <f t="shared" si="20"/>
        <v>3948.7822580645161</v>
      </c>
      <c r="S36" s="7">
        <f>((S11)*10^7)/(S7*10^6)</f>
        <v>4110.6598240469202</v>
      </c>
      <c r="T36" s="7"/>
      <c r="U36" s="7">
        <f t="shared" ref="U36:V36" si="21">U11*10^7/(U7*10^6)</f>
        <v>4474.4383561643845</v>
      </c>
      <c r="V36" s="7">
        <f t="shared" si="21"/>
        <v>4528.84375</v>
      </c>
    </row>
    <row r="37" spans="11:32" x14ac:dyDescent="0.35">
      <c r="K37" s="5" t="s">
        <v>22</v>
      </c>
      <c r="L37" s="7">
        <f t="shared" ref="L37:S37" si="22">(L12*10^7)/(L7*10^6)</f>
        <v>897.96371577355956</v>
      </c>
      <c r="M37" s="7">
        <f t="shared" si="22"/>
        <v>954.99412401422603</v>
      </c>
      <c r="N37" s="7">
        <f t="shared" si="22"/>
        <v>1042.2420209153877</v>
      </c>
      <c r="O37" s="7">
        <f t="shared" si="22"/>
        <v>1140.7113740959894</v>
      </c>
      <c r="P37" s="7">
        <f t="shared" si="22"/>
        <v>964.33175709308114</v>
      </c>
      <c r="Q37" s="7">
        <f t="shared" si="22"/>
        <v>960.84274233554913</v>
      </c>
      <c r="R37" s="7">
        <f t="shared" si="22"/>
        <v>1197.5806451612902</v>
      </c>
      <c r="S37" s="7">
        <f t="shared" si="22"/>
        <v>954.8460410557185</v>
      </c>
      <c r="T37" s="7"/>
      <c r="U37" s="7">
        <f t="shared" ref="U37:V37" si="23">(U12*10^7)/(U7*10^6)</f>
        <v>1046.5205479452056</v>
      </c>
      <c r="V37" s="7">
        <f t="shared" si="23"/>
        <v>1102.09375</v>
      </c>
    </row>
    <row r="38" spans="11:32" x14ac:dyDescent="0.35">
      <c r="K38" s="5" t="s">
        <v>24</v>
      </c>
      <c r="L38" s="7">
        <f t="shared" ref="L38:S38" si="24">(L13*10^7/(L7*10^6))</f>
        <v>689.38081639509494</v>
      </c>
      <c r="M38" s="7">
        <f t="shared" si="24"/>
        <v>865.28823256533167</v>
      </c>
      <c r="N38" s="7">
        <f t="shared" si="24"/>
        <v>906.66440309656389</v>
      </c>
      <c r="O38" s="7">
        <f t="shared" si="24"/>
        <v>983.52294543063772</v>
      </c>
      <c r="P38" s="7">
        <f t="shared" si="24"/>
        <v>974.53484320557493</v>
      </c>
      <c r="Q38" s="7">
        <f t="shared" si="24"/>
        <v>980.39855144359558</v>
      </c>
      <c r="R38" s="7">
        <f t="shared" si="24"/>
        <v>1163.1532258064517</v>
      </c>
      <c r="S38" s="7">
        <f t="shared" si="24"/>
        <v>1211.8914956011731</v>
      </c>
      <c r="T38" s="7"/>
      <c r="U38" s="7">
        <f t="shared" ref="U38:V38" si="25">(U13*10^7/(U7*10^6))</f>
        <v>1217.5342465753426</v>
      </c>
      <c r="V38" s="7">
        <f t="shared" si="25"/>
        <v>1196.9687500000002</v>
      </c>
    </row>
    <row r="39" spans="11:32" x14ac:dyDescent="0.35">
      <c r="K39" s="5" t="s">
        <v>27</v>
      </c>
      <c r="L39" s="7">
        <f t="shared" ref="L39:O39" si="26">L16*10^7/(L7*10^6)</f>
        <v>593.62875860910469</v>
      </c>
      <c r="M39" s="7">
        <f t="shared" si="26"/>
        <v>608.51322096799129</v>
      </c>
      <c r="N39" s="7">
        <f t="shared" si="26"/>
        <v>348.77577074562038</v>
      </c>
      <c r="O39" s="7">
        <f t="shared" si="26"/>
        <v>396.49796186719306</v>
      </c>
      <c r="P39" s="7">
        <f>((P16-25)*10^7)/(P7*10^6)</f>
        <v>324.89036834245894</v>
      </c>
      <c r="Q39" s="7">
        <f>((Q16-28)*10^7)/(Q7*10^6)</f>
        <v>590.20507986903385</v>
      </c>
      <c r="R39" s="7">
        <f>((R16-22.34)*10^7)/(R7*10^6)</f>
        <v>633.68548387096769</v>
      </c>
      <c r="S39" s="7">
        <f>((S16-15)*10^7)/(S7*10^6)</f>
        <v>684.46480938416403</v>
      </c>
      <c r="T39" s="7">
        <f>((T16-3.37)*10^7)/(T7*10^6)</f>
        <v>593.35504885993453</v>
      </c>
      <c r="U39" s="7">
        <f>((U16-5)*10^7)/(U7*10^6)</f>
        <v>1040.1369863013701</v>
      </c>
      <c r="V39" s="7">
        <f>((V16-4.87)*10^7)/(V7*10^6)</f>
        <v>960.06250000000011</v>
      </c>
    </row>
    <row r="40" spans="11:32" x14ac:dyDescent="0.35"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1:32" x14ac:dyDescent="0.35">
      <c r="K41" s="5" t="s">
        <v>31</v>
      </c>
      <c r="L41" s="8">
        <f>752.2381+11.0674+372.0952</f>
        <v>1135.4007000000001</v>
      </c>
      <c r="M41" s="8">
        <f>897.3846+50.7722+277.8896</f>
        <v>1226.0463999999999</v>
      </c>
      <c r="N41" s="8">
        <f>916.309+163.1049+321.8853</f>
        <v>1401.2991999999999</v>
      </c>
      <c r="O41" s="8">
        <f>1101.7817+140.8274</f>
        <v>1242.6091000000001</v>
      </c>
      <c r="P41" s="8">
        <f>789.6868+348.8069+142.7578</f>
        <v>1281.2515000000001</v>
      </c>
      <c r="Q41" s="8">
        <f>4049.0754+21.3858+184.478</f>
        <v>4254.9391999999998</v>
      </c>
      <c r="R41" s="8">
        <f>3829.77+235.4</f>
        <v>4065.17</v>
      </c>
      <c r="S41" s="8">
        <f>3623.21+25.22+400.73</f>
        <v>4049.16</v>
      </c>
      <c r="T41" s="47"/>
      <c r="U41" s="48"/>
      <c r="V41" s="49"/>
    </row>
    <row r="42" spans="11:32" x14ac:dyDescent="0.35">
      <c r="K42" s="5" t="s">
        <v>38</v>
      </c>
      <c r="L42" s="8">
        <f>2245.8333</f>
        <v>2245.8332999999998</v>
      </c>
      <c r="M42" s="8">
        <f>2452.9828</f>
        <v>2452.9828000000002</v>
      </c>
      <c r="N42" s="8">
        <f>2529.0801</f>
        <v>2529.0801000000001</v>
      </c>
      <c r="O42" s="12">
        <f>2626.9672</f>
        <v>2626.9672</v>
      </c>
      <c r="P42" s="8">
        <f>2925.3186</f>
        <v>2925.3186000000001</v>
      </c>
      <c r="Q42" s="8">
        <f>3304.9885</f>
        <v>3304.9884999999999</v>
      </c>
      <c r="R42" s="8">
        <f>4279.82</f>
        <v>4279.82</v>
      </c>
      <c r="S42" s="8">
        <f>4495.22</f>
        <v>4495.22</v>
      </c>
      <c r="T42" s="47"/>
      <c r="U42" s="50"/>
      <c r="V42" s="51"/>
    </row>
    <row r="43" spans="11:32" x14ac:dyDescent="0.35">
      <c r="K43" s="5" t="s">
        <v>32</v>
      </c>
      <c r="L43" s="8">
        <f>586.872+428.4673</f>
        <v>1015.3393</v>
      </c>
      <c r="M43" s="8">
        <f>374.1445+74.9629+282.0076</f>
        <v>731.11500000000001</v>
      </c>
      <c r="N43" s="8">
        <f>955.4224+468.0187</f>
        <v>1423.4411</v>
      </c>
      <c r="O43" s="8">
        <f>982.0883+502.3442</f>
        <v>1484.4324999999999</v>
      </c>
      <c r="P43" s="8">
        <f>1374.405+106.9672+256.4113</f>
        <v>1737.7835</v>
      </c>
      <c r="Q43" s="8">
        <f>335.3003+88.3015+224.1684</f>
        <v>647.77020000000005</v>
      </c>
      <c r="R43" s="8">
        <f>413.7+107.88+111.94</f>
        <v>633.52</v>
      </c>
      <c r="S43" s="8">
        <f>600.32+89.43+49.53</f>
        <v>739.28</v>
      </c>
      <c r="T43" s="47"/>
      <c r="U43" s="50"/>
      <c r="V43" s="51"/>
    </row>
    <row r="44" spans="11:32" x14ac:dyDescent="0.35">
      <c r="U44" s="50"/>
      <c r="V44" s="51"/>
      <c r="AE44" t="s">
        <v>117</v>
      </c>
      <c r="AF44" t="s">
        <v>118</v>
      </c>
    </row>
    <row r="45" spans="11:32" x14ac:dyDescent="0.35">
      <c r="K45" s="5" t="s">
        <v>42</v>
      </c>
      <c r="L45" s="5">
        <f>284.85</f>
        <v>284.85000000000002</v>
      </c>
      <c r="M45" s="5">
        <f>244.5</f>
        <v>244.5</v>
      </c>
      <c r="N45" s="5">
        <f>290.45</f>
        <v>290.45</v>
      </c>
      <c r="O45" s="5">
        <f>405.2</f>
        <v>405.2</v>
      </c>
      <c r="P45" s="5">
        <f>370.15</f>
        <v>370.15</v>
      </c>
      <c r="Q45" s="5">
        <f>739.75</f>
        <v>739.75</v>
      </c>
      <c r="R45" s="5">
        <f>714.7</f>
        <v>714.7</v>
      </c>
      <c r="S45" s="5">
        <f>524.4</f>
        <v>524.4</v>
      </c>
      <c r="T45" s="30"/>
      <c r="U45" s="50"/>
      <c r="V45" s="51"/>
      <c r="AD45" t="s">
        <v>115</v>
      </c>
      <c r="AE45">
        <f>15.5*95%</f>
        <v>14.725</v>
      </c>
      <c r="AF45">
        <f>AE45</f>
        <v>14.725</v>
      </c>
    </row>
    <row r="46" spans="11:32" x14ac:dyDescent="0.35">
      <c r="K46" s="5" t="s">
        <v>43</v>
      </c>
      <c r="L46" s="7">
        <f>L45*7.7013416</f>
        <v>2193.7271547600003</v>
      </c>
      <c r="M46" s="7">
        <f>M45*7.7013416</f>
        <v>1882.9780212000001</v>
      </c>
      <c r="N46" s="7">
        <f>N45*7.7013416</f>
        <v>2236.8546677199997</v>
      </c>
      <c r="O46" s="7">
        <f t="shared" ref="O46:S46" si="27">O45*7.7013416</f>
        <v>3120.5836163200001</v>
      </c>
      <c r="P46" s="7">
        <f t="shared" si="27"/>
        <v>2850.6515932399998</v>
      </c>
      <c r="Q46" s="7">
        <f t="shared" si="27"/>
        <v>5697.0674485999998</v>
      </c>
      <c r="R46" s="7">
        <f t="shared" si="27"/>
        <v>5504.1488415200001</v>
      </c>
      <c r="S46" s="7">
        <f t="shared" si="27"/>
        <v>4038.5835350399998</v>
      </c>
      <c r="T46" s="31"/>
      <c r="U46" s="50"/>
      <c r="V46" s="51"/>
      <c r="AD46" t="s">
        <v>62</v>
      </c>
      <c r="AE46">
        <f>1.2*75%</f>
        <v>0.89999999999999991</v>
      </c>
      <c r="AF46">
        <f>1.2*85%</f>
        <v>1.02</v>
      </c>
    </row>
    <row r="47" spans="11:32" x14ac:dyDescent="0.35">
      <c r="K47" s="5" t="s">
        <v>44</v>
      </c>
      <c r="L47" s="13">
        <f>(L46+L41-L43)/L16</f>
        <v>6.5474599950422663</v>
      </c>
      <c r="M47" s="13">
        <f>(M46+M41-M43)/M16</f>
        <v>6.0425802678606599</v>
      </c>
      <c r="N47" s="13">
        <f>(N46+N41-N43)/N16</f>
        <v>8.6241500030373288</v>
      </c>
      <c r="O47" s="13">
        <f t="shared" ref="O47:S47" si="28">(O46+O41-O43)/O16</f>
        <v>9.5469646524618614</v>
      </c>
      <c r="P47" s="13">
        <f t="shared" si="28"/>
        <v>8.3686510514646333</v>
      </c>
      <c r="Q47" s="13">
        <f t="shared" si="28"/>
        <v>14.93774111035138</v>
      </c>
      <c r="R47" s="13">
        <f t="shared" si="28"/>
        <v>11.057651608716636</v>
      </c>
      <c r="S47" s="13">
        <f t="shared" si="28"/>
        <v>7.7465592129958569</v>
      </c>
      <c r="T47" s="32"/>
      <c r="U47" s="50"/>
      <c r="V47" s="51"/>
      <c r="AD47" t="s">
        <v>116</v>
      </c>
      <c r="AE47">
        <f>3.9*60%</f>
        <v>2.34</v>
      </c>
      <c r="AF47">
        <f>3.9*85%</f>
        <v>3.3149999999999999</v>
      </c>
    </row>
    <row r="48" spans="11:32" x14ac:dyDescent="0.35">
      <c r="K48" s="5" t="s">
        <v>45</v>
      </c>
      <c r="L48" s="13">
        <f>L46/L24</f>
        <v>9.1619573392271185</v>
      </c>
      <c r="M48" s="13">
        <f>M46/M24</f>
        <v>6.9665127006225545</v>
      </c>
      <c r="N48" s="13">
        <f>N46/N24</f>
        <v>17.229224170236066</v>
      </c>
      <c r="O48" s="13">
        <f t="shared" ref="O48:S48" si="29">O46/O24</f>
        <v>17.807535494680106</v>
      </c>
      <c r="P48" s="13">
        <f t="shared" si="29"/>
        <v>17.01715948382336</v>
      </c>
      <c r="Q48" s="13">
        <f t="shared" si="29"/>
        <v>25.958119612797198</v>
      </c>
      <c r="R48" s="13">
        <f t="shared" si="29"/>
        <v>35.752834306722988</v>
      </c>
      <c r="S48" s="13">
        <f t="shared" si="29"/>
        <v>15.794225792100121</v>
      </c>
      <c r="T48" s="32"/>
      <c r="U48" s="50"/>
      <c r="V48" s="51"/>
    </row>
    <row r="49" spans="11:32" x14ac:dyDescent="0.35">
      <c r="K49" s="5" t="s">
        <v>46</v>
      </c>
      <c r="L49" s="13">
        <f>L46/L42</f>
        <v>0.97679874760072372</v>
      </c>
      <c r="M49" s="13">
        <f>M46/M42</f>
        <v>0.76762789417031374</v>
      </c>
      <c r="N49" s="13">
        <f>N46/N42</f>
        <v>0.88445386435961426</v>
      </c>
      <c r="O49" s="13">
        <f t="shared" ref="O49:S49" si="30">O46/O42</f>
        <v>1.1879035323775646</v>
      </c>
      <c r="P49" s="13">
        <f t="shared" si="30"/>
        <v>0.97447559839806841</v>
      </c>
      <c r="Q49" s="13">
        <f t="shared" si="30"/>
        <v>1.7237782971408222</v>
      </c>
      <c r="R49" s="13">
        <f t="shared" si="30"/>
        <v>1.2860701715305785</v>
      </c>
      <c r="S49" s="13">
        <f t="shared" si="30"/>
        <v>0.89841732663584861</v>
      </c>
      <c r="T49" s="32"/>
      <c r="U49" s="52"/>
      <c r="V49" s="53"/>
      <c r="AE49">
        <f>AE45+AE46+AE47</f>
        <v>17.965</v>
      </c>
      <c r="AF49">
        <f>AF45+AF46+AF47</f>
        <v>19.059999999999999</v>
      </c>
    </row>
    <row r="50" spans="11:32" x14ac:dyDescent="0.35">
      <c r="AE50">
        <f>AE49*950*10</f>
        <v>170667.5</v>
      </c>
      <c r="AF50">
        <f>AF49*100</f>
        <v>1905.9999999999998</v>
      </c>
    </row>
    <row r="51" spans="11:32" x14ac:dyDescent="0.35">
      <c r="K51" s="1" t="s">
        <v>67</v>
      </c>
      <c r="Z51" t="s">
        <v>114</v>
      </c>
      <c r="AA51" t="s">
        <v>77</v>
      </c>
    </row>
    <row r="52" spans="11:32" x14ac:dyDescent="0.35">
      <c r="K52" s="14" t="s">
        <v>51</v>
      </c>
      <c r="R52">
        <f>7.948</f>
        <v>7.9480000000000004</v>
      </c>
      <c r="S52">
        <f>8.91</f>
        <v>8.91</v>
      </c>
      <c r="AF52">
        <f>AF50*9</f>
        <v>17153.999999999996</v>
      </c>
    </row>
    <row r="53" spans="11:32" x14ac:dyDescent="0.35">
      <c r="K53" s="14" t="s">
        <v>3</v>
      </c>
      <c r="R53" s="12">
        <f>(3861.25-310.15)</f>
        <v>3551.1</v>
      </c>
      <c r="S53" s="12">
        <f>4423.58-310.15</f>
        <v>4113.43</v>
      </c>
      <c r="T53" s="12"/>
      <c r="U53" s="19">
        <f>1298.07-80.07</f>
        <v>1218</v>
      </c>
      <c r="V53" s="19">
        <f>1144.57-87.72</f>
        <v>1056.8499999999999</v>
      </c>
      <c r="Z53">
        <f>2069.76</f>
        <v>2069.7600000000002</v>
      </c>
      <c r="AA53">
        <f>2442.64</f>
        <v>2442.64</v>
      </c>
      <c r="AF53">
        <f>AF52-3000</f>
        <v>14153.999999999996</v>
      </c>
    </row>
    <row r="54" spans="11:32" x14ac:dyDescent="0.35">
      <c r="K54" s="14" t="s">
        <v>49</v>
      </c>
      <c r="R54" s="12">
        <f>R53*10^7/(R52*10^6)</f>
        <v>4467.9164569703071</v>
      </c>
      <c r="S54" s="12">
        <f>S53*10^7/(S52*10^6)</f>
        <v>4616.6442199775529</v>
      </c>
      <c r="T54" s="12"/>
    </row>
    <row r="55" spans="11:32" x14ac:dyDescent="0.35">
      <c r="K55" s="14" t="s">
        <v>8</v>
      </c>
      <c r="R55" s="12">
        <f>110.21-77.4+146.05+165.21-22.34</f>
        <v>321.73000000000008</v>
      </c>
      <c r="S55" s="12">
        <f>160.01+148.53+178.06-81.08-15.57</f>
        <v>389.95</v>
      </c>
      <c r="T55" s="12"/>
      <c r="U55">
        <f>137.32+36.17+45.02-15.02-5</f>
        <v>198.49</v>
      </c>
      <c r="V55">
        <f>94.98+49.56+37.66-24.24-5</f>
        <v>152.96</v>
      </c>
      <c r="Z55">
        <f>53.92+92.12+74.35-46.1</f>
        <v>174.29000000000002</v>
      </c>
      <c r="AA55">
        <f>232.3+73.83+94.58-39.26</f>
        <v>361.45</v>
      </c>
    </row>
    <row r="56" spans="11:32" x14ac:dyDescent="0.35">
      <c r="K56" t="s">
        <v>50</v>
      </c>
      <c r="R56" s="12">
        <f>R55*10^7/(R52*10^6)</f>
        <v>404.79365878208364</v>
      </c>
      <c r="S56" s="12">
        <f>S55*10^7/(S52*10^6)</f>
        <v>437.65432098765433</v>
      </c>
      <c r="T56" s="12"/>
    </row>
    <row r="59" spans="11:32" x14ac:dyDescent="0.35">
      <c r="K59" s="1" t="s">
        <v>52</v>
      </c>
    </row>
    <row r="60" spans="11:32" x14ac:dyDescent="0.35">
      <c r="K60" s="14" t="s">
        <v>51</v>
      </c>
      <c r="R60" s="2">
        <f>R7-R52</f>
        <v>4.452</v>
      </c>
      <c r="S60" s="2">
        <f>S7-S52</f>
        <v>4.7300000000000004</v>
      </c>
      <c r="T60" s="2"/>
    </row>
    <row r="61" spans="11:32" x14ac:dyDescent="0.35">
      <c r="K61" s="14" t="s">
        <v>3</v>
      </c>
      <c r="R61" s="15">
        <f>R8-R53-310.15</f>
        <v>1868.7200000000003</v>
      </c>
      <c r="S61" s="15">
        <f>S8-S53-310.15</f>
        <v>2125.1499999999992</v>
      </c>
      <c r="T61" s="15"/>
    </row>
    <row r="62" spans="11:32" x14ac:dyDescent="0.35">
      <c r="K62" s="14" t="s">
        <v>49</v>
      </c>
      <c r="R62" s="12">
        <f>R61*10^7/(R60*10^6)</f>
        <v>4197.4842767295604</v>
      </c>
      <c r="S62" s="12">
        <f>S61*10^7/(S60*10^6)</f>
        <v>4492.9175475687089</v>
      </c>
      <c r="T62" s="12"/>
    </row>
    <row r="63" spans="11:32" x14ac:dyDescent="0.35">
      <c r="K63" s="14" t="s">
        <v>8</v>
      </c>
      <c r="R63" s="15">
        <f>R16-R55-22.34</f>
        <v>464.03999999999985</v>
      </c>
      <c r="S63" s="15">
        <f>S16-S55-15.57</f>
        <v>543.0899999999998</v>
      </c>
      <c r="T63" s="15"/>
      <c r="Z63">
        <f>(2450*10^7)/(3.6*10^6)</f>
        <v>6805.5555555555557</v>
      </c>
    </row>
    <row r="64" spans="11:32" x14ac:dyDescent="0.35">
      <c r="K64" t="s">
        <v>50</v>
      </c>
      <c r="R64" s="12">
        <f>R63*10^7/(R60*10^6)</f>
        <v>1042.318059299191</v>
      </c>
      <c r="S64" s="12">
        <f>S63*10^7/(S60*10^6)</f>
        <v>1148.1818181818178</v>
      </c>
      <c r="T64" s="12"/>
    </row>
  </sheetData>
  <mergeCells count="1">
    <mergeCell ref="U41:V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Z25"/>
  <sheetViews>
    <sheetView tabSelected="1" topLeftCell="M8" workbookViewId="0">
      <selection activeCell="F5" sqref="F5:Z25"/>
    </sheetView>
  </sheetViews>
  <sheetFormatPr defaultRowHeight="14.5" x14ac:dyDescent="0.35"/>
  <cols>
    <col min="6" max="6" width="20.08984375" bestFit="1" customWidth="1"/>
    <col min="7" max="9" width="10.08984375" bestFit="1" customWidth="1"/>
    <col min="10" max="10" width="9.08984375" bestFit="1" customWidth="1"/>
    <col min="11" max="12" width="10.08984375" bestFit="1" customWidth="1"/>
    <col min="13" max="14" width="11.90625" customWidth="1"/>
    <col min="15" max="15" width="11.1796875" customWidth="1"/>
    <col min="16" max="16" width="10.54296875" customWidth="1"/>
    <col min="17" max="17" width="14.08984375" customWidth="1"/>
    <col min="18" max="18" width="9.08984375" bestFit="1" customWidth="1"/>
    <col min="19" max="19" width="12.08984375" customWidth="1"/>
    <col min="20" max="20" width="10.90625" customWidth="1"/>
    <col min="21" max="21" width="12.08984375" customWidth="1"/>
    <col min="22" max="23" width="9.08984375" bestFit="1" customWidth="1"/>
    <col min="24" max="24" width="10.54296875" customWidth="1"/>
    <col min="25" max="25" width="11.90625" customWidth="1"/>
    <col min="26" max="26" width="9.08984375" bestFit="1" customWidth="1"/>
  </cols>
  <sheetData>
    <row r="5" spans="6:26" x14ac:dyDescent="0.35">
      <c r="F5" s="5"/>
      <c r="G5" s="34" t="s">
        <v>88</v>
      </c>
      <c r="H5" s="34"/>
      <c r="I5" s="34" t="s">
        <v>89</v>
      </c>
      <c r="J5" s="34"/>
      <c r="K5" s="34" t="s">
        <v>90</v>
      </c>
      <c r="L5" s="34"/>
      <c r="M5" s="45" t="s">
        <v>107</v>
      </c>
      <c r="N5" s="42"/>
      <c r="O5" s="45" t="s">
        <v>92</v>
      </c>
      <c r="P5" s="42"/>
      <c r="Q5" s="45" t="s">
        <v>91</v>
      </c>
      <c r="R5" s="42"/>
      <c r="S5" s="45" t="s">
        <v>93</v>
      </c>
      <c r="T5" s="42"/>
      <c r="U5" s="46" t="s">
        <v>94</v>
      </c>
      <c r="V5" s="42"/>
      <c r="W5" s="34" t="s">
        <v>95</v>
      </c>
      <c r="X5" s="34"/>
      <c r="Y5" s="45" t="s">
        <v>96</v>
      </c>
      <c r="Z5" s="42"/>
    </row>
    <row r="6" spans="6:26" x14ac:dyDescent="0.35">
      <c r="F6" s="3" t="s">
        <v>2</v>
      </c>
      <c r="G6" s="4" t="s">
        <v>1</v>
      </c>
      <c r="H6" s="4" t="s">
        <v>98</v>
      </c>
      <c r="I6" s="4" t="s">
        <v>1</v>
      </c>
      <c r="J6" s="4" t="s">
        <v>98</v>
      </c>
      <c r="K6" s="4" t="s">
        <v>1</v>
      </c>
      <c r="L6" s="4" t="s">
        <v>77</v>
      </c>
      <c r="M6" s="4" t="s">
        <v>1</v>
      </c>
      <c r="N6" s="4" t="s">
        <v>77</v>
      </c>
      <c r="O6" s="4" t="s">
        <v>1</v>
      </c>
      <c r="P6" s="4" t="s">
        <v>77</v>
      </c>
      <c r="Q6" s="4" t="s">
        <v>1</v>
      </c>
      <c r="R6" s="4" t="s">
        <v>77</v>
      </c>
      <c r="S6" s="4" t="s">
        <v>1</v>
      </c>
      <c r="T6" s="4" t="s">
        <v>77</v>
      </c>
      <c r="U6" s="4" t="s">
        <v>1</v>
      </c>
      <c r="V6" s="4" t="s">
        <v>77</v>
      </c>
      <c r="W6" s="4" t="s">
        <v>1</v>
      </c>
      <c r="X6" s="4" t="s">
        <v>77</v>
      </c>
      <c r="Y6" s="4" t="s">
        <v>1</v>
      </c>
      <c r="Z6" s="4" t="s">
        <v>77</v>
      </c>
    </row>
    <row r="7" spans="6:26" x14ac:dyDescent="0.35">
      <c r="F7" s="3" t="s">
        <v>79</v>
      </c>
      <c r="G7" s="41" t="s">
        <v>103</v>
      </c>
      <c r="H7" s="42"/>
      <c r="I7" s="41" t="s">
        <v>103</v>
      </c>
      <c r="J7" s="42"/>
      <c r="K7" s="41" t="s">
        <v>103</v>
      </c>
      <c r="L7" s="42"/>
      <c r="M7" s="43" t="s">
        <v>106</v>
      </c>
      <c r="N7" s="44"/>
      <c r="O7" s="43" t="s">
        <v>108</v>
      </c>
      <c r="P7" s="44"/>
      <c r="Q7" s="43" t="s">
        <v>109</v>
      </c>
      <c r="R7" s="44"/>
      <c r="S7" s="43" t="s">
        <v>110</v>
      </c>
      <c r="T7" s="44"/>
      <c r="U7" s="41" t="s">
        <v>111</v>
      </c>
      <c r="V7" s="42"/>
      <c r="W7" s="43" t="s">
        <v>112</v>
      </c>
      <c r="X7" s="44"/>
      <c r="Y7" s="41" t="s">
        <v>113</v>
      </c>
      <c r="Z7" s="42"/>
    </row>
    <row r="8" spans="6:26" x14ac:dyDescent="0.35">
      <c r="F8" s="3" t="s">
        <v>78</v>
      </c>
      <c r="G8" s="41">
        <v>33.409999999999997</v>
      </c>
      <c r="H8" s="42"/>
      <c r="I8" s="41">
        <v>29.65</v>
      </c>
      <c r="J8" s="42"/>
      <c r="K8" s="41">
        <v>117.4</v>
      </c>
      <c r="L8" s="42"/>
      <c r="M8" s="43">
        <v>44.4</v>
      </c>
      <c r="N8" s="44"/>
      <c r="O8" s="43">
        <v>12.89</v>
      </c>
      <c r="P8" s="44"/>
      <c r="Q8" s="41">
        <v>26.5</v>
      </c>
      <c r="R8" s="42"/>
      <c r="S8" s="37">
        <v>10.5</v>
      </c>
      <c r="T8" s="38"/>
      <c r="U8" s="41">
        <v>12.5</v>
      </c>
      <c r="V8" s="42"/>
      <c r="W8" s="41">
        <v>15.58</v>
      </c>
      <c r="X8" s="42"/>
      <c r="Y8" s="41">
        <v>15.5</v>
      </c>
      <c r="Z8" s="42"/>
    </row>
    <row r="9" spans="6:26" x14ac:dyDescent="0.35">
      <c r="F9" s="3" t="s">
        <v>83</v>
      </c>
      <c r="G9" s="5">
        <v>28.4</v>
      </c>
      <c r="H9" s="5">
        <v>21.1</v>
      </c>
      <c r="I9" s="5">
        <v>24.18</v>
      </c>
      <c r="J9" s="5">
        <v>17.420000000000002</v>
      </c>
      <c r="K9" s="5">
        <v>84.64</v>
      </c>
      <c r="L9" s="5">
        <v>39.47</v>
      </c>
      <c r="M9" s="5">
        <v>25.9</v>
      </c>
      <c r="N9" s="5">
        <f>11.8</f>
        <v>11.8</v>
      </c>
      <c r="O9" s="5">
        <v>11.124000000000001</v>
      </c>
      <c r="P9" s="5">
        <f>5.427</f>
        <v>5.4269999999999996</v>
      </c>
      <c r="Q9" s="5">
        <v>18.7</v>
      </c>
      <c r="R9" s="5">
        <v>9.02</v>
      </c>
      <c r="S9" s="6">
        <v>9.8510000000000009</v>
      </c>
      <c r="T9" s="2">
        <f>2.238+2.308</f>
        <v>4.5459999999999994</v>
      </c>
      <c r="U9" s="5">
        <v>9.65</v>
      </c>
      <c r="V9" s="5">
        <f>2.06+2.33</f>
        <v>4.3900000000000006</v>
      </c>
      <c r="W9" s="5">
        <f>13.64</f>
        <v>13.64</v>
      </c>
      <c r="X9" s="6">
        <f>Consolidated!U7+Consolidated!V7</f>
        <v>6.85</v>
      </c>
      <c r="Y9" s="5">
        <v>12.44</v>
      </c>
      <c r="Z9" s="6">
        <f>2.667+3.042</f>
        <v>5.7089999999999996</v>
      </c>
    </row>
    <row r="10" spans="6:26" x14ac:dyDescent="0.35">
      <c r="F10" s="3" t="s">
        <v>97</v>
      </c>
      <c r="G10" s="22">
        <v>0.08</v>
      </c>
      <c r="H10" s="22">
        <v>0.01</v>
      </c>
      <c r="I10" s="24">
        <v>5.3999999999999999E-2</v>
      </c>
      <c r="J10" s="22">
        <v>-0.03</v>
      </c>
      <c r="K10" s="5"/>
      <c r="L10" s="22">
        <v>0.04</v>
      </c>
      <c r="M10" s="27">
        <f>(M9/22.5-1)</f>
        <v>0.15111111111111097</v>
      </c>
      <c r="N10" s="27">
        <f>(N9/12.6-1)</f>
        <v>-6.3492063492063378E-2</v>
      </c>
      <c r="O10" s="22">
        <v>0.19</v>
      </c>
      <c r="P10" s="27">
        <f>(P9/5.083-1)</f>
        <v>6.7676568955341132E-2</v>
      </c>
      <c r="Q10" s="27">
        <f>(18.7/16.9-1)</f>
        <v>0.10650887573964507</v>
      </c>
      <c r="R10" s="27">
        <f>(9.02/8.64-1)</f>
        <v>4.3981481481481399E-2</v>
      </c>
      <c r="S10" s="22">
        <v>0.05</v>
      </c>
      <c r="T10" s="27">
        <f>(4.55/(2.16+2.315))-1</f>
        <v>1.6759776536312998E-2</v>
      </c>
      <c r="U10" s="28">
        <f>(U9/8.52-1)</f>
        <v>0.13262910798122074</v>
      </c>
      <c r="V10" s="5"/>
      <c r="W10" s="27">
        <f>W9/12.4-1</f>
        <v>0.10000000000000009</v>
      </c>
      <c r="X10" s="22">
        <v>0.04</v>
      </c>
      <c r="Y10" s="22">
        <v>0.11</v>
      </c>
      <c r="Z10" s="27">
        <f>5.709/(3.077+3.075)-1</f>
        <v>-7.2009102730819285E-2</v>
      </c>
    </row>
    <row r="11" spans="6:26" x14ac:dyDescent="0.35">
      <c r="F11" s="3" t="s">
        <v>80</v>
      </c>
      <c r="G11" s="8">
        <f>14801.62</f>
        <v>14801.62</v>
      </c>
      <c r="H11" s="8">
        <f>11597.24</f>
        <v>11597.24</v>
      </c>
      <c r="I11" s="8">
        <f>11356.76</f>
        <v>11356.76</v>
      </c>
      <c r="J11" s="8">
        <v>8532</v>
      </c>
      <c r="K11" s="8">
        <v>41608.949999999997</v>
      </c>
      <c r="L11" s="8">
        <v>21025.41</v>
      </c>
      <c r="M11" s="8">
        <f>11722</f>
        <v>11722</v>
      </c>
      <c r="N11" s="8">
        <f>5838.1</f>
        <v>5838.1</v>
      </c>
      <c r="O11" s="8">
        <f>5174.71</f>
        <v>5174.71</v>
      </c>
      <c r="P11" s="8">
        <f>2717.94</f>
        <v>2717.94</v>
      </c>
      <c r="Q11" s="8">
        <f>9484</f>
        <v>9484</v>
      </c>
      <c r="R11" s="8">
        <v>4773</v>
      </c>
      <c r="S11" s="8">
        <f>5258.6804</f>
        <v>5258.6804000000002</v>
      </c>
      <c r="T11" s="8">
        <f>2784.2</f>
        <v>2784.2</v>
      </c>
      <c r="U11" s="8">
        <f>4316.31</f>
        <v>4316.3100000000004</v>
      </c>
      <c r="V11" s="8">
        <f>2148.68</f>
        <v>2148.6799999999998</v>
      </c>
      <c r="W11" s="8">
        <f>Consolidated!S8</f>
        <v>6548.73</v>
      </c>
      <c r="X11" s="8">
        <f>Consolidated!U8+Consolidated!V8</f>
        <v>3510.67</v>
      </c>
      <c r="Y11" s="8">
        <f>5809.6</f>
        <v>5809.6</v>
      </c>
      <c r="Z11" s="8">
        <f>2765.77</f>
        <v>2765.77</v>
      </c>
    </row>
    <row r="12" spans="6:26" x14ac:dyDescent="0.35">
      <c r="F12" s="3" t="s">
        <v>8</v>
      </c>
      <c r="G12" s="8">
        <f>1499.79+603.22+87.77-142.66</f>
        <v>2048.1200000000003</v>
      </c>
      <c r="H12" s="8">
        <f>1630.07+445.63+57.01-260.89</f>
        <v>1871.8200000000002</v>
      </c>
      <c r="I12" s="8">
        <f>1636.02+82.33+548.09-374.98</f>
        <v>1891.46</v>
      </c>
      <c r="J12" s="8">
        <f>1507.35+395.17+59.84-360.91</f>
        <v>1601.4499999999998</v>
      </c>
      <c r="K12" s="8">
        <f>3586.93+2446.76+1777.86-467.84</f>
        <v>7343.71</v>
      </c>
      <c r="L12" s="8">
        <f>2788.95+1356.6+1010.01-287.85</f>
        <v>4867.7099999999991</v>
      </c>
      <c r="M12" s="8">
        <f>2471.3+181.6</f>
        <v>2652.9</v>
      </c>
      <c r="N12" s="8">
        <f>1705.2+41.2</f>
        <v>1746.4</v>
      </c>
      <c r="O12" s="8">
        <f>1064.97</f>
        <v>1064.97</v>
      </c>
      <c r="P12" s="8">
        <f>671.91</f>
        <v>671.91</v>
      </c>
      <c r="Q12" s="8">
        <f>339+504+47-9+1296-235</f>
        <v>1942</v>
      </c>
      <c r="R12" s="8">
        <f>1141</f>
        <v>1141</v>
      </c>
      <c r="S12" s="8">
        <f>412.4342+261.1177+241.2814-80.3763</f>
        <v>834.45699999999988</v>
      </c>
      <c r="T12" s="8">
        <f>317.5653+145.2127+143.9014-34.8421</f>
        <v>571.83730000000003</v>
      </c>
      <c r="U12" s="8">
        <f>45.17+255.47+211.02</f>
        <v>511.65999999999997</v>
      </c>
      <c r="V12" s="8">
        <f>398.33</f>
        <v>398.33</v>
      </c>
      <c r="W12" s="8">
        <f>Consolidated!S16</f>
        <v>948.6099999999999</v>
      </c>
      <c r="X12" s="8">
        <f>Consolidated!U16+Consolidated!V16</f>
        <v>696.74000000000012</v>
      </c>
      <c r="Y12" s="8">
        <f>49.76+350.42+264.74-39.23</f>
        <v>625.69000000000005</v>
      </c>
      <c r="Z12" s="8">
        <f>9.12+175.88+131.19-13.28</f>
        <v>302.91000000000003</v>
      </c>
    </row>
    <row r="13" spans="6:26" x14ac:dyDescent="0.35">
      <c r="F13" s="3" t="s">
        <v>81</v>
      </c>
      <c r="G13" s="8">
        <f>87.77</f>
        <v>87.77</v>
      </c>
      <c r="H13" s="8">
        <f>57.01</f>
        <v>57.01</v>
      </c>
      <c r="I13" s="8">
        <f>64.13</f>
        <v>64.13</v>
      </c>
      <c r="J13" s="8">
        <v>59.85</v>
      </c>
      <c r="K13" s="8">
        <f>1777.86</f>
        <v>1777.86</v>
      </c>
      <c r="L13" s="12">
        <f>1010.01</f>
        <v>1010.01</v>
      </c>
      <c r="M13" s="8">
        <f>247</f>
        <v>247</v>
      </c>
      <c r="N13" s="8">
        <f>139.8</f>
        <v>139.80000000000001</v>
      </c>
      <c r="O13" s="8">
        <f>51.42</f>
        <v>51.42</v>
      </c>
      <c r="P13" s="8">
        <f>28.25</f>
        <v>28.25</v>
      </c>
      <c r="Q13" s="8">
        <f>504+47-9</f>
        <v>542</v>
      </c>
      <c r="R13" s="8">
        <f>203+15+1</f>
        <v>219</v>
      </c>
      <c r="S13" s="8">
        <f>261.1177</f>
        <v>261.11770000000001</v>
      </c>
      <c r="T13" s="8">
        <f>143.9014</f>
        <v>143.9014</v>
      </c>
      <c r="U13" s="8">
        <f>255.47</f>
        <v>255.47</v>
      </c>
      <c r="V13" s="8">
        <f>112.05</f>
        <v>112.05</v>
      </c>
      <c r="W13" s="8">
        <f>Consolidated!S17</f>
        <v>370.52</v>
      </c>
      <c r="X13" s="8">
        <f>Consolidated!U18+Consolidated!V18</f>
        <v>174.18</v>
      </c>
      <c r="Y13" s="8">
        <f>350.42</f>
        <v>350.42</v>
      </c>
      <c r="Z13" s="8">
        <f>175.88</f>
        <v>175.88</v>
      </c>
    </row>
    <row r="14" spans="6:26" x14ac:dyDescent="0.35">
      <c r="F14" s="3" t="s">
        <v>82</v>
      </c>
      <c r="G14" s="8">
        <f>1520.62</f>
        <v>1520.62</v>
      </c>
      <c r="H14" s="8">
        <f>1104.26</f>
        <v>1104.26</v>
      </c>
      <c r="I14" s="8">
        <f>949.64</f>
        <v>949.64</v>
      </c>
      <c r="J14" s="8">
        <v>1073.6400000000001</v>
      </c>
      <c r="K14" s="8">
        <v>2401</v>
      </c>
      <c r="L14" s="8">
        <v>1859.82</v>
      </c>
      <c r="M14" s="8">
        <f>951.1</f>
        <v>951.1</v>
      </c>
      <c r="N14" s="8">
        <f>672.1</f>
        <v>672.1</v>
      </c>
      <c r="O14" s="8">
        <f>505.89</f>
        <v>505.89</v>
      </c>
      <c r="P14" s="8">
        <f>360.12</f>
        <v>360.12</v>
      </c>
      <c r="Q14" s="8">
        <f>349</f>
        <v>349</v>
      </c>
      <c r="R14" s="8">
        <v>188</v>
      </c>
      <c r="S14" s="8">
        <f>263.63</f>
        <v>263.63</v>
      </c>
      <c r="T14" s="8">
        <f>198.2692</f>
        <v>198.26920000000001</v>
      </c>
      <c r="U14" s="8">
        <f>40.62</f>
        <v>40.619999999999997</v>
      </c>
      <c r="V14" s="8">
        <f>103.47</f>
        <v>103.47</v>
      </c>
      <c r="W14" s="8">
        <f>Consolidated!S24</f>
        <v>255.69999999999993</v>
      </c>
      <c r="X14" s="8">
        <f>Consolidated!U24+Consolidated!V24</f>
        <v>228.96000000000015</v>
      </c>
      <c r="Y14" s="8">
        <f>25.26</f>
        <v>25.26</v>
      </c>
      <c r="Z14" s="8">
        <f>69.35</f>
        <v>69.349999999999994</v>
      </c>
    </row>
    <row r="15" spans="6:26" x14ac:dyDescent="0.35">
      <c r="F15" s="3" t="s">
        <v>31</v>
      </c>
      <c r="G15" s="8">
        <v>0</v>
      </c>
      <c r="H15" s="8">
        <v>0</v>
      </c>
      <c r="I15" s="8">
        <v>24.12</v>
      </c>
      <c r="J15" s="8"/>
      <c r="K15" s="8">
        <f>25337</f>
        <v>25337</v>
      </c>
      <c r="L15" s="8">
        <f>26417</f>
        <v>26417</v>
      </c>
      <c r="M15" s="8">
        <f>2309+467.95</f>
        <v>2776.95</v>
      </c>
      <c r="N15" s="8">
        <f>1688.11+463.48</f>
        <v>2151.59</v>
      </c>
      <c r="O15" s="8">
        <f>701.18+729.33+206.41</f>
        <v>1636.92</v>
      </c>
      <c r="P15" s="8">
        <f>1183.59+969.84+200</f>
        <v>2353.4299999999998</v>
      </c>
      <c r="Q15" s="8">
        <v>5908</v>
      </c>
      <c r="R15" s="8">
        <f>3235+869+955</f>
        <v>5059</v>
      </c>
      <c r="S15" s="8">
        <f>2199</f>
        <v>2199</v>
      </c>
      <c r="T15" s="8">
        <f>2464</f>
        <v>2464</v>
      </c>
      <c r="U15" s="8">
        <f>1666.5+62.36+405.92</f>
        <v>2134.7799999999997</v>
      </c>
      <c r="V15" s="8">
        <v>2100</v>
      </c>
      <c r="W15" s="8">
        <f>Consolidated!S41</f>
        <v>4049.16</v>
      </c>
      <c r="X15" s="8">
        <f>W15+7</f>
        <v>4056.16</v>
      </c>
      <c r="Y15" s="8">
        <f>2691.4311+356.29+347.5677+18.3417+39.2887</f>
        <v>3452.9191999999998</v>
      </c>
      <c r="Z15" s="8">
        <f>Y15+150</f>
        <v>3602.9191999999998</v>
      </c>
    </row>
    <row r="16" spans="6:26" x14ac:dyDescent="0.35">
      <c r="F16" s="3" t="s">
        <v>104</v>
      </c>
      <c r="G16" s="8"/>
      <c r="H16" s="8"/>
      <c r="I16" s="8"/>
      <c r="J16" s="8"/>
      <c r="K16" s="8">
        <f>22111</f>
        <v>22111</v>
      </c>
      <c r="L16" s="8">
        <f>20619</f>
        <v>20619</v>
      </c>
      <c r="M16" s="8">
        <f>M15</f>
        <v>2776.95</v>
      </c>
      <c r="N16" s="8">
        <f>N15</f>
        <v>2151.59</v>
      </c>
      <c r="O16" s="8">
        <f>O15-57.95-36.88</f>
        <v>1542.09</v>
      </c>
      <c r="P16" s="8">
        <f>P15-96.97-31.14</f>
        <v>2225.3200000000002</v>
      </c>
      <c r="Q16" s="8">
        <f>5908-2784</f>
        <v>3124</v>
      </c>
      <c r="R16" s="8">
        <f>R15-1659-248-110</f>
        <v>3042</v>
      </c>
      <c r="S16" s="8">
        <f>1261</f>
        <v>1261</v>
      </c>
      <c r="T16" s="8">
        <f>1601</f>
        <v>1601</v>
      </c>
      <c r="U16" s="8">
        <f>U15-(366.54+2.85+16.58)</f>
        <v>1748.8099999999997</v>
      </c>
      <c r="V16" s="8">
        <f>1750</f>
        <v>1750</v>
      </c>
      <c r="W16" s="8">
        <f>W15-Consolidated!S43</f>
        <v>3309.88</v>
      </c>
      <c r="X16" s="8">
        <f>X15-534.67-54.42-106.77</f>
        <v>3360.2999999999997</v>
      </c>
      <c r="Y16" s="29">
        <f>Y15-50</f>
        <v>3402.9191999999998</v>
      </c>
      <c r="Z16" s="29">
        <f>Z15-12.6</f>
        <v>3590.3191999999999</v>
      </c>
    </row>
    <row r="17" spans="6:26" x14ac:dyDescent="0.35">
      <c r="F17" s="3" t="s">
        <v>28</v>
      </c>
      <c r="G17" s="7">
        <f>(G11-1315.21)*10^7/(G9*10^6)</f>
        <v>4748.7359154929582</v>
      </c>
      <c r="H17" s="5">
        <f>(H11-1093.66)*10^7/(H9*10^6)</f>
        <v>4978</v>
      </c>
      <c r="I17" s="5">
        <f>4813</f>
        <v>4813</v>
      </c>
      <c r="J17" s="5">
        <f>4813</f>
        <v>4813</v>
      </c>
      <c r="K17" s="5">
        <v>5456</v>
      </c>
      <c r="L17" s="7">
        <f>(5049*18.37+5973*21.11)/(39.47)</f>
        <v>5544.4682036990125</v>
      </c>
      <c r="M17" s="7">
        <f>(10920.12*10^7)/(M9*10^6)</f>
        <v>4216.262548262549</v>
      </c>
      <c r="N17" s="7">
        <f>(5510.95*10^7)/(N9*10^6)</f>
        <v>4670.2966101694919</v>
      </c>
      <c r="O17" s="7">
        <f>(O11*10^7)/(O9*10^6)</f>
        <v>4651.8428622797555</v>
      </c>
      <c r="P17" s="7">
        <f>(P11*10^7)/(P9*10^6)</f>
        <v>5008.1813156440021</v>
      </c>
      <c r="Q17" s="7">
        <f>(Q11*10^7)/(Q9*10^6)</f>
        <v>5071.6577540106955</v>
      </c>
      <c r="R17" s="7">
        <f>(R11*10^7)/(R9*10^6)</f>
        <v>5291.5742793791578</v>
      </c>
      <c r="S17" s="8">
        <f t="shared" ref="S17:Z17" si="0">(S11*10^7)/(S9*10^6)</f>
        <v>5338.2198761547052</v>
      </c>
      <c r="T17" s="8">
        <f t="shared" si="0"/>
        <v>6124.5050593928745</v>
      </c>
      <c r="U17" s="8">
        <f t="shared" si="0"/>
        <v>4472.8601036269438</v>
      </c>
      <c r="V17" s="8">
        <f t="shared" si="0"/>
        <v>4894.4874715261949</v>
      </c>
      <c r="W17" s="8">
        <f>Consolidated!S35</f>
        <v>4558.4017595307914</v>
      </c>
      <c r="X17" s="7">
        <f>(Consolidated!U35*Consolidated!U7+Consolidated!V7*Consolidated!V35)/(Consolidated!U7+Consolidated!V7)</f>
        <v>4880.1167883211683</v>
      </c>
      <c r="Y17" s="8">
        <f t="shared" si="0"/>
        <v>4670.096463022508</v>
      </c>
      <c r="Z17" s="8">
        <f t="shared" si="0"/>
        <v>4844.5787353301803</v>
      </c>
    </row>
    <row r="18" spans="6:26" x14ac:dyDescent="0.35">
      <c r="F18" s="3" t="s">
        <v>99</v>
      </c>
      <c r="G18" s="6">
        <f>G12/G11*100</f>
        <v>13.837134043435787</v>
      </c>
      <c r="H18" s="6">
        <f>H12/H11*100</f>
        <v>16.140219569483776</v>
      </c>
      <c r="I18" s="6">
        <f t="shared" ref="I18:Z18" si="1">I12/I11*100</f>
        <v>16.654926228959667</v>
      </c>
      <c r="J18" s="6">
        <f t="shared" si="1"/>
        <v>18.769924988279417</v>
      </c>
      <c r="K18" s="6">
        <f t="shared" si="1"/>
        <v>17.649351882227261</v>
      </c>
      <c r="L18" s="6">
        <f t="shared" si="1"/>
        <v>23.151558043338984</v>
      </c>
      <c r="M18" s="6">
        <f t="shared" si="1"/>
        <v>22.631803446510833</v>
      </c>
      <c r="N18" s="6">
        <f t="shared" si="1"/>
        <v>29.913841832102911</v>
      </c>
      <c r="O18" s="6">
        <f t="shared" si="1"/>
        <v>20.580283726044552</v>
      </c>
      <c r="P18" s="6">
        <f t="shared" si="1"/>
        <v>24.721296275855977</v>
      </c>
      <c r="Q18" s="6">
        <f t="shared" si="1"/>
        <v>20.476592155208774</v>
      </c>
      <c r="R18" s="6">
        <f t="shared" si="1"/>
        <v>23.905300649486698</v>
      </c>
      <c r="S18" s="6">
        <f t="shared" si="1"/>
        <v>15.868182443641182</v>
      </c>
      <c r="T18" s="6">
        <f t="shared" si="1"/>
        <v>20.53865742403563</v>
      </c>
      <c r="U18" s="6">
        <f t="shared" si="1"/>
        <v>11.854106864428179</v>
      </c>
      <c r="V18" s="6">
        <f t="shared" si="1"/>
        <v>18.538358434015304</v>
      </c>
      <c r="W18" s="6">
        <f t="shared" si="1"/>
        <v>14.485404040172675</v>
      </c>
      <c r="X18" s="6">
        <f t="shared" si="1"/>
        <v>19.846354114741633</v>
      </c>
      <c r="Y18" s="6">
        <f t="shared" si="1"/>
        <v>10.769932525475076</v>
      </c>
      <c r="Z18" s="6">
        <f t="shared" si="1"/>
        <v>10.95210375410826</v>
      </c>
    </row>
    <row r="19" spans="6:26" x14ac:dyDescent="0.35">
      <c r="F19" s="3" t="s">
        <v>84</v>
      </c>
      <c r="G19" s="7">
        <f>(G12-116.71)*10^7/(G9*10^6)</f>
        <v>680.07394366197195</v>
      </c>
      <c r="H19" s="7">
        <f>((H12-65.18)*10^7)/(H9*10^6)</f>
        <v>856.2274881516588</v>
      </c>
      <c r="I19" s="7">
        <f>(I12*10^7)/(I9*10^6)</f>
        <v>782.24152191894132</v>
      </c>
      <c r="J19" s="7">
        <f>(J12*10^7)/(J9*10^6)</f>
        <v>919.31687715269788</v>
      </c>
      <c r="K19" s="7">
        <v>925</v>
      </c>
      <c r="L19" s="7">
        <f>(1096*18.37+1423*21.11)/(18.37+21.11)</f>
        <v>1270.84726443769</v>
      </c>
      <c r="M19" s="7">
        <f>955.6</f>
        <v>955.6</v>
      </c>
      <c r="N19" s="7">
        <f>1448.5</f>
        <v>1448.5</v>
      </c>
      <c r="O19" s="7">
        <f>(O12*10^7)/(O9*10^6)</f>
        <v>957.36245954692561</v>
      </c>
      <c r="P19" s="7">
        <f>(P12*10^7)/(P9*10^6)</f>
        <v>1238.0873410724157</v>
      </c>
      <c r="Q19" s="7">
        <v>1009</v>
      </c>
      <c r="R19" s="7">
        <f>(R12*10^7)/(R9*10^6)</f>
        <v>1264.9667405764967</v>
      </c>
      <c r="S19" s="7">
        <f t="shared" ref="S19:V19" si="2">(S12*10^7)/(S9*10^6)</f>
        <v>847.07846919094493</v>
      </c>
      <c r="T19" s="7">
        <f t="shared" si="2"/>
        <v>1257.8911130664324</v>
      </c>
      <c r="U19" s="7">
        <f t="shared" si="2"/>
        <v>530.21761658031085</v>
      </c>
      <c r="V19" s="7">
        <f t="shared" si="2"/>
        <v>907.35763097949871</v>
      </c>
      <c r="W19" s="7">
        <f>Consolidated!S39</f>
        <v>684.46480938416403</v>
      </c>
      <c r="X19" s="7">
        <f>(Consolidated!U39*Consolidated!U7+Consolidated!V7*Consolidated!V39)/(Consolidated!U7+Consolidated!V7)</f>
        <v>1002.7299270072995</v>
      </c>
      <c r="Y19" s="7">
        <f t="shared" ref="Y19:Z19" si="3">(Y12*10^7)/(Y9*10^6)</f>
        <v>502.96623794212229</v>
      </c>
      <c r="Z19" s="7">
        <f t="shared" si="3"/>
        <v>530.58328954282717</v>
      </c>
    </row>
    <row r="20" spans="6:26" x14ac:dyDescent="0.35">
      <c r="F20" s="3" t="s">
        <v>105</v>
      </c>
      <c r="G20" s="23" t="s">
        <v>100</v>
      </c>
      <c r="H20" s="23" t="s">
        <v>100</v>
      </c>
      <c r="I20" s="6">
        <f>I15/I12</f>
        <v>1.2752053968891756E-2</v>
      </c>
      <c r="J20" s="5">
        <f>J15/J12</f>
        <v>0</v>
      </c>
      <c r="K20" s="26">
        <f>K16/K12</f>
        <v>3.0108759741329654</v>
      </c>
      <c r="L20" s="26">
        <f>L16/(L12*2)</f>
        <v>2.1179363602186658</v>
      </c>
      <c r="M20" s="6">
        <f>M16/M12</f>
        <v>1.0467601492706093</v>
      </c>
      <c r="N20" s="6">
        <f>N16/(N12*2)</f>
        <v>0.61600721484196064</v>
      </c>
      <c r="O20" s="6">
        <f>O16/O12</f>
        <v>1.4480126200738048</v>
      </c>
      <c r="P20" s="6">
        <f>P16/(P12*2)</f>
        <v>1.6559658287568277</v>
      </c>
      <c r="Q20" s="6">
        <f>Q16/(Q12)</f>
        <v>1.6086508753861999</v>
      </c>
      <c r="R20" s="6">
        <f t="shared" ref="R20:T20" si="4">R16/(R12*2)</f>
        <v>1.3330411919368974</v>
      </c>
      <c r="S20" s="6">
        <f>S16/(S12)</f>
        <v>1.511162348689028</v>
      </c>
      <c r="T20" s="6">
        <f t="shared" si="4"/>
        <v>1.3998737053354162</v>
      </c>
      <c r="U20" s="6">
        <f>U16/(U12)</f>
        <v>3.4179142399249498</v>
      </c>
      <c r="V20" s="6">
        <f t="shared" ref="V20:Z20" si="5">V16/(V12*2)</f>
        <v>2.196671101850225</v>
      </c>
      <c r="W20" s="6">
        <f>W16/(W12)</f>
        <v>3.4891894456098926</v>
      </c>
      <c r="X20" s="6">
        <f t="shared" si="5"/>
        <v>2.4114447283061109</v>
      </c>
      <c r="Y20" s="6">
        <f>Y16/(Y12)</f>
        <v>5.4386664322587857</v>
      </c>
      <c r="Z20" s="6">
        <f t="shared" si="5"/>
        <v>5.9263794526426983</v>
      </c>
    </row>
    <row r="21" spans="6:26" x14ac:dyDescent="0.35">
      <c r="F21" s="3" t="s">
        <v>85</v>
      </c>
      <c r="G21" s="6">
        <f t="shared" ref="G21:N21" si="6">G12/G13</f>
        <v>23.335080323572981</v>
      </c>
      <c r="H21" s="6">
        <f t="shared" si="6"/>
        <v>32.833187160147347</v>
      </c>
      <c r="I21" s="25">
        <f t="shared" si="6"/>
        <v>29.494152502728834</v>
      </c>
      <c r="J21" s="25">
        <f t="shared" si="6"/>
        <v>26.757727652464492</v>
      </c>
      <c r="K21" s="26">
        <f t="shared" si="6"/>
        <v>4.1306458326302415</v>
      </c>
      <c r="L21" s="26">
        <f t="shared" si="6"/>
        <v>4.8194671339887716</v>
      </c>
      <c r="M21" s="26">
        <f t="shared" si="6"/>
        <v>10.740485829959514</v>
      </c>
      <c r="N21" s="26">
        <f t="shared" si="6"/>
        <v>12.492131616595136</v>
      </c>
      <c r="O21" s="26">
        <f t="shared" ref="O21:T21" si="7">O12/O13</f>
        <v>20.711201866977831</v>
      </c>
      <c r="P21" s="26">
        <f t="shared" si="7"/>
        <v>23.784424778761061</v>
      </c>
      <c r="Q21" s="26">
        <f t="shared" si="7"/>
        <v>3.5830258302583027</v>
      </c>
      <c r="R21" s="26">
        <f t="shared" si="7"/>
        <v>5.2100456621004563</v>
      </c>
      <c r="S21" s="26">
        <f t="shared" si="7"/>
        <v>3.1957121252216907</v>
      </c>
      <c r="T21" s="26">
        <f t="shared" si="7"/>
        <v>3.9738133193978658</v>
      </c>
      <c r="U21" s="26">
        <f t="shared" ref="U21:Z21" si="8">U12/U13</f>
        <v>2.0028183348338358</v>
      </c>
      <c r="V21" s="26">
        <f t="shared" si="8"/>
        <v>3.5549308344489066</v>
      </c>
      <c r="W21" s="26">
        <f t="shared" si="8"/>
        <v>2.5602126740796716</v>
      </c>
      <c r="X21" s="26">
        <f t="shared" si="8"/>
        <v>4.0001148237455508</v>
      </c>
      <c r="Y21" s="26">
        <f t="shared" si="8"/>
        <v>1.7855430626105817</v>
      </c>
      <c r="Z21" s="26">
        <f t="shared" si="8"/>
        <v>1.7222538094155109</v>
      </c>
    </row>
    <row r="22" spans="6:26" x14ac:dyDescent="0.35">
      <c r="F22" s="3" t="s">
        <v>86</v>
      </c>
      <c r="G22" s="35">
        <v>27623.51</v>
      </c>
      <c r="H22" s="36"/>
      <c r="I22" s="35">
        <v>39961.11</v>
      </c>
      <c r="J22" s="36"/>
      <c r="K22" s="35">
        <f>117350</f>
        <v>117350</v>
      </c>
      <c r="L22" s="36"/>
      <c r="M22" s="35">
        <f>71165</f>
        <v>71165</v>
      </c>
      <c r="N22" s="36"/>
      <c r="O22" s="35">
        <f>18568.16</f>
        <v>18568.16</v>
      </c>
      <c r="P22" s="36"/>
      <c r="Q22" s="35">
        <f>16729.51</f>
        <v>16729.509999999998</v>
      </c>
      <c r="R22" s="36"/>
      <c r="S22" s="35">
        <f>8912.87</f>
        <v>8912.8700000000008</v>
      </c>
      <c r="T22" s="36"/>
      <c r="U22" s="35">
        <v>3264.17</v>
      </c>
      <c r="V22" s="36"/>
      <c r="W22" s="35">
        <f>4894.56</f>
        <v>4894.5600000000004</v>
      </c>
      <c r="X22" s="36"/>
      <c r="Y22" s="35">
        <f>2453.79</f>
        <v>2453.79</v>
      </c>
      <c r="Z22" s="36"/>
    </row>
    <row r="23" spans="6:26" x14ac:dyDescent="0.35">
      <c r="F23" s="3" t="s">
        <v>87</v>
      </c>
      <c r="G23" s="35">
        <f>G22</f>
        <v>27623.51</v>
      </c>
      <c r="H23" s="36"/>
      <c r="I23" s="35">
        <f>I22</f>
        <v>39961.11</v>
      </c>
      <c r="J23" s="36"/>
      <c r="K23" s="35">
        <f>K22+L16</f>
        <v>137969</v>
      </c>
      <c r="L23" s="36"/>
      <c r="M23" s="35">
        <f>M22+N16</f>
        <v>73316.59</v>
      </c>
      <c r="N23" s="36"/>
      <c r="O23" s="35">
        <f>O22+P16</f>
        <v>20793.48</v>
      </c>
      <c r="P23" s="36"/>
      <c r="Q23" s="35">
        <f>Q22+R16</f>
        <v>19771.509999999998</v>
      </c>
      <c r="R23" s="36"/>
      <c r="S23" s="35">
        <f>S22+T16</f>
        <v>10513.87</v>
      </c>
      <c r="T23" s="36"/>
      <c r="U23" s="35">
        <f>U22+V16</f>
        <v>5014.17</v>
      </c>
      <c r="V23" s="36"/>
      <c r="W23" s="35">
        <f>W22+X16</f>
        <v>8254.86</v>
      </c>
      <c r="X23" s="36"/>
      <c r="Y23" s="35">
        <f>Y22+Z16</f>
        <v>6044.1091999999999</v>
      </c>
      <c r="Z23" s="36"/>
    </row>
    <row r="24" spans="6:26" x14ac:dyDescent="0.35">
      <c r="F24" s="3" t="s">
        <v>101</v>
      </c>
      <c r="G24" s="37">
        <f>(G23)/(H12*12/9)</f>
        <v>11.068175625861459</v>
      </c>
      <c r="H24" s="38"/>
      <c r="I24" s="37">
        <f>(I23)/(J12*12/9)</f>
        <v>18.714810015923071</v>
      </c>
      <c r="J24" s="38"/>
      <c r="K24" s="37">
        <f>(K23)/(L12*2)</f>
        <v>14.171859046656438</v>
      </c>
      <c r="L24" s="38"/>
      <c r="M24" s="37">
        <f>M23/(N12*2)</f>
        <v>20.990778172240034</v>
      </c>
      <c r="N24" s="38"/>
      <c r="O24" s="37">
        <f>O23/(P12*2)</f>
        <v>15.473411617627361</v>
      </c>
      <c r="P24" s="38"/>
      <c r="Q24" s="37">
        <f>Q23/(R12*2)</f>
        <v>8.6641148115687994</v>
      </c>
      <c r="R24" s="38"/>
      <c r="S24" s="37">
        <f>S23/(T12*2)</f>
        <v>9.1930606835195956</v>
      </c>
      <c r="T24" s="38"/>
      <c r="U24" s="37">
        <f>U23/(V12*2)</f>
        <v>6.2939899078653383</v>
      </c>
      <c r="V24" s="38"/>
      <c r="W24" s="37">
        <f>W23/(X12*2)</f>
        <v>5.9239170996354442</v>
      </c>
      <c r="X24" s="38"/>
      <c r="Y24" s="37">
        <f>Y23/(Z12*2)</f>
        <v>9.9767409461556227</v>
      </c>
      <c r="Z24" s="38"/>
    </row>
    <row r="25" spans="6:26" x14ac:dyDescent="0.35">
      <c r="F25" s="3" t="s">
        <v>102</v>
      </c>
      <c r="G25" s="39">
        <f>((G23*10^7)/(G8*10^6))/70</f>
        <v>118.11480737161673</v>
      </c>
      <c r="H25" s="40"/>
      <c r="I25" s="37">
        <f>((I23*10^7)/(I8*10^6))/70</f>
        <v>192.53726812816188</v>
      </c>
      <c r="J25" s="38"/>
      <c r="K25" s="37">
        <f>((K23*10^7)/(K8*10^6))/70</f>
        <v>167.8863470430762</v>
      </c>
      <c r="L25" s="38"/>
      <c r="M25" s="37">
        <f>((M23*10^7)/(M8*10^6))/70</f>
        <v>235.89636422136422</v>
      </c>
      <c r="N25" s="38"/>
      <c r="O25" s="37">
        <f>((O23*10^7)/(O8*10^6))/70</f>
        <v>230.4497395544719</v>
      </c>
      <c r="P25" s="38"/>
      <c r="Q25" s="37">
        <f>((Q23*10^7)/(Q8*10^6))/70</f>
        <v>106.58495956873314</v>
      </c>
      <c r="R25" s="38"/>
      <c r="S25" s="37">
        <f>((S23*10^7)/(S8*10^6))/70</f>
        <v>143.04585034013607</v>
      </c>
      <c r="T25" s="38"/>
      <c r="U25" s="37">
        <f>((U23*10^7)/(U8*10^6))/70</f>
        <v>57.3048</v>
      </c>
      <c r="V25" s="38"/>
      <c r="W25" s="37">
        <f>((W23*10^7)/(W8*10^6))/70</f>
        <v>75.690995782138273</v>
      </c>
      <c r="X25" s="38"/>
      <c r="Y25" s="37">
        <f>((Y23*10^7)/(Y8*10^6))/70</f>
        <v>55.706075576036866</v>
      </c>
      <c r="Z25" s="38"/>
    </row>
  </sheetData>
  <mergeCells count="70">
    <mergeCell ref="S5:T5"/>
    <mergeCell ref="U5:V5"/>
    <mergeCell ref="Y5:Z5"/>
    <mergeCell ref="O8:P8"/>
    <mergeCell ref="Q8:R8"/>
    <mergeCell ref="S8:T8"/>
    <mergeCell ref="U8:V8"/>
    <mergeCell ref="Q7:R7"/>
    <mergeCell ref="S7:T7"/>
    <mergeCell ref="U7:V7"/>
    <mergeCell ref="W7:X7"/>
    <mergeCell ref="Y7:Z7"/>
    <mergeCell ref="G8:H8"/>
    <mergeCell ref="I7:J7"/>
    <mergeCell ref="K7:L7"/>
    <mergeCell ref="M7:N7"/>
    <mergeCell ref="O7:P7"/>
    <mergeCell ref="G7:H7"/>
    <mergeCell ref="I8:J8"/>
    <mergeCell ref="K8:L8"/>
    <mergeCell ref="M8:N8"/>
    <mergeCell ref="W8:X8"/>
    <mergeCell ref="Y8:Z8"/>
    <mergeCell ref="Q25:R25"/>
    <mergeCell ref="S25:T25"/>
    <mergeCell ref="U25:V25"/>
    <mergeCell ref="W25:X25"/>
    <mergeCell ref="Y25:Z25"/>
    <mergeCell ref="G25:H25"/>
    <mergeCell ref="I25:J25"/>
    <mergeCell ref="K25:L25"/>
    <mergeCell ref="M25:N25"/>
    <mergeCell ref="O25:P25"/>
    <mergeCell ref="Q24:R24"/>
    <mergeCell ref="S24:T24"/>
    <mergeCell ref="U24:V24"/>
    <mergeCell ref="W24:X24"/>
    <mergeCell ref="Y24:Z24"/>
    <mergeCell ref="G24:H24"/>
    <mergeCell ref="I24:J24"/>
    <mergeCell ref="K24:L24"/>
    <mergeCell ref="M24:N24"/>
    <mergeCell ref="O24:P24"/>
    <mergeCell ref="Y22:Z22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G5:H5"/>
    <mergeCell ref="I5:J5"/>
    <mergeCell ref="K5:L5"/>
    <mergeCell ref="W5:X5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M5:N5"/>
    <mergeCell ref="O5:P5"/>
    <mergeCell ref="Q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Consolidated</vt:lpstr>
      <vt:lpstr>Peers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2019-12-12T09:20:32Z</dcterms:modified>
</cp:coreProperties>
</file>