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Shares\Reports\Valuations-DCF\"/>
    </mc:Choice>
  </mc:AlternateContent>
  <xr:revisionPtr revIDLastSave="0" documentId="13_ncr:1_{17BF59B8-7D29-4A77-BD15-0CD68C12E2FE}" xr6:coauthVersionLast="47" xr6:coauthVersionMax="47" xr10:uidLastSave="{00000000-0000-0000-0000-000000000000}"/>
  <bookViews>
    <workbookView xWindow="-108" yWindow="-108" windowWidth="23256" windowHeight="12456" tabRatio="930" xr2:uid="{00000000-000D-0000-FFFF-FFFF00000000}"/>
  </bookViews>
  <sheets>
    <sheet name="Wonderla" sheetId="63" r:id="rId1"/>
  </sheets>
  <externalReferences>
    <externalReference r:id="rId2"/>
  </externalReferences>
  <definedNames>
    <definedName name="UPDATE">'[1]Data Sheet'!$E$1</definedName>
  </definedNames>
  <calcPr calcId="191029"/>
</workbook>
</file>

<file path=xl/calcChain.xml><?xml version="1.0" encoding="utf-8"?>
<calcChain xmlns="http://schemas.openxmlformats.org/spreadsheetml/2006/main">
  <c r="B82" i="63" l="1"/>
  <c r="N66" i="63"/>
  <c r="M62" i="63"/>
  <c r="N62" i="63" s="1"/>
  <c r="L58" i="63"/>
  <c r="M58" i="63" s="1"/>
  <c r="N58" i="63" s="1"/>
  <c r="K54" i="63"/>
  <c r="L54" i="63" s="1"/>
  <c r="M54" i="63" s="1"/>
  <c r="N54" i="63" s="1"/>
  <c r="J50" i="63"/>
  <c r="K50" i="63" s="1"/>
  <c r="L50" i="63" s="1"/>
  <c r="M50" i="63" s="1"/>
  <c r="N50" i="63" s="1"/>
  <c r="G37" i="63"/>
  <c r="H37" i="63" s="1"/>
  <c r="I37" i="63" s="1"/>
  <c r="J37" i="63" s="1"/>
  <c r="K37" i="63" s="1"/>
  <c r="K53" i="63" s="1"/>
  <c r="F33" i="63"/>
  <c r="G33" i="63" s="1"/>
  <c r="H33" i="63" s="1"/>
  <c r="I33" i="63" s="1"/>
  <c r="J33" i="63" s="1"/>
  <c r="K33" i="63" s="1"/>
  <c r="L33" i="63" s="1"/>
  <c r="M33" i="63" s="1"/>
  <c r="N33" i="63" s="1"/>
  <c r="I46" i="63"/>
  <c r="J46" i="63" s="1"/>
  <c r="K46" i="63" s="1"/>
  <c r="H42" i="63"/>
  <c r="I42" i="63" s="1"/>
  <c r="J42" i="63" s="1"/>
  <c r="K42" i="63" s="1"/>
  <c r="G38" i="63"/>
  <c r="H38" i="63" s="1"/>
  <c r="I38" i="63" s="1"/>
  <c r="J38" i="63" s="1"/>
  <c r="F34" i="63"/>
  <c r="G34" i="63" s="1"/>
  <c r="H34" i="63" s="1"/>
  <c r="I34" i="63" s="1"/>
  <c r="J34" i="63" s="1"/>
  <c r="F39" i="63"/>
  <c r="E35" i="63"/>
  <c r="C74" i="63"/>
  <c r="C76" i="63" s="1"/>
  <c r="F75" i="63"/>
  <c r="G75" i="63" s="1"/>
  <c r="B77" i="63"/>
  <c r="C4" i="63"/>
  <c r="B4" i="63"/>
  <c r="D26" i="63"/>
  <c r="E26" i="63" s="1"/>
  <c r="B5" i="63"/>
  <c r="C27" i="63"/>
  <c r="C5" i="63" s="1"/>
  <c r="I24" i="63"/>
  <c r="H24" i="63"/>
  <c r="G24" i="63"/>
  <c r="B13" i="63"/>
  <c r="B15" i="63" s="1"/>
  <c r="B20" i="63" s="1"/>
  <c r="B21" i="63" s="1"/>
  <c r="K55" i="63" l="1"/>
  <c r="J53" i="63"/>
  <c r="J55" i="63" s="1"/>
  <c r="K57" i="63"/>
  <c r="K59" i="63" s="1"/>
  <c r="K34" i="63"/>
  <c r="J35" i="63"/>
  <c r="J39" i="63"/>
  <c r="L46" i="63"/>
  <c r="L37" i="63"/>
  <c r="K49" i="63"/>
  <c r="K51" i="63" s="1"/>
  <c r="J49" i="63"/>
  <c r="J51" i="63" s="1"/>
  <c r="K38" i="63"/>
  <c r="L42" i="63"/>
  <c r="G41" i="63"/>
  <c r="H41" i="63" s="1"/>
  <c r="I41" i="63" s="1"/>
  <c r="J41" i="63" s="1"/>
  <c r="J43" i="63" s="1"/>
  <c r="C77" i="63"/>
  <c r="C11" i="63" s="1"/>
  <c r="F35" i="63"/>
  <c r="G39" i="63"/>
  <c r="B6" i="63"/>
  <c r="C6" i="63"/>
  <c r="C8" i="63"/>
  <c r="E4" i="63"/>
  <c r="D4" i="63"/>
  <c r="B9" i="63"/>
  <c r="C10" i="63"/>
  <c r="H75" i="63"/>
  <c r="F26" i="63"/>
  <c r="D27" i="63"/>
  <c r="K35" i="63" l="1"/>
  <c r="L57" i="63"/>
  <c r="L59" i="63" s="1"/>
  <c r="L61" i="63"/>
  <c r="L63" i="63" s="1"/>
  <c r="L53" i="63"/>
  <c r="L55" i="63" s="1"/>
  <c r="L34" i="63"/>
  <c r="K41" i="63"/>
  <c r="L41" i="63" s="1"/>
  <c r="M41" i="63" s="1"/>
  <c r="N41" i="63" s="1"/>
  <c r="M37" i="63"/>
  <c r="L49" i="63"/>
  <c r="L51" i="63" s="1"/>
  <c r="K39" i="63"/>
  <c r="L38" i="63"/>
  <c r="M46" i="63"/>
  <c r="M42" i="63"/>
  <c r="I49" i="63"/>
  <c r="H45" i="63"/>
  <c r="I45" i="63" s="1"/>
  <c r="J45" i="63" s="1"/>
  <c r="D76" i="63"/>
  <c r="D77" i="63" s="1"/>
  <c r="E76" i="63" s="1"/>
  <c r="E77" i="63" s="1"/>
  <c r="E11" i="63" s="1"/>
  <c r="H39" i="63"/>
  <c r="G43" i="63"/>
  <c r="G35" i="63"/>
  <c r="C13" i="63"/>
  <c r="I75" i="63"/>
  <c r="J75" i="63" s="1"/>
  <c r="K75" i="63" s="1"/>
  <c r="L75" i="63" s="1"/>
  <c r="M75" i="63" s="1"/>
  <c r="N75" i="63" s="1"/>
  <c r="G26" i="63"/>
  <c r="F4" i="63"/>
  <c r="E27" i="63"/>
  <c r="D5" i="63"/>
  <c r="L35" i="63" l="1"/>
  <c r="M61" i="63"/>
  <c r="M63" i="63" s="1"/>
  <c r="M65" i="63"/>
  <c r="M67" i="63" s="1"/>
  <c r="M57" i="63"/>
  <c r="M59" i="63" s="1"/>
  <c r="M53" i="63"/>
  <c r="M55" i="63" s="1"/>
  <c r="M34" i="63"/>
  <c r="L43" i="63"/>
  <c r="K43" i="63"/>
  <c r="K45" i="63"/>
  <c r="J47" i="63"/>
  <c r="N46" i="63"/>
  <c r="N37" i="63"/>
  <c r="N69" i="63" s="1"/>
  <c r="N71" i="63" s="1"/>
  <c r="M49" i="63"/>
  <c r="M51" i="63" s="1"/>
  <c r="L39" i="63"/>
  <c r="M38" i="63"/>
  <c r="M43" i="63"/>
  <c r="N42" i="63"/>
  <c r="N43" i="63" s="1"/>
  <c r="I39" i="63"/>
  <c r="D11" i="63"/>
  <c r="I43" i="63"/>
  <c r="H43" i="63"/>
  <c r="H35" i="63"/>
  <c r="I35" i="63"/>
  <c r="F76" i="63"/>
  <c r="F77" i="63" s="1"/>
  <c r="F11" i="63" s="1"/>
  <c r="C14" i="63"/>
  <c r="C15" i="63" s="1"/>
  <c r="D10" i="63"/>
  <c r="D8" i="63"/>
  <c r="D6" i="63"/>
  <c r="H26" i="63"/>
  <c r="G4" i="63"/>
  <c r="F27" i="63"/>
  <c r="E5" i="63"/>
  <c r="M35" i="63" l="1"/>
  <c r="N49" i="63"/>
  <c r="N51" i="63" s="1"/>
  <c r="N65" i="63"/>
  <c r="N67" i="63" s="1"/>
  <c r="N53" i="63"/>
  <c r="N55" i="63" s="1"/>
  <c r="N57" i="63"/>
  <c r="N59" i="63" s="1"/>
  <c r="N61" i="63"/>
  <c r="N63" i="63" s="1"/>
  <c r="N34" i="63"/>
  <c r="L45" i="63"/>
  <c r="K47" i="63"/>
  <c r="N38" i="63"/>
  <c r="N39" i="63" s="1"/>
  <c r="M39" i="63"/>
  <c r="I51" i="63"/>
  <c r="C18" i="63"/>
  <c r="C16" i="63"/>
  <c r="G76" i="63"/>
  <c r="G77" i="63" s="1"/>
  <c r="G11" i="63" s="1"/>
  <c r="D13" i="63"/>
  <c r="E10" i="63"/>
  <c r="E8" i="63"/>
  <c r="E6" i="63"/>
  <c r="I26" i="63"/>
  <c r="J26" i="63" s="1"/>
  <c r="J4" i="63" s="1"/>
  <c r="H4" i="63"/>
  <c r="G27" i="63"/>
  <c r="F5" i="63"/>
  <c r="N35" i="63" l="1"/>
  <c r="K26" i="63"/>
  <c r="K4" i="63" s="1"/>
  <c r="M45" i="63"/>
  <c r="L47" i="63"/>
  <c r="I4" i="63"/>
  <c r="E13" i="63"/>
  <c r="E14" i="63" s="1"/>
  <c r="E15" i="63" s="1"/>
  <c r="H76" i="63"/>
  <c r="H77" i="63" s="1"/>
  <c r="H11" i="63" s="1"/>
  <c r="F10" i="63"/>
  <c r="F8" i="63"/>
  <c r="D14" i="63"/>
  <c r="D15" i="63" s="1"/>
  <c r="F6" i="63"/>
  <c r="H27" i="63"/>
  <c r="G5" i="63"/>
  <c r="I47" i="63"/>
  <c r="H47" i="63"/>
  <c r="L26" i="63" l="1"/>
  <c r="L4" i="63" s="1"/>
  <c r="N45" i="63"/>
  <c r="N47" i="63" s="1"/>
  <c r="M47" i="63"/>
  <c r="F13" i="63"/>
  <c r="F14" i="63" s="1"/>
  <c r="F15" i="63" s="1"/>
  <c r="E18" i="63"/>
  <c r="E19" i="63" s="1"/>
  <c r="E16" i="63"/>
  <c r="D16" i="63"/>
  <c r="D18" i="63"/>
  <c r="D19" i="63" s="1"/>
  <c r="I76" i="63"/>
  <c r="I77" i="63" s="1"/>
  <c r="G10" i="63"/>
  <c r="G8" i="63"/>
  <c r="G6" i="63"/>
  <c r="I27" i="63"/>
  <c r="J27" i="63" s="1"/>
  <c r="J5" i="63" s="1"/>
  <c r="H5" i="63"/>
  <c r="M26" i="63" l="1"/>
  <c r="M4" i="63" s="1"/>
  <c r="K27" i="63"/>
  <c r="K5" i="63" s="1"/>
  <c r="I11" i="63"/>
  <c r="J76" i="63"/>
  <c r="J77" i="63" s="1"/>
  <c r="F18" i="63"/>
  <c r="F19" i="63" s="1"/>
  <c r="F16" i="63"/>
  <c r="G13" i="63"/>
  <c r="H10" i="63"/>
  <c r="H8" i="63"/>
  <c r="H6" i="63"/>
  <c r="I5" i="63"/>
  <c r="J8" i="63" l="1"/>
  <c r="J6" i="63"/>
  <c r="J10" i="63"/>
  <c r="L27" i="63"/>
  <c r="L5" i="63" s="1"/>
  <c r="J11" i="63"/>
  <c r="K76" i="63"/>
  <c r="K77" i="63" s="1"/>
  <c r="N26" i="63"/>
  <c r="N4" i="63" s="1"/>
  <c r="H13" i="63"/>
  <c r="I10" i="63"/>
  <c r="I8" i="63"/>
  <c r="G14" i="63"/>
  <c r="G15" i="63" s="1"/>
  <c r="I6" i="63"/>
  <c r="M27" i="63" l="1"/>
  <c r="M5" i="63" s="1"/>
  <c r="K11" i="63"/>
  <c r="L76" i="63"/>
  <c r="L77" i="63" s="1"/>
  <c r="K8" i="63"/>
  <c r="K6" i="63"/>
  <c r="K10" i="63"/>
  <c r="J13" i="63"/>
  <c r="H14" i="63"/>
  <c r="H15" i="63" s="1"/>
  <c r="G16" i="63"/>
  <c r="G18" i="63"/>
  <c r="G19" i="63" s="1"/>
  <c r="I13" i="63"/>
  <c r="K13" i="63" l="1"/>
  <c r="K14" i="63" s="1"/>
  <c r="K15" i="63" s="1"/>
  <c r="K16" i="63" s="1"/>
  <c r="J14" i="63"/>
  <c r="J15" i="63" s="1"/>
  <c r="N27" i="63"/>
  <c r="N5" i="63" s="1"/>
  <c r="L11" i="63"/>
  <c r="M76" i="63"/>
  <c r="M77" i="63" s="1"/>
  <c r="L8" i="63"/>
  <c r="L10" i="63"/>
  <c r="L6" i="63"/>
  <c r="H16" i="63"/>
  <c r="H18" i="63"/>
  <c r="H19" i="63" s="1"/>
  <c r="I14" i="63"/>
  <c r="I15" i="63" s="1"/>
  <c r="K18" i="63" l="1"/>
  <c r="K19" i="63" s="1"/>
  <c r="M11" i="63"/>
  <c r="N76" i="63"/>
  <c r="N77" i="63" s="1"/>
  <c r="N11" i="63" s="1"/>
  <c r="M8" i="63"/>
  <c r="M10" i="63"/>
  <c r="M6" i="63"/>
  <c r="N10" i="63"/>
  <c r="N8" i="63"/>
  <c r="N6" i="63"/>
  <c r="L13" i="63"/>
  <c r="J16" i="63"/>
  <c r="J18" i="63"/>
  <c r="J19" i="63" s="1"/>
  <c r="I16" i="63"/>
  <c r="I18" i="63"/>
  <c r="M13" i="63" l="1"/>
  <c r="M14" i="63" s="1"/>
  <c r="M15" i="63" s="1"/>
  <c r="M18" i="63" s="1"/>
  <c r="M19" i="63" s="1"/>
  <c r="N13" i="63"/>
  <c r="L14" i="63"/>
  <c r="L15" i="63" s="1"/>
  <c r="I19" i="63"/>
  <c r="M16" i="63" l="1"/>
  <c r="L18" i="63"/>
  <c r="L19" i="63" s="1"/>
  <c r="L16" i="63"/>
  <c r="N14" i="63"/>
  <c r="N15" i="63" s="1"/>
  <c r="B81" i="63" s="1"/>
  <c r="B84" i="63" s="1"/>
  <c r="B85" i="63" s="1"/>
  <c r="N16" i="63" l="1"/>
  <c r="N18" i="63"/>
  <c r="N19" i="63" l="1"/>
  <c r="C81" i="63"/>
  <c r="C84" i="63" s="1"/>
  <c r="C85" i="63" s="1"/>
  <c r="D81" i="63" l="1"/>
  <c r="D84" i="63" s="1"/>
  <c r="D85" i="63" s="1"/>
</calcChain>
</file>

<file path=xl/sharedStrings.xml><?xml version="1.0" encoding="utf-8"?>
<sst xmlns="http://schemas.openxmlformats.org/spreadsheetml/2006/main" count="104" uniqueCount="64">
  <si>
    <t>FY24</t>
  </si>
  <si>
    <t>FY25</t>
  </si>
  <si>
    <t>FY26</t>
  </si>
  <si>
    <t>Depreciation</t>
  </si>
  <si>
    <t>Tax</t>
  </si>
  <si>
    <t>Interest</t>
  </si>
  <si>
    <t>FY23</t>
  </si>
  <si>
    <t>Other Income</t>
  </si>
  <si>
    <t>Discount Rate</t>
  </si>
  <si>
    <t>FY27</t>
  </si>
  <si>
    <t>EPS</t>
  </si>
  <si>
    <t>FY28</t>
  </si>
  <si>
    <t>FY29</t>
  </si>
  <si>
    <t>FY30</t>
  </si>
  <si>
    <t>FY31</t>
  </si>
  <si>
    <t>FY32</t>
  </si>
  <si>
    <t>Sales (cr)</t>
  </si>
  <si>
    <t>Cash Profit</t>
  </si>
  <si>
    <t>Price</t>
  </si>
  <si>
    <t>FY33</t>
  </si>
  <si>
    <t>Narration</t>
  </si>
  <si>
    <t>Operating Profit</t>
  </si>
  <si>
    <t>Profit before tax</t>
  </si>
  <si>
    <t>Net profit</t>
  </si>
  <si>
    <t>OPM</t>
  </si>
  <si>
    <t>WONDERLA HOLIDAYS LTD</t>
  </si>
  <si>
    <t>Equity Shares (cr)</t>
  </si>
  <si>
    <t>Mcap (cr)</t>
  </si>
  <si>
    <t>ARPU growth</t>
  </si>
  <si>
    <t>footfall growth</t>
  </si>
  <si>
    <t>New Parks</t>
  </si>
  <si>
    <t>ARPU</t>
  </si>
  <si>
    <t>Park 6 (FY27)</t>
  </si>
  <si>
    <t>Bhubaneshwar (FY25)</t>
  </si>
  <si>
    <t>Chennai (FY26)</t>
  </si>
  <si>
    <t>Park 7 (FY28)</t>
  </si>
  <si>
    <t>Park 8 (FY29)</t>
  </si>
  <si>
    <t>Growth (Base-3 Parks)</t>
  </si>
  <si>
    <t>Footfall (lakh)</t>
  </si>
  <si>
    <t>Revenue (cr)</t>
  </si>
  <si>
    <t>new capex</t>
  </si>
  <si>
    <t>Maintenance capex</t>
  </si>
  <si>
    <t>Base 3 Parks net block</t>
  </si>
  <si>
    <t>Net block</t>
  </si>
  <si>
    <t>Fixed Assets</t>
  </si>
  <si>
    <t>25x Cash Profit</t>
  </si>
  <si>
    <t>30x P/E</t>
  </si>
  <si>
    <t>20x Ebidta</t>
  </si>
  <si>
    <t>PV</t>
  </si>
  <si>
    <t>Gross Footfall (lakh)</t>
  </si>
  <si>
    <t>can be 10% annually</t>
  </si>
  <si>
    <t>reasonable</t>
  </si>
  <si>
    <t>starting footfall has upside</t>
  </si>
  <si>
    <t>Valuations (base)</t>
  </si>
  <si>
    <t>FY34</t>
  </si>
  <si>
    <t>FY35</t>
  </si>
  <si>
    <t>Park 9 (FY30)</t>
  </si>
  <si>
    <t>Park 10 (FY31)</t>
  </si>
  <si>
    <t>Park 11 (FY32)</t>
  </si>
  <si>
    <t>Park 12 (FY33)</t>
  </si>
  <si>
    <t>Park 13 (FY34)</t>
  </si>
  <si>
    <t>net Cash flow after investments</t>
  </si>
  <si>
    <t>Expected cash (FY35)</t>
  </si>
  <si>
    <t>Discount to Fair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</si>
</sst>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9" formatCode="_ * #,##0_ ;_ * \-#,##0_ ;_ * &quot;-&quot;??_ ;_ @_ "/>
    <numFmt numFmtId="178" formatCode="_ * #,##0.0_ ;_ * \-#,##0.0_ ;_ * &quot;-&quot;??_ ;_ @_ "/>
    <numFmt numFmtId="181" formatCode="[$-409]mmm\-yy;@"/>
  </numFmts>
  <fonts count="14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275D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169" fontId="0" fillId="0" borderId="0" xfId="1" applyNumberFormat="1" applyFont="1"/>
    <xf numFmtId="169" fontId="0" fillId="0" borderId="1" xfId="1" applyNumberFormat="1" applyFont="1" applyBorder="1"/>
    <xf numFmtId="10" fontId="0" fillId="0" borderId="0" xfId="0" applyNumberFormat="1"/>
    <xf numFmtId="0" fontId="7" fillId="0" borderId="0" xfId="0" applyFont="1"/>
    <xf numFmtId="0" fontId="5" fillId="0" borderId="0" xfId="0" applyFont="1"/>
    <xf numFmtId="0" fontId="0" fillId="0" borderId="1" xfId="0" applyBorder="1"/>
    <xf numFmtId="9" fontId="0" fillId="0" borderId="1" xfId="0" applyNumberFormat="1" applyBorder="1"/>
    <xf numFmtId="9" fontId="0" fillId="0" borderId="1" xfId="8" applyFont="1" applyBorder="1"/>
    <xf numFmtId="169" fontId="0" fillId="0" borderId="1" xfId="0" applyNumberFormat="1" applyBorder="1"/>
    <xf numFmtId="0" fontId="7" fillId="0" borderId="1" xfId="0" applyFont="1" applyBorder="1"/>
    <xf numFmtId="0" fontId="6" fillId="0" borderId="0" xfId="0" applyFont="1"/>
    <xf numFmtId="0" fontId="9" fillId="0" borderId="0" xfId="0" applyFont="1"/>
    <xf numFmtId="43" fontId="6" fillId="0" borderId="0" xfId="1" applyFont="1" applyBorder="1"/>
    <xf numFmtId="0" fontId="5" fillId="0" borderId="0" xfId="0" applyFont="1" applyAlignment="1">
      <alignment horizontal="left" indent="1"/>
    </xf>
    <xf numFmtId="10" fontId="0" fillId="0" borderId="1" xfId="0" applyNumberFormat="1" applyBorder="1"/>
    <xf numFmtId="164" fontId="0" fillId="0" borderId="1" xfId="8" applyNumberFormat="1" applyFont="1" applyBorder="1"/>
    <xf numFmtId="0" fontId="5" fillId="0" borderId="1" xfId="0" applyFont="1" applyBorder="1" applyAlignment="1">
      <alignment horizontal="left" indent="1"/>
    </xf>
    <xf numFmtId="43" fontId="0" fillId="0" borderId="1" xfId="1" applyFont="1" applyBorder="1"/>
    <xf numFmtId="0" fontId="6" fillId="2" borderId="1" xfId="0" applyFont="1" applyFill="1" applyBorder="1"/>
    <xf numFmtId="0" fontId="6" fillId="2" borderId="3" xfId="0" applyFont="1" applyFill="1" applyBorder="1"/>
    <xf numFmtId="0" fontId="7" fillId="0" borderId="1" xfId="0" applyFont="1" applyBorder="1" applyAlignment="1">
      <alignment horizontal="left" indent="1"/>
    </xf>
    <xf numFmtId="178" fontId="0" fillId="0" borderId="1" xfId="1" applyNumberFormat="1" applyFont="1" applyBorder="1"/>
    <xf numFmtId="169" fontId="6" fillId="0" borderId="1" xfId="1" applyNumberFormat="1" applyFont="1" applyBorder="1"/>
    <xf numFmtId="0" fontId="7" fillId="0" borderId="1" xfId="0" applyFont="1" applyBorder="1" applyAlignment="1">
      <alignment horizontal="right"/>
    </xf>
    <xf numFmtId="0" fontId="11" fillId="3" borderId="9" xfId="0" applyFont="1" applyFill="1" applyBorder="1"/>
    <xf numFmtId="181" fontId="11" fillId="3" borderId="4" xfId="0" applyNumberFormat="1" applyFont="1" applyFill="1" applyBorder="1" applyAlignment="1">
      <alignment horizontal="center"/>
    </xf>
    <xf numFmtId="181" fontId="11" fillId="3" borderId="8" xfId="0" applyNumberFormat="1" applyFont="1" applyFill="1" applyBorder="1" applyAlignment="1">
      <alignment horizontal="center"/>
    </xf>
    <xf numFmtId="169" fontId="6" fillId="0" borderId="5" xfId="1" applyNumberFormat="1" applyFont="1" applyBorder="1"/>
    <xf numFmtId="0" fontId="6" fillId="0" borderId="2" xfId="0" applyFont="1" applyBorder="1"/>
    <xf numFmtId="0" fontId="1" fillId="0" borderId="2" xfId="0" applyFont="1" applyBorder="1"/>
    <xf numFmtId="0" fontId="0" fillId="0" borderId="2" xfId="0" applyBorder="1"/>
    <xf numFmtId="169" fontId="1" fillId="0" borderId="1" xfId="1" applyNumberFormat="1" applyFont="1" applyBorder="1"/>
    <xf numFmtId="169" fontId="1" fillId="0" borderId="5" xfId="1" applyNumberFormat="1" applyFont="1" applyBorder="1"/>
    <xf numFmtId="9" fontId="6" fillId="0" borderId="1" xfId="8" applyFont="1" applyBorder="1"/>
    <xf numFmtId="9" fontId="6" fillId="0" borderId="5" xfId="8" applyFont="1" applyBorder="1"/>
    <xf numFmtId="0" fontId="5" fillId="0" borderId="2" xfId="0" applyFont="1" applyBorder="1"/>
    <xf numFmtId="169" fontId="0" fillId="0" borderId="5" xfId="1" applyNumberFormat="1" applyFont="1" applyBorder="1"/>
    <xf numFmtId="0" fontId="12" fillId="0" borderId="2" xfId="0" applyFont="1" applyBorder="1"/>
    <xf numFmtId="43" fontId="0" fillId="0" borderId="5" xfId="1" applyFont="1" applyBorder="1"/>
    <xf numFmtId="10" fontId="12" fillId="0" borderId="7" xfId="0" applyNumberFormat="1" applyFont="1" applyBorder="1"/>
    <xf numFmtId="178" fontId="0" fillId="0" borderId="3" xfId="1" applyNumberFormat="1" applyFont="1" applyBorder="1"/>
    <xf numFmtId="178" fontId="0" fillId="0" borderId="6" xfId="1" applyNumberFormat="1" applyFont="1" applyBorder="1"/>
    <xf numFmtId="164" fontId="0" fillId="0" borderId="1" xfId="0" applyNumberFormat="1" applyBorder="1"/>
    <xf numFmtId="0" fontId="6" fillId="0" borderId="1" xfId="0" applyFont="1" applyBorder="1"/>
    <xf numFmtId="0" fontId="6" fillId="0" borderId="4" xfId="0" applyFont="1" applyBorder="1"/>
    <xf numFmtId="0" fontId="0" fillId="0" borderId="3" xfId="0" applyBorder="1"/>
    <xf numFmtId="0" fontId="7" fillId="0" borderId="1" xfId="0" applyFont="1" applyBorder="1" applyAlignment="1">
      <alignment wrapText="1"/>
    </xf>
  </cellXfs>
  <cellStyles count="16">
    <cellStyle name="Comma" xfId="1" builtinId="3"/>
    <cellStyle name="Comma 2" xfId="5" xr:uid="{D97DED3A-8B5F-479A-9356-416EA4122D05}"/>
    <cellStyle name="Comma 2 2" xfId="7" xr:uid="{8D843114-37F3-4E03-B6BE-F15860BA63E0}"/>
    <cellStyle name="Comma 3" xfId="10" xr:uid="{88B1D479-6E95-40EA-87C6-F14DCBEE6065}"/>
    <cellStyle name="Comma 4" xfId="14" xr:uid="{D3574330-1C9F-41F8-B8FA-B80B70188B75}"/>
    <cellStyle name="Normal" xfId="0" builtinId="0"/>
    <cellStyle name="Normal 2" xfId="2" xr:uid="{9933A653-074A-4E63-92AB-461D264911D7}"/>
    <cellStyle name="Normal 3" xfId="4" xr:uid="{23A9F8EA-FACA-4C58-94F5-3CB951A162A8}"/>
    <cellStyle name="Normal 4" xfId="9" xr:uid="{7E0004A1-656A-46CA-98D3-EC09A3A8C657}"/>
    <cellStyle name="Normal 5" xfId="12" xr:uid="{56CA7C1D-C665-4749-BB92-14C61EA07459}"/>
    <cellStyle name="Normal 6" xfId="13" xr:uid="{3DE416DD-FF61-4954-83CD-3ADE187DE63E}"/>
    <cellStyle name="Percent" xfId="8" builtinId="5"/>
    <cellStyle name="Percent 2" xfId="3" xr:uid="{1E1D6196-3EC0-42E4-B805-FCE6B785CD36}"/>
    <cellStyle name="Percent 3" xfId="6" xr:uid="{D6AA3E2D-9187-4C58-92B6-E81F47113E73}"/>
    <cellStyle name="Percent 4" xfId="11" xr:uid="{A80C32F7-7C86-4D10-A54C-289C61413BD3}"/>
    <cellStyle name="Percent 5" xfId="15" xr:uid="{7CC61B0C-AB86-4BA3-A41C-9D21BE07B8B0}"/>
  </cellStyles>
  <dxfs count="3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numFmt numFmtId="181" formatCode="[$-409]mmm\-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numFmt numFmtId="181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urabh%20Shallu\Downloads\Wonderla%20Holiday.xlsx" TargetMode="External"/><Relationship Id="rId1" Type="http://schemas.openxmlformats.org/officeDocument/2006/relationships/externalLinkPath" Target="file:///C:\Users\Saurabh%20Shallu\Downloads\Wonderla%20Holid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fit &amp; Loss"/>
      <sheetName val="Quarters"/>
      <sheetName val="Balance Sheet"/>
      <sheetName val="Cash Flow"/>
      <sheetName val="Customization"/>
      <sheetName val="Data Sheet"/>
    </sheetNames>
    <sheetDataSet>
      <sheetData sheetId="0"/>
      <sheetData sheetId="1"/>
      <sheetData sheetId="2" refreshError="1"/>
      <sheetData sheetId="3" refreshError="1"/>
      <sheetData sheetId="4" refreshError="1"/>
      <sheetData sheetId="5">
        <row r="1">
          <cell r="E1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AE77A4-B089-40C2-8ACB-A5158B8861FA}" name="Annual" displayName="Annual" ref="A3:O21" headerRowCount="0" totalsRowShown="0" headerRowDxfId="32" tableBorderDxfId="31" totalsRowBorderDxfId="30">
  <tableColumns count="15">
    <tableColumn id="1" xr3:uid="{B8F84A84-5480-42DE-800C-171BF9C0CC13}" name="Column1" headerRowDxfId="29" dataDxfId="28"/>
    <tableColumn id="11" xr3:uid="{33A2FF6A-D48A-4FB4-80B6-4C2D02001419}" name="Column11" headerRowDxfId="27" dataDxfId="26"/>
    <tableColumn id="2" xr3:uid="{7CE2068E-8854-4EFF-B05E-333EBF8C181F}" name="Column2" headerRowDxfId="25" dataDxfId="24"/>
    <tableColumn id="3" xr3:uid="{067BC3C8-2450-4BB5-97AB-47D025521F17}" name="Column3" headerRowDxfId="23" dataDxfId="22"/>
    <tableColumn id="4" xr3:uid="{53B75C19-EE9B-4036-82A8-E1F91D86BA8E}" name="Column4" headerRowDxfId="21" dataDxfId="20"/>
    <tableColumn id="5" xr3:uid="{46553952-2016-44BE-AA9D-B3BF00300DA4}" name="Column5" headerRowDxfId="19" dataDxfId="18"/>
    <tableColumn id="6" xr3:uid="{C470A5E0-17DA-46A6-A2B0-7E5A4FB3669F}" name="Column6" headerRowDxfId="17" dataDxfId="16"/>
    <tableColumn id="7" xr3:uid="{E44F53B5-5606-4110-BF09-5F0EF805C30E}" name="Column7" headerRowDxfId="15" dataDxfId="14"/>
    <tableColumn id="8" xr3:uid="{07A0EB57-127C-472E-B9DB-5C239818ECF2}" name="Column8" headerRowDxfId="13" dataDxfId="12"/>
    <tableColumn id="9" xr3:uid="{23B29999-278D-4FF2-A1F9-CD44E6F2E2A3}" name="Column9" headerRowDxfId="11" dataDxfId="10"/>
    <tableColumn id="10" xr3:uid="{61B186B4-96BE-4DBE-8D3C-35A2D132ECD6}" name="Column10" headerRowDxfId="9" dataDxfId="8"/>
    <tableColumn id="12" xr3:uid="{5571D409-76F0-4A9A-937F-9ABD2DBA49A4}" name="Column12" headerRowDxfId="7" dataDxfId="6"/>
    <tableColumn id="13" xr3:uid="{08E42580-C367-4366-9604-299DD0FF05DA}" name="Column13" headerRowDxfId="5" dataDxfId="4"/>
    <tableColumn id="14" xr3:uid="{2BF14D91-A221-46A5-B7B5-C213A4F6D521}" name="Column14" headerRowDxfId="3" dataDxfId="2"/>
    <tableColumn id="15" xr3:uid="{2FEBF440-03A0-41F3-9A0D-C3024B09980B}" name="Column15" headerRowDxfId="1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9024D-33F1-473D-A78E-19E3088440B7}">
  <sheetPr>
    <outlinePr summaryBelow="0" summaryRight="0"/>
  </sheetPr>
  <dimension ref="A1:O85"/>
  <sheetViews>
    <sheetView showGridLines="0" tabSelected="1" zoomScale="80" zoomScaleNormal="80" workbookViewId="0">
      <selection activeCell="C17" sqref="C17"/>
    </sheetView>
  </sheetViews>
  <sheetFormatPr defaultColWidth="8.77734375" defaultRowHeight="13.2" x14ac:dyDescent="0.25"/>
  <cols>
    <col min="1" max="1" width="29.109375" bestFit="1" customWidth="1"/>
    <col min="2" max="9" width="10.21875" bestFit="1" customWidth="1"/>
    <col min="15" max="15" width="28.109375" customWidth="1"/>
  </cols>
  <sheetData>
    <row r="1" spans="1:15" s="11" customFormat="1" ht="13.8" x14ac:dyDescent="0.25">
      <c r="A1" s="11" t="s">
        <v>25</v>
      </c>
      <c r="B1" s="12"/>
    </row>
    <row r="3" spans="1:15" s="11" customFormat="1" ht="13.8" x14ac:dyDescent="0.25">
      <c r="A3" s="25" t="s">
        <v>20</v>
      </c>
      <c r="B3" s="26" t="s">
        <v>6</v>
      </c>
      <c r="C3" s="26" t="s">
        <v>0</v>
      </c>
      <c r="D3" s="26" t="s">
        <v>1</v>
      </c>
      <c r="E3" s="26" t="s">
        <v>2</v>
      </c>
      <c r="F3" s="26" t="s">
        <v>9</v>
      </c>
      <c r="G3" s="26" t="s">
        <v>11</v>
      </c>
      <c r="H3" s="26" t="s">
        <v>12</v>
      </c>
      <c r="I3" s="27" t="s">
        <v>13</v>
      </c>
      <c r="J3" s="26" t="s">
        <v>14</v>
      </c>
      <c r="K3" s="27" t="s">
        <v>15</v>
      </c>
      <c r="L3" s="26" t="s">
        <v>19</v>
      </c>
      <c r="M3" s="27" t="s">
        <v>54</v>
      </c>
      <c r="N3" s="26" t="s">
        <v>55</v>
      </c>
      <c r="O3" s="45"/>
    </row>
    <row r="4" spans="1:15" s="11" customFormat="1" ht="13.8" x14ac:dyDescent="0.25">
      <c r="A4" s="30" t="s">
        <v>49</v>
      </c>
      <c r="B4" s="23">
        <f t="shared" ref="B4:I5" si="0">B26+B34+B38+B42+B46+B50</f>
        <v>33</v>
      </c>
      <c r="C4" s="23">
        <f t="shared" si="0"/>
        <v>33</v>
      </c>
      <c r="D4" s="23">
        <f t="shared" si="0"/>
        <v>34.65</v>
      </c>
      <c r="E4" s="23">
        <f t="shared" si="0"/>
        <v>42.3825</v>
      </c>
      <c r="F4" s="23">
        <f t="shared" si="0"/>
        <v>50.651624999999996</v>
      </c>
      <c r="G4" s="23">
        <f t="shared" si="0"/>
        <v>59.495456250000004</v>
      </c>
      <c r="H4" s="23">
        <f t="shared" si="0"/>
        <v>68.954822812499998</v>
      </c>
      <c r="I4" s="28">
        <f t="shared" si="0"/>
        <v>79.073502234375013</v>
      </c>
      <c r="J4" s="28">
        <f>J26+J34+J38+J42+J46+J50+J54+J58+J62+J66+J70</f>
        <v>88.933449245625013</v>
      </c>
      <c r="K4" s="28">
        <f t="shared" ref="K4:N4" si="1">K26+K34+K38+K42+K46+K50+K54+K58+K62+K66+K70</f>
        <v>99.349614552637519</v>
      </c>
      <c r="L4" s="28">
        <f t="shared" si="1"/>
        <v>110.35395611216177</v>
      </c>
      <c r="M4" s="28">
        <f t="shared" si="1"/>
        <v>121.98029275271212</v>
      </c>
      <c r="N4" s="28">
        <f t="shared" si="1"/>
        <v>134.26441356264831</v>
      </c>
      <c r="O4" s="44"/>
    </row>
    <row r="5" spans="1:15" s="11" customFormat="1" ht="13.8" x14ac:dyDescent="0.25">
      <c r="A5" s="29" t="s">
        <v>16</v>
      </c>
      <c r="B5" s="23">
        <f t="shared" si="0"/>
        <v>429.22</v>
      </c>
      <c r="C5" s="23">
        <f t="shared" si="0"/>
        <v>506.4796</v>
      </c>
      <c r="D5" s="23">
        <f t="shared" si="0"/>
        <v>584.98393800000008</v>
      </c>
      <c r="E5" s="23">
        <f t="shared" si="0"/>
        <v>723.51411704100019</v>
      </c>
      <c r="F5" s="23">
        <f t="shared" si="0"/>
        <v>898.08400872449431</v>
      </c>
      <c r="G5" s="23">
        <f t="shared" si="0"/>
        <v>1092.9310898477729</v>
      </c>
      <c r="H5" s="23">
        <f t="shared" si="0"/>
        <v>1320.3632385822361</v>
      </c>
      <c r="I5" s="28">
        <f t="shared" si="0"/>
        <v>1587.1822498838278</v>
      </c>
      <c r="J5" s="28">
        <f t="shared" ref="J5:N5" si="2">J27+J35+J39+J43+J47+J51+J55+J59+J63+J67+J71</f>
        <v>1862.9828532747467</v>
      </c>
      <c r="K5" s="28">
        <f t="shared" si="2"/>
        <v>2181.3605102556007</v>
      </c>
      <c r="L5" s="28">
        <f t="shared" si="2"/>
        <v>2548.585479189871</v>
      </c>
      <c r="M5" s="28">
        <f t="shared" si="2"/>
        <v>2971.8334861691515</v>
      </c>
      <c r="N5" s="28">
        <f t="shared" si="2"/>
        <v>3459.3155260121976</v>
      </c>
      <c r="O5" s="44"/>
    </row>
    <row r="6" spans="1:15" s="11" customFormat="1" ht="13.8" x14ac:dyDescent="0.25">
      <c r="A6" s="30" t="s">
        <v>31</v>
      </c>
      <c r="B6" s="23">
        <f>B5/B4*100</f>
        <v>1300.6666666666667</v>
      </c>
      <c r="C6" s="23">
        <f>C5/C4*100</f>
        <v>1534.7866666666666</v>
      </c>
      <c r="D6" s="23">
        <f t="shared" ref="D6:I6" si="3">D5/D4*100</f>
        <v>1688.2653333333337</v>
      </c>
      <c r="E6" s="23">
        <f t="shared" si="3"/>
        <v>1707.1058031994339</v>
      </c>
      <c r="F6" s="23">
        <f t="shared" si="3"/>
        <v>1773.0606051128555</v>
      </c>
      <c r="G6" s="23">
        <f t="shared" si="3"/>
        <v>1836.999257985811</v>
      </c>
      <c r="H6" s="23">
        <f t="shared" si="3"/>
        <v>1914.8236261479933</v>
      </c>
      <c r="I6" s="28">
        <f t="shared" si="3"/>
        <v>2007.2239182974297</v>
      </c>
      <c r="J6" s="28">
        <f t="shared" ref="J6:N6" si="4">J5/J4*100</f>
        <v>2094.8055754920515</v>
      </c>
      <c r="K6" s="28">
        <f t="shared" si="4"/>
        <v>2195.6406374378735</v>
      </c>
      <c r="L6" s="28">
        <f t="shared" si="4"/>
        <v>2309.4645348278541</v>
      </c>
      <c r="M6" s="28">
        <f t="shared" si="4"/>
        <v>2436.3226379476578</v>
      </c>
      <c r="N6" s="28">
        <f t="shared" si="4"/>
        <v>2576.4947198000959</v>
      </c>
      <c r="O6" s="44"/>
    </row>
    <row r="7" spans="1:15" ht="13.8" x14ac:dyDescent="0.25">
      <c r="A7" s="31"/>
      <c r="B7" s="32"/>
      <c r="C7" s="32"/>
      <c r="D7" s="32"/>
      <c r="E7" s="32"/>
      <c r="F7" s="32"/>
      <c r="G7" s="32"/>
      <c r="H7" s="32"/>
      <c r="I7" s="33"/>
      <c r="J7" s="33"/>
      <c r="K7" s="33"/>
      <c r="L7" s="33"/>
      <c r="M7" s="33"/>
      <c r="N7" s="33"/>
      <c r="O7" s="6"/>
    </row>
    <row r="8" spans="1:15" s="11" customFormat="1" ht="13.8" x14ac:dyDescent="0.25">
      <c r="A8" s="29" t="s">
        <v>21</v>
      </c>
      <c r="B8" s="23">
        <v>213.29000000000005</v>
      </c>
      <c r="C8" s="23">
        <f>C5*C9</f>
        <v>251.68220000000002</v>
      </c>
      <c r="D8" s="23">
        <f t="shared" ref="D8:I8" si="5">D5*D9</f>
        <v>290.69294100000008</v>
      </c>
      <c r="E8" s="23">
        <f t="shared" si="5"/>
        <v>359.53200229177332</v>
      </c>
      <c r="F8" s="23">
        <f t="shared" si="5"/>
        <v>446.28008531952707</v>
      </c>
      <c r="G8" s="23">
        <f t="shared" si="5"/>
        <v>543.10440369421633</v>
      </c>
      <c r="H8" s="23">
        <f t="shared" si="5"/>
        <v>656.12104551792834</v>
      </c>
      <c r="I8" s="28">
        <f t="shared" si="5"/>
        <v>788.7099903958848</v>
      </c>
      <c r="J8" s="28">
        <f t="shared" ref="J8:N8" si="6">J5*J9</f>
        <v>925.76210981541112</v>
      </c>
      <c r="K8" s="28">
        <f t="shared" si="6"/>
        <v>1083.9718168594593</v>
      </c>
      <c r="L8" s="28">
        <f t="shared" si="6"/>
        <v>1266.4549574959406</v>
      </c>
      <c r="M8" s="28">
        <f t="shared" si="6"/>
        <v>1476.7773269302884</v>
      </c>
      <c r="N8" s="28">
        <f t="shared" si="6"/>
        <v>1719.0191709220021</v>
      </c>
      <c r="O8" s="44"/>
    </row>
    <row r="9" spans="1:15" s="11" customFormat="1" ht="13.8" x14ac:dyDescent="0.25">
      <c r="A9" s="31" t="s">
        <v>24</v>
      </c>
      <c r="B9" s="34">
        <f>B8/B5</f>
        <v>0.49692465402357772</v>
      </c>
      <c r="C9" s="34">
        <v>0.49692465402357772</v>
      </c>
      <c r="D9" s="34">
        <v>0.49692465402357772</v>
      </c>
      <c r="E9" s="34">
        <v>0.49692465402357772</v>
      </c>
      <c r="F9" s="34">
        <v>0.49692465402357772</v>
      </c>
      <c r="G9" s="34">
        <v>0.49692465402357772</v>
      </c>
      <c r="H9" s="34">
        <v>0.49692465402357772</v>
      </c>
      <c r="I9" s="35">
        <v>0.49692465402357772</v>
      </c>
      <c r="J9" s="35">
        <v>0.49692465402357772</v>
      </c>
      <c r="K9" s="35">
        <v>0.49692465402357772</v>
      </c>
      <c r="L9" s="35">
        <v>0.49692465402357772</v>
      </c>
      <c r="M9" s="35">
        <v>0.49692465402357772</v>
      </c>
      <c r="N9" s="35">
        <v>0.49692465402357772</v>
      </c>
      <c r="O9" s="44"/>
    </row>
    <row r="10" spans="1:15" ht="13.8" x14ac:dyDescent="0.25">
      <c r="A10" s="31" t="s">
        <v>7</v>
      </c>
      <c r="B10" s="32">
        <v>22.65</v>
      </c>
      <c r="C10" s="32">
        <f>5%*C5</f>
        <v>25.323980000000002</v>
      </c>
      <c r="D10" s="32">
        <f t="shared" ref="D10:I10" si="7">5%*D5</f>
        <v>29.249196900000005</v>
      </c>
      <c r="E10" s="32">
        <f t="shared" si="7"/>
        <v>36.175705852050008</v>
      </c>
      <c r="F10" s="32">
        <f t="shared" si="7"/>
        <v>44.90420043622472</v>
      </c>
      <c r="G10" s="32">
        <f t="shared" si="7"/>
        <v>54.646554492388645</v>
      </c>
      <c r="H10" s="32">
        <f t="shared" si="7"/>
        <v>66.018161929111812</v>
      </c>
      <c r="I10" s="33">
        <f t="shared" si="7"/>
        <v>79.359112494191393</v>
      </c>
      <c r="J10" s="33">
        <f t="shared" ref="J10:N10" si="8">5%*J5</f>
        <v>93.149142663737337</v>
      </c>
      <c r="K10" s="33">
        <f t="shared" si="8"/>
        <v>109.06802551278004</v>
      </c>
      <c r="L10" s="33">
        <f t="shared" si="8"/>
        <v>127.42927395949356</v>
      </c>
      <c r="M10" s="33">
        <f t="shared" si="8"/>
        <v>148.59167430845758</v>
      </c>
      <c r="N10" s="33">
        <f t="shared" si="8"/>
        <v>172.96577630060989</v>
      </c>
      <c r="O10" s="6"/>
    </row>
    <row r="11" spans="1:15" ht="13.8" x14ac:dyDescent="0.25">
      <c r="A11" s="31" t="s">
        <v>3</v>
      </c>
      <c r="B11" s="32">
        <v>35.229999999999997</v>
      </c>
      <c r="C11" s="32">
        <f>5%*C77</f>
        <v>38.0625</v>
      </c>
      <c r="D11" s="32">
        <f t="shared" ref="D11:I11" si="9">5%*D77</f>
        <v>45.5625</v>
      </c>
      <c r="E11" s="32">
        <f t="shared" si="9"/>
        <v>62.0625</v>
      </c>
      <c r="F11" s="32">
        <f t="shared" si="9"/>
        <v>74.0625</v>
      </c>
      <c r="G11" s="32">
        <f t="shared" si="9"/>
        <v>87.262500000000003</v>
      </c>
      <c r="H11" s="32">
        <f t="shared" si="9"/>
        <v>101.78250000000001</v>
      </c>
      <c r="I11" s="33">
        <f t="shared" si="9"/>
        <v>117.75450000000001</v>
      </c>
      <c r="J11" s="33">
        <f t="shared" ref="J11:N11" si="10">5%*J77</f>
        <v>135.3237</v>
      </c>
      <c r="K11" s="33">
        <f t="shared" si="10"/>
        <v>154.64982000000003</v>
      </c>
      <c r="L11" s="33">
        <f t="shared" si="10"/>
        <v>175.90855200000004</v>
      </c>
      <c r="M11" s="33">
        <f t="shared" si="10"/>
        <v>199.29315720000002</v>
      </c>
      <c r="N11" s="33">
        <f t="shared" si="10"/>
        <v>225.01622292000002</v>
      </c>
      <c r="O11" s="6"/>
    </row>
    <row r="12" spans="1:15" ht="13.8" x14ac:dyDescent="0.25">
      <c r="A12" s="31" t="s">
        <v>5</v>
      </c>
      <c r="B12" s="32">
        <v>1.6</v>
      </c>
      <c r="C12" s="32">
        <v>1.6</v>
      </c>
      <c r="D12" s="32">
        <v>1.6</v>
      </c>
      <c r="E12" s="32">
        <v>1.6</v>
      </c>
      <c r="F12" s="32">
        <v>1.6</v>
      </c>
      <c r="G12" s="32">
        <v>1.6</v>
      </c>
      <c r="H12" s="32">
        <v>1.6</v>
      </c>
      <c r="I12" s="33">
        <v>1.6</v>
      </c>
      <c r="J12" s="33">
        <v>1.6</v>
      </c>
      <c r="K12" s="33">
        <v>1.6</v>
      </c>
      <c r="L12" s="33">
        <v>1.6</v>
      </c>
      <c r="M12" s="33">
        <v>1.6</v>
      </c>
      <c r="N12" s="33">
        <v>1.6</v>
      </c>
      <c r="O12" s="6"/>
    </row>
    <row r="13" spans="1:15" ht="13.8" x14ac:dyDescent="0.25">
      <c r="A13" s="31" t="s">
        <v>22</v>
      </c>
      <c r="B13" s="32">
        <f>B8+B10-B11-B12</f>
        <v>199.11000000000007</v>
      </c>
      <c r="C13" s="32">
        <f t="shared" ref="C13:I13" si="11">C8+C10-C11-C12</f>
        <v>237.34368000000003</v>
      </c>
      <c r="D13" s="32">
        <f t="shared" si="11"/>
        <v>272.77963790000007</v>
      </c>
      <c r="E13" s="32">
        <f t="shared" si="11"/>
        <v>332.04520814382329</v>
      </c>
      <c r="F13" s="32">
        <f t="shared" si="11"/>
        <v>415.52178575575175</v>
      </c>
      <c r="G13" s="32">
        <f t="shared" si="11"/>
        <v>508.88845818660496</v>
      </c>
      <c r="H13" s="32">
        <f t="shared" si="11"/>
        <v>618.75670744704007</v>
      </c>
      <c r="I13" s="33">
        <f t="shared" si="11"/>
        <v>748.71460289007621</v>
      </c>
      <c r="J13" s="33">
        <f t="shared" ref="J13:N13" si="12">J8+J10-J11-J12</f>
        <v>881.98755247914846</v>
      </c>
      <c r="K13" s="33">
        <f t="shared" si="12"/>
        <v>1036.7900223722393</v>
      </c>
      <c r="L13" s="33">
        <f t="shared" si="12"/>
        <v>1216.375679455434</v>
      </c>
      <c r="M13" s="33">
        <f t="shared" si="12"/>
        <v>1424.4758440387461</v>
      </c>
      <c r="N13" s="33">
        <f t="shared" si="12"/>
        <v>1665.368724302612</v>
      </c>
      <c r="O13" s="6"/>
    </row>
    <row r="14" spans="1:15" ht="13.8" x14ac:dyDescent="0.25">
      <c r="A14" s="31" t="s">
        <v>4</v>
      </c>
      <c r="B14" s="32">
        <v>50.21</v>
      </c>
      <c r="C14" s="32">
        <f>25%*C13</f>
        <v>59.335920000000009</v>
      </c>
      <c r="D14" s="32">
        <f t="shared" ref="D14:I14" si="13">25%*D13</f>
        <v>68.194909475000017</v>
      </c>
      <c r="E14" s="32">
        <f t="shared" si="13"/>
        <v>83.011302035955822</v>
      </c>
      <c r="F14" s="32">
        <f t="shared" si="13"/>
        <v>103.88044643893794</v>
      </c>
      <c r="G14" s="32">
        <f t="shared" si="13"/>
        <v>127.22211454665124</v>
      </c>
      <c r="H14" s="32">
        <f t="shared" si="13"/>
        <v>154.68917686176002</v>
      </c>
      <c r="I14" s="33">
        <f t="shared" si="13"/>
        <v>187.17865072251905</v>
      </c>
      <c r="J14" s="33">
        <f t="shared" ref="J14:N14" si="14">25%*J13</f>
        <v>220.49688811978712</v>
      </c>
      <c r="K14" s="33">
        <f t="shared" si="14"/>
        <v>259.19750559305982</v>
      </c>
      <c r="L14" s="33">
        <f t="shared" si="14"/>
        <v>304.0939198638585</v>
      </c>
      <c r="M14" s="33">
        <f t="shared" si="14"/>
        <v>356.11896100968653</v>
      </c>
      <c r="N14" s="33">
        <f t="shared" si="14"/>
        <v>416.342181075653</v>
      </c>
      <c r="O14" s="6"/>
    </row>
    <row r="15" spans="1:15" s="11" customFormat="1" ht="13.8" x14ac:dyDescent="0.25">
      <c r="A15" s="29" t="s">
        <v>23</v>
      </c>
      <c r="B15" s="23">
        <f>B13-B14</f>
        <v>148.90000000000006</v>
      </c>
      <c r="C15" s="23">
        <f t="shared" ref="C15:I15" si="15">C13-C14</f>
        <v>178.00776000000002</v>
      </c>
      <c r="D15" s="23">
        <f t="shared" si="15"/>
        <v>204.58472842500004</v>
      </c>
      <c r="E15" s="23">
        <f t="shared" si="15"/>
        <v>249.03390610786747</v>
      </c>
      <c r="F15" s="23">
        <f t="shared" si="15"/>
        <v>311.6413393168138</v>
      </c>
      <c r="G15" s="23">
        <f t="shared" si="15"/>
        <v>381.66634363995371</v>
      </c>
      <c r="H15" s="23">
        <f t="shared" si="15"/>
        <v>464.06753058528005</v>
      </c>
      <c r="I15" s="28">
        <f t="shared" si="15"/>
        <v>561.53595216755718</v>
      </c>
      <c r="J15" s="28">
        <f t="shared" ref="J15:N15" si="16">J13-J14</f>
        <v>661.49066435936129</v>
      </c>
      <c r="K15" s="28">
        <f t="shared" si="16"/>
        <v>777.5925167791795</v>
      </c>
      <c r="L15" s="28">
        <f t="shared" si="16"/>
        <v>912.28175959157556</v>
      </c>
      <c r="M15" s="28">
        <f t="shared" si="16"/>
        <v>1068.3568830290596</v>
      </c>
      <c r="N15" s="28">
        <f t="shared" si="16"/>
        <v>1249.0265432269589</v>
      </c>
      <c r="O15" s="44"/>
    </row>
    <row r="16" spans="1:15" ht="13.8" x14ac:dyDescent="0.25">
      <c r="A16" s="31" t="s">
        <v>10</v>
      </c>
      <c r="B16" s="32">
        <v>26.307420494699645</v>
      </c>
      <c r="C16" s="32">
        <f>C15/$B$20</f>
        <v>31.450134275618364</v>
      </c>
      <c r="D16" s="32">
        <f t="shared" ref="D16:I16" si="17">D15/$B$20</f>
        <v>36.14571173586571</v>
      </c>
      <c r="E16" s="32">
        <f t="shared" si="17"/>
        <v>43.998923340612606</v>
      </c>
      <c r="F16" s="32">
        <f t="shared" si="17"/>
        <v>55.060307299790395</v>
      </c>
      <c r="G16" s="32">
        <f t="shared" si="17"/>
        <v>67.43221619080451</v>
      </c>
      <c r="H16" s="32">
        <f t="shared" si="17"/>
        <v>81.990729785385128</v>
      </c>
      <c r="I16" s="33">
        <f t="shared" si="17"/>
        <v>99.211298969533019</v>
      </c>
      <c r="J16" s="33">
        <f t="shared" ref="J16:N16" si="18">J15/$B$20</f>
        <v>116.87114211296129</v>
      </c>
      <c r="K16" s="33">
        <f t="shared" si="18"/>
        <v>137.38383688678076</v>
      </c>
      <c r="L16" s="33">
        <f t="shared" si="18"/>
        <v>161.18052289603801</v>
      </c>
      <c r="M16" s="33">
        <f t="shared" si="18"/>
        <v>188.75563304400339</v>
      </c>
      <c r="N16" s="33">
        <f t="shared" si="18"/>
        <v>220.67606770794316</v>
      </c>
      <c r="O16" s="6"/>
    </row>
    <row r="17" spans="1:15" ht="13.8" x14ac:dyDescent="0.25">
      <c r="A17" s="29" t="s">
        <v>18</v>
      </c>
      <c r="B17" s="23">
        <v>944</v>
      </c>
      <c r="C17" s="32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6"/>
    </row>
    <row r="18" spans="1:15" s="11" customFormat="1" ht="13.8" x14ac:dyDescent="0.25">
      <c r="A18" s="29" t="s">
        <v>17</v>
      </c>
      <c r="B18" s="23"/>
      <c r="C18" s="23">
        <f t="shared" ref="C18:I18" si="19">C15+C11</f>
        <v>216.07026000000002</v>
      </c>
      <c r="D18" s="23">
        <f t="shared" si="19"/>
        <v>250.14722842500004</v>
      </c>
      <c r="E18" s="23">
        <f t="shared" si="19"/>
        <v>311.09640610786744</v>
      </c>
      <c r="F18" s="23">
        <f t="shared" si="19"/>
        <v>385.7038393168138</v>
      </c>
      <c r="G18" s="23">
        <f t="shared" si="19"/>
        <v>468.9288436399537</v>
      </c>
      <c r="H18" s="23">
        <f t="shared" si="19"/>
        <v>565.85003058528002</v>
      </c>
      <c r="I18" s="28">
        <f t="shared" si="19"/>
        <v>679.29045216755719</v>
      </c>
      <c r="J18" s="28">
        <f t="shared" ref="J18:N18" si="20">J15+J11</f>
        <v>796.81436435936132</v>
      </c>
      <c r="K18" s="28">
        <f t="shared" si="20"/>
        <v>932.2423367791796</v>
      </c>
      <c r="L18" s="28">
        <f t="shared" si="20"/>
        <v>1088.1903115915757</v>
      </c>
      <c r="M18" s="28">
        <f t="shared" si="20"/>
        <v>1267.6500402290596</v>
      </c>
      <c r="N18" s="28">
        <f t="shared" si="20"/>
        <v>1474.0427661469589</v>
      </c>
      <c r="O18" s="44"/>
    </row>
    <row r="19" spans="1:15" x14ac:dyDescent="0.25">
      <c r="A19" s="36" t="s">
        <v>61</v>
      </c>
      <c r="B19" s="2"/>
      <c r="C19" s="2"/>
      <c r="D19" s="2">
        <f t="shared" ref="D19:I19" si="21">D18-D76-D75</f>
        <v>62.084728425000037</v>
      </c>
      <c r="E19" s="2">
        <f t="shared" si="21"/>
        <v>-64.466093892132562</v>
      </c>
      <c r="F19" s="2">
        <f t="shared" si="21"/>
        <v>83.641339316813799</v>
      </c>
      <c r="G19" s="2">
        <f t="shared" si="21"/>
        <v>130.8663436399537</v>
      </c>
      <c r="H19" s="2">
        <f t="shared" si="21"/>
        <v>188.18753058528</v>
      </c>
      <c r="I19" s="37">
        <f t="shared" si="21"/>
        <v>258.06795216755711</v>
      </c>
      <c r="J19" s="37">
        <f t="shared" ref="J19" si="22">J18-J76-J75</f>
        <v>327.67586435936124</v>
      </c>
      <c r="K19" s="37">
        <f t="shared" ref="K19" si="23">K18-K76-K75</f>
        <v>410.39623677917945</v>
      </c>
      <c r="L19" s="37">
        <f t="shared" ref="L19" si="24">L18-L76-L75</f>
        <v>508.36585159157539</v>
      </c>
      <c r="M19" s="37">
        <f t="shared" ref="M19" si="25">M18-M76-M75</f>
        <v>624.04938422905934</v>
      </c>
      <c r="N19" s="37">
        <f t="shared" ref="N19" si="26">N18-N76-N75</f>
        <v>760.28829454695858</v>
      </c>
      <c r="O19" s="9"/>
    </row>
    <row r="20" spans="1:15" ht="13.8" x14ac:dyDescent="0.25">
      <c r="A20" s="38" t="s">
        <v>26</v>
      </c>
      <c r="B20" s="18">
        <f>B15/B16</f>
        <v>5.6600000000000028</v>
      </c>
      <c r="C20" s="18"/>
      <c r="D20" s="18"/>
      <c r="E20" s="18"/>
      <c r="F20" s="18"/>
      <c r="G20" s="18"/>
      <c r="H20" s="18"/>
      <c r="I20" s="39"/>
      <c r="J20" s="39"/>
      <c r="K20" s="39"/>
      <c r="L20" s="39"/>
      <c r="M20" s="39"/>
      <c r="N20" s="39"/>
      <c r="O20" s="6"/>
    </row>
    <row r="21" spans="1:15" ht="13.8" x14ac:dyDescent="0.25">
      <c r="A21" s="40" t="s">
        <v>27</v>
      </c>
      <c r="B21" s="41">
        <f>B20*B17</f>
        <v>5343.0400000000027</v>
      </c>
      <c r="C21" s="41"/>
      <c r="D21" s="41"/>
      <c r="E21" s="41"/>
      <c r="F21" s="41"/>
      <c r="G21" s="41"/>
      <c r="H21" s="41"/>
      <c r="I21" s="42"/>
      <c r="J21" s="42"/>
      <c r="K21" s="42"/>
      <c r="L21" s="42"/>
      <c r="M21" s="42"/>
      <c r="N21" s="42"/>
      <c r="O21" s="46"/>
    </row>
    <row r="22" spans="1:15" s="11" customFormat="1" ht="13.8" x14ac:dyDescent="0.25">
      <c r="A22" s="3"/>
      <c r="B22" s="3"/>
    </row>
    <row r="23" spans="1:15" s="11" customFormat="1" ht="13.8" x14ac:dyDescent="0.25">
      <c r="A23" s="19" t="s">
        <v>37</v>
      </c>
      <c r="B23" s="3"/>
    </row>
    <row r="24" spans="1:15" x14ac:dyDescent="0.25">
      <c r="A24" s="15" t="s">
        <v>28</v>
      </c>
      <c r="B24" s="15"/>
      <c r="C24" s="16">
        <v>0.18</v>
      </c>
      <c r="D24" s="16">
        <v>0.1</v>
      </c>
      <c r="E24" s="16">
        <v>0.09</v>
      </c>
      <c r="F24" s="16">
        <v>0.08</v>
      </c>
      <c r="G24" s="16">
        <f t="shared" ref="G24:I24" si="27">7.5%</f>
        <v>7.4999999999999997E-2</v>
      </c>
      <c r="H24" s="16">
        <f t="shared" si="27"/>
        <v>7.4999999999999997E-2</v>
      </c>
      <c r="I24" s="16">
        <f t="shared" si="27"/>
        <v>7.4999999999999997E-2</v>
      </c>
      <c r="J24" s="16">
        <v>0.06</v>
      </c>
      <c r="K24" s="16">
        <v>0.06</v>
      </c>
      <c r="L24" s="16">
        <v>0.06</v>
      </c>
      <c r="M24" s="16">
        <v>0.06</v>
      </c>
      <c r="N24" s="16">
        <v>0.06</v>
      </c>
      <c r="O24" s="5" t="s">
        <v>51</v>
      </c>
    </row>
    <row r="25" spans="1:15" x14ac:dyDescent="0.25">
      <c r="A25" s="15" t="s">
        <v>29</v>
      </c>
      <c r="B25" s="6"/>
      <c r="C25" s="6">
        <v>0</v>
      </c>
      <c r="D25" s="7">
        <v>0.05</v>
      </c>
      <c r="E25" s="7">
        <v>0.05</v>
      </c>
      <c r="F25" s="7">
        <v>0.05</v>
      </c>
      <c r="G25" s="7">
        <v>0.05</v>
      </c>
      <c r="H25" s="7">
        <v>0.05</v>
      </c>
      <c r="I25" s="7">
        <v>0.05</v>
      </c>
      <c r="J25" s="7">
        <v>0.04</v>
      </c>
      <c r="K25" s="7">
        <v>0.04</v>
      </c>
      <c r="L25" s="7">
        <v>0.04</v>
      </c>
      <c r="M25" s="7">
        <v>0.04</v>
      </c>
      <c r="N25" s="7">
        <v>0.04</v>
      </c>
      <c r="O25" s="5" t="s">
        <v>51</v>
      </c>
    </row>
    <row r="26" spans="1:15" x14ac:dyDescent="0.25">
      <c r="A26" s="17" t="s">
        <v>38</v>
      </c>
      <c r="B26" s="2">
        <v>33</v>
      </c>
      <c r="C26" s="2">
        <v>33</v>
      </c>
      <c r="D26" s="2">
        <f>C26*(1+D25)</f>
        <v>34.65</v>
      </c>
      <c r="E26" s="2">
        <f t="shared" ref="E26:I26" si="28">D26*(1+E25)</f>
        <v>36.3825</v>
      </c>
      <c r="F26" s="2">
        <f t="shared" si="28"/>
        <v>38.201625</v>
      </c>
      <c r="G26" s="2">
        <f t="shared" si="28"/>
        <v>40.111706250000005</v>
      </c>
      <c r="H26" s="2">
        <f t="shared" si="28"/>
        <v>42.117291562500007</v>
      </c>
      <c r="I26" s="2">
        <f t="shared" si="28"/>
        <v>44.223156140625008</v>
      </c>
      <c r="J26" s="2">
        <f t="shared" ref="J26" si="29">I26*(1+J25)</f>
        <v>45.992082386250011</v>
      </c>
      <c r="K26" s="2">
        <f t="shared" ref="K26" si="30">J26*(1+K25)</f>
        <v>47.831765681700013</v>
      </c>
      <c r="L26" s="2">
        <f t="shared" ref="L26" si="31">K26*(1+L25)</f>
        <v>49.745036308968018</v>
      </c>
      <c r="M26" s="2">
        <f t="shared" ref="M26" si="32">L26*(1+M25)</f>
        <v>51.734837761326737</v>
      </c>
      <c r="N26" s="2">
        <f t="shared" ref="N26" si="33">M26*(1+N25)</f>
        <v>53.804231271779805</v>
      </c>
    </row>
    <row r="27" spans="1:15" ht="13.8" x14ac:dyDescent="0.25">
      <c r="A27" s="17" t="s">
        <v>39</v>
      </c>
      <c r="B27" s="23">
        <v>429.22</v>
      </c>
      <c r="C27" s="23">
        <f>B27*(1+C24)*(1+C25)</f>
        <v>506.4796</v>
      </c>
      <c r="D27" s="23">
        <f t="shared" ref="D27:I27" si="34">C27*(1+D24)*(1+D25)</f>
        <v>584.98393800000008</v>
      </c>
      <c r="E27" s="23">
        <f t="shared" si="34"/>
        <v>669.51411704100019</v>
      </c>
      <c r="F27" s="23">
        <f t="shared" si="34"/>
        <v>759.22900872449429</v>
      </c>
      <c r="G27" s="23">
        <f t="shared" si="34"/>
        <v>856.97974359777288</v>
      </c>
      <c r="H27" s="23">
        <f t="shared" si="34"/>
        <v>967.31588558598605</v>
      </c>
      <c r="I27" s="23">
        <f t="shared" si="34"/>
        <v>1091.8578058551818</v>
      </c>
      <c r="J27" s="23">
        <f t="shared" ref="J27" si="35">I27*(1+J24)*(1+J25)</f>
        <v>1203.6640451747526</v>
      </c>
      <c r="K27" s="23">
        <f t="shared" ref="K27" si="36">J27*(1+K24)*(1+K25)</f>
        <v>1326.9192434006472</v>
      </c>
      <c r="L27" s="23">
        <f t="shared" ref="L27" si="37">K27*(1+L24)*(1+L25)</f>
        <v>1462.7957739248736</v>
      </c>
      <c r="M27" s="23">
        <f t="shared" ref="M27" si="38">L27*(1+M24)*(1+M25)</f>
        <v>1612.5860611747808</v>
      </c>
      <c r="N27" s="23">
        <f t="shared" ref="N27" si="39">M27*(1+N24)*(1+N25)</f>
        <v>1777.7148738390786</v>
      </c>
    </row>
    <row r="28" spans="1:15" ht="13.8" x14ac:dyDescent="0.25">
      <c r="A28" s="1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5" ht="13.8" x14ac:dyDescent="0.25">
      <c r="A29" s="19" t="s">
        <v>30</v>
      </c>
    </row>
    <row r="30" spans="1:15" x14ac:dyDescent="0.25">
      <c r="A30" s="15" t="s">
        <v>29</v>
      </c>
      <c r="B30" s="6"/>
      <c r="C30" s="6"/>
      <c r="D30" s="7"/>
      <c r="E30" s="7"/>
      <c r="F30" s="43">
        <v>7.4999999999999997E-2</v>
      </c>
      <c r="G30" s="43">
        <v>7.4999999999999997E-2</v>
      </c>
      <c r="H30" s="43">
        <v>7.4999999999999997E-2</v>
      </c>
      <c r="I30" s="43">
        <v>7.4999999999999997E-2</v>
      </c>
      <c r="J30" s="43">
        <v>0.06</v>
      </c>
      <c r="K30" s="43">
        <v>0.06</v>
      </c>
      <c r="L30" s="43">
        <v>0.06</v>
      </c>
      <c r="M30" s="43">
        <v>0.06</v>
      </c>
      <c r="N30" s="43">
        <v>0.06</v>
      </c>
      <c r="O30" s="5" t="s">
        <v>51</v>
      </c>
    </row>
    <row r="31" spans="1:15" x14ac:dyDescent="0.25">
      <c r="A31" s="15" t="s">
        <v>28</v>
      </c>
      <c r="B31" s="6"/>
      <c r="C31" s="6"/>
      <c r="D31" s="7"/>
      <c r="E31" s="7"/>
      <c r="F31" s="43">
        <v>0.1</v>
      </c>
      <c r="G31" s="43">
        <v>0.09</v>
      </c>
      <c r="H31" s="43">
        <v>0.08</v>
      </c>
      <c r="I31" s="43">
        <v>0.08</v>
      </c>
      <c r="J31" s="43">
        <v>0.08</v>
      </c>
      <c r="K31" s="43">
        <v>0.08</v>
      </c>
      <c r="L31" s="43">
        <v>0.08</v>
      </c>
      <c r="M31" s="43">
        <v>0.08</v>
      </c>
      <c r="N31" s="43">
        <v>0.08</v>
      </c>
      <c r="O31" s="5" t="s">
        <v>50</v>
      </c>
    </row>
    <row r="32" spans="1:15" ht="13.8" x14ac:dyDescent="0.25">
      <c r="A32" s="19" t="s">
        <v>33</v>
      </c>
    </row>
    <row r="33" spans="1:15" x14ac:dyDescent="0.25">
      <c r="A33" s="17" t="s">
        <v>31</v>
      </c>
      <c r="B33" s="6"/>
      <c r="C33" s="6"/>
      <c r="D33" s="2"/>
      <c r="E33" s="2">
        <v>900</v>
      </c>
      <c r="F33" s="2">
        <f>E33*(1+F$31)</f>
        <v>990.00000000000011</v>
      </c>
      <c r="G33" s="2">
        <f t="shared" ref="G33:I33" si="40">F33*(1+G$31)</f>
        <v>1079.1000000000001</v>
      </c>
      <c r="H33" s="2">
        <f t="shared" si="40"/>
        <v>1165.4280000000001</v>
      </c>
      <c r="I33" s="2">
        <f t="shared" si="40"/>
        <v>1258.6622400000001</v>
      </c>
      <c r="J33" s="2">
        <f t="shared" ref="J33" si="41">I33*(1+J$31)</f>
        <v>1359.3552192000002</v>
      </c>
      <c r="K33" s="2">
        <f t="shared" ref="K33" si="42">J33*(1+K$31)</f>
        <v>1468.1036367360002</v>
      </c>
      <c r="L33" s="2">
        <f t="shared" ref="L33" si="43">K33*(1+L$31)</f>
        <v>1585.5519276748803</v>
      </c>
      <c r="M33" s="2">
        <f t="shared" ref="M33" si="44">L33*(1+M$31)</f>
        <v>1712.3960818888709</v>
      </c>
      <c r="N33" s="2">
        <f t="shared" ref="N33" si="45">M33*(1+N$31)</f>
        <v>1849.3877684399806</v>
      </c>
      <c r="O33" s="5"/>
    </row>
    <row r="34" spans="1:15" x14ac:dyDescent="0.25">
      <c r="A34" s="17" t="s">
        <v>38</v>
      </c>
      <c r="B34" s="6"/>
      <c r="C34" s="6"/>
      <c r="D34" s="2"/>
      <c r="E34" s="22">
        <v>6</v>
      </c>
      <c r="F34" s="22">
        <f>E34*(1+F$30)</f>
        <v>6.4499999999999993</v>
      </c>
      <c r="G34" s="22">
        <f t="shared" ref="G34:I34" si="46">F34*(1+G$30)</f>
        <v>6.933749999999999</v>
      </c>
      <c r="H34" s="22">
        <f t="shared" si="46"/>
        <v>7.4537812499999987</v>
      </c>
      <c r="I34" s="22">
        <f t="shared" si="46"/>
        <v>8.0128148437499984</v>
      </c>
      <c r="J34" s="22">
        <f t="shared" ref="J34" si="47">I34*(1+J$30)</f>
        <v>8.4935837343749991</v>
      </c>
      <c r="K34" s="22">
        <f t="shared" ref="K34" si="48">J34*(1+K$30)</f>
        <v>9.0031987584374988</v>
      </c>
      <c r="L34" s="22">
        <f t="shared" ref="L34" si="49">K34*(1+L$30)</f>
        <v>9.5433906839437501</v>
      </c>
      <c r="M34" s="22">
        <f t="shared" ref="M34" si="50">L34*(1+M$30)</f>
        <v>10.115994124980375</v>
      </c>
      <c r="N34" s="22">
        <f t="shared" ref="N34" si="51">M34*(1+N$30)</f>
        <v>10.722953772479197</v>
      </c>
    </row>
    <row r="35" spans="1:15" x14ac:dyDescent="0.25">
      <c r="A35" s="17" t="s">
        <v>39</v>
      </c>
      <c r="B35" s="6"/>
      <c r="C35" s="6"/>
      <c r="D35" s="2"/>
      <c r="E35" s="2">
        <f>E34*E33/100</f>
        <v>54</v>
      </c>
      <c r="F35" s="2">
        <f t="shared" ref="F35" si="52">F34*F33/100</f>
        <v>63.854999999999997</v>
      </c>
      <c r="G35" s="2">
        <f t="shared" ref="G35" si="53">G34*G33/100</f>
        <v>74.822096250000001</v>
      </c>
      <c r="H35" s="2">
        <f t="shared" ref="H35" si="54">H34*H33/100</f>
        <v>86.868453746249997</v>
      </c>
      <c r="I35" s="2">
        <f t="shared" ref="I35:N35" si="55">I34*I33/100</f>
        <v>100.85427479939625</v>
      </c>
      <c r="J35" s="2">
        <f t="shared" si="55"/>
        <v>115.45797379034883</v>
      </c>
      <c r="K35" s="2">
        <f t="shared" si="55"/>
        <v>132.17628839519134</v>
      </c>
      <c r="L35" s="2">
        <f t="shared" si="55"/>
        <v>151.31541495481508</v>
      </c>
      <c r="M35" s="2">
        <f t="shared" si="55"/>
        <v>173.22588704027231</v>
      </c>
      <c r="N35" s="2">
        <f t="shared" si="55"/>
        <v>198.30899548370374</v>
      </c>
    </row>
    <row r="36" spans="1:15" ht="13.8" x14ac:dyDescent="0.25">
      <c r="A36" s="19" t="s">
        <v>34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5" x14ac:dyDescent="0.25">
      <c r="A37" s="17" t="s">
        <v>31</v>
      </c>
      <c r="B37" s="6"/>
      <c r="C37" s="6"/>
      <c r="D37" s="2"/>
      <c r="E37" s="2"/>
      <c r="F37" s="2">
        <v>1250</v>
      </c>
      <c r="G37" s="2">
        <f t="shared" ref="G37:I37" si="56">F37*(1+G$31)</f>
        <v>1362.5</v>
      </c>
      <c r="H37" s="2">
        <f t="shared" si="56"/>
        <v>1471.5</v>
      </c>
      <c r="I37" s="2">
        <f t="shared" si="56"/>
        <v>1589.22</v>
      </c>
      <c r="J37" s="2">
        <f t="shared" ref="J37" si="57">I37*(1+J$31)</f>
        <v>1716.3576</v>
      </c>
      <c r="K37" s="2">
        <f t="shared" ref="K37" si="58">J37*(1+K$31)</f>
        <v>1853.6662080000001</v>
      </c>
      <c r="L37" s="2">
        <f t="shared" ref="L37" si="59">K37*(1+L$31)</f>
        <v>2001.9595046400002</v>
      </c>
      <c r="M37" s="2">
        <f t="shared" ref="M37" si="60">L37*(1+M$31)</f>
        <v>2162.1162650112005</v>
      </c>
      <c r="N37" s="2">
        <f t="shared" ref="N37" si="61">M37*(1+N$31)</f>
        <v>2335.0855662120966</v>
      </c>
      <c r="O37" s="5" t="s">
        <v>51</v>
      </c>
    </row>
    <row r="38" spans="1:15" x14ac:dyDescent="0.25">
      <c r="A38" s="17" t="s">
        <v>38</v>
      </c>
      <c r="B38" s="6"/>
      <c r="C38" s="6"/>
      <c r="D38" s="2"/>
      <c r="E38" s="2"/>
      <c r="F38" s="22">
        <v>6</v>
      </c>
      <c r="G38" s="22">
        <f>F38*(1+G$30)</f>
        <v>6.4499999999999993</v>
      </c>
      <c r="H38" s="22">
        <f t="shared" ref="H38:I38" si="62">G38*(1+H$30)</f>
        <v>6.933749999999999</v>
      </c>
      <c r="I38" s="22">
        <f t="shared" si="62"/>
        <v>7.4537812499999987</v>
      </c>
      <c r="J38" s="22">
        <f t="shared" ref="J38" si="63">I38*(1+J$30)</f>
        <v>7.9010081249999988</v>
      </c>
      <c r="K38" s="22">
        <f t="shared" ref="K38" si="64">J38*(1+K$30)</f>
        <v>8.3750686124999998</v>
      </c>
      <c r="L38" s="22">
        <f t="shared" ref="L38" si="65">K38*(1+L$30)</f>
        <v>8.8775727292499997</v>
      </c>
      <c r="M38" s="22">
        <f t="shared" ref="M38" si="66">L38*(1+M$30)</f>
        <v>9.410227093005</v>
      </c>
      <c r="N38" s="22">
        <f t="shared" ref="N38" si="67">M38*(1+N$30)</f>
        <v>9.9748407185853001</v>
      </c>
      <c r="O38" s="5" t="s">
        <v>52</v>
      </c>
    </row>
    <row r="39" spans="1:15" x14ac:dyDescent="0.25">
      <c r="A39" s="17" t="s">
        <v>39</v>
      </c>
      <c r="B39" s="6"/>
      <c r="C39" s="6"/>
      <c r="D39" s="2"/>
      <c r="E39" s="2"/>
      <c r="F39" s="2">
        <f t="shared" ref="F39" si="68">F38*F37/100</f>
        <v>75</v>
      </c>
      <c r="G39" s="2">
        <f t="shared" ref="G39" si="69">G38*G37/100</f>
        <v>87.88124999999998</v>
      </c>
      <c r="H39" s="2">
        <f t="shared" ref="H39" si="70">H38*H37/100</f>
        <v>102.03013124999998</v>
      </c>
      <c r="I39" s="2">
        <f t="shared" ref="I39:N39" si="71">I38*I37/100</f>
        <v>118.45698238124999</v>
      </c>
      <c r="J39" s="2">
        <f t="shared" si="71"/>
        <v>135.60955343005497</v>
      </c>
      <c r="K39" s="2">
        <f t="shared" si="71"/>
        <v>155.24581676672696</v>
      </c>
      <c r="L39" s="2">
        <f t="shared" si="71"/>
        <v>177.72541103454904</v>
      </c>
      <c r="M39" s="2">
        <f t="shared" si="71"/>
        <v>203.46005055235179</v>
      </c>
      <c r="N39" s="2">
        <f t="shared" si="71"/>
        <v>232.92106587233232</v>
      </c>
    </row>
    <row r="40" spans="1:15" ht="13.8" x14ac:dyDescent="0.25">
      <c r="A40" s="19" t="s">
        <v>32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x14ac:dyDescent="0.25">
      <c r="A41" s="17" t="s">
        <v>31</v>
      </c>
      <c r="B41" s="6"/>
      <c r="C41" s="6"/>
      <c r="D41" s="2"/>
      <c r="E41" s="2"/>
      <c r="F41" s="2"/>
      <c r="G41" s="2">
        <f>AVERAGE(G$37,G$33)</f>
        <v>1220.8000000000002</v>
      </c>
      <c r="H41" s="2">
        <f t="shared" ref="H41:I41" si="72">G41*(1+H$31)</f>
        <v>1318.4640000000004</v>
      </c>
      <c r="I41" s="2">
        <f t="shared" si="72"/>
        <v>1423.9411200000004</v>
      </c>
      <c r="J41" s="2">
        <f t="shared" ref="J41" si="73">I41*(1+J$31)</f>
        <v>1537.8564096000005</v>
      </c>
      <c r="K41" s="2">
        <f t="shared" ref="K41" si="74">J41*(1+K$31)</f>
        <v>1660.8849223680006</v>
      </c>
      <c r="L41" s="2">
        <f t="shared" ref="L41" si="75">K41*(1+L$31)</f>
        <v>1793.7557161574407</v>
      </c>
      <c r="M41" s="2">
        <f t="shared" ref="M41" si="76">L41*(1+M$31)</f>
        <v>1937.2561734500362</v>
      </c>
      <c r="N41" s="2">
        <f t="shared" ref="N41" si="77">M41*(1+N$31)</f>
        <v>2092.236667326039</v>
      </c>
      <c r="O41" s="5" t="s">
        <v>51</v>
      </c>
    </row>
    <row r="42" spans="1:15" x14ac:dyDescent="0.25">
      <c r="A42" s="17" t="s">
        <v>38</v>
      </c>
      <c r="B42" s="6"/>
      <c r="C42" s="6"/>
      <c r="D42" s="2"/>
      <c r="E42" s="2"/>
      <c r="F42" s="22"/>
      <c r="G42" s="22">
        <v>6</v>
      </c>
      <c r="H42" s="22">
        <f>G42*(1+H$30)</f>
        <v>6.4499999999999993</v>
      </c>
      <c r="I42" s="22">
        <f t="shared" ref="I42" si="78">H42*(1+I$30)</f>
        <v>6.933749999999999</v>
      </c>
      <c r="J42" s="22">
        <f t="shared" ref="J42" si="79">I42*(1+J$30)</f>
        <v>7.3497749999999993</v>
      </c>
      <c r="K42" s="22">
        <f t="shared" ref="K42" si="80">J42*(1+K$30)</f>
        <v>7.7907614999999995</v>
      </c>
      <c r="L42" s="22">
        <f t="shared" ref="L42" si="81">K42*(1+L$30)</f>
        <v>8.2582071900000003</v>
      </c>
      <c r="M42" s="22">
        <f t="shared" ref="M42" si="82">L42*(1+M$30)</f>
        <v>8.7536996214000009</v>
      </c>
      <c r="N42" s="22">
        <f t="shared" ref="N42" si="83">M42*(1+N$30)</f>
        <v>9.2789215986840006</v>
      </c>
      <c r="O42" s="5" t="s">
        <v>52</v>
      </c>
    </row>
    <row r="43" spans="1:15" x14ac:dyDescent="0.25">
      <c r="A43" s="17" t="s">
        <v>39</v>
      </c>
      <c r="B43" s="6"/>
      <c r="C43" s="6"/>
      <c r="D43" s="2"/>
      <c r="E43" s="2"/>
      <c r="F43" s="2"/>
      <c r="G43" s="2">
        <f t="shared" ref="G43" si="84">G42*G41/100</f>
        <v>73.248000000000005</v>
      </c>
      <c r="H43" s="2">
        <f t="shared" ref="H43" si="85">H42*H41/100</f>
        <v>85.040928000000022</v>
      </c>
      <c r="I43" s="2">
        <f t="shared" ref="I43:N43" si="86">I42*I41/100</f>
        <v>98.732517408000021</v>
      </c>
      <c r="J43" s="2">
        <f t="shared" si="86"/>
        <v>113.02898592867842</v>
      </c>
      <c r="K43" s="2">
        <f t="shared" si="86"/>
        <v>129.39558309115108</v>
      </c>
      <c r="L43" s="2">
        <f t="shared" si="86"/>
        <v>148.13206352274975</v>
      </c>
      <c r="M43" s="2">
        <f t="shared" si="86"/>
        <v>169.58158632084397</v>
      </c>
      <c r="N43" s="2">
        <f t="shared" si="86"/>
        <v>194.13700002010214</v>
      </c>
    </row>
    <row r="44" spans="1:15" ht="13.8" x14ac:dyDescent="0.25">
      <c r="A44" s="19" t="s">
        <v>35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x14ac:dyDescent="0.25">
      <c r="A45" s="17" t="s">
        <v>31</v>
      </c>
      <c r="B45" s="6"/>
      <c r="C45" s="6"/>
      <c r="D45" s="2"/>
      <c r="E45" s="2"/>
      <c r="F45" s="2"/>
      <c r="G45" s="2"/>
      <c r="H45" s="2">
        <f>AVERAGE(H$37,H$33)</f>
        <v>1318.4639999999999</v>
      </c>
      <c r="I45" s="2">
        <f>H45*(1+I$31)</f>
        <v>1423.94112</v>
      </c>
      <c r="J45" s="2">
        <f t="shared" ref="J45:N45" si="87">I45*(1+J$31)</f>
        <v>1537.8564096</v>
      </c>
      <c r="K45" s="2">
        <f t="shared" si="87"/>
        <v>1660.8849223680002</v>
      </c>
      <c r="L45" s="2">
        <f t="shared" si="87"/>
        <v>1793.7557161574402</v>
      </c>
      <c r="M45" s="2">
        <f t="shared" si="87"/>
        <v>1937.2561734500357</v>
      </c>
      <c r="N45" s="2">
        <f t="shared" si="87"/>
        <v>2092.2366673260385</v>
      </c>
      <c r="O45" s="5" t="s">
        <v>51</v>
      </c>
    </row>
    <row r="46" spans="1:15" x14ac:dyDescent="0.25">
      <c r="A46" s="17" t="s">
        <v>38</v>
      </c>
      <c r="B46" s="6"/>
      <c r="C46" s="6"/>
      <c r="D46" s="2"/>
      <c r="E46" s="2"/>
      <c r="F46" s="22"/>
      <c r="G46" s="22"/>
      <c r="H46" s="22">
        <v>6</v>
      </c>
      <c r="I46" s="22">
        <f>H46*(1+I$30)</f>
        <v>6.4499999999999993</v>
      </c>
      <c r="J46" s="22">
        <f t="shared" ref="J46:N46" si="88">I46*(1+J$30)</f>
        <v>6.8369999999999997</v>
      </c>
      <c r="K46" s="22">
        <f t="shared" si="88"/>
        <v>7.2472200000000004</v>
      </c>
      <c r="L46" s="22">
        <f t="shared" si="88"/>
        <v>7.6820532000000012</v>
      </c>
      <c r="M46" s="22">
        <f t="shared" si="88"/>
        <v>8.1429763920000013</v>
      </c>
      <c r="N46" s="22">
        <f t="shared" si="88"/>
        <v>8.6315549755200021</v>
      </c>
      <c r="O46" s="5" t="s">
        <v>52</v>
      </c>
    </row>
    <row r="47" spans="1:15" x14ac:dyDescent="0.25">
      <c r="A47" s="17" t="s">
        <v>39</v>
      </c>
      <c r="B47" s="6"/>
      <c r="C47" s="6"/>
      <c r="D47" s="2"/>
      <c r="E47" s="2"/>
      <c r="F47" s="2"/>
      <c r="G47" s="2"/>
      <c r="H47" s="2">
        <f t="shared" ref="H47" si="89">H46*H45/100</f>
        <v>79.107839999999996</v>
      </c>
      <c r="I47" s="2">
        <f t="shared" ref="I47:N47" si="90">I46*I45/100</f>
        <v>91.844202240000001</v>
      </c>
      <c r="J47" s="2">
        <f t="shared" si="90"/>
        <v>105.14324272435201</v>
      </c>
      <c r="K47" s="2">
        <f t="shared" si="90"/>
        <v>120.36798427083819</v>
      </c>
      <c r="L47" s="2">
        <f t="shared" si="90"/>
        <v>137.79726839325559</v>
      </c>
      <c r="M47" s="2">
        <f t="shared" si="90"/>
        <v>157.75031285659901</v>
      </c>
      <c r="N47" s="2">
        <f t="shared" si="90"/>
        <v>180.59255815823454</v>
      </c>
    </row>
    <row r="48" spans="1:15" ht="13.8" x14ac:dyDescent="0.25">
      <c r="A48" s="20" t="s">
        <v>36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x14ac:dyDescent="0.25">
      <c r="A49" s="17" t="s">
        <v>31</v>
      </c>
      <c r="B49" s="6"/>
      <c r="C49" s="6"/>
      <c r="D49" s="2"/>
      <c r="E49" s="2"/>
      <c r="F49" s="2"/>
      <c r="G49" s="2"/>
      <c r="H49" s="2"/>
      <c r="I49" s="2">
        <f>AVERAGE(I$37,I$33)</f>
        <v>1423.94112</v>
      </c>
      <c r="J49" s="2">
        <f t="shared" ref="J49:N49" si="91">AVERAGE(J$37,J$33)</f>
        <v>1537.8564096</v>
      </c>
      <c r="K49" s="2">
        <f t="shared" si="91"/>
        <v>1660.8849223680002</v>
      </c>
      <c r="L49" s="2">
        <f t="shared" si="91"/>
        <v>1793.7557161574402</v>
      </c>
      <c r="M49" s="2">
        <f t="shared" si="91"/>
        <v>1937.2561734500357</v>
      </c>
      <c r="N49" s="2">
        <f t="shared" si="91"/>
        <v>2092.2366673260385</v>
      </c>
    </row>
    <row r="50" spans="1:15" x14ac:dyDescent="0.25">
      <c r="A50" s="17" t="s">
        <v>38</v>
      </c>
      <c r="B50" s="6"/>
      <c r="C50" s="6"/>
      <c r="D50" s="2"/>
      <c r="E50" s="2"/>
      <c r="F50" s="22"/>
      <c r="G50" s="22"/>
      <c r="H50" s="22"/>
      <c r="I50" s="22">
        <v>6</v>
      </c>
      <c r="J50" s="22">
        <f t="shared" ref="J50:N50" si="92">I50*(1+J$30)</f>
        <v>6.36</v>
      </c>
      <c r="K50" s="22">
        <f t="shared" si="92"/>
        <v>6.7416000000000009</v>
      </c>
      <c r="L50" s="22">
        <f t="shared" si="92"/>
        <v>7.1460960000000018</v>
      </c>
      <c r="M50" s="22">
        <f t="shared" si="92"/>
        <v>7.5748617600000019</v>
      </c>
      <c r="N50" s="22">
        <f t="shared" si="92"/>
        <v>8.0293534656000016</v>
      </c>
      <c r="O50" s="5" t="s">
        <v>52</v>
      </c>
    </row>
    <row r="51" spans="1:15" x14ac:dyDescent="0.25">
      <c r="A51" s="17" t="s">
        <v>39</v>
      </c>
      <c r="B51" s="6"/>
      <c r="C51" s="6"/>
      <c r="D51" s="2"/>
      <c r="E51" s="2"/>
      <c r="F51" s="2"/>
      <c r="G51" s="2"/>
      <c r="H51" s="2"/>
      <c r="I51" s="2">
        <f t="shared" ref="I51:N51" si="93">I50*I49/100</f>
        <v>85.43646720000001</v>
      </c>
      <c r="J51" s="2">
        <f t="shared" si="93"/>
        <v>97.807667650559992</v>
      </c>
      <c r="K51" s="2">
        <f t="shared" si="93"/>
        <v>111.97021792636112</v>
      </c>
      <c r="L51" s="2">
        <f t="shared" si="93"/>
        <v>128.18350548209821</v>
      </c>
      <c r="M51" s="2">
        <f t="shared" si="93"/>
        <v>146.74447707590608</v>
      </c>
      <c r="N51" s="2">
        <f t="shared" si="93"/>
        <v>167.99307735649722</v>
      </c>
    </row>
    <row r="52" spans="1:15" ht="13.8" x14ac:dyDescent="0.25">
      <c r="A52" s="20" t="s">
        <v>56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5" x14ac:dyDescent="0.25">
      <c r="A53" s="17" t="s">
        <v>31</v>
      </c>
      <c r="B53" s="6"/>
      <c r="C53" s="6"/>
      <c r="D53" s="2"/>
      <c r="E53" s="2"/>
      <c r="F53" s="2"/>
      <c r="G53" s="2"/>
      <c r="H53" s="2"/>
      <c r="I53" s="2"/>
      <c r="J53" s="2">
        <f t="shared" ref="J53:N53" si="94">AVERAGE(J$37,J$33)</f>
        <v>1537.8564096</v>
      </c>
      <c r="K53" s="2">
        <f t="shared" si="94"/>
        <v>1660.8849223680002</v>
      </c>
      <c r="L53" s="2">
        <f t="shared" si="94"/>
        <v>1793.7557161574402</v>
      </c>
      <c r="M53" s="2">
        <f t="shared" si="94"/>
        <v>1937.2561734500357</v>
      </c>
      <c r="N53" s="2">
        <f t="shared" si="94"/>
        <v>2092.2366673260385</v>
      </c>
    </row>
    <row r="54" spans="1:15" x14ac:dyDescent="0.25">
      <c r="A54" s="17" t="s">
        <v>38</v>
      </c>
      <c r="B54" s="6"/>
      <c r="C54" s="6"/>
      <c r="D54" s="2"/>
      <c r="E54" s="2"/>
      <c r="F54" s="22"/>
      <c r="G54" s="22"/>
      <c r="H54" s="22"/>
      <c r="I54" s="22"/>
      <c r="J54" s="22">
        <v>6</v>
      </c>
      <c r="K54" s="22">
        <f t="shared" ref="K54:N54" si="95">J54*(1+K$30)</f>
        <v>6.36</v>
      </c>
      <c r="L54" s="22">
        <f t="shared" si="95"/>
        <v>6.7416000000000009</v>
      </c>
      <c r="M54" s="22">
        <f t="shared" si="95"/>
        <v>7.1460960000000018</v>
      </c>
      <c r="N54" s="22">
        <f t="shared" si="95"/>
        <v>7.5748617600000019</v>
      </c>
    </row>
    <row r="55" spans="1:15" x14ac:dyDescent="0.25">
      <c r="A55" s="17" t="s">
        <v>39</v>
      </c>
      <c r="B55" s="6"/>
      <c r="C55" s="6"/>
      <c r="D55" s="2"/>
      <c r="E55" s="2"/>
      <c r="F55" s="2"/>
      <c r="G55" s="2"/>
      <c r="H55" s="2"/>
      <c r="I55" s="2"/>
      <c r="J55" s="2">
        <f t="shared" ref="J55:N55" si="96">J54*J53/100</f>
        <v>92.271384576000003</v>
      </c>
      <c r="K55" s="2">
        <f t="shared" si="96"/>
        <v>105.63228106260482</v>
      </c>
      <c r="L55" s="2">
        <f t="shared" si="96"/>
        <v>120.92783536047001</v>
      </c>
      <c r="M55" s="2">
        <f t="shared" si="96"/>
        <v>138.43818592066609</v>
      </c>
      <c r="N55" s="2">
        <f t="shared" si="96"/>
        <v>158.48403524197855</v>
      </c>
    </row>
    <row r="56" spans="1:15" ht="13.8" x14ac:dyDescent="0.25">
      <c r="A56" s="20" t="s">
        <v>57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x14ac:dyDescent="0.25">
      <c r="A57" s="17" t="s">
        <v>31</v>
      </c>
      <c r="B57" s="6"/>
      <c r="C57" s="6"/>
      <c r="D57" s="2"/>
      <c r="E57" s="2"/>
      <c r="F57" s="2"/>
      <c r="G57" s="2"/>
      <c r="H57" s="2"/>
      <c r="I57" s="2"/>
      <c r="J57" s="2"/>
      <c r="K57" s="2">
        <f t="shared" ref="K57:N57" si="97">AVERAGE(K$37,K$33)</f>
        <v>1660.8849223680002</v>
      </c>
      <c r="L57" s="2">
        <f t="shared" si="97"/>
        <v>1793.7557161574402</v>
      </c>
      <c r="M57" s="2">
        <f t="shared" si="97"/>
        <v>1937.2561734500357</v>
      </c>
      <c r="N57" s="2">
        <f t="shared" si="97"/>
        <v>2092.2366673260385</v>
      </c>
    </row>
    <row r="58" spans="1:15" x14ac:dyDescent="0.25">
      <c r="A58" s="17" t="s">
        <v>38</v>
      </c>
      <c r="B58" s="6"/>
      <c r="C58" s="6"/>
      <c r="D58" s="2"/>
      <c r="E58" s="2"/>
      <c r="F58" s="22"/>
      <c r="G58" s="22"/>
      <c r="H58" s="22"/>
      <c r="I58" s="22"/>
      <c r="J58" s="22"/>
      <c r="K58" s="22">
        <v>6</v>
      </c>
      <c r="L58" s="22">
        <f t="shared" ref="L58:N58" si="98">K58*(1+L$30)</f>
        <v>6.36</v>
      </c>
      <c r="M58" s="22">
        <f t="shared" si="98"/>
        <v>6.7416000000000009</v>
      </c>
      <c r="N58" s="22">
        <f t="shared" si="98"/>
        <v>7.1460960000000018</v>
      </c>
    </row>
    <row r="59" spans="1:15" x14ac:dyDescent="0.25">
      <c r="A59" s="17" t="s">
        <v>39</v>
      </c>
      <c r="B59" s="6"/>
      <c r="C59" s="6"/>
      <c r="D59" s="2"/>
      <c r="E59" s="2"/>
      <c r="F59" s="2"/>
      <c r="G59" s="2"/>
      <c r="H59" s="2"/>
      <c r="I59" s="2"/>
      <c r="J59" s="2"/>
      <c r="K59" s="2">
        <f t="shared" ref="K59:N59" si="99">K58*K57/100</f>
        <v>99.653095342080007</v>
      </c>
      <c r="L59" s="2">
        <f t="shared" si="99"/>
        <v>114.0828635476132</v>
      </c>
      <c r="M59" s="2">
        <f t="shared" si="99"/>
        <v>130.60206218930762</v>
      </c>
      <c r="N59" s="2">
        <f t="shared" si="99"/>
        <v>149.51324079431939</v>
      </c>
    </row>
    <row r="60" spans="1:15" ht="13.8" x14ac:dyDescent="0.25">
      <c r="A60" s="20" t="s">
        <v>58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x14ac:dyDescent="0.25">
      <c r="A61" s="17" t="s">
        <v>31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>
        <f t="shared" ref="L61:N61" si="100">AVERAGE(L$37,L$33)</f>
        <v>1793.7557161574402</v>
      </c>
      <c r="M61" s="2">
        <f t="shared" si="100"/>
        <v>1937.2561734500357</v>
      </c>
      <c r="N61" s="2">
        <f t="shared" si="100"/>
        <v>2092.2366673260385</v>
      </c>
    </row>
    <row r="62" spans="1:15" x14ac:dyDescent="0.25">
      <c r="A62" s="17" t="s">
        <v>38</v>
      </c>
      <c r="B62" s="6"/>
      <c r="C62" s="6"/>
      <c r="D62" s="2"/>
      <c r="E62" s="2"/>
      <c r="F62" s="22"/>
      <c r="G62" s="22"/>
      <c r="H62" s="22"/>
      <c r="I62" s="22"/>
      <c r="J62" s="22"/>
      <c r="K62" s="22"/>
      <c r="L62" s="22">
        <v>6</v>
      </c>
      <c r="M62" s="22">
        <f t="shared" ref="M62:N62" si="101">L62*(1+M$30)</f>
        <v>6.36</v>
      </c>
      <c r="N62" s="22">
        <f t="shared" si="101"/>
        <v>6.7416000000000009</v>
      </c>
    </row>
    <row r="63" spans="1:15" x14ac:dyDescent="0.25">
      <c r="A63" s="17" t="s">
        <v>39</v>
      </c>
      <c r="B63" s="6"/>
      <c r="C63" s="6"/>
      <c r="D63" s="2"/>
      <c r="E63" s="2"/>
      <c r="F63" s="2"/>
      <c r="G63" s="2"/>
      <c r="H63" s="2"/>
      <c r="I63" s="2"/>
      <c r="J63" s="2"/>
      <c r="K63" s="2"/>
      <c r="L63" s="2">
        <f t="shared" ref="L63:N63" si="102">L62*L61/100</f>
        <v>107.62534296944641</v>
      </c>
      <c r="M63" s="2">
        <f t="shared" si="102"/>
        <v>123.20949263142228</v>
      </c>
      <c r="N63" s="2">
        <f t="shared" si="102"/>
        <v>141.05022716445222</v>
      </c>
    </row>
    <row r="64" spans="1:15" ht="13.8" x14ac:dyDescent="0.25">
      <c r="A64" s="20" t="s">
        <v>59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7" t="s">
        <v>31</v>
      </c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  <c r="M65" s="2">
        <f t="shared" ref="M65:N65" si="103">AVERAGE(M$37,M$33)</f>
        <v>1937.2561734500357</v>
      </c>
      <c r="N65" s="2">
        <f t="shared" si="103"/>
        <v>2092.2366673260385</v>
      </c>
    </row>
    <row r="66" spans="1:14" x14ac:dyDescent="0.25">
      <c r="A66" s="17" t="s">
        <v>38</v>
      </c>
      <c r="B66" s="6"/>
      <c r="C66" s="6"/>
      <c r="D66" s="2"/>
      <c r="E66" s="2"/>
      <c r="F66" s="22"/>
      <c r="G66" s="22"/>
      <c r="H66" s="22"/>
      <c r="I66" s="22"/>
      <c r="J66" s="22"/>
      <c r="K66" s="22"/>
      <c r="L66" s="22"/>
      <c r="M66" s="22">
        <v>6</v>
      </c>
      <c r="N66" s="22">
        <f t="shared" ref="N66" si="104">M66*(1+N$30)</f>
        <v>6.36</v>
      </c>
    </row>
    <row r="67" spans="1:14" x14ac:dyDescent="0.25">
      <c r="A67" s="17" t="s">
        <v>39</v>
      </c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  <c r="M67" s="2">
        <f t="shared" ref="M67:N67" si="105">M66*M65/100</f>
        <v>116.23537040700214</v>
      </c>
      <c r="N67" s="2">
        <f t="shared" si="105"/>
        <v>133.06625204193605</v>
      </c>
    </row>
    <row r="68" spans="1:14" ht="13.8" x14ac:dyDescent="0.25">
      <c r="A68" s="20" t="s">
        <v>60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7" t="s">
        <v>31</v>
      </c>
      <c r="B69" s="6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f t="shared" ref="N69" si="106">AVERAGE(N$37,N$33)</f>
        <v>2092.2366673260385</v>
      </c>
    </row>
    <row r="70" spans="1:14" x14ac:dyDescent="0.25">
      <c r="A70" s="17" t="s">
        <v>38</v>
      </c>
      <c r="B70" s="6"/>
      <c r="C70" s="6"/>
      <c r="D70" s="2"/>
      <c r="E70" s="2"/>
      <c r="F70" s="22"/>
      <c r="G70" s="22"/>
      <c r="H70" s="22"/>
      <c r="I70" s="22"/>
      <c r="J70" s="22"/>
      <c r="K70" s="22"/>
      <c r="L70" s="22"/>
      <c r="M70" s="22"/>
      <c r="N70" s="22">
        <v>6</v>
      </c>
    </row>
    <row r="71" spans="1:14" x14ac:dyDescent="0.25">
      <c r="A71" s="17" t="s">
        <v>39</v>
      </c>
      <c r="B71" s="6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f t="shared" ref="N71" si="107">N70*N69/100</f>
        <v>125.53420003956231</v>
      </c>
    </row>
    <row r="72" spans="1:14" x14ac:dyDescent="0.25">
      <c r="A72" s="4"/>
    </row>
    <row r="73" spans="1:14" ht="13.8" x14ac:dyDescent="0.25">
      <c r="A73" s="20" t="s">
        <v>44</v>
      </c>
    </row>
    <row r="74" spans="1:14" x14ac:dyDescent="0.25">
      <c r="A74" s="21" t="s">
        <v>42</v>
      </c>
      <c r="B74" s="2">
        <v>725</v>
      </c>
      <c r="C74" s="2">
        <f>B74</f>
        <v>725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17" t="s">
        <v>40</v>
      </c>
      <c r="B75" s="2"/>
      <c r="C75" s="2"/>
      <c r="D75" s="2">
        <v>150</v>
      </c>
      <c r="E75" s="2">
        <v>330</v>
      </c>
      <c r="F75" s="2">
        <f>AVERAGE(D75:E75)</f>
        <v>240</v>
      </c>
      <c r="G75" s="2">
        <f>F75*1.1</f>
        <v>264</v>
      </c>
      <c r="H75" s="2">
        <f t="shared" ref="H75:I75" si="108">G75*1.1</f>
        <v>290.40000000000003</v>
      </c>
      <c r="I75" s="2">
        <f t="shared" si="108"/>
        <v>319.44000000000005</v>
      </c>
      <c r="J75" s="2">
        <f t="shared" ref="J75" si="109">I75*1.1</f>
        <v>351.38400000000007</v>
      </c>
      <c r="K75" s="2">
        <f t="shared" ref="K75" si="110">J75*1.1</f>
        <v>386.52240000000012</v>
      </c>
      <c r="L75" s="2">
        <f t="shared" ref="L75" si="111">K75*1.1</f>
        <v>425.17464000000018</v>
      </c>
      <c r="M75" s="2">
        <f t="shared" ref="M75" si="112">L75*1.1</f>
        <v>467.69210400000026</v>
      </c>
      <c r="N75" s="2">
        <f t="shared" ref="N75" si="113">M75*1.1</f>
        <v>514.46131440000033</v>
      </c>
    </row>
    <row r="76" spans="1:14" x14ac:dyDescent="0.25">
      <c r="A76" s="17" t="s">
        <v>41</v>
      </c>
      <c r="B76" s="2"/>
      <c r="C76" s="2">
        <f>10%*SUM(C74:C75)</f>
        <v>72.5</v>
      </c>
      <c r="D76" s="2">
        <f>5%*C77</f>
        <v>38.0625</v>
      </c>
      <c r="E76" s="2">
        <f t="shared" ref="E76:I76" si="114">5%*D77</f>
        <v>45.5625</v>
      </c>
      <c r="F76" s="2">
        <f t="shared" si="114"/>
        <v>62.0625</v>
      </c>
      <c r="G76" s="2">
        <f t="shared" si="114"/>
        <v>74.0625</v>
      </c>
      <c r="H76" s="2">
        <f t="shared" si="114"/>
        <v>87.262500000000003</v>
      </c>
      <c r="I76" s="2">
        <f t="shared" si="114"/>
        <v>101.78250000000001</v>
      </c>
      <c r="J76" s="2">
        <f t="shared" ref="J76" si="115">5%*I77</f>
        <v>117.75450000000001</v>
      </c>
      <c r="K76" s="2">
        <f t="shared" ref="K76" si="116">5%*J77</f>
        <v>135.3237</v>
      </c>
      <c r="L76" s="2">
        <f t="shared" ref="L76" si="117">5%*K77</f>
        <v>154.64982000000003</v>
      </c>
      <c r="M76" s="2">
        <f t="shared" ref="M76" si="118">5%*L77</f>
        <v>175.90855200000004</v>
      </c>
      <c r="N76" s="2">
        <f t="shared" ref="N76" si="119">5%*M77</f>
        <v>199.29315720000002</v>
      </c>
    </row>
    <row r="77" spans="1:14" x14ac:dyDescent="0.25">
      <c r="A77" s="17" t="s">
        <v>43</v>
      </c>
      <c r="B77" s="2">
        <f>SUM(B74:B76)</f>
        <v>725</v>
      </c>
      <c r="C77" s="2">
        <f t="shared" ref="C77:I77" si="120">95%*B77+C76+C75</f>
        <v>761.25</v>
      </c>
      <c r="D77" s="2">
        <f t="shared" si="120"/>
        <v>911.25</v>
      </c>
      <c r="E77" s="2">
        <f t="shared" si="120"/>
        <v>1241.25</v>
      </c>
      <c r="F77" s="2">
        <f t="shared" si="120"/>
        <v>1481.25</v>
      </c>
      <c r="G77" s="2">
        <f t="shared" si="120"/>
        <v>1745.25</v>
      </c>
      <c r="H77" s="2">
        <f t="shared" si="120"/>
        <v>2035.65</v>
      </c>
      <c r="I77" s="2">
        <f t="shared" si="120"/>
        <v>2355.09</v>
      </c>
      <c r="J77" s="2">
        <f t="shared" ref="J77" si="121">95%*I77+J76+J75</f>
        <v>2706.4740000000002</v>
      </c>
      <c r="K77" s="2">
        <f t="shared" ref="K77" si="122">95%*J77+K76+K75</f>
        <v>3092.9964000000004</v>
      </c>
      <c r="L77" s="2">
        <f t="shared" ref="L77" si="123">95%*K77+L76+L75</f>
        <v>3518.1710400000006</v>
      </c>
      <c r="M77" s="2">
        <f t="shared" ref="M77" si="124">95%*L77+M76+M75</f>
        <v>3985.8631440000004</v>
      </c>
      <c r="N77" s="2">
        <f t="shared" ref="N77" si="125">95%*M77+N76+N75</f>
        <v>4500.3244584000004</v>
      </c>
    </row>
    <row r="80" spans="1:14" ht="26.4" x14ac:dyDescent="0.25">
      <c r="A80" s="21" t="s">
        <v>53</v>
      </c>
      <c r="B80" s="21" t="s">
        <v>46</v>
      </c>
      <c r="C80" s="47" t="s">
        <v>45</v>
      </c>
      <c r="D80" s="10" t="s">
        <v>47</v>
      </c>
    </row>
    <row r="81" spans="1:4" x14ac:dyDescent="0.25">
      <c r="A81" s="6"/>
      <c r="B81" s="9">
        <f>30*N15</f>
        <v>37470.796296808767</v>
      </c>
      <c r="C81" s="9">
        <f>25*N18</f>
        <v>36851.069153673976</v>
      </c>
      <c r="D81" s="9">
        <f>20*N8+B82</f>
        <v>37885.611110188649</v>
      </c>
    </row>
    <row r="82" spans="1:4" x14ac:dyDescent="0.25">
      <c r="A82" s="10" t="s">
        <v>62</v>
      </c>
      <c r="B82" s="9">
        <f>SUM(D19:N19)+C18</f>
        <v>3505.227691748606</v>
      </c>
      <c r="C82" s="6"/>
      <c r="D82" s="6"/>
    </row>
    <row r="83" spans="1:4" x14ac:dyDescent="0.25">
      <c r="A83" s="24" t="s">
        <v>8</v>
      </c>
      <c r="B83" s="7">
        <v>0.18</v>
      </c>
      <c r="C83" s="6"/>
      <c r="D83" s="6"/>
    </row>
    <row r="84" spans="1:4" x14ac:dyDescent="0.25">
      <c r="A84" s="24" t="s">
        <v>48</v>
      </c>
      <c r="B84" s="2">
        <f>B81/(1+$B$83)^11.5</f>
        <v>5585.342868923286</v>
      </c>
      <c r="C84" s="2">
        <f>C81/(1+$B$83)^11.5</f>
        <v>5492.9672345180761</v>
      </c>
      <c r="D84" s="2">
        <f>D81/(1+$B$83)^11.5</f>
        <v>5647.1745669070406</v>
      </c>
    </row>
    <row r="85" spans="1:4" x14ac:dyDescent="0.25">
      <c r="A85" s="24" t="s">
        <v>63</v>
      </c>
      <c r="B85" s="8">
        <f>(B84-$B$21)/B84</f>
        <v>4.3381914881439179E-2</v>
      </c>
      <c r="C85" s="8">
        <f t="shared" ref="C85:D85" si="126">(C84-$B$21)/C84</f>
        <v>2.729439811253985E-2</v>
      </c>
      <c r="D85" s="8">
        <f t="shared" si="126"/>
        <v>5.3856059043985334E-2</v>
      </c>
    </row>
  </sheetData>
  <phoneticPr fontId="13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Wonderla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 Garg</dc:creator>
  <cp:lastModifiedBy>Saurab Garg</cp:lastModifiedBy>
  <dcterms:modified xsi:type="dcterms:W3CDTF">2024-01-10T08:16:32Z</dcterms:modified>
</cp:coreProperties>
</file>