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persons/person.xml" ContentType="application/vnd.ms-excel.person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 activeTab="1"/>
  </bookViews>
  <sheets>
    <sheet name="Financials" sheetId="1" r:id="rId1"/>
    <sheet name="Graphs" sheetId="2" r:id="rId2"/>
    <sheet name="Valuation - Conservative" sheetId="5" state="hidden" r:id="rId3"/>
    <sheet name="Historical Earnings Valuations" sheetId="7" state="hidden" r:id="rId4"/>
    <sheet name="Sustainable Growth Valuation" sheetId="8" state="hidden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1"/>
  <c r="C71"/>
  <c r="N69"/>
  <c r="F69"/>
  <c r="G69"/>
  <c r="H69"/>
  <c r="I69"/>
  <c r="J69"/>
  <c r="K69"/>
  <c r="L69"/>
  <c r="M69"/>
  <c r="E69"/>
  <c r="N68"/>
  <c r="N35" l="1"/>
  <c r="D35"/>
  <c r="E35"/>
  <c r="F35"/>
  <c r="G35"/>
  <c r="H35"/>
  <c r="I35"/>
  <c r="J35"/>
  <c r="K35"/>
  <c r="L35"/>
  <c r="M35"/>
  <c r="C35"/>
  <c r="O5"/>
  <c r="C124" i="2"/>
  <c r="D124"/>
  <c r="E124"/>
  <c r="F124"/>
  <c r="G124"/>
  <c r="H124"/>
  <c r="I124"/>
  <c r="J124"/>
  <c r="K124"/>
  <c r="L124"/>
  <c r="M124"/>
  <c r="B124"/>
  <c r="C123"/>
  <c r="D123"/>
  <c r="E123"/>
  <c r="F123"/>
  <c r="G123"/>
  <c r="H123"/>
  <c r="I123"/>
  <c r="J123"/>
  <c r="K123"/>
  <c r="L123"/>
  <c r="M123"/>
  <c r="B123"/>
  <c r="C87"/>
  <c r="D87"/>
  <c r="E87"/>
  <c r="F87"/>
  <c r="G87"/>
  <c r="H87"/>
  <c r="I87"/>
  <c r="J87"/>
  <c r="K87"/>
  <c r="L87"/>
  <c r="M87"/>
  <c r="B87"/>
  <c r="I116"/>
  <c r="J116"/>
  <c r="M3" l="1"/>
  <c r="M86" s="1"/>
  <c r="M45"/>
  <c r="C45"/>
  <c r="D45"/>
  <c r="E45"/>
  <c r="F45"/>
  <c r="G45"/>
  <c r="H45"/>
  <c r="I45"/>
  <c r="J45"/>
  <c r="K45"/>
  <c r="L45"/>
  <c r="B45"/>
  <c r="C3"/>
  <c r="C86" s="1"/>
  <c r="D3"/>
  <c r="D86" s="1"/>
  <c r="E3"/>
  <c r="E86" s="1"/>
  <c r="F3"/>
  <c r="F86" s="1"/>
  <c r="G3"/>
  <c r="G86" s="1"/>
  <c r="H3"/>
  <c r="H86" s="1"/>
  <c r="I3"/>
  <c r="I86" s="1"/>
  <c r="J3"/>
  <c r="J86" s="1"/>
  <c r="K3"/>
  <c r="K86" s="1"/>
  <c r="L3"/>
  <c r="L86" s="1"/>
  <c r="B3"/>
  <c r="B86" s="1"/>
  <c r="E29" i="1" l="1"/>
  <c r="F29"/>
  <c r="G29"/>
  <c r="H29"/>
  <c r="I29"/>
  <c r="I28" s="1"/>
  <c r="J29"/>
  <c r="K29"/>
  <c r="L29"/>
  <c r="L28" s="1"/>
  <c r="M29"/>
  <c r="E28"/>
  <c r="G28"/>
  <c r="H28"/>
  <c r="J28"/>
  <c r="K28"/>
  <c r="M28"/>
  <c r="F28"/>
  <c r="B60"/>
  <c r="M40"/>
  <c r="H65"/>
  <c r="I65"/>
  <c r="J65"/>
  <c r="K65"/>
  <c r="L65"/>
  <c r="M65"/>
  <c r="F65"/>
  <c r="G65"/>
  <c r="E65"/>
  <c r="M45" l="1"/>
  <c r="L45"/>
  <c r="K45"/>
  <c r="J45"/>
  <c r="I45"/>
  <c r="H45"/>
  <c r="G45"/>
  <c r="F45"/>
  <c r="E45"/>
  <c r="D45"/>
  <c r="C45"/>
  <c r="B45"/>
  <c r="N32"/>
  <c r="N31"/>
  <c r="C46" l="1"/>
  <c r="C51" s="1"/>
  <c r="D46"/>
  <c r="D51" s="1"/>
  <c r="E46"/>
  <c r="E51" s="1"/>
  <c r="F46"/>
  <c r="F51" s="1"/>
  <c r="G46"/>
  <c r="G51" s="1"/>
  <c r="H46"/>
  <c r="H51" s="1"/>
  <c r="I46"/>
  <c r="I47" s="1"/>
  <c r="I51"/>
  <c r="J46"/>
  <c r="J51" s="1"/>
  <c r="K46"/>
  <c r="K47" s="1"/>
  <c r="L46"/>
  <c r="L51" s="1"/>
  <c r="M46"/>
  <c r="M51" s="1"/>
  <c r="B46"/>
  <c r="B51" s="1"/>
  <c r="C19" i="8"/>
  <c r="C22" s="1"/>
  <c r="C2"/>
  <c r="B15" i="7"/>
  <c r="M41" i="1"/>
  <c r="L8" i="7" s="1"/>
  <c r="C15"/>
  <c r="D2" i="8" s="1"/>
  <c r="M7" i="7"/>
  <c r="C41" i="1"/>
  <c r="B8" i="7" s="1"/>
  <c r="D41" i="1"/>
  <c r="C8" i="7"/>
  <c r="E41" i="1"/>
  <c r="D8" i="7" s="1"/>
  <c r="F41" i="1"/>
  <c r="E8" i="7" s="1"/>
  <c r="G41" i="1"/>
  <c r="F8" i="7" s="1"/>
  <c r="H41" i="1"/>
  <c r="G8" i="7" s="1"/>
  <c r="I41" i="1"/>
  <c r="H8" i="7" s="1"/>
  <c r="J41" i="1"/>
  <c r="I8" i="7" s="1"/>
  <c r="K41" i="1"/>
  <c r="J8" i="7" s="1"/>
  <c r="L41" i="1"/>
  <c r="K8" i="7" s="1"/>
  <c r="M9"/>
  <c r="C17" i="8"/>
  <c r="M4" i="7"/>
  <c r="B16"/>
  <c r="M2"/>
  <c r="G16"/>
  <c r="B17"/>
  <c r="G17"/>
  <c r="M3"/>
  <c r="F16"/>
  <c r="F17"/>
  <c r="F15"/>
  <c r="G15"/>
  <c r="B6"/>
  <c r="M6"/>
  <c r="B5"/>
  <c r="M5"/>
  <c r="C6"/>
  <c r="D6"/>
  <c r="E6"/>
  <c r="F6"/>
  <c r="G6"/>
  <c r="H6"/>
  <c r="I6"/>
  <c r="J6"/>
  <c r="K6"/>
  <c r="L6"/>
  <c r="C5"/>
  <c r="D5"/>
  <c r="E5"/>
  <c r="F5"/>
  <c r="G5"/>
  <c r="H5"/>
  <c r="I5"/>
  <c r="J5"/>
  <c r="K5"/>
  <c r="L5"/>
  <c r="C32"/>
  <c r="C17"/>
  <c r="D42" i="1"/>
  <c r="E42"/>
  <c r="F42"/>
  <c r="G42"/>
  <c r="H42"/>
  <c r="I42"/>
  <c r="J42"/>
  <c r="K42"/>
  <c r="L42"/>
  <c r="M42"/>
  <c r="M53"/>
  <c r="M56" s="1"/>
  <c r="N55"/>
  <c r="N54"/>
  <c r="B53"/>
  <c r="B56" s="1"/>
  <c r="C53"/>
  <c r="D53"/>
  <c r="E53"/>
  <c r="E56" s="1"/>
  <c r="F53"/>
  <c r="F56" s="1"/>
  <c r="G53"/>
  <c r="H53"/>
  <c r="I53"/>
  <c r="I56" s="1"/>
  <c r="J53"/>
  <c r="J56" s="1"/>
  <c r="K53"/>
  <c r="K56" s="1"/>
  <c r="L53"/>
  <c r="L56" s="1"/>
  <c r="N17"/>
  <c r="C13"/>
  <c r="D13"/>
  <c r="E13"/>
  <c r="F13"/>
  <c r="G13"/>
  <c r="H13"/>
  <c r="I13"/>
  <c r="J13"/>
  <c r="K13"/>
  <c r="L13"/>
  <c r="M13"/>
  <c r="B13"/>
  <c r="D47" i="5"/>
  <c r="C31"/>
  <c r="D31" s="1"/>
  <c r="L18" i="1"/>
  <c r="L19" s="1"/>
  <c r="C58" i="5"/>
  <c r="D58" s="1"/>
  <c r="E58" s="1"/>
  <c r="E22"/>
  <c r="E66"/>
  <c r="E83"/>
  <c r="E20"/>
  <c r="E64" s="1"/>
  <c r="E81" s="1"/>
  <c r="B18" i="1"/>
  <c r="B19" s="1"/>
  <c r="C18"/>
  <c r="C19" s="1"/>
  <c r="D18"/>
  <c r="D19" s="1"/>
  <c r="D20" s="1"/>
  <c r="E18"/>
  <c r="E19" s="1"/>
  <c r="F18"/>
  <c r="F19" s="1"/>
  <c r="G18"/>
  <c r="G19" s="1"/>
  <c r="H18"/>
  <c r="H19" s="1"/>
  <c r="H20" s="1"/>
  <c r="I18"/>
  <c r="I19" s="1"/>
  <c r="J18"/>
  <c r="J19"/>
  <c r="K18"/>
  <c r="K19" s="1"/>
  <c r="D6"/>
  <c r="E6"/>
  <c r="F6"/>
  <c r="G6"/>
  <c r="H6"/>
  <c r="I6"/>
  <c r="J6"/>
  <c r="K6"/>
  <c r="L6"/>
  <c r="M6"/>
  <c r="C6"/>
  <c r="D120" i="2"/>
  <c r="D119"/>
  <c r="D118"/>
  <c r="D117"/>
  <c r="N5" i="1"/>
  <c r="C25"/>
  <c r="C16"/>
  <c r="D25"/>
  <c r="D16"/>
  <c r="E25"/>
  <c r="E16"/>
  <c r="F25"/>
  <c r="F16"/>
  <c r="G25"/>
  <c r="G16"/>
  <c r="H25"/>
  <c r="H16"/>
  <c r="I25"/>
  <c r="I16"/>
  <c r="J25"/>
  <c r="J16"/>
  <c r="K25"/>
  <c r="K16"/>
  <c r="L25"/>
  <c r="L16"/>
  <c r="B25"/>
  <c r="B16"/>
  <c r="B41"/>
  <c r="M49"/>
  <c r="M50" s="1"/>
  <c r="C49"/>
  <c r="C50" s="1"/>
  <c r="D49"/>
  <c r="E49"/>
  <c r="E50" s="1"/>
  <c r="F49"/>
  <c r="F50" s="1"/>
  <c r="G49"/>
  <c r="G50" s="1"/>
  <c r="H49"/>
  <c r="H50" s="1"/>
  <c r="I49"/>
  <c r="I50" s="1"/>
  <c r="J49"/>
  <c r="J50" s="1"/>
  <c r="K49"/>
  <c r="K50" s="1"/>
  <c r="L49"/>
  <c r="L50" s="1"/>
  <c r="B49"/>
  <c r="B50" s="1"/>
  <c r="M47"/>
  <c r="M25"/>
  <c r="M18"/>
  <c r="M19" s="1"/>
  <c r="M16"/>
  <c r="N15"/>
  <c r="N11"/>
  <c r="N10"/>
  <c r="N9"/>
  <c r="M8"/>
  <c r="C56"/>
  <c r="D56"/>
  <c r="G56"/>
  <c r="H56"/>
  <c r="C47"/>
  <c r="D47"/>
  <c r="G47"/>
  <c r="C42"/>
  <c r="B42"/>
  <c r="C8"/>
  <c r="D8"/>
  <c r="E8"/>
  <c r="F8"/>
  <c r="G8"/>
  <c r="H8"/>
  <c r="I8"/>
  <c r="J8"/>
  <c r="K8"/>
  <c r="L8"/>
  <c r="B8"/>
  <c r="E20" l="1"/>
  <c r="B59"/>
  <c r="J20"/>
  <c r="H47"/>
  <c r="J47"/>
  <c r="B20"/>
  <c r="L47"/>
  <c r="K51"/>
  <c r="F47"/>
  <c r="B47"/>
  <c r="G20"/>
  <c r="N49"/>
  <c r="E23"/>
  <c r="E47"/>
  <c r="N42"/>
  <c r="L23"/>
  <c r="J23"/>
  <c r="F23"/>
  <c r="N18"/>
  <c r="N19" s="1"/>
  <c r="I23"/>
  <c r="G23"/>
  <c r="D23"/>
  <c r="D50"/>
  <c r="M20"/>
  <c r="B23"/>
  <c r="K23"/>
  <c r="H23"/>
  <c r="C23"/>
  <c r="I20"/>
  <c r="F20"/>
  <c r="M23"/>
  <c r="D60" i="5"/>
  <c r="E31"/>
  <c r="D33"/>
  <c r="M8" i="7"/>
  <c r="L20" i="1"/>
  <c r="C75" i="5"/>
  <c r="D75" s="1"/>
  <c r="K20" i="1"/>
  <c r="C20"/>
  <c r="F58" i="5"/>
  <c r="E60"/>
  <c r="N53" i="1"/>
  <c r="N56" s="1"/>
  <c r="C14" i="5"/>
  <c r="D14" s="1"/>
  <c r="B61" i="1"/>
  <c r="E2" i="8"/>
  <c r="B3" s="1"/>
  <c r="G58" i="5" l="1"/>
  <c r="F60"/>
  <c r="N20" i="1"/>
  <c r="F31" i="5"/>
  <c r="E33"/>
  <c r="C3" i="8"/>
  <c r="D77" i="5"/>
  <c r="E75"/>
  <c r="C16" i="7"/>
  <c r="C26" s="1"/>
  <c r="B18"/>
  <c r="E14" i="5"/>
  <c r="D16"/>
  <c r="F18" i="7" l="1"/>
  <c r="G18"/>
  <c r="C18"/>
  <c r="B19"/>
  <c r="H58" i="5"/>
  <c r="G60"/>
  <c r="F14"/>
  <c r="E16"/>
  <c r="F75"/>
  <c r="E77"/>
  <c r="G31"/>
  <c r="F33"/>
  <c r="D3" i="8"/>
  <c r="D13" s="1"/>
  <c r="E3" l="1"/>
  <c r="B4" s="1"/>
  <c r="C4" s="1"/>
  <c r="G19" i="7"/>
  <c r="B20"/>
  <c r="F19"/>
  <c r="C19"/>
  <c r="H31" i="5"/>
  <c r="G33"/>
  <c r="G14"/>
  <c r="F16"/>
  <c r="G75"/>
  <c r="F77"/>
  <c r="J58"/>
  <c r="H60"/>
  <c r="H75" l="1"/>
  <c r="G77"/>
  <c r="K58"/>
  <c r="J60"/>
  <c r="D4" i="8"/>
  <c r="E4" s="1"/>
  <c r="B5" s="1"/>
  <c r="C20" i="7"/>
  <c r="G20"/>
  <c r="F20"/>
  <c r="B21"/>
  <c r="H14" i="5"/>
  <c r="G16"/>
  <c r="H33"/>
  <c r="J31"/>
  <c r="J14" l="1"/>
  <c r="H16"/>
  <c r="G21" i="7"/>
  <c r="B22"/>
  <c r="C21"/>
  <c r="F21"/>
  <c r="C5" i="8"/>
  <c r="L58" i="5"/>
  <c r="K60"/>
  <c r="J33"/>
  <c r="K31"/>
  <c r="J75"/>
  <c r="H77"/>
  <c r="D5" i="8" l="1"/>
  <c r="E5" s="1"/>
  <c r="B6" s="1"/>
  <c r="L31" i="5"/>
  <c r="K33"/>
  <c r="F22" i="7"/>
  <c r="G22"/>
  <c r="C22"/>
  <c r="B23"/>
  <c r="K75" i="5"/>
  <c r="J77"/>
  <c r="M58"/>
  <c r="L60"/>
  <c r="K14"/>
  <c r="J16"/>
  <c r="C6" i="8" l="1"/>
  <c r="G23" i="7"/>
  <c r="B24"/>
  <c r="F23"/>
  <c r="C23"/>
  <c r="N58" i="5"/>
  <c r="M60"/>
  <c r="L14"/>
  <c r="K16"/>
  <c r="L75"/>
  <c r="K77"/>
  <c r="M31"/>
  <c r="L33"/>
  <c r="C24" i="7" l="1"/>
  <c r="G24"/>
  <c r="F24"/>
  <c r="B25"/>
  <c r="D6" i="8"/>
  <c r="E6" s="1"/>
  <c r="B7" s="1"/>
  <c r="M14" i="5"/>
  <c r="L16"/>
  <c r="N31"/>
  <c r="M33"/>
  <c r="M75"/>
  <c r="L77"/>
  <c r="O58"/>
  <c r="N59" s="1"/>
  <c r="N60" s="1"/>
  <c r="E63" s="1"/>
  <c r="E65" s="1"/>
  <c r="E67" s="1"/>
  <c r="C7" i="8" l="1"/>
  <c r="O31" i="5"/>
  <c r="N32" s="1"/>
  <c r="N33" s="1"/>
  <c r="E36" s="1"/>
  <c r="G25" i="7"/>
  <c r="C25"/>
  <c r="F25"/>
  <c r="C29"/>
  <c r="C31" s="1"/>
  <c r="N75" i="5"/>
  <c r="M77"/>
  <c r="N14"/>
  <c r="M16"/>
  <c r="D7" i="8" l="1"/>
  <c r="E7" s="1"/>
  <c r="B8" s="1"/>
  <c r="O14" i="5"/>
  <c r="N15" s="1"/>
  <c r="N16" s="1"/>
  <c r="E19" s="1"/>
  <c r="E21" s="1"/>
  <c r="E23" s="1"/>
  <c r="O75"/>
  <c r="N76" s="1"/>
  <c r="N77" s="1"/>
  <c r="E80" s="1"/>
  <c r="E82" s="1"/>
  <c r="E84" s="1"/>
  <c r="C8" i="8" l="1"/>
  <c r="D8" l="1"/>
  <c r="E8" s="1"/>
  <c r="B9" s="1"/>
  <c r="C9" l="1"/>
  <c r="D9" l="1"/>
  <c r="E9" s="1"/>
  <c r="B10" s="1"/>
  <c r="C10" l="1"/>
  <c r="D10" l="1"/>
  <c r="E10" s="1"/>
  <c r="B11" s="1"/>
  <c r="C11" l="1"/>
  <c r="D11" l="1"/>
  <c r="E11" s="1"/>
  <c r="B12" s="1"/>
  <c r="C12" s="1"/>
  <c r="D12" l="1"/>
  <c r="E12" s="1"/>
  <c r="C16"/>
  <c r="C18" s="1"/>
  <c r="C20" s="1"/>
</calcChain>
</file>

<file path=xl/sharedStrings.xml><?xml version="1.0" encoding="utf-8"?>
<sst xmlns="http://schemas.openxmlformats.org/spreadsheetml/2006/main" count="224" uniqueCount="140">
  <si>
    <t>HIL Limited</t>
  </si>
  <si>
    <t>Sales</t>
  </si>
  <si>
    <t>Operating Profit</t>
  </si>
  <si>
    <t>Other Income</t>
  </si>
  <si>
    <t>Interest</t>
  </si>
  <si>
    <t>Depreciation</t>
  </si>
  <si>
    <t>Tax %</t>
  </si>
  <si>
    <t>Operating profit Margin(OPM%)</t>
  </si>
  <si>
    <t>Cash from Operaing Activity (CFO)</t>
  </si>
  <si>
    <t>Capex(NFA+WIP Change+Dep)</t>
  </si>
  <si>
    <t>FCF</t>
  </si>
  <si>
    <t>Net Profit After Tax (PAT)</t>
  </si>
  <si>
    <t>Profit Before Tax (PBT)</t>
  </si>
  <si>
    <t>Net Fixed Asset Turnover (High is better)</t>
  </si>
  <si>
    <t>Receivable Days (Low is better)</t>
  </si>
  <si>
    <t>Inventory Turnover (High is better)</t>
  </si>
  <si>
    <t>Net Fixed Assets (NFA)</t>
  </si>
  <si>
    <t>Capital Work in Progress (CWIP)</t>
  </si>
  <si>
    <t>Share Capital</t>
  </si>
  <si>
    <t>Dividend Paid (Div.) Without DDT</t>
  </si>
  <si>
    <t>Dividend Payout (=Div/PAT)</t>
  </si>
  <si>
    <t>Retained earnings (=PAT-Div)</t>
  </si>
  <si>
    <t>Cash + Investment (=CI + NCI)</t>
  </si>
  <si>
    <t>Total Debt (D)</t>
  </si>
  <si>
    <t>Total Equity (E )</t>
  </si>
  <si>
    <t>Cost of Funds</t>
  </si>
  <si>
    <t>Interest Outgo (Rs. Cr.)</t>
  </si>
  <si>
    <t>Cash from Operating Activity (CFO)</t>
  </si>
  <si>
    <t>Cash from Investing Activity (CFI)</t>
  </si>
  <si>
    <t>Cash from Financing Activity (CFF)</t>
  </si>
  <si>
    <t>Cash &amp; Eq. at the end of year</t>
  </si>
  <si>
    <t>Value created per INR of RE (=B/A)</t>
  </si>
  <si>
    <t>Debt to Equity Ratio (=D/E)</t>
  </si>
  <si>
    <t>Interest Coverage (=OP/Int. Out)</t>
  </si>
  <si>
    <t>Net Cash Flow (=CFO+CFI+CFF)</t>
  </si>
  <si>
    <r>
      <t>(</t>
    </r>
    <r>
      <rPr>
        <b/>
        <sz val="11"/>
        <color theme="1"/>
        <rFont val="Calibri"/>
        <family val="2"/>
      </rPr>
      <t>₹ Cr./10 Millions)</t>
    </r>
  </si>
  <si>
    <t>Total 12 Yrs.
(2008-19)</t>
  </si>
  <si>
    <t>Standalone</t>
  </si>
  <si>
    <t>Reserves</t>
  </si>
  <si>
    <t>Year</t>
  </si>
  <si>
    <t>Operating Profit Margin(OPM%)</t>
  </si>
  <si>
    <t>Quarter</t>
  </si>
  <si>
    <t>Raw Material Cost (% of Sales)</t>
  </si>
  <si>
    <t>Manufacturing Cost (% of Sales)</t>
  </si>
  <si>
    <t>Other Cost (% of Sales)</t>
  </si>
  <si>
    <t>Change</t>
  </si>
  <si>
    <t>Sales Growth %</t>
  </si>
  <si>
    <t>ASSUMPTIONS</t>
  </si>
  <si>
    <t>4. Discount Rate of 11.531% (1 yr. Indian Treasury Bond Rate of 6.531% + 5 % Equity Risk Premium)</t>
  </si>
  <si>
    <t>A. FREE CASH FLOW VALUATION</t>
  </si>
  <si>
    <t>Mar 17</t>
  </si>
  <si>
    <t>Mar 18</t>
  </si>
  <si>
    <t>Mar 19</t>
  </si>
  <si>
    <t>Mar 20</t>
  </si>
  <si>
    <t>Mar 21</t>
  </si>
  <si>
    <t>Mar 22</t>
  </si>
  <si>
    <t>Mar 23</t>
  </si>
  <si>
    <t>Mar 24</t>
  </si>
  <si>
    <t>Mar 25</t>
  </si>
  <si>
    <t>Mar 26</t>
  </si>
  <si>
    <t>Mar 27</t>
  </si>
  <si>
    <t>Mar 28</t>
  </si>
  <si>
    <t>Terminal Value</t>
  </si>
  <si>
    <t>Present Value</t>
  </si>
  <si>
    <t>Sum of Present Values of FCF</t>
  </si>
  <si>
    <t>Minus Debt</t>
  </si>
  <si>
    <t>Equity Value</t>
  </si>
  <si>
    <t>No. of Outstanding Shares</t>
  </si>
  <si>
    <t>Equity Value per share</t>
  </si>
  <si>
    <t>B. DIVIDEND DISCOUNT MODEL</t>
  </si>
  <si>
    <t>Dividend</t>
  </si>
  <si>
    <t>C. RESIDUAL INCOME MODEL</t>
  </si>
  <si>
    <t>Price</t>
  </si>
  <si>
    <t>=</t>
  </si>
  <si>
    <r>
      <t>BV</t>
    </r>
    <r>
      <rPr>
        <vertAlign val="subscript"/>
        <sz val="11"/>
        <color theme="1"/>
        <rFont val="Calibri"/>
        <family val="2"/>
        <scheme val="minor"/>
      </rPr>
      <t>0</t>
    </r>
  </si>
  <si>
    <t>+</t>
  </si>
  <si>
    <r>
      <t>[(ROCE - r)*BV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]/(r-g)*(1+r)</t>
    </r>
  </si>
  <si>
    <t xml:space="preserve">Equity Price </t>
  </si>
  <si>
    <t>PAT</t>
  </si>
  <si>
    <t>OCF</t>
  </si>
  <si>
    <t>Free Cash Flow(FCF)</t>
  </si>
  <si>
    <t>Mar 29</t>
  </si>
  <si>
    <r>
      <t xml:space="preserve">Narration </t>
    </r>
    <r>
      <rPr>
        <b/>
        <sz val="9"/>
        <color theme="0"/>
        <rFont val="Calibri"/>
        <family val="2"/>
        <scheme val="minor"/>
      </rPr>
      <t>(All figs. In INR Cr.)</t>
    </r>
  </si>
  <si>
    <t>D. PAT VALUATION</t>
  </si>
  <si>
    <t>E. OPERATING CASH FLOW VALUATION</t>
  </si>
  <si>
    <t>8% Growth Rate</t>
  </si>
  <si>
    <t>1. Growth rate of 8% for the next 5 years</t>
  </si>
  <si>
    <t>2. Growth Rate of 5% from 5 - 10 years</t>
  </si>
  <si>
    <t>3. Growth Rate of 3% beyond 10 years till perpetuity</t>
  </si>
  <si>
    <t>5% Growth Rate</t>
  </si>
  <si>
    <t>3% Growth</t>
  </si>
  <si>
    <t>865.79 + [(0.1892-0.1153)*865.79]/[(0.1153-0.03)*1.1153]</t>
  </si>
  <si>
    <t>Net Profit Margin (NPM%)</t>
  </si>
  <si>
    <t>PBT Margin (PBT%)</t>
  </si>
  <si>
    <t>EPS</t>
  </si>
  <si>
    <t>10 yr. CAGR</t>
  </si>
  <si>
    <t>ROE</t>
  </si>
  <si>
    <t>Dividend Payout Ratio</t>
  </si>
  <si>
    <t>Year Ending</t>
  </si>
  <si>
    <t>DPS</t>
  </si>
  <si>
    <t>TOTAL</t>
  </si>
  <si>
    <t>EPS &amp; DPS for next 10 years</t>
  </si>
  <si>
    <t>P/E</t>
  </si>
  <si>
    <t>Discount Rate</t>
  </si>
  <si>
    <t>Projected Share Price in 10 yrs.</t>
  </si>
  <si>
    <t>Share Price Calculations</t>
  </si>
  <si>
    <t>Current Share Price</t>
  </si>
  <si>
    <t>CAGR of Investment</t>
  </si>
  <si>
    <t>Target Share Price for 20% CAGR</t>
  </si>
  <si>
    <t>Max. PE</t>
  </si>
  <si>
    <t>Min. PE</t>
  </si>
  <si>
    <t>Min. Share Price</t>
  </si>
  <si>
    <t>Max. Share Price</t>
  </si>
  <si>
    <t>min. Price</t>
  </si>
  <si>
    <t>max. Price</t>
  </si>
  <si>
    <t>Min. &amp; Max. Price</t>
  </si>
  <si>
    <t>BVPS</t>
  </si>
  <si>
    <t>Retained Earnings</t>
  </si>
  <si>
    <t>Self Sustainable Growth Rate (SSGR)</t>
  </si>
  <si>
    <t>EPS in 10 yrs.</t>
  </si>
  <si>
    <t>Average PE</t>
  </si>
  <si>
    <t>Share Price in 10 yrs.</t>
  </si>
  <si>
    <t>Target Share Price
(for 20% CAGR)</t>
  </si>
  <si>
    <t>ROIC</t>
  </si>
  <si>
    <t>FCF/CFO</t>
  </si>
  <si>
    <t>Trade Receivables</t>
  </si>
  <si>
    <t>Inventory</t>
  </si>
  <si>
    <t>Change in last 12 yrs.</t>
  </si>
  <si>
    <t>Costs as % of Sales</t>
  </si>
  <si>
    <t>Raw Material</t>
  </si>
  <si>
    <t>Power &amp; Fuel</t>
  </si>
  <si>
    <t>Total Retained Earnings(RE) in last 6 years</t>
  </si>
  <si>
    <t>Total Increase in Market Cap. In 6 years (B)</t>
  </si>
  <si>
    <t>Working Capital Cycle (Rec + Inv. Days)</t>
  </si>
  <si>
    <t>Working Capital</t>
  </si>
  <si>
    <t>Net Profit Margin(NPM%)</t>
  </si>
  <si>
    <t>Capex</t>
  </si>
  <si>
    <t>Growth %</t>
  </si>
  <si>
    <t>Export Revenue</t>
  </si>
  <si>
    <t>Import Revenue</t>
  </si>
</sst>
</file>

<file path=xl/styles.xml><?xml version="1.0" encoding="utf-8"?>
<styleSheet xmlns="http://schemas.openxmlformats.org/spreadsheetml/2006/main">
  <numFmts count="3">
    <numFmt numFmtId="164" formatCode="[$-409]mmm\-yy;@"/>
    <numFmt numFmtId="165" formatCode="0.00_);[Red]\(0.00\)"/>
    <numFmt numFmtId="166" formatCode="0.0000%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773A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2" fillId="0" borderId="1" xfId="0" applyFont="1" applyFill="1" applyBorder="1"/>
    <xf numFmtId="9" fontId="2" fillId="0" borderId="1" xfId="0" applyNumberFormat="1" applyFont="1" applyBorder="1"/>
    <xf numFmtId="9" fontId="0" fillId="0" borderId="1" xfId="0" applyNumberForma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2" fillId="0" borderId="2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9" fontId="0" fillId="4" borderId="1" xfId="0" applyNumberFormat="1" applyFill="1" applyBorder="1"/>
    <xf numFmtId="10" fontId="2" fillId="0" borderId="1" xfId="0" applyNumberFormat="1" applyFont="1" applyBorder="1"/>
    <xf numFmtId="10" fontId="0" fillId="0" borderId="1" xfId="0" applyNumberFormat="1" applyBorder="1"/>
    <xf numFmtId="2" fontId="0" fillId="0" borderId="0" xfId="0" applyNumberFormat="1"/>
    <xf numFmtId="9" fontId="0" fillId="0" borderId="1" xfId="0" applyNumberFormat="1" applyFont="1" applyBorder="1"/>
    <xf numFmtId="0" fontId="4" fillId="0" borderId="0" xfId="0" applyFont="1"/>
    <xf numFmtId="0" fontId="0" fillId="6" borderId="1" xfId="0" applyFill="1" applyBorder="1"/>
    <xf numFmtId="0" fontId="0" fillId="5" borderId="3" xfId="0" applyFill="1" applyBorder="1" applyAlignment="1">
      <alignment horizontal="center" vertical="center"/>
    </xf>
    <xf numFmtId="0" fontId="0" fillId="0" borderId="4" xfId="0" applyBorder="1"/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wrapText="1"/>
    </xf>
    <xf numFmtId="2" fontId="0" fillId="0" borderId="1" xfId="0" applyNumberFormat="1" applyBorder="1" applyAlignment="1">
      <alignment vertical="center"/>
    </xf>
    <xf numFmtId="10" fontId="0" fillId="0" borderId="0" xfId="0" applyNumberFormat="1"/>
    <xf numFmtId="0" fontId="0" fillId="4" borderId="0" xfId="0" applyFill="1"/>
    <xf numFmtId="17" fontId="0" fillId="0" borderId="0" xfId="0" applyNumberFormat="1"/>
    <xf numFmtId="0" fontId="2" fillId="7" borderId="1" xfId="0" applyFont="1" applyFill="1" applyBorder="1" applyAlignment="1">
      <alignment horizontal="center"/>
    </xf>
    <xf numFmtId="17" fontId="0" fillId="0" borderId="1" xfId="0" applyNumberFormat="1" applyBorder="1"/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8" borderId="1" xfId="0" applyFill="1" applyBorder="1"/>
    <xf numFmtId="10" fontId="0" fillId="8" borderId="1" xfId="0" applyNumberFormat="1" applyFill="1" applyBorder="1"/>
    <xf numFmtId="0" fontId="0" fillId="4" borderId="1" xfId="0" applyFill="1" applyBorder="1"/>
    <xf numFmtId="0" fontId="2" fillId="7" borderId="2" xfId="0" applyFont="1" applyFill="1" applyBorder="1" applyAlignment="1">
      <alignment horizontal="center"/>
    </xf>
    <xf numFmtId="0" fontId="0" fillId="4" borderId="1" xfId="0" applyFont="1" applyFill="1" applyBorder="1"/>
    <xf numFmtId="164" fontId="0" fillId="0" borderId="0" xfId="0" applyNumberFormat="1"/>
    <xf numFmtId="164" fontId="0" fillId="0" borderId="1" xfId="0" applyNumberFormat="1" applyBorder="1"/>
    <xf numFmtId="17" fontId="2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10" borderId="0" xfId="0" applyFont="1" applyFill="1"/>
    <xf numFmtId="10" fontId="2" fillId="0" borderId="1" xfId="1" applyNumberFormat="1" applyFont="1" applyBorder="1"/>
    <xf numFmtId="0" fontId="2" fillId="0" borderId="0" xfId="0" applyFont="1" applyFill="1" applyBorder="1"/>
    <xf numFmtId="10" fontId="2" fillId="0" borderId="0" xfId="1" applyNumberFormat="1" applyFont="1" applyBorder="1"/>
    <xf numFmtId="0" fontId="0" fillId="0" borderId="0" xfId="0" applyFill="1" applyBorder="1"/>
    <xf numFmtId="3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165" fontId="2" fillId="0" borderId="1" xfId="0" applyNumberFormat="1" applyFont="1" applyBorder="1"/>
    <xf numFmtId="10" fontId="0" fillId="4" borderId="1" xfId="0" applyNumberFormat="1" applyFill="1" applyBorder="1"/>
    <xf numFmtId="9" fontId="0" fillId="4" borderId="1" xfId="1" applyFont="1" applyFill="1" applyBorder="1"/>
    <xf numFmtId="166" fontId="0" fillId="0" borderId="0" xfId="1" applyNumberFormat="1" applyFont="1"/>
    <xf numFmtId="3" fontId="0" fillId="0" borderId="0" xfId="0" applyNumberFormat="1"/>
    <xf numFmtId="0" fontId="0" fillId="0" borderId="0" xfId="0" applyFill="1"/>
    <xf numFmtId="4" fontId="0" fillId="0" borderId="0" xfId="0" applyNumberFormat="1"/>
    <xf numFmtId="10" fontId="0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  <color rgb="FFC773A3"/>
      <color rgb="FF9A3E73"/>
      <color rgb="FF974168"/>
      <color rgb="FFFFFFFF"/>
      <color rgb="FF805872"/>
      <color rgb="FFD19707"/>
      <color rgb="FFFF5050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Operating Profit Margin(OPM%)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Graphs!$A$3</c:f>
              <c:strCache>
                <c:ptCount val="1"/>
                <c:pt idx="0">
                  <c:v>Operating Profit Margin(OPM%)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Graphs!$B$2:$M$2</c:f>
              <c:numCache>
                <c:formatCode>[$-409]mmm\-yy;@</c:formatCode>
                <c:ptCount val="12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  <c:pt idx="11">
                  <c:v>43526</c:v>
                </c:pt>
              </c:numCache>
            </c:numRef>
          </c:cat>
          <c:val>
            <c:numRef>
              <c:f>Graphs!$B$3:$M$3</c:f>
              <c:numCache>
                <c:formatCode>0%</c:formatCode>
                <c:ptCount val="12"/>
                <c:pt idx="0">
                  <c:v>0.1856763925729443</c:v>
                </c:pt>
                <c:pt idx="1">
                  <c:v>2.6438569206842923E-2</c:v>
                </c:pt>
                <c:pt idx="2">
                  <c:v>0.11740041928721175</c:v>
                </c:pt>
                <c:pt idx="3">
                  <c:v>0.17520661157024794</c:v>
                </c:pt>
                <c:pt idx="4">
                  <c:v>9.8068350668647844E-2</c:v>
                </c:pt>
                <c:pt idx="5">
                  <c:v>9.0717299578059074E-2</c:v>
                </c:pt>
                <c:pt idx="6">
                  <c:v>5.5381400208986416E-2</c:v>
                </c:pt>
                <c:pt idx="7">
                  <c:v>0.10335448776065277</c:v>
                </c:pt>
                <c:pt idx="8">
                  <c:v>0.11518324607329843</c:v>
                </c:pt>
                <c:pt idx="9">
                  <c:v>0.20418848167539266</c:v>
                </c:pt>
                <c:pt idx="10">
                  <c:v>0.20608649225840897</c:v>
                </c:pt>
                <c:pt idx="11">
                  <c:v>0.16422435573521982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D-481A-A433-A393213A363C}"/>
            </c:ext>
          </c:extLst>
        </c:ser>
        <c:dLbls/>
        <c:marker val="1"/>
        <c:axId val="69542656"/>
        <c:axId val="69544192"/>
      </c:lineChart>
      <c:dateAx>
        <c:axId val="69542656"/>
        <c:scaling>
          <c:orientation val="minMax"/>
        </c:scaling>
        <c:axPos val="b"/>
        <c:numFmt formatCode="[$-409]mmm\-yy;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4192"/>
        <c:crosses val="autoZero"/>
        <c:auto val="1"/>
        <c:lblOffset val="100"/>
        <c:baseTimeUnit val="years"/>
      </c:dateAx>
      <c:valAx>
        <c:axId val="69544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Operating profit Margin(OPM%)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Graphs!$A$26</c:f>
              <c:strCache>
                <c:ptCount val="1"/>
                <c:pt idx="0">
                  <c:v>Operating profit Margin(OPM%)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Graphs!$B$25:$K$25</c:f>
              <c:numCache>
                <c:formatCode>[$-409]mmm\-yy;@</c:formatCode>
                <c:ptCount val="10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</c:numCache>
            </c:numRef>
          </c:cat>
          <c:val>
            <c:numRef>
              <c:f>Graphs!$B$26:$K$26</c:f>
              <c:numCache>
                <c:formatCode>0%</c:formatCode>
                <c:ptCount val="10"/>
                <c:pt idx="0">
                  <c:v>0.18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0.15720000000000001</c:v>
                </c:pt>
                <c:pt idx="4">
                  <c:v>0.14000000000000001</c:v>
                </c:pt>
                <c:pt idx="5">
                  <c:v>0.11</c:v>
                </c:pt>
                <c:pt idx="6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21-4C09-8065-6C2E7334819C}"/>
            </c:ext>
          </c:extLst>
        </c:ser>
        <c:dLbls/>
        <c:marker val="1"/>
        <c:axId val="69208704"/>
        <c:axId val="69214592"/>
      </c:lineChart>
      <c:dateAx>
        <c:axId val="69208704"/>
        <c:scaling>
          <c:orientation val="minMax"/>
        </c:scaling>
        <c:axPos val="b"/>
        <c:numFmt formatCode="[$-409]mmm\-yy;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14592"/>
        <c:crosses val="autoZero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69214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0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Graphs!$A$45</c:f>
              <c:strCache>
                <c:ptCount val="1"/>
                <c:pt idx="0">
                  <c:v>Raw Material Cost (% of Sales)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Graphs!$B$44:$L$44</c:f>
              <c:numCache>
                <c:formatCode>[$-409]mmm\-yy;@</c:formatCode>
                <c:ptCount val="11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</c:numCache>
            </c:numRef>
          </c:cat>
          <c:val>
            <c:numRef>
              <c:f>Graphs!$B$45:$L$45</c:f>
              <c:numCache>
                <c:formatCode>0%</c:formatCode>
                <c:ptCount val="11"/>
                <c:pt idx="0">
                  <c:v>0.50660000000000005</c:v>
                </c:pt>
                <c:pt idx="1">
                  <c:v>0.7702</c:v>
                </c:pt>
                <c:pt idx="2">
                  <c:v>0.53810000000000002</c:v>
                </c:pt>
                <c:pt idx="3">
                  <c:v>0.58779999999999999</c:v>
                </c:pt>
                <c:pt idx="4">
                  <c:v>0.59470000000000001</c:v>
                </c:pt>
                <c:pt idx="5">
                  <c:v>0.58089999999999997</c:v>
                </c:pt>
                <c:pt idx="6">
                  <c:v>0.57479999999999998</c:v>
                </c:pt>
                <c:pt idx="7">
                  <c:v>0.53169999999999995</c:v>
                </c:pt>
                <c:pt idx="8">
                  <c:v>0.52049999999999996</c:v>
                </c:pt>
                <c:pt idx="9">
                  <c:v>0.46949999999999997</c:v>
                </c:pt>
                <c:pt idx="10">
                  <c:v>0.51749999999999996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EC-406C-B3D9-B34B5EAFDDF3}"/>
            </c:ext>
          </c:extLst>
        </c:ser>
        <c:dLbls/>
        <c:marker val="1"/>
        <c:axId val="69235456"/>
        <c:axId val="69236992"/>
      </c:lineChart>
      <c:dateAx>
        <c:axId val="69235456"/>
        <c:scaling>
          <c:orientation val="minMax"/>
        </c:scaling>
        <c:axPos val="b"/>
        <c:numFmt formatCode="[$-409]mmm\-yy;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36992"/>
        <c:crosses val="autoZero"/>
        <c:auto val="1"/>
        <c:lblOffset val="100"/>
        <c:baseTimeUnit val="years"/>
      </c:dateAx>
      <c:valAx>
        <c:axId val="69236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Graphs!$A$67</c:f>
              <c:strCache>
                <c:ptCount val="1"/>
                <c:pt idx="0">
                  <c:v>Manufacturing Cost (% of Sales)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Graphs!$B$66:$L$66</c:f>
              <c:numCache>
                <c:formatCode>[$-409]mmm\-yy;@</c:formatCode>
                <c:ptCount val="11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</c:numCache>
            </c:numRef>
          </c:cat>
          <c:val>
            <c:numRef>
              <c:f>Graphs!$B$67:$L$67</c:f>
              <c:numCache>
                <c:formatCode>0%</c:formatCode>
                <c:ptCount val="11"/>
                <c:pt idx="0">
                  <c:v>0.15190000000000001</c:v>
                </c:pt>
                <c:pt idx="1">
                  <c:v>0.13139999999999999</c:v>
                </c:pt>
                <c:pt idx="2">
                  <c:v>0.11840000000000001</c:v>
                </c:pt>
                <c:pt idx="3">
                  <c:v>0.1308</c:v>
                </c:pt>
                <c:pt idx="4">
                  <c:v>0.12130000000000001</c:v>
                </c:pt>
                <c:pt idx="5">
                  <c:v>0.1371</c:v>
                </c:pt>
                <c:pt idx="6">
                  <c:v>0.1158</c:v>
                </c:pt>
                <c:pt idx="7">
                  <c:v>0.1109</c:v>
                </c:pt>
                <c:pt idx="8">
                  <c:v>0.1066</c:v>
                </c:pt>
                <c:pt idx="9">
                  <c:v>0.1232</c:v>
                </c:pt>
                <c:pt idx="10">
                  <c:v>0.10199999999999999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E-4FFF-91D3-8B53B799928F}"/>
            </c:ext>
          </c:extLst>
        </c:ser>
        <c:dLbls/>
        <c:marker val="1"/>
        <c:axId val="69270144"/>
        <c:axId val="75702656"/>
      </c:lineChart>
      <c:dateAx>
        <c:axId val="69270144"/>
        <c:scaling>
          <c:orientation val="minMax"/>
          <c:max val="43160"/>
          <c:min val="39508"/>
        </c:scaling>
        <c:axPos val="b"/>
        <c:numFmt formatCode="[$-409]mmm\-yy;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02656"/>
        <c:crosses val="autoZero"/>
        <c:lblOffset val="100"/>
        <c:baseTimeUnit val="years"/>
      </c:dateAx>
      <c:valAx>
        <c:axId val="75702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0144"/>
        <c:crossesAt val="39508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 Marging vs Raw Material Cost %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Graphs!$A$86</c:f>
              <c:strCache>
                <c:ptCount val="1"/>
                <c:pt idx="0">
                  <c:v>Operating Profit Margin(OPM%)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Graphs!$B$85:$M$85</c:f>
              <c:numCache>
                <c:formatCode>[$-409]mmm\-yy;@</c:formatCode>
                <c:ptCount val="12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  <c:pt idx="11">
                  <c:v>43526</c:v>
                </c:pt>
              </c:numCache>
            </c:numRef>
          </c:cat>
          <c:val>
            <c:numRef>
              <c:f>Graphs!$B$86:$M$86</c:f>
              <c:numCache>
                <c:formatCode>0%</c:formatCode>
                <c:ptCount val="12"/>
                <c:pt idx="0">
                  <c:v>0.1856763925729443</c:v>
                </c:pt>
                <c:pt idx="1">
                  <c:v>2.6438569206842923E-2</c:v>
                </c:pt>
                <c:pt idx="2">
                  <c:v>0.11740041928721175</c:v>
                </c:pt>
                <c:pt idx="3">
                  <c:v>0.17520661157024794</c:v>
                </c:pt>
                <c:pt idx="4">
                  <c:v>9.8068350668647844E-2</c:v>
                </c:pt>
                <c:pt idx="5">
                  <c:v>9.0717299578059074E-2</c:v>
                </c:pt>
                <c:pt idx="6">
                  <c:v>5.5381400208986416E-2</c:v>
                </c:pt>
                <c:pt idx="7">
                  <c:v>0.10335448776065277</c:v>
                </c:pt>
                <c:pt idx="8">
                  <c:v>0.11518324607329843</c:v>
                </c:pt>
                <c:pt idx="9">
                  <c:v>0.20418848167539266</c:v>
                </c:pt>
                <c:pt idx="10">
                  <c:v>0.20608649225840897</c:v>
                </c:pt>
                <c:pt idx="11">
                  <c:v>0.16422435573521982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8-4EE4-970E-184E2F843CC0}"/>
            </c:ext>
          </c:extLst>
        </c:ser>
        <c:ser>
          <c:idx val="1"/>
          <c:order val="1"/>
          <c:tx>
            <c:strRef>
              <c:f>Graphs!$A$87</c:f>
              <c:strCache>
                <c:ptCount val="1"/>
                <c:pt idx="0">
                  <c:v>Raw Material Cost (% of Sales)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Graphs!$B$85:$M$85</c:f>
              <c:numCache>
                <c:formatCode>[$-409]mmm\-yy;@</c:formatCode>
                <c:ptCount val="12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  <c:pt idx="11">
                  <c:v>43526</c:v>
                </c:pt>
              </c:numCache>
            </c:numRef>
          </c:cat>
          <c:val>
            <c:numRef>
              <c:f>Graphs!$B$87:$M$87</c:f>
              <c:numCache>
                <c:formatCode>0%</c:formatCode>
                <c:ptCount val="12"/>
                <c:pt idx="0">
                  <c:v>0.50660000000000005</c:v>
                </c:pt>
                <c:pt idx="1">
                  <c:v>0.7702</c:v>
                </c:pt>
                <c:pt idx="2">
                  <c:v>0.53810000000000002</c:v>
                </c:pt>
                <c:pt idx="3">
                  <c:v>0.58779999999999999</c:v>
                </c:pt>
                <c:pt idx="4">
                  <c:v>0.59470000000000001</c:v>
                </c:pt>
                <c:pt idx="5">
                  <c:v>0.58089999999999997</c:v>
                </c:pt>
                <c:pt idx="6">
                  <c:v>0.57479999999999998</c:v>
                </c:pt>
                <c:pt idx="7">
                  <c:v>0.53169999999999995</c:v>
                </c:pt>
                <c:pt idx="8">
                  <c:v>0.52049999999999996</c:v>
                </c:pt>
                <c:pt idx="9">
                  <c:v>0.46949999999999997</c:v>
                </c:pt>
                <c:pt idx="10">
                  <c:v>0.51749999999999996</c:v>
                </c:pt>
                <c:pt idx="11">
                  <c:v>0.56910000000000005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E8-4EE4-970E-184E2F843CC0}"/>
            </c:ext>
          </c:extLst>
        </c:ser>
        <c:dLbls/>
        <c:marker val="1"/>
        <c:axId val="136984832"/>
        <c:axId val="136994816"/>
      </c:lineChart>
      <c:dateAx>
        <c:axId val="136984832"/>
        <c:scaling>
          <c:orientation val="minMax"/>
        </c:scaling>
        <c:axPos val="b"/>
        <c:numFmt formatCode="[$-409]mmm\-yy;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94816"/>
        <c:crosses val="autoZero"/>
        <c:auto val="1"/>
        <c:lblOffset val="100"/>
        <c:baseTimeUnit val="years"/>
      </c:dateAx>
      <c:valAx>
        <c:axId val="136994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8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Margin vs Raw Material Cost %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Graphs!$A$123</c:f>
              <c:strCache>
                <c:ptCount val="1"/>
                <c:pt idx="0">
                  <c:v>Net Profit Margin(NPM%)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Graphs!$B$122:$M$122</c:f>
              <c:numCache>
                <c:formatCode>[$-409]mmm\-yy;@</c:formatCode>
                <c:ptCount val="12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  <c:pt idx="11">
                  <c:v>43526</c:v>
                </c:pt>
              </c:numCache>
            </c:numRef>
          </c:cat>
          <c:val>
            <c:numRef>
              <c:f>Graphs!$B$123:$M$123</c:f>
              <c:numCache>
                <c:formatCode>0%</c:formatCode>
                <c:ptCount val="12"/>
                <c:pt idx="0">
                  <c:v>0.10344827586206896</c:v>
                </c:pt>
                <c:pt idx="1">
                  <c:v>0</c:v>
                </c:pt>
                <c:pt idx="2">
                  <c:v>6.2893081761006289E-2</c:v>
                </c:pt>
                <c:pt idx="3">
                  <c:v>0.12066115702479339</c:v>
                </c:pt>
                <c:pt idx="4">
                  <c:v>6.6864784546805348E-2</c:v>
                </c:pt>
                <c:pt idx="5">
                  <c:v>4.6413502109704644E-2</c:v>
                </c:pt>
                <c:pt idx="6">
                  <c:v>1.1494252873563218E-2</c:v>
                </c:pt>
                <c:pt idx="7">
                  <c:v>4.805077062556664E-2</c:v>
                </c:pt>
                <c:pt idx="8">
                  <c:v>6.8935427574171024E-2</c:v>
                </c:pt>
                <c:pt idx="9">
                  <c:v>0.13462976813762154</c:v>
                </c:pt>
                <c:pt idx="10">
                  <c:v>0.15589962626801923</c:v>
                </c:pt>
                <c:pt idx="11">
                  <c:v>0.12885295603840324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C-4673-9504-5653296EB726}"/>
            </c:ext>
          </c:extLst>
        </c:ser>
        <c:ser>
          <c:idx val="1"/>
          <c:order val="1"/>
          <c:tx>
            <c:strRef>
              <c:f>Graphs!$A$124</c:f>
              <c:strCache>
                <c:ptCount val="1"/>
                <c:pt idx="0">
                  <c:v>Raw Material Cost (% of Sales)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Graphs!$B$122:$M$122</c:f>
              <c:numCache>
                <c:formatCode>[$-409]mmm\-yy;@</c:formatCode>
                <c:ptCount val="12"/>
                <c:pt idx="0">
                  <c:v>39508</c:v>
                </c:pt>
                <c:pt idx="1">
                  <c:v>39873</c:v>
                </c:pt>
                <c:pt idx="2">
                  <c:v>40238</c:v>
                </c:pt>
                <c:pt idx="3">
                  <c:v>40603</c:v>
                </c:pt>
                <c:pt idx="4">
                  <c:v>40969</c:v>
                </c:pt>
                <c:pt idx="5">
                  <c:v>41334</c:v>
                </c:pt>
                <c:pt idx="6">
                  <c:v>41699</c:v>
                </c:pt>
                <c:pt idx="7">
                  <c:v>42064</c:v>
                </c:pt>
                <c:pt idx="8">
                  <c:v>42430</c:v>
                </c:pt>
                <c:pt idx="9">
                  <c:v>42795</c:v>
                </c:pt>
                <c:pt idx="10">
                  <c:v>43160</c:v>
                </c:pt>
                <c:pt idx="11">
                  <c:v>43526</c:v>
                </c:pt>
              </c:numCache>
            </c:numRef>
          </c:cat>
          <c:val>
            <c:numRef>
              <c:f>Graphs!$B$124:$M$124</c:f>
              <c:numCache>
                <c:formatCode>0%</c:formatCode>
                <c:ptCount val="12"/>
                <c:pt idx="0">
                  <c:v>0.50660000000000005</c:v>
                </c:pt>
                <c:pt idx="1">
                  <c:v>0.7702</c:v>
                </c:pt>
                <c:pt idx="2">
                  <c:v>0.53810000000000002</c:v>
                </c:pt>
                <c:pt idx="3">
                  <c:v>0.58779999999999999</c:v>
                </c:pt>
                <c:pt idx="4">
                  <c:v>0.59470000000000001</c:v>
                </c:pt>
                <c:pt idx="5">
                  <c:v>0.58089999999999997</c:v>
                </c:pt>
                <c:pt idx="6">
                  <c:v>0.57479999999999998</c:v>
                </c:pt>
                <c:pt idx="7">
                  <c:v>0.53169999999999995</c:v>
                </c:pt>
                <c:pt idx="8">
                  <c:v>0.52049999999999996</c:v>
                </c:pt>
                <c:pt idx="9">
                  <c:v>0.46949999999999997</c:v>
                </c:pt>
                <c:pt idx="10">
                  <c:v>0.51749999999999996</c:v>
                </c:pt>
                <c:pt idx="11">
                  <c:v>0.56910000000000005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C-4673-9504-5653296EB726}"/>
            </c:ext>
          </c:extLst>
        </c:ser>
        <c:dLbls/>
        <c:marker val="1"/>
        <c:axId val="137038080"/>
        <c:axId val="137056256"/>
      </c:lineChart>
      <c:dateAx>
        <c:axId val="137038080"/>
        <c:scaling>
          <c:orientation val="minMax"/>
        </c:scaling>
        <c:axPos val="b"/>
        <c:numFmt formatCode="[$-409]mmm\-yy;@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56256"/>
        <c:crosses val="autoZero"/>
        <c:auto val="1"/>
        <c:lblOffset val="100"/>
        <c:baseTimeUnit val="years"/>
      </c:dateAx>
      <c:valAx>
        <c:axId val="137056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166687</xdr:rowOff>
    </xdr:from>
    <xdr:to>
      <xdr:col>10</xdr:col>
      <xdr:colOff>190500</xdr:colOff>
      <xdr:row>22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442B8A3-A546-4F79-AA67-FAA18CAC8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26</xdr:row>
      <xdr:rowOff>138112</xdr:rowOff>
    </xdr:from>
    <xdr:to>
      <xdr:col>10</xdr:col>
      <xdr:colOff>285750</xdr:colOff>
      <xdr:row>41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F03CCDE-6C3E-4DC5-B5CC-7666AEAF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461961</xdr:colOff>
      <xdr:row>45</xdr:row>
      <xdr:rowOff>109537</xdr:rowOff>
    </xdr:from>
    <xdr:to>
      <xdr:col>10</xdr:col>
      <xdr:colOff>333375</xdr:colOff>
      <xdr:row>64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D85999E-74C0-4CC2-8145-D6650D428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338137</xdr:colOff>
      <xdr:row>67</xdr:row>
      <xdr:rowOff>185737</xdr:rowOff>
    </xdr:from>
    <xdr:to>
      <xdr:col>10</xdr:col>
      <xdr:colOff>419100</xdr:colOff>
      <xdr:row>82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44AD4FB5-F23B-4C32-AB28-6C32B2D49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89</xdr:row>
      <xdr:rowOff>4762</xdr:rowOff>
    </xdr:from>
    <xdr:to>
      <xdr:col>11</xdr:col>
      <xdr:colOff>0</xdr:colOff>
      <xdr:row>113</xdr:row>
      <xdr:rowOff>57150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8FBFA105-73F7-4DAD-A8F0-D6217D9E3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1355724</xdr:colOff>
      <xdr:row>124</xdr:row>
      <xdr:rowOff>136524</xdr:rowOff>
    </xdr:from>
    <xdr:to>
      <xdr:col>14</xdr:col>
      <xdr:colOff>158749</xdr:colOff>
      <xdr:row>142</xdr:row>
      <xdr:rowOff>177799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3FF8C36-5FD2-46DF-9CE1-B4933FAD1F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l, Aritra" id="{4DD10275-B2E1-4C88-A751-6BF0961E915D}" userId="S::Aritra.Pal@Ally.com::272d79ce-80e8-42df-a72d-337c42bd7ac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showGridLines="0" topLeftCell="A4" workbookViewId="0">
      <pane ySplit="1" topLeftCell="A5" activePane="bottomLeft" state="frozen"/>
      <selection activeCell="A4" sqref="A4"/>
      <selection pane="bottomLeft" activeCell="A11" sqref="A11"/>
    </sheetView>
  </sheetViews>
  <sheetFormatPr defaultRowHeight="15"/>
  <cols>
    <col min="1" max="1" width="40.140625" bestFit="1" customWidth="1"/>
    <col min="2" max="3" width="9.85546875" bestFit="1" customWidth="1"/>
    <col min="4" max="5" width="8.85546875" bestFit="1" customWidth="1"/>
    <col min="6" max="10" width="9.42578125" bestFit="1" customWidth="1"/>
    <col min="11" max="13" width="8.85546875" bestFit="1" customWidth="1"/>
    <col min="14" max="14" width="11.42578125" bestFit="1" customWidth="1"/>
    <col min="18" max="18" width="11" bestFit="1" customWidth="1"/>
  </cols>
  <sheetData>
    <row r="2" spans="1:1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>
      <c r="A3" s="1" t="s">
        <v>35</v>
      </c>
      <c r="B3" s="74" t="s">
        <v>37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13"/>
    </row>
    <row r="4" spans="1:15" ht="33" customHeight="1">
      <c r="A4" s="2" t="s">
        <v>82</v>
      </c>
      <c r="B4" s="3">
        <v>39508</v>
      </c>
      <c r="C4" s="3">
        <v>39873</v>
      </c>
      <c r="D4" s="4">
        <v>40238</v>
      </c>
      <c r="E4" s="4">
        <v>40603</v>
      </c>
      <c r="F4" s="4">
        <v>40969</v>
      </c>
      <c r="G4" s="4">
        <v>41334</v>
      </c>
      <c r="H4" s="4">
        <v>41699</v>
      </c>
      <c r="I4" s="4">
        <v>42064</v>
      </c>
      <c r="J4" s="4">
        <v>42430</v>
      </c>
      <c r="K4" s="4">
        <v>42795</v>
      </c>
      <c r="L4" s="4">
        <v>43160</v>
      </c>
      <c r="M4" s="4">
        <v>43543</v>
      </c>
      <c r="N4" s="5" t="s">
        <v>36</v>
      </c>
    </row>
    <row r="5" spans="1:15">
      <c r="A5" s="6" t="s">
        <v>1</v>
      </c>
      <c r="B5" s="52">
        <v>377</v>
      </c>
      <c r="C5" s="52">
        <v>643</v>
      </c>
      <c r="D5" s="52">
        <v>477</v>
      </c>
      <c r="E5" s="52">
        <v>605</v>
      </c>
      <c r="F5" s="52">
        <v>673</v>
      </c>
      <c r="G5" s="52">
        <v>948</v>
      </c>
      <c r="H5" s="52">
        <v>957</v>
      </c>
      <c r="I5" s="64">
        <v>1103</v>
      </c>
      <c r="J5" s="64">
        <v>1146</v>
      </c>
      <c r="K5" s="64">
        <v>1337</v>
      </c>
      <c r="L5" s="64">
        <v>1873</v>
      </c>
      <c r="M5" s="64">
        <v>1979</v>
      </c>
      <c r="N5" s="21">
        <f>(M5/B5)^(1/11)-1</f>
        <v>0.16269027612031506</v>
      </c>
      <c r="O5" s="70">
        <f>M5-B5</f>
        <v>1602</v>
      </c>
    </row>
    <row r="6" spans="1:15">
      <c r="A6" s="6" t="s">
        <v>46</v>
      </c>
      <c r="B6" s="7"/>
      <c r="C6" s="21">
        <f>(C5/B5)-1</f>
        <v>0.70557029177718822</v>
      </c>
      <c r="D6" s="21">
        <f t="shared" ref="D6:M6" si="0">(D5/C5)-1</f>
        <v>-0.25816485225505448</v>
      </c>
      <c r="E6" s="21">
        <f t="shared" si="0"/>
        <v>0.26834381551362685</v>
      </c>
      <c r="F6" s="21">
        <f t="shared" si="0"/>
        <v>0.11239669421487597</v>
      </c>
      <c r="G6" s="21">
        <f t="shared" si="0"/>
        <v>0.40861812778603279</v>
      </c>
      <c r="H6" s="21">
        <f t="shared" si="0"/>
        <v>9.493670886076E-3</v>
      </c>
      <c r="I6" s="21">
        <f t="shared" si="0"/>
        <v>0.15256008359456641</v>
      </c>
      <c r="J6" s="21">
        <f t="shared" si="0"/>
        <v>3.8984587488667177E-2</v>
      </c>
      <c r="K6" s="21">
        <f t="shared" si="0"/>
        <v>0.16666666666666674</v>
      </c>
      <c r="L6" s="21">
        <f t="shared" si="0"/>
        <v>0.40089753178758425</v>
      </c>
      <c r="M6" s="21">
        <f t="shared" si="0"/>
        <v>5.6593699946609677E-2</v>
      </c>
      <c r="N6" s="21"/>
    </row>
    <row r="7" spans="1:15">
      <c r="A7" s="8" t="s">
        <v>2</v>
      </c>
      <c r="B7" s="52">
        <v>70</v>
      </c>
      <c r="C7" s="52">
        <v>17</v>
      </c>
      <c r="D7" s="52">
        <v>56</v>
      </c>
      <c r="E7" s="52">
        <v>106</v>
      </c>
      <c r="F7" s="52">
        <v>66</v>
      </c>
      <c r="G7" s="52">
        <v>86</v>
      </c>
      <c r="H7" s="52">
        <v>53</v>
      </c>
      <c r="I7" s="52">
        <v>114</v>
      </c>
      <c r="J7" s="52">
        <v>132</v>
      </c>
      <c r="K7" s="52">
        <v>273</v>
      </c>
      <c r="L7" s="52">
        <v>386</v>
      </c>
      <c r="M7" s="52">
        <v>325</v>
      </c>
      <c r="N7" s="7"/>
    </row>
    <row r="8" spans="1:15">
      <c r="A8" s="9" t="s">
        <v>7</v>
      </c>
      <c r="B8" s="10">
        <f>B7/B5</f>
        <v>0.1856763925729443</v>
      </c>
      <c r="C8" s="10">
        <f t="shared" ref="C8:M8" si="1">C7/C5</f>
        <v>2.6438569206842923E-2</v>
      </c>
      <c r="D8" s="10">
        <f t="shared" si="1"/>
        <v>0.11740041928721175</v>
      </c>
      <c r="E8" s="10">
        <f t="shared" si="1"/>
        <v>0.17520661157024794</v>
      </c>
      <c r="F8" s="10">
        <f t="shared" si="1"/>
        <v>9.8068350668647844E-2</v>
      </c>
      <c r="G8" s="10">
        <f t="shared" si="1"/>
        <v>9.0717299578059074E-2</v>
      </c>
      <c r="H8" s="10">
        <f t="shared" si="1"/>
        <v>5.5381400208986416E-2</v>
      </c>
      <c r="I8" s="10">
        <f t="shared" si="1"/>
        <v>0.10335448776065277</v>
      </c>
      <c r="J8" s="10">
        <f t="shared" si="1"/>
        <v>0.11518324607329843</v>
      </c>
      <c r="K8" s="10">
        <f t="shared" si="1"/>
        <v>0.20418848167539266</v>
      </c>
      <c r="L8" s="10">
        <f t="shared" si="1"/>
        <v>0.20608649225840897</v>
      </c>
      <c r="M8" s="10">
        <f t="shared" si="1"/>
        <v>0.16422435573521982</v>
      </c>
      <c r="N8" s="11"/>
    </row>
    <row r="9" spans="1:15">
      <c r="A9" s="7" t="s">
        <v>3</v>
      </c>
      <c r="B9" s="52">
        <v>7</v>
      </c>
      <c r="C9" s="52">
        <v>10</v>
      </c>
      <c r="D9" s="52">
        <v>15</v>
      </c>
      <c r="E9" s="52">
        <v>7</v>
      </c>
      <c r="F9" s="52">
        <v>7</v>
      </c>
      <c r="G9" s="52">
        <v>5</v>
      </c>
      <c r="H9" s="52">
        <v>3</v>
      </c>
      <c r="I9" s="52">
        <v>1</v>
      </c>
      <c r="J9" s="52">
        <v>4</v>
      </c>
      <c r="K9" s="52">
        <v>8</v>
      </c>
      <c r="L9" s="52">
        <v>14</v>
      </c>
      <c r="M9" s="52">
        <v>26</v>
      </c>
      <c r="N9" s="12">
        <f>SUM(B9:M9)</f>
        <v>107</v>
      </c>
    </row>
    <row r="10" spans="1:15">
      <c r="A10" s="7" t="s">
        <v>4</v>
      </c>
      <c r="B10" s="52">
        <v>11</v>
      </c>
      <c r="C10" s="52">
        <v>19</v>
      </c>
      <c r="D10" s="52">
        <v>15</v>
      </c>
      <c r="E10" s="52">
        <v>7</v>
      </c>
      <c r="F10" s="52">
        <v>4</v>
      </c>
      <c r="G10" s="52">
        <v>19</v>
      </c>
      <c r="H10" s="52">
        <v>21</v>
      </c>
      <c r="I10" s="52">
        <v>22</v>
      </c>
      <c r="J10" s="52">
        <v>17</v>
      </c>
      <c r="K10" s="52">
        <v>12</v>
      </c>
      <c r="L10" s="52">
        <v>8</v>
      </c>
      <c r="M10" s="65">
        <v>8</v>
      </c>
      <c r="N10" s="12">
        <f>SUM(B10:M10)</f>
        <v>163</v>
      </c>
    </row>
    <row r="11" spans="1:15">
      <c r="A11" s="7" t="s">
        <v>5</v>
      </c>
      <c r="B11" s="52">
        <v>7</v>
      </c>
      <c r="C11" s="65">
        <v>6</v>
      </c>
      <c r="D11" s="52">
        <v>12</v>
      </c>
      <c r="E11" s="52">
        <v>10</v>
      </c>
      <c r="F11" s="52">
        <v>10</v>
      </c>
      <c r="G11" s="52">
        <v>19</v>
      </c>
      <c r="H11" s="52">
        <v>23</v>
      </c>
      <c r="I11" s="52">
        <v>27</v>
      </c>
      <c r="J11" s="52">
        <v>23</v>
      </c>
      <c r="K11" s="52">
        <v>25</v>
      </c>
      <c r="L11" s="52">
        <v>15</v>
      </c>
      <c r="M11" s="52">
        <v>16</v>
      </c>
      <c r="N11" s="12">
        <f>SUM(B11:M11)</f>
        <v>193</v>
      </c>
    </row>
    <row r="12" spans="1:15">
      <c r="A12" s="7" t="s">
        <v>12</v>
      </c>
      <c r="B12" s="52">
        <v>60</v>
      </c>
      <c r="C12" s="52">
        <v>1</v>
      </c>
      <c r="D12" s="52">
        <v>44</v>
      </c>
      <c r="E12" s="52">
        <v>96</v>
      </c>
      <c r="F12" s="52">
        <v>60</v>
      </c>
      <c r="G12" s="52">
        <v>54</v>
      </c>
      <c r="H12" s="52">
        <v>12</v>
      </c>
      <c r="I12" s="52">
        <v>66</v>
      </c>
      <c r="J12" s="52">
        <v>96</v>
      </c>
      <c r="K12" s="52">
        <v>244</v>
      </c>
      <c r="L12" s="52">
        <v>376</v>
      </c>
      <c r="M12" s="52">
        <v>327</v>
      </c>
      <c r="N12" s="7"/>
    </row>
    <row r="13" spans="1:15">
      <c r="A13" s="12" t="s">
        <v>93</v>
      </c>
      <c r="B13" s="20">
        <f>B12/B5</f>
        <v>0.15915119363395225</v>
      </c>
      <c r="C13" s="20">
        <f t="shared" ref="C13:M13" si="2">C12/C5</f>
        <v>1.5552099533437014E-3</v>
      </c>
      <c r="D13" s="20">
        <f t="shared" si="2"/>
        <v>9.2243186582809222E-2</v>
      </c>
      <c r="E13" s="20">
        <f t="shared" si="2"/>
        <v>0.15867768595041323</v>
      </c>
      <c r="F13" s="20">
        <f t="shared" si="2"/>
        <v>8.9153046062407135E-2</v>
      </c>
      <c r="G13" s="20">
        <f t="shared" si="2"/>
        <v>5.6962025316455694E-2</v>
      </c>
      <c r="H13" s="20">
        <f t="shared" si="2"/>
        <v>1.2539184952978056E-2</v>
      </c>
      <c r="I13" s="20">
        <f t="shared" si="2"/>
        <v>5.9836808703535811E-2</v>
      </c>
      <c r="J13" s="20">
        <f t="shared" si="2"/>
        <v>8.3769633507853408E-2</v>
      </c>
      <c r="K13" s="20">
        <f t="shared" si="2"/>
        <v>0.18249813014210919</v>
      </c>
      <c r="L13" s="20">
        <f t="shared" si="2"/>
        <v>0.20074746396155899</v>
      </c>
      <c r="M13" s="20">
        <f t="shared" si="2"/>
        <v>0.16523496715512886</v>
      </c>
      <c r="N13" s="7"/>
    </row>
    <row r="14" spans="1:15">
      <c r="A14" s="7" t="s">
        <v>6</v>
      </c>
      <c r="B14" s="19">
        <v>0.34</v>
      </c>
      <c r="C14" s="19">
        <v>0.88</v>
      </c>
      <c r="D14" s="19">
        <v>0.31</v>
      </c>
      <c r="E14" s="19">
        <v>0.25</v>
      </c>
      <c r="F14" s="19">
        <v>0.25</v>
      </c>
      <c r="G14" s="19">
        <v>0.19</v>
      </c>
      <c r="H14" s="19">
        <v>0.09</v>
      </c>
      <c r="I14" s="19">
        <v>0.21</v>
      </c>
      <c r="J14" s="19">
        <v>0.18</v>
      </c>
      <c r="K14" s="19">
        <v>0.26</v>
      </c>
      <c r="L14" s="19">
        <v>0.22</v>
      </c>
      <c r="M14" s="19">
        <v>0.22</v>
      </c>
      <c r="N14" s="7"/>
    </row>
    <row r="15" spans="1:15">
      <c r="A15" s="7" t="s">
        <v>11</v>
      </c>
      <c r="B15" s="52">
        <v>39</v>
      </c>
      <c r="C15" s="52">
        <v>0</v>
      </c>
      <c r="D15" s="52">
        <v>30</v>
      </c>
      <c r="E15" s="52">
        <v>73</v>
      </c>
      <c r="F15" s="52">
        <v>45</v>
      </c>
      <c r="G15" s="52">
        <v>44</v>
      </c>
      <c r="H15" s="65">
        <v>11</v>
      </c>
      <c r="I15" s="52">
        <v>53</v>
      </c>
      <c r="J15" s="52">
        <v>79</v>
      </c>
      <c r="K15" s="52">
        <v>180</v>
      </c>
      <c r="L15" s="52">
        <v>292</v>
      </c>
      <c r="M15" s="52">
        <v>255</v>
      </c>
      <c r="N15" s="12">
        <f>SUM(B15:M15)</f>
        <v>1101</v>
      </c>
    </row>
    <row r="16" spans="1:15">
      <c r="A16" s="12" t="s">
        <v>92</v>
      </c>
      <c r="B16" s="10">
        <f>B15/B5</f>
        <v>0.10344827586206896</v>
      </c>
      <c r="C16" s="10">
        <f t="shared" ref="C16:M16" si="3">C15/C5</f>
        <v>0</v>
      </c>
      <c r="D16" s="10">
        <f t="shared" si="3"/>
        <v>6.2893081761006289E-2</v>
      </c>
      <c r="E16" s="10">
        <f t="shared" si="3"/>
        <v>0.12066115702479339</v>
      </c>
      <c r="F16" s="10">
        <f t="shared" si="3"/>
        <v>6.6864784546805348E-2</v>
      </c>
      <c r="G16" s="10">
        <f t="shared" si="3"/>
        <v>4.6413502109704644E-2</v>
      </c>
      <c r="H16" s="10">
        <f t="shared" si="3"/>
        <v>1.1494252873563218E-2</v>
      </c>
      <c r="I16" s="10">
        <f t="shared" si="3"/>
        <v>4.805077062556664E-2</v>
      </c>
      <c r="J16" s="10">
        <f t="shared" si="3"/>
        <v>6.8935427574171024E-2</v>
      </c>
      <c r="K16" s="10">
        <f t="shared" si="3"/>
        <v>0.13462976813762154</v>
      </c>
      <c r="L16" s="10">
        <f t="shared" si="3"/>
        <v>0.15589962626801923</v>
      </c>
      <c r="M16" s="10">
        <f t="shared" si="3"/>
        <v>0.12885295603840324</v>
      </c>
      <c r="N16" s="7"/>
    </row>
    <row r="17" spans="1:14">
      <c r="A17" s="7" t="s">
        <v>8</v>
      </c>
      <c r="B17" s="52">
        <v>-7</v>
      </c>
      <c r="C17" s="65">
        <v>4</v>
      </c>
      <c r="D17" s="52">
        <v>48</v>
      </c>
      <c r="E17" s="52">
        <v>86</v>
      </c>
      <c r="F17" s="52">
        <v>48</v>
      </c>
      <c r="G17" s="52">
        <v>42</v>
      </c>
      <c r="H17" s="52">
        <v>-4</v>
      </c>
      <c r="I17" s="52">
        <v>58</v>
      </c>
      <c r="J17" s="52">
        <v>136</v>
      </c>
      <c r="K17" s="52">
        <v>126</v>
      </c>
      <c r="L17" s="52">
        <v>284</v>
      </c>
      <c r="M17" s="52">
        <v>315</v>
      </c>
      <c r="N17" s="12">
        <f>SUM(B17:M17)</f>
        <v>1136</v>
      </c>
    </row>
    <row r="18" spans="1:14">
      <c r="A18" s="12" t="s">
        <v>9</v>
      </c>
      <c r="B18" s="12">
        <f>(B34+B36)+B11-(129+3)</f>
        <v>-27</v>
      </c>
      <c r="C18" s="12">
        <f t="shared" ref="C18:M18" si="4">(C34+C36)-(B34+B36)+C11</f>
        <v>55</v>
      </c>
      <c r="D18" s="12">
        <f t="shared" si="4"/>
        <v>5</v>
      </c>
      <c r="E18" s="12">
        <f t="shared" si="4"/>
        <v>57</v>
      </c>
      <c r="F18" s="12">
        <f t="shared" si="4"/>
        <v>113</v>
      </c>
      <c r="G18" s="12">
        <f t="shared" si="4"/>
        <v>27</v>
      </c>
      <c r="H18" s="12">
        <f t="shared" si="4"/>
        <v>23</v>
      </c>
      <c r="I18" s="12">
        <f t="shared" si="4"/>
        <v>10</v>
      </c>
      <c r="J18" s="12">
        <f t="shared" si="4"/>
        <v>9</v>
      </c>
      <c r="K18" s="12">
        <f t="shared" si="4"/>
        <v>0</v>
      </c>
      <c r="L18" s="12">
        <f t="shared" si="4"/>
        <v>11</v>
      </c>
      <c r="M18" s="12">
        <f t="shared" si="4"/>
        <v>7</v>
      </c>
      <c r="N18" s="12">
        <f>SUM(B18:L18)</f>
        <v>283</v>
      </c>
    </row>
    <row r="19" spans="1:14">
      <c r="A19" s="9" t="s">
        <v>80</v>
      </c>
      <c r="B19" s="12">
        <f t="shared" ref="B19:M19" si="5">B17-B18</f>
        <v>20</v>
      </c>
      <c r="C19" s="12">
        <f t="shared" si="5"/>
        <v>-51</v>
      </c>
      <c r="D19" s="12">
        <f t="shared" si="5"/>
        <v>43</v>
      </c>
      <c r="E19" s="12">
        <f t="shared" si="5"/>
        <v>29</v>
      </c>
      <c r="F19" s="12">
        <f t="shared" si="5"/>
        <v>-65</v>
      </c>
      <c r="G19" s="12">
        <f t="shared" si="5"/>
        <v>15</v>
      </c>
      <c r="H19" s="12">
        <f t="shared" si="5"/>
        <v>-27</v>
      </c>
      <c r="I19" s="12">
        <f t="shared" si="5"/>
        <v>48</v>
      </c>
      <c r="J19" s="12">
        <f t="shared" si="5"/>
        <v>127</v>
      </c>
      <c r="K19" s="12">
        <f t="shared" si="5"/>
        <v>126</v>
      </c>
      <c r="L19" s="12">
        <f t="shared" si="5"/>
        <v>273</v>
      </c>
      <c r="M19" s="12">
        <f t="shared" si="5"/>
        <v>308</v>
      </c>
      <c r="N19" s="12">
        <f>N17-N18</f>
        <v>853</v>
      </c>
    </row>
    <row r="20" spans="1:14">
      <c r="A20" s="9" t="s">
        <v>124</v>
      </c>
      <c r="B20" s="60">
        <f t="shared" ref="B20:N20" si="6">B19/B53</f>
        <v>-2.8571428571428572</v>
      </c>
      <c r="C20" s="60">
        <f t="shared" si="6"/>
        <v>-12.75</v>
      </c>
      <c r="D20" s="60">
        <f t="shared" si="6"/>
        <v>0.89583333333333337</v>
      </c>
      <c r="E20" s="60">
        <f t="shared" si="6"/>
        <v>0.33720930232558138</v>
      </c>
      <c r="F20" s="60">
        <f t="shared" si="6"/>
        <v>-1.3541666666666667</v>
      </c>
      <c r="G20" s="60">
        <f t="shared" si="6"/>
        <v>0.35714285714285715</v>
      </c>
      <c r="H20" s="60">
        <f t="shared" si="6"/>
        <v>6.75</v>
      </c>
      <c r="I20" s="60">
        <f t="shared" si="6"/>
        <v>0.82758620689655171</v>
      </c>
      <c r="J20" s="60">
        <f t="shared" si="6"/>
        <v>0.93382352941176472</v>
      </c>
      <c r="K20" s="60">
        <f t="shared" si="6"/>
        <v>1</v>
      </c>
      <c r="L20" s="60">
        <f t="shared" si="6"/>
        <v>0.96126760563380287</v>
      </c>
      <c r="M20" s="60">
        <f t="shared" si="6"/>
        <v>0.97777777777777775</v>
      </c>
      <c r="N20" s="60">
        <f t="shared" si="6"/>
        <v>0.75088028169014087</v>
      </c>
    </row>
    <row r="21" spans="1:14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3" spans="1:14">
      <c r="A23" s="12" t="s">
        <v>118</v>
      </c>
      <c r="B23" s="20">
        <f t="shared" ref="B23:M23" si="7">B25*B16*(1-B41)-(B11/B34)</f>
        <v>0.59259259259259256</v>
      </c>
      <c r="C23" s="20" t="e">
        <f t="shared" si="7"/>
        <v>#DIV/0!</v>
      </c>
      <c r="D23" s="20">
        <f t="shared" si="7"/>
        <v>0.140625</v>
      </c>
      <c r="E23" s="20">
        <f t="shared" si="7"/>
        <v>0.49661157024793384</v>
      </c>
      <c r="F23" s="20">
        <f t="shared" si="7"/>
        <v>0.14262222222222221</v>
      </c>
      <c r="G23" s="20">
        <f t="shared" si="7"/>
        <v>7.4377104377104389E-2</v>
      </c>
      <c r="H23" s="20">
        <f t="shared" si="7"/>
        <v>-5.0887372013651885E-2</v>
      </c>
      <c r="I23" s="20">
        <f t="shared" si="7"/>
        <v>8.2464285714285726E-2</v>
      </c>
      <c r="J23" s="20">
        <f t="shared" si="7"/>
        <v>0.18794007490636705</v>
      </c>
      <c r="K23" s="20">
        <f t="shared" si="7"/>
        <v>0.64049586776859502</v>
      </c>
      <c r="L23" s="20">
        <f t="shared" si="7"/>
        <v>1.1332773109243697</v>
      </c>
      <c r="M23" s="20">
        <f t="shared" si="7"/>
        <v>1.0133624454148473</v>
      </c>
    </row>
    <row r="25" spans="1:14">
      <c r="A25" s="7" t="s">
        <v>13</v>
      </c>
      <c r="B25" s="17">
        <f t="shared" ref="B25:M25" si="8">B5/B34</f>
        <v>6.9814814814814818</v>
      </c>
      <c r="C25" s="17">
        <f t="shared" si="8"/>
        <v>8.6891891891891895</v>
      </c>
      <c r="D25" s="17">
        <f t="shared" si="8"/>
        <v>3.7265625</v>
      </c>
      <c r="E25" s="17">
        <f t="shared" si="8"/>
        <v>5</v>
      </c>
      <c r="F25" s="17">
        <f t="shared" si="8"/>
        <v>2.9911111111111111</v>
      </c>
      <c r="G25" s="17">
        <f t="shared" si="8"/>
        <v>3.191919191919192</v>
      </c>
      <c r="H25" s="17">
        <f t="shared" si="8"/>
        <v>3.2662116040955631</v>
      </c>
      <c r="I25" s="17">
        <f t="shared" si="8"/>
        <v>3.9392857142857145</v>
      </c>
      <c r="J25" s="17">
        <f t="shared" si="8"/>
        <v>4.2921348314606744</v>
      </c>
      <c r="K25" s="17">
        <f t="shared" si="8"/>
        <v>5.5247933884297522</v>
      </c>
      <c r="L25" s="17">
        <f t="shared" si="8"/>
        <v>7.8697478991596634</v>
      </c>
      <c r="M25" s="17">
        <f t="shared" si="8"/>
        <v>8.6419213973799121</v>
      </c>
    </row>
    <row r="26" spans="1:14">
      <c r="A26" s="7" t="s">
        <v>14</v>
      </c>
      <c r="B26" s="52">
        <v>36</v>
      </c>
      <c r="C26" s="52">
        <v>22</v>
      </c>
      <c r="D26" s="52">
        <v>47</v>
      </c>
      <c r="E26" s="52">
        <v>27</v>
      </c>
      <c r="F26" s="52">
        <v>47</v>
      </c>
      <c r="G26" s="52">
        <v>48</v>
      </c>
      <c r="H26" s="52">
        <v>54</v>
      </c>
      <c r="I26" s="52">
        <v>68</v>
      </c>
      <c r="J26" s="52">
        <v>63</v>
      </c>
      <c r="K26" s="52">
        <v>62</v>
      </c>
      <c r="L26" s="52">
        <v>47</v>
      </c>
      <c r="M26" s="52">
        <v>47</v>
      </c>
    </row>
    <row r="27" spans="1:14">
      <c r="A27" s="7" t="s">
        <v>15</v>
      </c>
      <c r="B27" s="52">
        <v>5.59</v>
      </c>
      <c r="C27" s="52">
        <v>6.69</v>
      </c>
      <c r="D27" s="52">
        <v>6.52</v>
      </c>
      <c r="E27" s="52">
        <v>8.2899999999999991</v>
      </c>
      <c r="F27" s="52">
        <v>5.42</v>
      </c>
      <c r="G27" s="52">
        <v>5.6</v>
      </c>
      <c r="H27" s="52">
        <v>4.9800000000000004</v>
      </c>
      <c r="I27" s="52">
        <v>5.78</v>
      </c>
      <c r="J27" s="52">
        <v>7.03</v>
      </c>
      <c r="K27" s="52">
        <v>7.92</v>
      </c>
      <c r="L27" s="52">
        <v>8.6199999999999992</v>
      </c>
      <c r="M27" s="52">
        <v>7.77</v>
      </c>
    </row>
    <row r="28" spans="1:14">
      <c r="A28" s="15" t="s">
        <v>133</v>
      </c>
      <c r="B28" s="17"/>
      <c r="C28" s="17"/>
      <c r="D28" s="17"/>
      <c r="E28" s="17">
        <f t="shared" ref="E28:M28" si="9">E29*365/E5</f>
        <v>11.281818181818183</v>
      </c>
      <c r="F28" s="17">
        <f t="shared" si="9"/>
        <v>18.130683506686466</v>
      </c>
      <c r="G28" s="17">
        <f t="shared" si="9"/>
        <v>24.787658227848098</v>
      </c>
      <c r="H28" s="17">
        <f t="shared" si="9"/>
        <v>90.216405433646813</v>
      </c>
      <c r="I28" s="17">
        <f t="shared" si="9"/>
        <v>84.499320036264734</v>
      </c>
      <c r="J28" s="17">
        <f t="shared" si="9"/>
        <v>68.970986038394415</v>
      </c>
      <c r="K28" s="17">
        <f t="shared" si="9"/>
        <v>96.873784592370967</v>
      </c>
      <c r="L28" s="17">
        <f t="shared" si="9"/>
        <v>67.157661505605972</v>
      </c>
      <c r="M28" s="17">
        <f t="shared" si="9"/>
        <v>50.048711470439621</v>
      </c>
    </row>
    <row r="29" spans="1:14">
      <c r="A29" s="15" t="s">
        <v>134</v>
      </c>
      <c r="B29" s="52"/>
      <c r="C29" s="52"/>
      <c r="D29" s="52"/>
      <c r="E29" s="52">
        <f>45.26+88.08-114.64</f>
        <v>18.700000000000003</v>
      </c>
      <c r="F29" s="52">
        <f>86.39+160.26-213.22</f>
        <v>33.429999999999978</v>
      </c>
      <c r="G29" s="52">
        <f>124.38+178.19-238.19</f>
        <v>64.38</v>
      </c>
      <c r="H29" s="52">
        <f>141.33+206.47-111.26</f>
        <v>236.54000000000002</v>
      </c>
      <c r="I29" s="52">
        <f>204.25+175.25-124.15</f>
        <v>255.35</v>
      </c>
      <c r="J29" s="52">
        <f>198.69+151.04-133.18</f>
        <v>216.55</v>
      </c>
      <c r="K29" s="52">
        <f>225.21+186.57-56.93</f>
        <v>354.84999999999997</v>
      </c>
      <c r="L29" s="52">
        <f>243.73+248.19-147.3</f>
        <v>344.61999999999995</v>
      </c>
      <c r="M29" s="52">
        <f>256.66+260.94-246.24</f>
        <v>271.36</v>
      </c>
    </row>
    <row r="30" spans="1:14" ht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3"/>
      <c r="N30" s="5" t="s">
        <v>127</v>
      </c>
    </row>
    <row r="31" spans="1:14">
      <c r="A31" s="15" t="s">
        <v>125</v>
      </c>
      <c r="B31" s="52">
        <v>36.71</v>
      </c>
      <c r="C31" s="52">
        <v>39.619999999999997</v>
      </c>
      <c r="D31" s="52">
        <v>60.78</v>
      </c>
      <c r="E31" s="52">
        <v>45.26</v>
      </c>
      <c r="F31" s="52">
        <v>86.39</v>
      </c>
      <c r="G31" s="52">
        <v>124.38</v>
      </c>
      <c r="H31" s="52">
        <v>141.33000000000001</v>
      </c>
      <c r="I31" s="52">
        <v>205.25</v>
      </c>
      <c r="J31" s="52">
        <v>198.69</v>
      </c>
      <c r="K31" s="52">
        <v>225.21</v>
      </c>
      <c r="L31" s="52">
        <v>243.73</v>
      </c>
      <c r="M31" s="52">
        <v>256.66000000000003</v>
      </c>
      <c r="N31" s="66">
        <f>B31-M31</f>
        <v>-219.95000000000002</v>
      </c>
    </row>
    <row r="32" spans="1:14">
      <c r="A32" s="15" t="s">
        <v>126</v>
      </c>
      <c r="B32" s="52">
        <v>104.04</v>
      </c>
      <c r="C32" s="52">
        <v>88.33</v>
      </c>
      <c r="D32" s="52">
        <v>57.94</v>
      </c>
      <c r="E32" s="52">
        <v>88.08</v>
      </c>
      <c r="F32" s="52">
        <v>160.26</v>
      </c>
      <c r="G32" s="52">
        <v>178.19</v>
      </c>
      <c r="H32" s="52">
        <v>206.47</v>
      </c>
      <c r="I32" s="52">
        <v>175.25</v>
      </c>
      <c r="J32" s="52">
        <v>151.04</v>
      </c>
      <c r="K32" s="52">
        <v>186.57</v>
      </c>
      <c r="L32" s="52">
        <v>248.19</v>
      </c>
      <c r="M32" s="52">
        <v>260.94</v>
      </c>
      <c r="N32" s="66">
        <f>B32-M32</f>
        <v>-156.89999999999998</v>
      </c>
    </row>
    <row r="34" spans="1:14">
      <c r="A34" s="7" t="s">
        <v>16</v>
      </c>
      <c r="B34" s="52">
        <v>54</v>
      </c>
      <c r="C34" s="52">
        <v>74</v>
      </c>
      <c r="D34" s="52">
        <v>128</v>
      </c>
      <c r="E34" s="52">
        <v>121</v>
      </c>
      <c r="F34" s="52">
        <v>225</v>
      </c>
      <c r="G34" s="52">
        <v>297</v>
      </c>
      <c r="H34" s="52">
        <v>293</v>
      </c>
      <c r="I34" s="52">
        <v>280</v>
      </c>
      <c r="J34" s="52">
        <v>267</v>
      </c>
      <c r="K34" s="52">
        <v>242</v>
      </c>
      <c r="L34" s="52">
        <v>238</v>
      </c>
      <c r="M34" s="52">
        <v>229</v>
      </c>
    </row>
    <row r="35" spans="1:14" s="71" customFormat="1">
      <c r="A35" s="15" t="s">
        <v>136</v>
      </c>
      <c r="B35" s="15"/>
      <c r="C35" s="15">
        <f>C34-B34+C11</f>
        <v>26</v>
      </c>
      <c r="D35" s="15">
        <f t="shared" ref="D35:M35" si="10">D34-C34+D11</f>
        <v>66</v>
      </c>
      <c r="E35" s="15">
        <f t="shared" si="10"/>
        <v>3</v>
      </c>
      <c r="F35" s="15">
        <f t="shared" si="10"/>
        <v>114</v>
      </c>
      <c r="G35" s="15">
        <f t="shared" si="10"/>
        <v>91</v>
      </c>
      <c r="H35" s="15">
        <f t="shared" si="10"/>
        <v>19</v>
      </c>
      <c r="I35" s="15">
        <f t="shared" si="10"/>
        <v>14</v>
      </c>
      <c r="J35" s="15">
        <f t="shared" si="10"/>
        <v>10</v>
      </c>
      <c r="K35" s="15">
        <f t="shared" si="10"/>
        <v>0</v>
      </c>
      <c r="L35" s="15">
        <f t="shared" si="10"/>
        <v>11</v>
      </c>
      <c r="M35" s="15">
        <f t="shared" si="10"/>
        <v>7</v>
      </c>
      <c r="N35" s="9">
        <f>SUM(C35:M35)</f>
        <v>361</v>
      </c>
    </row>
    <row r="36" spans="1:14">
      <c r="A36" s="7" t="s">
        <v>17</v>
      </c>
      <c r="B36" s="52">
        <v>44</v>
      </c>
      <c r="C36" s="52">
        <v>73</v>
      </c>
      <c r="D36" s="52">
        <v>12</v>
      </c>
      <c r="E36" s="65">
        <v>66</v>
      </c>
      <c r="F36" s="52">
        <v>65</v>
      </c>
      <c r="G36" s="52">
        <v>1</v>
      </c>
      <c r="H36" s="52">
        <v>5</v>
      </c>
      <c r="I36" s="52">
        <v>1</v>
      </c>
      <c r="J36" s="52">
        <v>0</v>
      </c>
      <c r="K36" s="52">
        <v>0</v>
      </c>
      <c r="L36" s="52">
        <v>0</v>
      </c>
      <c r="M36" s="52">
        <v>0</v>
      </c>
    </row>
    <row r="37" spans="1:14">
      <c r="A37" s="7" t="s">
        <v>18</v>
      </c>
      <c r="B37" s="65">
        <v>13</v>
      </c>
      <c r="C37" s="52">
        <v>10</v>
      </c>
      <c r="D37" s="52">
        <v>10</v>
      </c>
      <c r="E37" s="52">
        <v>15</v>
      </c>
      <c r="F37" s="52">
        <v>15</v>
      </c>
      <c r="G37" s="52">
        <v>15</v>
      </c>
      <c r="H37" s="52">
        <v>15</v>
      </c>
      <c r="I37" s="52">
        <v>15</v>
      </c>
      <c r="J37" s="52">
        <v>29</v>
      </c>
      <c r="K37" s="52">
        <v>29</v>
      </c>
      <c r="L37" s="52">
        <v>29</v>
      </c>
      <c r="M37" s="52">
        <v>29</v>
      </c>
    </row>
    <row r="38" spans="1:14">
      <c r="A38" s="7" t="s">
        <v>38</v>
      </c>
      <c r="B38" s="52">
        <v>81</v>
      </c>
      <c r="C38" s="52">
        <v>78</v>
      </c>
      <c r="D38" s="52">
        <v>107</v>
      </c>
      <c r="E38" s="52">
        <v>171</v>
      </c>
      <c r="F38" s="52">
        <v>213</v>
      </c>
      <c r="G38" s="52">
        <v>254</v>
      </c>
      <c r="H38" s="52">
        <v>262</v>
      </c>
      <c r="I38" s="52">
        <v>308</v>
      </c>
      <c r="J38" s="52">
        <v>364</v>
      </c>
      <c r="K38" s="52">
        <v>556</v>
      </c>
      <c r="L38" s="52">
        <v>839</v>
      </c>
      <c r="M38" s="52">
        <v>1083</v>
      </c>
    </row>
    <row r="40" spans="1:14">
      <c r="A40" s="7" t="s">
        <v>19</v>
      </c>
      <c r="B40" s="7"/>
      <c r="C40" s="7"/>
      <c r="D40" s="52"/>
      <c r="E40" s="52">
        <v>2.91</v>
      </c>
      <c r="F40" s="52">
        <v>2.91</v>
      </c>
      <c r="G40" s="52">
        <v>2.91</v>
      </c>
      <c r="H40" s="52">
        <v>2.91</v>
      </c>
      <c r="I40" s="52">
        <v>2.91</v>
      </c>
      <c r="J40" s="52">
        <v>5.82</v>
      </c>
      <c r="K40" s="52">
        <v>0</v>
      </c>
      <c r="L40" s="52">
        <v>7.28</v>
      </c>
      <c r="M40" s="52">
        <f>10.53-3.59</f>
        <v>6.9399999999999995</v>
      </c>
    </row>
    <row r="41" spans="1:14">
      <c r="A41" s="12" t="s">
        <v>20</v>
      </c>
      <c r="B41" s="20">
        <f t="shared" ref="B41:M41" si="11">B40/B15</f>
        <v>0</v>
      </c>
      <c r="C41" s="20" t="e">
        <f t="shared" si="11"/>
        <v>#DIV/0!</v>
      </c>
      <c r="D41" s="20">
        <f t="shared" si="11"/>
        <v>0</v>
      </c>
      <c r="E41" s="20">
        <f t="shared" si="11"/>
        <v>3.9863013698630136E-2</v>
      </c>
      <c r="F41" s="20">
        <f t="shared" si="11"/>
        <v>6.4666666666666664E-2</v>
      </c>
      <c r="G41" s="20">
        <f t="shared" si="11"/>
        <v>6.6136363636363646E-2</v>
      </c>
      <c r="H41" s="20">
        <f t="shared" si="11"/>
        <v>0.26454545454545458</v>
      </c>
      <c r="I41" s="20">
        <f t="shared" si="11"/>
        <v>5.4905660377358494E-2</v>
      </c>
      <c r="J41" s="20">
        <f t="shared" si="11"/>
        <v>7.3670886075949377E-2</v>
      </c>
      <c r="K41" s="20">
        <f t="shared" si="11"/>
        <v>0</v>
      </c>
      <c r="L41" s="20">
        <f t="shared" si="11"/>
        <v>2.4931506849315069E-2</v>
      </c>
      <c r="M41" s="20">
        <f t="shared" si="11"/>
        <v>2.7215686274509803E-2</v>
      </c>
    </row>
    <row r="42" spans="1:14">
      <c r="A42" s="12" t="s">
        <v>21</v>
      </c>
      <c r="B42" s="12">
        <f t="shared" ref="B42:M42" si="12">B15-B40</f>
        <v>39</v>
      </c>
      <c r="C42" s="12">
        <f t="shared" si="12"/>
        <v>0</v>
      </c>
      <c r="D42" s="12">
        <f t="shared" si="12"/>
        <v>30</v>
      </c>
      <c r="E42" s="12">
        <f t="shared" si="12"/>
        <v>70.09</v>
      </c>
      <c r="F42" s="12">
        <f t="shared" si="12"/>
        <v>42.09</v>
      </c>
      <c r="G42" s="12">
        <f t="shared" si="12"/>
        <v>41.09</v>
      </c>
      <c r="H42" s="12">
        <f t="shared" si="12"/>
        <v>8.09</v>
      </c>
      <c r="I42" s="12">
        <f t="shared" si="12"/>
        <v>50.09</v>
      </c>
      <c r="J42" s="12">
        <f t="shared" si="12"/>
        <v>73.180000000000007</v>
      </c>
      <c r="K42" s="12">
        <f t="shared" si="12"/>
        <v>180</v>
      </c>
      <c r="L42" s="16">
        <f t="shared" si="12"/>
        <v>284.72000000000003</v>
      </c>
      <c r="M42" s="16">
        <f t="shared" si="12"/>
        <v>248.06</v>
      </c>
      <c r="N42" s="12">
        <f>SUM(B42:M42)</f>
        <v>1066.4100000000001</v>
      </c>
    </row>
    <row r="43" spans="1:14">
      <c r="A43" s="7" t="s">
        <v>22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5" spans="1:14">
      <c r="A45" s="12" t="s">
        <v>23</v>
      </c>
      <c r="B45" s="54">
        <f>99+97</f>
        <v>196</v>
      </c>
      <c r="C45" s="54">
        <f>147+105</f>
        <v>252</v>
      </c>
      <c r="D45" s="54">
        <f>113+163</f>
        <v>276</v>
      </c>
      <c r="E45" s="54">
        <f>86+163</f>
        <v>249</v>
      </c>
      <c r="F45" s="54">
        <f>206+258</f>
        <v>464</v>
      </c>
      <c r="G45" s="54">
        <f>211+270</f>
        <v>481</v>
      </c>
      <c r="H45" s="54">
        <f>258+276</f>
        <v>534</v>
      </c>
      <c r="I45" s="54">
        <f>214+269</f>
        <v>483</v>
      </c>
      <c r="J45" s="54">
        <f>139+275</f>
        <v>414</v>
      </c>
      <c r="K45" s="54">
        <f>81+237</f>
        <v>318</v>
      </c>
      <c r="L45" s="54">
        <f>45+303</f>
        <v>348</v>
      </c>
      <c r="M45" s="54">
        <f>7+400</f>
        <v>407</v>
      </c>
      <c r="N45" s="7"/>
    </row>
    <row r="46" spans="1:14">
      <c r="A46" s="9" t="s">
        <v>24</v>
      </c>
      <c r="B46" s="6">
        <f>B37+B38</f>
        <v>94</v>
      </c>
      <c r="C46" s="6">
        <f t="shared" ref="C46:M46" si="13">C37+C38</f>
        <v>88</v>
      </c>
      <c r="D46" s="6">
        <f t="shared" si="13"/>
        <v>117</v>
      </c>
      <c r="E46" s="6">
        <f t="shared" si="13"/>
        <v>186</v>
      </c>
      <c r="F46" s="6">
        <f t="shared" si="13"/>
        <v>228</v>
      </c>
      <c r="G46" s="6">
        <f t="shared" si="13"/>
        <v>269</v>
      </c>
      <c r="H46" s="6">
        <f t="shared" si="13"/>
        <v>277</v>
      </c>
      <c r="I46" s="6">
        <f t="shared" si="13"/>
        <v>323</v>
      </c>
      <c r="J46" s="6">
        <f t="shared" si="13"/>
        <v>393</v>
      </c>
      <c r="K46" s="6">
        <f t="shared" si="13"/>
        <v>585</v>
      </c>
      <c r="L46" s="6">
        <f t="shared" si="13"/>
        <v>868</v>
      </c>
      <c r="M46" s="6">
        <f t="shared" si="13"/>
        <v>1112</v>
      </c>
      <c r="N46" s="7"/>
    </row>
    <row r="47" spans="1:14">
      <c r="A47" s="9" t="s">
        <v>32</v>
      </c>
      <c r="B47" s="18">
        <f>B45/B46</f>
        <v>2.0851063829787235</v>
      </c>
      <c r="C47" s="18">
        <f t="shared" ref="C47:M47" si="14">C45/C46</f>
        <v>2.8636363636363638</v>
      </c>
      <c r="D47" s="18">
        <f t="shared" si="14"/>
        <v>2.358974358974359</v>
      </c>
      <c r="E47" s="18">
        <f t="shared" si="14"/>
        <v>1.3387096774193548</v>
      </c>
      <c r="F47" s="18">
        <f t="shared" si="14"/>
        <v>2.0350877192982457</v>
      </c>
      <c r="G47" s="18">
        <f t="shared" si="14"/>
        <v>1.7881040892193309</v>
      </c>
      <c r="H47" s="18">
        <f t="shared" si="14"/>
        <v>1.9277978339350181</v>
      </c>
      <c r="I47" s="18">
        <f t="shared" si="14"/>
        <v>1.4953560371517027</v>
      </c>
      <c r="J47" s="18">
        <f t="shared" si="14"/>
        <v>1.0534351145038168</v>
      </c>
      <c r="K47" s="18">
        <f t="shared" si="14"/>
        <v>0.54358974358974355</v>
      </c>
      <c r="L47" s="18">
        <f t="shared" si="14"/>
        <v>0.4009216589861751</v>
      </c>
      <c r="M47" s="18">
        <f t="shared" si="14"/>
        <v>0.36600719424460432</v>
      </c>
      <c r="N47" s="7"/>
    </row>
    <row r="48" spans="1:14">
      <c r="A48" s="9" t="s">
        <v>25</v>
      </c>
      <c r="B48" s="19">
        <v>0.12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8" t="s">
        <v>26</v>
      </c>
      <c r="B49" s="7">
        <f>$B$48*B45</f>
        <v>23.52</v>
      </c>
      <c r="C49" s="7">
        <f t="shared" ref="C49:M49" si="15">$B$48*C45</f>
        <v>30.24</v>
      </c>
      <c r="D49" s="7">
        <f t="shared" si="15"/>
        <v>33.119999999999997</v>
      </c>
      <c r="E49" s="7">
        <f t="shared" si="15"/>
        <v>29.88</v>
      </c>
      <c r="F49" s="7">
        <f t="shared" si="15"/>
        <v>55.68</v>
      </c>
      <c r="G49" s="7">
        <f t="shared" si="15"/>
        <v>57.72</v>
      </c>
      <c r="H49" s="7">
        <f t="shared" si="15"/>
        <v>64.08</v>
      </c>
      <c r="I49" s="7">
        <f t="shared" si="15"/>
        <v>57.96</v>
      </c>
      <c r="J49" s="7">
        <f t="shared" si="15"/>
        <v>49.68</v>
      </c>
      <c r="K49" s="7">
        <f t="shared" si="15"/>
        <v>38.159999999999997</v>
      </c>
      <c r="L49" s="7">
        <f t="shared" si="15"/>
        <v>41.76</v>
      </c>
      <c r="M49" s="7">
        <f t="shared" si="15"/>
        <v>48.839999999999996</v>
      </c>
      <c r="N49" s="12">
        <f>SUM(B49:M49)</f>
        <v>530.64</v>
      </c>
    </row>
    <row r="50" spans="1:14">
      <c r="A50" s="8" t="s">
        <v>33</v>
      </c>
      <c r="B50" s="17">
        <f t="shared" ref="B50:M50" si="16">B7/B49</f>
        <v>2.9761904761904763</v>
      </c>
      <c r="C50" s="17">
        <f t="shared" si="16"/>
        <v>0.56216931216931221</v>
      </c>
      <c r="D50" s="17">
        <f t="shared" si="16"/>
        <v>1.6908212560386475</v>
      </c>
      <c r="E50" s="17">
        <f t="shared" si="16"/>
        <v>3.5475234270414995</v>
      </c>
      <c r="F50" s="17">
        <f t="shared" si="16"/>
        <v>1.1853448275862069</v>
      </c>
      <c r="G50" s="17">
        <f t="shared" si="16"/>
        <v>1.4899514899514901</v>
      </c>
      <c r="H50" s="17">
        <f t="shared" si="16"/>
        <v>0.82709113607990015</v>
      </c>
      <c r="I50" s="17">
        <f t="shared" si="16"/>
        <v>1.9668737060041408</v>
      </c>
      <c r="J50" s="17">
        <f t="shared" si="16"/>
        <v>2.6570048309178742</v>
      </c>
      <c r="K50" s="17">
        <f t="shared" si="16"/>
        <v>7.1540880503144662</v>
      </c>
      <c r="L50" s="17">
        <f t="shared" si="16"/>
        <v>9.2432950191570882</v>
      </c>
      <c r="M50" s="17">
        <f t="shared" si="16"/>
        <v>6.6543816543816545</v>
      </c>
      <c r="N50" s="7"/>
    </row>
    <row r="51" spans="1:14">
      <c r="A51" s="9" t="s">
        <v>123</v>
      </c>
      <c r="B51" s="20">
        <f t="shared" ref="B51:M51" si="17">(B7-(B12-B15))/(B45+B46)</f>
        <v>0.16896551724137931</v>
      </c>
      <c r="C51" s="20">
        <f t="shared" si="17"/>
        <v>4.7058823529411764E-2</v>
      </c>
      <c r="D51" s="20">
        <f t="shared" si="17"/>
        <v>0.10687022900763359</v>
      </c>
      <c r="E51" s="20">
        <f t="shared" si="17"/>
        <v>0.19080459770114944</v>
      </c>
      <c r="F51" s="20">
        <f t="shared" si="17"/>
        <v>7.3699421965317924E-2</v>
      </c>
      <c r="G51" s="20">
        <f t="shared" si="17"/>
        <v>0.10133333333333333</v>
      </c>
      <c r="H51" s="20">
        <f t="shared" si="17"/>
        <v>6.4118372379778049E-2</v>
      </c>
      <c r="I51" s="20">
        <f t="shared" si="17"/>
        <v>0.12531017369727046</v>
      </c>
      <c r="J51" s="20">
        <f t="shared" si="17"/>
        <v>0.14250309789343246</v>
      </c>
      <c r="K51" s="20">
        <f t="shared" si="17"/>
        <v>0.23145071982281284</v>
      </c>
      <c r="L51" s="20">
        <f t="shared" si="17"/>
        <v>0.24835526315789475</v>
      </c>
      <c r="M51" s="20">
        <f t="shared" si="17"/>
        <v>0.16655694535878868</v>
      </c>
    </row>
    <row r="53" spans="1:14">
      <c r="A53" s="12" t="s">
        <v>27</v>
      </c>
      <c r="B53" s="12">
        <f t="shared" ref="B53:M53" si="18">B17</f>
        <v>-7</v>
      </c>
      <c r="C53" s="12">
        <f t="shared" si="18"/>
        <v>4</v>
      </c>
      <c r="D53" s="12">
        <f t="shared" si="18"/>
        <v>48</v>
      </c>
      <c r="E53" s="12">
        <f t="shared" si="18"/>
        <v>86</v>
      </c>
      <c r="F53" s="12">
        <f t="shared" si="18"/>
        <v>48</v>
      </c>
      <c r="G53" s="12">
        <f t="shared" si="18"/>
        <v>42</v>
      </c>
      <c r="H53" s="12">
        <f t="shared" si="18"/>
        <v>-4</v>
      </c>
      <c r="I53" s="12">
        <f t="shared" si="18"/>
        <v>58</v>
      </c>
      <c r="J53" s="12">
        <f t="shared" si="18"/>
        <v>136</v>
      </c>
      <c r="K53" s="12">
        <f t="shared" si="18"/>
        <v>126</v>
      </c>
      <c r="L53" s="12">
        <f t="shared" si="18"/>
        <v>284</v>
      </c>
      <c r="M53" s="12">
        <f t="shared" si="18"/>
        <v>315</v>
      </c>
      <c r="N53" s="12">
        <f>SUM(B53:M53)</f>
        <v>1136</v>
      </c>
    </row>
    <row r="54" spans="1:14">
      <c r="A54" s="7" t="s">
        <v>28</v>
      </c>
      <c r="B54" s="52">
        <v>-50</v>
      </c>
      <c r="C54" s="52">
        <v>-41</v>
      </c>
      <c r="D54" s="52">
        <v>-6</v>
      </c>
      <c r="E54" s="52">
        <v>-82</v>
      </c>
      <c r="F54" s="52">
        <v>-121</v>
      </c>
      <c r="G54" s="52">
        <v>-47</v>
      </c>
      <c r="H54" s="52">
        <v>-22</v>
      </c>
      <c r="I54" s="52">
        <v>-4</v>
      </c>
      <c r="J54" s="52">
        <v>-11</v>
      </c>
      <c r="K54" s="52">
        <v>-11</v>
      </c>
      <c r="L54" s="52">
        <v>-280</v>
      </c>
      <c r="M54" s="52">
        <v>-276</v>
      </c>
      <c r="N54" s="12">
        <f>SUM(B54:M54)</f>
        <v>-951</v>
      </c>
    </row>
    <row r="55" spans="1:14">
      <c r="A55" s="7" t="s">
        <v>29</v>
      </c>
      <c r="B55" s="52">
        <v>59</v>
      </c>
      <c r="C55" s="52">
        <v>40</v>
      </c>
      <c r="D55" s="52">
        <v>-14</v>
      </c>
      <c r="E55" s="52">
        <v>-4</v>
      </c>
      <c r="F55" s="52">
        <v>114</v>
      </c>
      <c r="G55" s="52">
        <v>-39</v>
      </c>
      <c r="H55" s="52">
        <v>26</v>
      </c>
      <c r="I55" s="52">
        <v>-65</v>
      </c>
      <c r="J55" s="52">
        <v>-101</v>
      </c>
      <c r="K55" s="52">
        <v>-74</v>
      </c>
      <c r="L55" s="52">
        <v>-49</v>
      </c>
      <c r="M55" s="52">
        <v>-54</v>
      </c>
      <c r="N55" s="12">
        <f>SUM(B55:M55)</f>
        <v>-161</v>
      </c>
    </row>
    <row r="56" spans="1:14">
      <c r="A56" s="12" t="s">
        <v>34</v>
      </c>
      <c r="B56" s="12">
        <f>B53+B54+B55</f>
        <v>2</v>
      </c>
      <c r="C56" s="12">
        <f t="shared" ref="C56:N56" si="19">C53+C54+C55</f>
        <v>3</v>
      </c>
      <c r="D56" s="12">
        <f t="shared" si="19"/>
        <v>28</v>
      </c>
      <c r="E56" s="12">
        <f t="shared" si="19"/>
        <v>0</v>
      </c>
      <c r="F56" s="12">
        <f t="shared" si="19"/>
        <v>41</v>
      </c>
      <c r="G56" s="12">
        <f t="shared" si="19"/>
        <v>-44</v>
      </c>
      <c r="H56" s="12">
        <f t="shared" si="19"/>
        <v>0</v>
      </c>
      <c r="I56" s="12">
        <f t="shared" si="19"/>
        <v>-11</v>
      </c>
      <c r="J56" s="12">
        <f t="shared" si="19"/>
        <v>24</v>
      </c>
      <c r="K56" s="12">
        <f t="shared" si="19"/>
        <v>41</v>
      </c>
      <c r="L56" s="12">
        <f t="shared" si="19"/>
        <v>-45</v>
      </c>
      <c r="M56" s="12">
        <f t="shared" si="19"/>
        <v>-15</v>
      </c>
      <c r="N56" s="12">
        <f t="shared" si="19"/>
        <v>24</v>
      </c>
    </row>
    <row r="57" spans="1:14">
      <c r="A57" s="7" t="s">
        <v>30</v>
      </c>
      <c r="B57" s="52">
        <v>6.04</v>
      </c>
      <c r="C57" s="52">
        <v>9.02</v>
      </c>
      <c r="D57" s="52">
        <v>37.270000000000003</v>
      </c>
      <c r="E57" s="52">
        <v>36.94</v>
      </c>
      <c r="F57" s="52">
        <v>78.3</v>
      </c>
      <c r="G57" s="52">
        <v>35.85</v>
      </c>
      <c r="H57" s="52">
        <v>37.229999999999997</v>
      </c>
      <c r="I57" s="52">
        <v>27.44</v>
      </c>
      <c r="J57" s="52">
        <v>54.16</v>
      </c>
      <c r="K57" s="52">
        <v>90.65</v>
      </c>
      <c r="L57" s="52">
        <v>57.4</v>
      </c>
      <c r="M57" s="52">
        <v>45.41</v>
      </c>
      <c r="N57" s="7"/>
    </row>
    <row r="59" spans="1:14">
      <c r="A59" s="7" t="s">
        <v>131</v>
      </c>
      <c r="B59" s="7">
        <f>SUM(G42:M42)</f>
        <v>885.23</v>
      </c>
    </row>
    <row r="60" spans="1:14">
      <c r="A60" s="7" t="s">
        <v>132</v>
      </c>
      <c r="B60" s="52">
        <f>1423.18-98</f>
        <v>1325.18</v>
      </c>
    </row>
    <row r="61" spans="1:14">
      <c r="A61" s="12" t="s">
        <v>31</v>
      </c>
      <c r="B61" s="12">
        <f>B60/B59</f>
        <v>1.496989482959231</v>
      </c>
    </row>
    <row r="63" spans="1:14">
      <c r="E63" s="1" t="s">
        <v>128</v>
      </c>
    </row>
    <row r="64" spans="1:14">
      <c r="A64" s="7" t="s">
        <v>129</v>
      </c>
      <c r="B64" s="67">
        <v>0.50660000000000005</v>
      </c>
      <c r="C64" s="67">
        <v>0.7702</v>
      </c>
      <c r="D64" s="67">
        <v>0.53810000000000002</v>
      </c>
      <c r="E64" s="67">
        <v>0.58779999999999999</v>
      </c>
      <c r="F64" s="67">
        <v>0.59470000000000001</v>
      </c>
      <c r="G64" s="67">
        <v>0.58089999999999997</v>
      </c>
      <c r="H64" s="67">
        <v>0.57479999999999998</v>
      </c>
      <c r="I64" s="67">
        <v>0.53169999999999995</v>
      </c>
      <c r="J64" s="67">
        <v>0.52049999999999996</v>
      </c>
      <c r="K64" s="67">
        <v>0.46949999999999997</v>
      </c>
      <c r="L64" s="67">
        <v>0.51749999999999996</v>
      </c>
      <c r="M64" s="67">
        <v>0.56910000000000005</v>
      </c>
    </row>
    <row r="65" spans="1:14">
      <c r="A65" s="7" t="s">
        <v>130</v>
      </c>
      <c r="B65" s="52"/>
      <c r="C65" s="52"/>
      <c r="D65" s="52"/>
      <c r="E65" s="68">
        <f t="shared" ref="E65:M65" si="20">E66/E5</f>
        <v>0.17272727272727273</v>
      </c>
      <c r="F65" s="68">
        <f t="shared" si="20"/>
        <v>0.2337890044576523</v>
      </c>
      <c r="G65" s="68">
        <f t="shared" si="20"/>
        <v>0.25502109704641351</v>
      </c>
      <c r="H65" s="68">
        <f t="shared" si="20"/>
        <v>0.29111807732497391</v>
      </c>
      <c r="I65" s="68">
        <f t="shared" si="20"/>
        <v>0.28041704442429738</v>
      </c>
      <c r="J65" s="68">
        <f t="shared" si="20"/>
        <v>0.2744764397905759</v>
      </c>
      <c r="K65" s="68">
        <f t="shared" si="20"/>
        <v>0.20959611069558715</v>
      </c>
      <c r="L65" s="68">
        <f t="shared" si="20"/>
        <v>0.19570208222103577</v>
      </c>
      <c r="M65" s="68">
        <f t="shared" si="20"/>
        <v>0.18868115209701869</v>
      </c>
    </row>
    <row r="66" spans="1:14">
      <c r="E66">
        <v>104.5</v>
      </c>
      <c r="F66">
        <v>157.34</v>
      </c>
      <c r="G66">
        <v>241.76</v>
      </c>
      <c r="H66">
        <v>278.60000000000002</v>
      </c>
      <c r="I66">
        <v>309.3</v>
      </c>
      <c r="J66">
        <v>314.55</v>
      </c>
      <c r="K66">
        <v>280.23</v>
      </c>
      <c r="L66">
        <v>366.55</v>
      </c>
      <c r="M66">
        <v>373.4</v>
      </c>
    </row>
    <row r="68" spans="1:14">
      <c r="A68" t="s">
        <v>138</v>
      </c>
      <c r="E68">
        <v>242</v>
      </c>
      <c r="F68">
        <v>195</v>
      </c>
      <c r="G68">
        <v>245</v>
      </c>
      <c r="H68">
        <v>245</v>
      </c>
      <c r="I68">
        <v>263</v>
      </c>
      <c r="J68">
        <v>556</v>
      </c>
      <c r="K68">
        <v>661</v>
      </c>
      <c r="L68">
        <v>1020</v>
      </c>
      <c r="M68" s="72">
        <v>1058.98</v>
      </c>
      <c r="N68" s="73">
        <f>(M68/E68)^(1/8)-1</f>
        <v>0.20263558193352504</v>
      </c>
    </row>
    <row r="69" spans="1:14">
      <c r="A69" t="s">
        <v>139</v>
      </c>
      <c r="E69">
        <f>E5-E68</f>
        <v>363</v>
      </c>
      <c r="F69">
        <f t="shared" ref="F69:M69" si="21">F5-F68</f>
        <v>478</v>
      </c>
      <c r="G69">
        <f t="shared" si="21"/>
        <v>703</v>
      </c>
      <c r="H69">
        <f t="shared" si="21"/>
        <v>712</v>
      </c>
      <c r="I69">
        <f t="shared" si="21"/>
        <v>840</v>
      </c>
      <c r="J69">
        <f t="shared" si="21"/>
        <v>590</v>
      </c>
      <c r="K69">
        <f t="shared" si="21"/>
        <v>676</v>
      </c>
      <c r="L69">
        <f t="shared" si="21"/>
        <v>853</v>
      </c>
      <c r="M69">
        <f t="shared" si="21"/>
        <v>920.02</v>
      </c>
      <c r="N69" s="73">
        <f>(M69/E69)^(1/8)-1</f>
        <v>0.1232756136111699</v>
      </c>
    </row>
    <row r="71" spans="1:14">
      <c r="A71" t="s">
        <v>137</v>
      </c>
      <c r="B71" s="73">
        <f>0.5*0.09+0.5*0.055</f>
        <v>7.2499999999999995E-2</v>
      </c>
      <c r="C71" s="73">
        <f>(0.5*N69)+(0.5*N68)</f>
        <v>0.16295559777234747</v>
      </c>
    </row>
  </sheetData>
  <mergeCells count="2">
    <mergeCell ref="B3:L3"/>
    <mergeCell ref="B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4"/>
  <sheetViews>
    <sheetView showGridLines="0" tabSelected="1" workbookViewId="0"/>
  </sheetViews>
  <sheetFormatPr defaultRowHeight="15"/>
  <cols>
    <col min="1" max="1" width="29.85546875" bestFit="1" customWidth="1"/>
  </cols>
  <sheetData>
    <row r="2" spans="1:13">
      <c r="A2" s="2" t="s">
        <v>39</v>
      </c>
      <c r="B2" s="3">
        <v>39508</v>
      </c>
      <c r="C2" s="3">
        <v>39873</v>
      </c>
      <c r="D2" s="3">
        <v>40238</v>
      </c>
      <c r="E2" s="3">
        <v>40603</v>
      </c>
      <c r="F2" s="3">
        <v>40969</v>
      </c>
      <c r="G2" s="3">
        <v>41334</v>
      </c>
      <c r="H2" s="3">
        <v>41699</v>
      </c>
      <c r="I2" s="3">
        <v>42064</v>
      </c>
      <c r="J2" s="3">
        <v>42430</v>
      </c>
      <c r="K2" s="3">
        <v>42795</v>
      </c>
      <c r="L2" s="3">
        <v>43160</v>
      </c>
      <c r="M2" s="3">
        <v>43526</v>
      </c>
    </row>
    <row r="3" spans="1:13">
      <c r="A3" s="12" t="s">
        <v>40</v>
      </c>
      <c r="B3" s="11">
        <f>Financials!B8</f>
        <v>0.1856763925729443</v>
      </c>
      <c r="C3" s="11">
        <f>Financials!C8</f>
        <v>2.6438569206842923E-2</v>
      </c>
      <c r="D3" s="11">
        <f>Financials!D8</f>
        <v>0.11740041928721175</v>
      </c>
      <c r="E3" s="11">
        <f>Financials!E8</f>
        <v>0.17520661157024794</v>
      </c>
      <c r="F3" s="11">
        <f>Financials!F8</f>
        <v>9.8068350668647844E-2</v>
      </c>
      <c r="G3" s="11">
        <f>Financials!G8</f>
        <v>9.0717299578059074E-2</v>
      </c>
      <c r="H3" s="11">
        <f>Financials!H8</f>
        <v>5.5381400208986416E-2</v>
      </c>
      <c r="I3" s="11">
        <f>Financials!I8</f>
        <v>0.10335448776065277</v>
      </c>
      <c r="J3" s="11">
        <f>Financials!J8</f>
        <v>0.11518324607329843</v>
      </c>
      <c r="K3" s="11">
        <f>Financials!K8</f>
        <v>0.20418848167539266</v>
      </c>
      <c r="L3" s="11">
        <f>Financials!L8</f>
        <v>0.20608649225840897</v>
      </c>
      <c r="M3" s="11">
        <f>Financials!M8</f>
        <v>0.16422435573521982</v>
      </c>
    </row>
    <row r="25" spans="1:17">
      <c r="A25" s="2" t="s">
        <v>41</v>
      </c>
      <c r="B25" s="3">
        <v>43252</v>
      </c>
      <c r="C25" s="3">
        <v>43344</v>
      </c>
      <c r="D25" s="3">
        <v>43435</v>
      </c>
      <c r="E25" s="3">
        <v>43525</v>
      </c>
      <c r="F25" s="3">
        <v>43617</v>
      </c>
      <c r="G25" s="3">
        <v>43709</v>
      </c>
      <c r="H25" s="3">
        <v>43800</v>
      </c>
    </row>
    <row r="26" spans="1:17">
      <c r="A26" s="9" t="s">
        <v>7</v>
      </c>
      <c r="B26" s="23">
        <v>0.18</v>
      </c>
      <c r="C26" s="23">
        <v>0.16</v>
      </c>
      <c r="D26" s="23">
        <v>0.14000000000000001</v>
      </c>
      <c r="E26" s="23">
        <v>0.15720000000000001</v>
      </c>
      <c r="F26" s="23">
        <v>0.14000000000000001</v>
      </c>
      <c r="G26" s="23">
        <v>0.11</v>
      </c>
      <c r="H26" s="23">
        <v>0.12</v>
      </c>
    </row>
    <row r="29" spans="1:17">
      <c r="Q29" s="22"/>
    </row>
    <row r="44" spans="1:13">
      <c r="A44" s="2" t="s">
        <v>39</v>
      </c>
      <c r="B44" s="3">
        <v>39508</v>
      </c>
      <c r="C44" s="3">
        <v>39873</v>
      </c>
      <c r="D44" s="3">
        <v>40238</v>
      </c>
      <c r="E44" s="3">
        <v>40603</v>
      </c>
      <c r="F44" s="3">
        <v>40969</v>
      </c>
      <c r="G44" s="3">
        <v>41334</v>
      </c>
      <c r="H44" s="3">
        <v>41699</v>
      </c>
      <c r="I44" s="3">
        <v>42064</v>
      </c>
      <c r="J44" s="3">
        <v>42430</v>
      </c>
      <c r="K44" s="3">
        <v>42795</v>
      </c>
      <c r="L44" s="3">
        <v>43160</v>
      </c>
      <c r="M44" s="3">
        <v>43526</v>
      </c>
    </row>
    <row r="45" spans="1:13">
      <c r="A45" s="12" t="s">
        <v>42</v>
      </c>
      <c r="B45" s="11">
        <f>Financials!B64</f>
        <v>0.50660000000000005</v>
      </c>
      <c r="C45" s="11">
        <f>Financials!C64</f>
        <v>0.7702</v>
      </c>
      <c r="D45" s="11">
        <f>Financials!D64</f>
        <v>0.53810000000000002</v>
      </c>
      <c r="E45" s="11">
        <f>Financials!E64</f>
        <v>0.58779999999999999</v>
      </c>
      <c r="F45" s="11">
        <f>Financials!F64</f>
        <v>0.59470000000000001</v>
      </c>
      <c r="G45" s="11">
        <f>Financials!G64</f>
        <v>0.58089999999999997</v>
      </c>
      <c r="H45" s="11">
        <f>Financials!H64</f>
        <v>0.57479999999999998</v>
      </c>
      <c r="I45" s="11">
        <f>Financials!I64</f>
        <v>0.53169999999999995</v>
      </c>
      <c r="J45" s="11">
        <f>Financials!J64</f>
        <v>0.52049999999999996</v>
      </c>
      <c r="K45" s="11">
        <f>Financials!K64</f>
        <v>0.46949999999999997</v>
      </c>
      <c r="L45" s="11">
        <f>Financials!L64</f>
        <v>0.51749999999999996</v>
      </c>
      <c r="M45" s="11">
        <f>Financials!M64</f>
        <v>0.56910000000000005</v>
      </c>
    </row>
    <row r="66" spans="1:12">
      <c r="A66" s="2" t="s">
        <v>39</v>
      </c>
      <c r="B66" s="3">
        <v>39508</v>
      </c>
      <c r="C66" s="3">
        <v>39873</v>
      </c>
      <c r="D66" s="3">
        <v>40238</v>
      </c>
      <c r="E66" s="3">
        <v>40603</v>
      </c>
      <c r="F66" s="3">
        <v>40969</v>
      </c>
      <c r="G66" s="3">
        <v>41334</v>
      </c>
      <c r="H66" s="3">
        <v>41699</v>
      </c>
      <c r="I66" s="3">
        <v>42064</v>
      </c>
      <c r="J66" s="3">
        <v>42430</v>
      </c>
      <c r="K66" s="3">
        <v>42795</v>
      </c>
      <c r="L66" s="3">
        <v>43160</v>
      </c>
    </row>
    <row r="67" spans="1:12">
      <c r="A67" s="12" t="s">
        <v>43</v>
      </c>
      <c r="B67" s="11">
        <v>0.15190000000000001</v>
      </c>
      <c r="C67" s="11">
        <v>0.13139999999999999</v>
      </c>
      <c r="D67" s="11">
        <v>0.11840000000000001</v>
      </c>
      <c r="E67" s="11">
        <v>0.1308</v>
      </c>
      <c r="F67" s="11">
        <v>0.12130000000000001</v>
      </c>
      <c r="G67" s="11">
        <v>0.1371</v>
      </c>
      <c r="H67" s="11">
        <v>0.1158</v>
      </c>
      <c r="I67" s="11">
        <v>0.1109</v>
      </c>
      <c r="J67" s="11">
        <v>0.1066</v>
      </c>
      <c r="K67" s="11">
        <v>0.1232</v>
      </c>
      <c r="L67" s="11">
        <v>0.10199999999999999</v>
      </c>
    </row>
    <row r="85" spans="1:13">
      <c r="A85" s="2" t="s">
        <v>39</v>
      </c>
      <c r="B85" s="3">
        <v>39508</v>
      </c>
      <c r="C85" s="3">
        <v>39873</v>
      </c>
      <c r="D85" s="3">
        <v>40238</v>
      </c>
      <c r="E85" s="3">
        <v>40603</v>
      </c>
      <c r="F85" s="3">
        <v>40969</v>
      </c>
      <c r="G85" s="3">
        <v>41334</v>
      </c>
      <c r="H85" s="3">
        <v>41699</v>
      </c>
      <c r="I85" s="3">
        <v>42064</v>
      </c>
      <c r="J85" s="3">
        <v>42430</v>
      </c>
      <c r="K85" s="3">
        <v>42795</v>
      </c>
      <c r="L85" s="3">
        <v>43160</v>
      </c>
      <c r="M85" s="3">
        <v>43526</v>
      </c>
    </row>
    <row r="86" spans="1:13">
      <c r="A86" s="12" t="s">
        <v>40</v>
      </c>
      <c r="B86" s="11">
        <f>B3</f>
        <v>0.1856763925729443</v>
      </c>
      <c r="C86" s="11">
        <f t="shared" ref="C86:M86" si="0">C3</f>
        <v>2.6438569206842923E-2</v>
      </c>
      <c r="D86" s="11">
        <f t="shared" si="0"/>
        <v>0.11740041928721175</v>
      </c>
      <c r="E86" s="11">
        <f t="shared" si="0"/>
        <v>0.17520661157024794</v>
      </c>
      <c r="F86" s="11">
        <f t="shared" si="0"/>
        <v>9.8068350668647844E-2</v>
      </c>
      <c r="G86" s="11">
        <f t="shared" si="0"/>
        <v>9.0717299578059074E-2</v>
      </c>
      <c r="H86" s="11">
        <f t="shared" si="0"/>
        <v>5.5381400208986416E-2</v>
      </c>
      <c r="I86" s="11">
        <f t="shared" si="0"/>
        <v>0.10335448776065277</v>
      </c>
      <c r="J86" s="11">
        <f t="shared" si="0"/>
        <v>0.11518324607329843</v>
      </c>
      <c r="K86" s="11">
        <f t="shared" si="0"/>
        <v>0.20418848167539266</v>
      </c>
      <c r="L86" s="11">
        <f t="shared" si="0"/>
        <v>0.20608649225840897</v>
      </c>
      <c r="M86" s="11">
        <f t="shared" si="0"/>
        <v>0.16422435573521982</v>
      </c>
    </row>
    <row r="87" spans="1:13">
      <c r="A87" s="12" t="s">
        <v>42</v>
      </c>
      <c r="B87" s="11">
        <f>Financials!B64</f>
        <v>0.50660000000000005</v>
      </c>
      <c r="C87" s="11">
        <f>Financials!C64</f>
        <v>0.7702</v>
      </c>
      <c r="D87" s="11">
        <f>Financials!D64</f>
        <v>0.53810000000000002</v>
      </c>
      <c r="E87" s="11">
        <f>Financials!E64</f>
        <v>0.58779999999999999</v>
      </c>
      <c r="F87" s="11">
        <f>Financials!F64</f>
        <v>0.59470000000000001</v>
      </c>
      <c r="G87" s="11">
        <f>Financials!G64</f>
        <v>0.58089999999999997</v>
      </c>
      <c r="H87" s="11">
        <f>Financials!H64</f>
        <v>0.57479999999999998</v>
      </c>
      <c r="I87" s="11">
        <f>Financials!I64</f>
        <v>0.53169999999999995</v>
      </c>
      <c r="J87" s="11">
        <f>Financials!J64</f>
        <v>0.52049999999999996</v>
      </c>
      <c r="K87" s="11">
        <f>Financials!K64</f>
        <v>0.46949999999999997</v>
      </c>
      <c r="L87" s="11">
        <f>Financials!L64</f>
        <v>0.51749999999999996</v>
      </c>
      <c r="M87" s="11">
        <f>Financials!M64</f>
        <v>0.56910000000000005</v>
      </c>
    </row>
    <row r="88" spans="1:13">
      <c r="A88" s="12" t="s">
        <v>43</v>
      </c>
      <c r="B88" s="11">
        <v>0.22359999999999999</v>
      </c>
      <c r="C88" s="11">
        <v>0.13539999999999999</v>
      </c>
      <c r="D88" s="11">
        <v>0.29409999999999997</v>
      </c>
      <c r="E88" s="11">
        <v>0.1913</v>
      </c>
      <c r="F88" s="11">
        <v>0.2515</v>
      </c>
      <c r="G88" s="11">
        <v>0.27300000000000002</v>
      </c>
      <c r="H88" s="11">
        <v>0.31559999999999999</v>
      </c>
      <c r="I88" s="11">
        <v>0.30520000000000003</v>
      </c>
      <c r="J88" s="11">
        <v>0.29449999999999998</v>
      </c>
      <c r="K88" s="11">
        <v>0.23200000000000001</v>
      </c>
      <c r="L88" s="11">
        <v>0.21099999999999999</v>
      </c>
      <c r="M88" s="11">
        <v>0.20530000000000001</v>
      </c>
    </row>
    <row r="116" spans="1:13">
      <c r="A116" s="2" t="s">
        <v>39</v>
      </c>
      <c r="B116" s="3">
        <v>41699</v>
      </c>
      <c r="C116" s="3">
        <v>43525</v>
      </c>
      <c r="D116" s="3" t="s">
        <v>45</v>
      </c>
      <c r="I116" s="69">
        <f>(355000/235600)^(1/4)-1</f>
        <v>0.10793240973979534</v>
      </c>
      <c r="J116" s="69">
        <f>(2)^(1/4)-1</f>
        <v>0.18920711500272103</v>
      </c>
    </row>
    <row r="117" spans="1:13">
      <c r="A117" s="12" t="s">
        <v>40</v>
      </c>
      <c r="B117" s="11">
        <v>0.06</v>
      </c>
      <c r="C117" s="11">
        <v>0.16</v>
      </c>
      <c r="D117" s="11">
        <f>C117-B117</f>
        <v>0.1</v>
      </c>
    </row>
    <row r="118" spans="1:13">
      <c r="A118" s="12" t="s">
        <v>42</v>
      </c>
      <c r="B118" s="11">
        <v>0.57479999999999998</v>
      </c>
      <c r="C118" s="11">
        <v>0.56910000000000005</v>
      </c>
      <c r="D118" s="11">
        <f>C118-B118</f>
        <v>-5.6999999999999273E-3</v>
      </c>
    </row>
    <row r="119" spans="1:13">
      <c r="A119" s="12" t="s">
        <v>43</v>
      </c>
      <c r="B119" s="11">
        <v>0.31559999999999999</v>
      </c>
      <c r="C119" s="11">
        <v>0.20530000000000001</v>
      </c>
      <c r="D119" s="11">
        <f>C119-B119</f>
        <v>-0.11029999999999998</v>
      </c>
    </row>
    <row r="120" spans="1:13">
      <c r="A120" s="12" t="s">
        <v>44</v>
      </c>
      <c r="B120" s="11">
        <v>3.9600000000000003E-2</v>
      </c>
      <c r="C120" s="11">
        <v>3.9300000000000002E-2</v>
      </c>
      <c r="D120" s="11">
        <f>C120-B120</f>
        <v>-3.0000000000000165E-4</v>
      </c>
    </row>
    <row r="122" spans="1:13">
      <c r="A122" s="2" t="s">
        <v>39</v>
      </c>
      <c r="B122" s="3">
        <v>39508</v>
      </c>
      <c r="C122" s="3">
        <v>39873</v>
      </c>
      <c r="D122" s="3">
        <v>40238</v>
      </c>
      <c r="E122" s="3">
        <v>40603</v>
      </c>
      <c r="F122" s="3">
        <v>40969</v>
      </c>
      <c r="G122" s="3">
        <v>41334</v>
      </c>
      <c r="H122" s="3">
        <v>41699</v>
      </c>
      <c r="I122" s="3">
        <v>42064</v>
      </c>
      <c r="J122" s="3">
        <v>42430</v>
      </c>
      <c r="K122" s="3">
        <v>42795</v>
      </c>
      <c r="L122" s="3">
        <v>43160</v>
      </c>
      <c r="M122" s="3">
        <v>43526</v>
      </c>
    </row>
    <row r="123" spans="1:13">
      <c r="A123" s="12" t="s">
        <v>135</v>
      </c>
      <c r="B123" s="11">
        <f>Financials!B16</f>
        <v>0.10344827586206896</v>
      </c>
      <c r="C123" s="11">
        <f>Financials!C16</f>
        <v>0</v>
      </c>
      <c r="D123" s="11">
        <f>Financials!D16</f>
        <v>6.2893081761006289E-2</v>
      </c>
      <c r="E123" s="11">
        <f>Financials!E16</f>
        <v>0.12066115702479339</v>
      </c>
      <c r="F123" s="11">
        <f>Financials!F16</f>
        <v>6.6864784546805348E-2</v>
      </c>
      <c r="G123" s="11">
        <f>Financials!G16</f>
        <v>4.6413502109704644E-2</v>
      </c>
      <c r="H123" s="11">
        <f>Financials!H16</f>
        <v>1.1494252873563218E-2</v>
      </c>
      <c r="I123" s="11">
        <f>Financials!I16</f>
        <v>4.805077062556664E-2</v>
      </c>
      <c r="J123" s="11">
        <f>Financials!J16</f>
        <v>6.8935427574171024E-2</v>
      </c>
      <c r="K123" s="11">
        <f>Financials!K16</f>
        <v>0.13462976813762154</v>
      </c>
      <c r="L123" s="11">
        <f>Financials!L16</f>
        <v>0.15589962626801923</v>
      </c>
      <c r="M123" s="11">
        <f>Financials!M16</f>
        <v>0.12885295603840324</v>
      </c>
    </row>
    <row r="124" spans="1:13">
      <c r="A124" s="12" t="s">
        <v>42</v>
      </c>
      <c r="B124" s="11">
        <f>Financials!B64</f>
        <v>0.50660000000000005</v>
      </c>
      <c r="C124" s="11">
        <f>Financials!C64</f>
        <v>0.7702</v>
      </c>
      <c r="D124" s="11">
        <f>Financials!D64</f>
        <v>0.53810000000000002</v>
      </c>
      <c r="E124" s="11">
        <f>Financials!E64</f>
        <v>0.58779999999999999</v>
      </c>
      <c r="F124" s="11">
        <f>Financials!F64</f>
        <v>0.59470000000000001</v>
      </c>
      <c r="G124" s="11">
        <f>Financials!G64</f>
        <v>0.58089999999999997</v>
      </c>
      <c r="H124" s="11">
        <f>Financials!H64</f>
        <v>0.57479999999999998</v>
      </c>
      <c r="I124" s="11">
        <f>Financials!I64</f>
        <v>0.53169999999999995</v>
      </c>
      <c r="J124" s="11">
        <f>Financials!J64</f>
        <v>0.52049999999999996</v>
      </c>
      <c r="K124" s="11">
        <f>Financials!K64</f>
        <v>0.46949999999999997</v>
      </c>
      <c r="L124" s="11">
        <f>Financials!L64</f>
        <v>0.51749999999999996</v>
      </c>
      <c r="M124" s="11">
        <f>Financials!M64</f>
        <v>0.56910000000000005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4"/>
  <sheetViews>
    <sheetView showGridLines="0" topLeftCell="A16" workbookViewId="0">
      <selection activeCell="Q22" sqref="Q22"/>
    </sheetView>
  </sheetViews>
  <sheetFormatPr defaultRowHeight="15"/>
  <cols>
    <col min="9" max="9" width="2.140625" customWidth="1"/>
    <col min="15" max="15" width="11.85546875" bestFit="1" customWidth="1"/>
  </cols>
  <sheetData>
    <row r="2" spans="1:19">
      <c r="A2" s="1" t="s">
        <v>47</v>
      </c>
    </row>
    <row r="3" spans="1:19">
      <c r="A3" t="s">
        <v>86</v>
      </c>
    </row>
    <row r="4" spans="1:19">
      <c r="A4" t="s">
        <v>87</v>
      </c>
    </row>
    <row r="5" spans="1:19">
      <c r="A5" t="s">
        <v>88</v>
      </c>
    </row>
    <row r="6" spans="1:19">
      <c r="A6" t="s">
        <v>48</v>
      </c>
    </row>
    <row r="9" spans="1:19">
      <c r="A9" s="24" t="s">
        <v>49</v>
      </c>
    </row>
    <row r="10" spans="1:19">
      <c r="A10" s="24"/>
    </row>
    <row r="11" spans="1:19">
      <c r="B11" s="14"/>
      <c r="C11" s="14"/>
      <c r="D11" s="76" t="s">
        <v>85</v>
      </c>
      <c r="E11" s="76"/>
      <c r="F11" s="76"/>
      <c r="G11" s="76"/>
      <c r="H11" s="76"/>
      <c r="I11" s="25"/>
      <c r="J11" s="76" t="s">
        <v>89</v>
      </c>
      <c r="K11" s="76"/>
      <c r="L11" s="76"/>
      <c r="M11" s="76"/>
      <c r="N11" s="77"/>
      <c r="O11" s="26" t="s">
        <v>90</v>
      </c>
      <c r="P11" s="27"/>
    </row>
    <row r="12" spans="1:19">
      <c r="B12" s="14"/>
      <c r="C12" s="28">
        <v>0</v>
      </c>
      <c r="D12" s="28">
        <v>1</v>
      </c>
      <c r="E12" s="28">
        <v>2</v>
      </c>
      <c r="F12" s="28">
        <v>3</v>
      </c>
      <c r="G12" s="28">
        <v>4</v>
      </c>
      <c r="H12" s="28">
        <v>5</v>
      </c>
      <c r="I12" s="25"/>
      <c r="J12" s="28">
        <v>6</v>
      </c>
      <c r="K12" s="28">
        <v>7</v>
      </c>
      <c r="L12" s="28">
        <v>8</v>
      </c>
      <c r="M12" s="28">
        <v>9</v>
      </c>
      <c r="N12" s="28">
        <v>10</v>
      </c>
      <c r="O12" s="29">
        <v>11</v>
      </c>
    </row>
    <row r="13" spans="1:19">
      <c r="B13" s="14"/>
      <c r="C13" s="30" t="s">
        <v>51</v>
      </c>
      <c r="D13" s="30" t="s">
        <v>52</v>
      </c>
      <c r="E13" s="30" t="s">
        <v>53</v>
      </c>
      <c r="F13" s="30" t="s">
        <v>54</v>
      </c>
      <c r="G13" s="30" t="s">
        <v>55</v>
      </c>
      <c r="H13" s="30" t="s">
        <v>56</v>
      </c>
      <c r="I13" s="25"/>
      <c r="J13" s="30" t="s">
        <v>57</v>
      </c>
      <c r="K13" s="30" t="s">
        <v>58</v>
      </c>
      <c r="L13" s="30" t="s">
        <v>59</v>
      </c>
      <c r="M13" s="30" t="s">
        <v>60</v>
      </c>
      <c r="N13" s="30" t="s">
        <v>61</v>
      </c>
      <c r="O13" s="30" t="s">
        <v>81</v>
      </c>
      <c r="P13" s="31"/>
      <c r="Q13" s="31"/>
      <c r="R13" s="31"/>
      <c r="S13" s="31"/>
    </row>
    <row r="14" spans="1:19" ht="35.1" customHeight="1">
      <c r="B14" s="32" t="s">
        <v>10</v>
      </c>
      <c r="C14" s="32">
        <f>Financials!L19</f>
        <v>273</v>
      </c>
      <c r="D14" s="32">
        <f>C14*1.08</f>
        <v>294.84000000000003</v>
      </c>
      <c r="E14" s="32">
        <f>D14*1.08</f>
        <v>318.42720000000003</v>
      </c>
      <c r="F14" s="32">
        <f>E14*1.08</f>
        <v>343.90137600000003</v>
      </c>
      <c r="G14" s="32">
        <f>F14*1.08</f>
        <v>371.41348608000004</v>
      </c>
      <c r="H14" s="32">
        <f>G14*1.08</f>
        <v>401.12656496640005</v>
      </c>
      <c r="I14" s="33"/>
      <c r="J14" s="32">
        <f>H14*1.05</f>
        <v>421.18289321472008</v>
      </c>
      <c r="K14" s="32">
        <f>J14*1.05</f>
        <v>442.24203787545611</v>
      </c>
      <c r="L14" s="32">
        <f>K14*1.05</f>
        <v>464.35413976922894</v>
      </c>
      <c r="M14" s="32">
        <f>L14*1.05</f>
        <v>487.57184675769042</v>
      </c>
      <c r="N14" s="32">
        <f>M14*1.05</f>
        <v>511.95043909557495</v>
      </c>
      <c r="O14" s="32">
        <f>N14*1.03</f>
        <v>527.30895226844223</v>
      </c>
      <c r="P14" s="34"/>
      <c r="Q14" s="34"/>
      <c r="R14" s="34"/>
      <c r="S14" s="34"/>
    </row>
    <row r="15" spans="1:19" ht="29.45" customHeight="1">
      <c r="B15" s="35" t="s">
        <v>62</v>
      </c>
      <c r="C15" s="32"/>
      <c r="D15" s="32"/>
      <c r="E15" s="32"/>
      <c r="F15" s="32"/>
      <c r="G15" s="32"/>
      <c r="H15" s="32"/>
      <c r="I15" s="33"/>
      <c r="J15" s="32"/>
      <c r="K15" s="32"/>
      <c r="L15" s="32"/>
      <c r="M15" s="32"/>
      <c r="N15" s="32">
        <f>O14/(0.11531-0.03)</f>
        <v>6181.0919267195195</v>
      </c>
      <c r="O15" s="32"/>
      <c r="P15" s="34"/>
      <c r="Q15" s="34"/>
      <c r="R15" s="34"/>
      <c r="S15" s="34"/>
    </row>
    <row r="16" spans="1:19" ht="30">
      <c r="B16" s="36" t="s">
        <v>63</v>
      </c>
      <c r="C16" s="7"/>
      <c r="D16" s="7">
        <f>D14/((1.11531)^D12)</f>
        <v>264.35699491621165</v>
      </c>
      <c r="E16" s="7">
        <f t="shared" ref="E16:M16" si="0">E14/((1.11531)^E12)</f>
        <v>255.98762183564082</v>
      </c>
      <c r="F16" s="7">
        <f t="shared" si="0"/>
        <v>247.88321774438683</v>
      </c>
      <c r="G16" s="7">
        <f t="shared" si="0"/>
        <v>240.03539389401848</v>
      </c>
      <c r="H16" s="7">
        <f t="shared" si="0"/>
        <v>232.43602711850514</v>
      </c>
      <c r="I16" s="25"/>
      <c r="J16" s="7">
        <f t="shared" si="0"/>
        <v>218.82510555310216</v>
      </c>
      <c r="K16" s="7">
        <f t="shared" si="0"/>
        <v>206.01120839117129</v>
      </c>
      <c r="L16" s="7">
        <f t="shared" si="0"/>
        <v>193.94766370850246</v>
      </c>
      <c r="M16" s="7">
        <f t="shared" si="0"/>
        <v>182.59053258190784</v>
      </c>
      <c r="N16" s="7">
        <f>(N14+N15)/((1.11531)^N12)</f>
        <v>2247.3339492556934</v>
      </c>
      <c r="O16" s="7"/>
    </row>
    <row r="19" spans="1:16">
      <c r="B19" t="s">
        <v>64</v>
      </c>
      <c r="E19">
        <f>D16+E16+F16+G16+H16+J16+K16+L16+M16+N16</f>
        <v>4289.4077149991399</v>
      </c>
    </row>
    <row r="20" spans="1:16">
      <c r="B20" t="s">
        <v>65</v>
      </c>
      <c r="E20">
        <f>Financials!M45</f>
        <v>407</v>
      </c>
    </row>
    <row r="21" spans="1:16">
      <c r="B21" t="s">
        <v>66</v>
      </c>
      <c r="E21">
        <f>E19-E20</f>
        <v>3882.4077149991399</v>
      </c>
    </row>
    <row r="22" spans="1:16">
      <c r="B22" t="s">
        <v>67</v>
      </c>
      <c r="E22">
        <f>(3059212+2543373+616201+400924+313404+307917+230312)/10000000</f>
        <v>0.74713430000000003</v>
      </c>
    </row>
    <row r="23" spans="1:16">
      <c r="B23" s="1" t="s">
        <v>68</v>
      </c>
      <c r="E23" s="37">
        <f>E21/E22</f>
        <v>5196.3987130548549</v>
      </c>
    </row>
    <row r="26" spans="1:16">
      <c r="A26" s="24" t="s">
        <v>69</v>
      </c>
    </row>
    <row r="28" spans="1:16">
      <c r="B28" s="14"/>
      <c r="C28" s="14"/>
      <c r="D28" s="76" t="s">
        <v>85</v>
      </c>
      <c r="E28" s="76"/>
      <c r="F28" s="76"/>
      <c r="G28" s="76"/>
      <c r="H28" s="76"/>
      <c r="I28" s="25"/>
      <c r="J28" s="76" t="s">
        <v>89</v>
      </c>
      <c r="K28" s="76"/>
      <c r="L28" s="76"/>
      <c r="M28" s="76"/>
      <c r="N28" s="77"/>
      <c r="O28" s="26" t="s">
        <v>90</v>
      </c>
      <c r="P28" s="27"/>
    </row>
    <row r="29" spans="1:16">
      <c r="B29" s="14"/>
      <c r="C29" s="28">
        <v>0</v>
      </c>
      <c r="D29" s="28">
        <v>1</v>
      </c>
      <c r="E29" s="28">
        <v>2</v>
      </c>
      <c r="F29" s="28">
        <v>3</v>
      </c>
      <c r="G29" s="28">
        <v>4</v>
      </c>
      <c r="H29" s="28">
        <v>5</v>
      </c>
      <c r="I29" s="25"/>
      <c r="J29" s="28">
        <v>6</v>
      </c>
      <c r="K29" s="28">
        <v>7</v>
      </c>
      <c r="L29" s="28">
        <v>8</v>
      </c>
      <c r="M29" s="28">
        <v>9</v>
      </c>
      <c r="N29" s="28">
        <v>10</v>
      </c>
      <c r="O29" s="29">
        <v>11</v>
      </c>
    </row>
    <row r="30" spans="1:16">
      <c r="B30" s="14"/>
      <c r="C30" s="30" t="s">
        <v>51</v>
      </c>
      <c r="D30" s="30" t="s">
        <v>52</v>
      </c>
      <c r="E30" s="30" t="s">
        <v>53</v>
      </c>
      <c r="F30" s="30" t="s">
        <v>54</v>
      </c>
      <c r="G30" s="30" t="s">
        <v>55</v>
      </c>
      <c r="H30" s="30" t="s">
        <v>56</v>
      </c>
      <c r="I30" s="25"/>
      <c r="J30" s="30" t="s">
        <v>57</v>
      </c>
      <c r="K30" s="30" t="s">
        <v>58</v>
      </c>
      <c r="L30" s="30" t="s">
        <v>59</v>
      </c>
      <c r="M30" s="30" t="s">
        <v>60</v>
      </c>
      <c r="N30" s="30" t="s">
        <v>61</v>
      </c>
      <c r="O30" s="30" t="s">
        <v>81</v>
      </c>
    </row>
    <row r="31" spans="1:16">
      <c r="B31" s="32" t="s">
        <v>70</v>
      </c>
      <c r="C31" s="32">
        <f>Financials!L40</f>
        <v>7.28</v>
      </c>
      <c r="D31" s="32">
        <f>C31*1.08</f>
        <v>7.8624000000000009</v>
      </c>
      <c r="E31" s="32">
        <f>D31*1.08</f>
        <v>8.4913920000000012</v>
      </c>
      <c r="F31" s="32">
        <f>E31*1.08</f>
        <v>9.170703360000001</v>
      </c>
      <c r="G31" s="32">
        <f>F31*1.08</f>
        <v>9.9043596288000018</v>
      </c>
      <c r="H31" s="32">
        <f>G31*1.08</f>
        <v>10.696708399104002</v>
      </c>
      <c r="I31" s="33"/>
      <c r="J31" s="32">
        <f>H31*1.05</f>
        <v>11.231543819059203</v>
      </c>
      <c r="K31" s="32">
        <f>J31*1.05</f>
        <v>11.793121010012163</v>
      </c>
      <c r="L31" s="32">
        <f>K31*1.05</f>
        <v>12.382777060512771</v>
      </c>
      <c r="M31" s="32">
        <f>L31*1.05</f>
        <v>13.00191591353841</v>
      </c>
      <c r="N31" s="32">
        <f>M31*1.05</f>
        <v>13.65201170921533</v>
      </c>
      <c r="O31" s="32">
        <f>N31*1.03</f>
        <v>14.061572060491789</v>
      </c>
    </row>
    <row r="32" spans="1:16" ht="30">
      <c r="B32" s="35" t="s">
        <v>62</v>
      </c>
      <c r="C32" s="32"/>
      <c r="D32" s="32"/>
      <c r="E32" s="32"/>
      <c r="F32" s="32"/>
      <c r="G32" s="32"/>
      <c r="H32" s="32"/>
      <c r="I32" s="33"/>
      <c r="J32" s="32"/>
      <c r="K32" s="32"/>
      <c r="L32" s="32"/>
      <c r="M32" s="32"/>
      <c r="N32" s="32">
        <f>O31/(0.11531-0.03)</f>
        <v>164.82911804585382</v>
      </c>
      <c r="O32" s="32"/>
    </row>
    <row r="33" spans="1:15" ht="30">
      <c r="B33" s="36" t="s">
        <v>63</v>
      </c>
      <c r="C33" s="7"/>
      <c r="D33" s="7">
        <f>D31/((1.11531)^D29)</f>
        <v>7.0495198644323107</v>
      </c>
      <c r="E33" s="7">
        <f>E31/((1.11531)^E29)</f>
        <v>6.826336582283755</v>
      </c>
      <c r="F33" s="7">
        <f>F31/((1.11531)^F29)</f>
        <v>6.6102191398503152</v>
      </c>
      <c r="G33" s="7">
        <f>G31/((1.11531)^G29)</f>
        <v>6.4009438371738261</v>
      </c>
      <c r="H33" s="7">
        <f>H31/((1.11531)^H29)</f>
        <v>6.1982940564934701</v>
      </c>
      <c r="I33" s="25"/>
      <c r="J33" s="7">
        <f>J31/((1.11531)^J29)</f>
        <v>5.8353361480827246</v>
      </c>
      <c r="K33" s="7">
        <f>K31/((1.11531)^K29)</f>
        <v>5.4936322237645685</v>
      </c>
      <c r="L33" s="7">
        <f>L31/((1.11531)^L29)</f>
        <v>5.1719376988933989</v>
      </c>
      <c r="M33" s="7">
        <f>M31/((1.11531)^M29)</f>
        <v>4.8690808688508751</v>
      </c>
      <c r="N33" s="7">
        <f>(N31+N32)/((1.11531)^N29)</f>
        <v>59.928905313485146</v>
      </c>
      <c r="O33" s="7"/>
    </row>
    <row r="36" spans="1:15">
      <c r="B36" s="1" t="s">
        <v>68</v>
      </c>
      <c r="E36" s="37">
        <f>D33+E33+F33+G33+H33+J33+K33+L33+M33+N33</f>
        <v>114.3842057333104</v>
      </c>
    </row>
    <row r="40" spans="1:15">
      <c r="A40" s="24" t="s">
        <v>71</v>
      </c>
    </row>
    <row r="42" spans="1:15" ht="18">
      <c r="B42" t="s">
        <v>72</v>
      </c>
      <c r="C42" t="s">
        <v>73</v>
      </c>
      <c r="D42" t="s">
        <v>74</v>
      </c>
      <c r="E42" t="s">
        <v>75</v>
      </c>
      <c r="F42" t="s">
        <v>76</v>
      </c>
    </row>
    <row r="45" spans="1:15">
      <c r="C45" t="s">
        <v>73</v>
      </c>
      <c r="D45" t="s">
        <v>91</v>
      </c>
    </row>
    <row r="47" spans="1:15" ht="30">
      <c r="B47" s="38" t="s">
        <v>77</v>
      </c>
      <c r="C47" t="s">
        <v>73</v>
      </c>
      <c r="D47" s="37">
        <f>865.79+ (((0.1892-0.1153)*865.79)/((0.1153-0.03)*1.1153))</f>
        <v>1538.3271364025618</v>
      </c>
    </row>
    <row r="53" spans="1:16">
      <c r="A53" s="24" t="s">
        <v>83</v>
      </c>
    </row>
    <row r="54" spans="1:16">
      <c r="A54" s="24"/>
    </row>
    <row r="55" spans="1:16">
      <c r="B55" s="14"/>
      <c r="C55" s="14"/>
      <c r="D55" s="76" t="s">
        <v>85</v>
      </c>
      <c r="E55" s="76"/>
      <c r="F55" s="76"/>
      <c r="G55" s="76"/>
      <c r="H55" s="76"/>
      <c r="I55" s="25"/>
      <c r="J55" s="76" t="s">
        <v>89</v>
      </c>
      <c r="K55" s="76"/>
      <c r="L55" s="76"/>
      <c r="M55" s="76"/>
      <c r="N55" s="77"/>
      <c r="O55" s="26" t="s">
        <v>90</v>
      </c>
      <c r="P55" s="27"/>
    </row>
    <row r="56" spans="1:16">
      <c r="B56" s="14"/>
      <c r="C56" s="28">
        <v>0</v>
      </c>
      <c r="D56" s="28">
        <v>1</v>
      </c>
      <c r="E56" s="28">
        <v>2</v>
      </c>
      <c r="F56" s="28">
        <v>3</v>
      </c>
      <c r="G56" s="28">
        <v>4</v>
      </c>
      <c r="H56" s="28">
        <v>5</v>
      </c>
      <c r="I56" s="25"/>
      <c r="J56" s="28">
        <v>6</v>
      </c>
      <c r="K56" s="28">
        <v>7</v>
      </c>
      <c r="L56" s="28">
        <v>8</v>
      </c>
      <c r="M56" s="28">
        <v>9</v>
      </c>
      <c r="N56" s="28">
        <v>10</v>
      </c>
      <c r="O56" s="29">
        <v>11</v>
      </c>
    </row>
    <row r="57" spans="1:16">
      <c r="B57" s="14"/>
      <c r="C57" s="30" t="s">
        <v>50</v>
      </c>
      <c r="D57" s="30" t="s">
        <v>51</v>
      </c>
      <c r="E57" s="30" t="s">
        <v>52</v>
      </c>
      <c r="F57" s="30" t="s">
        <v>53</v>
      </c>
      <c r="G57" s="30" t="s">
        <v>54</v>
      </c>
      <c r="H57" s="30" t="s">
        <v>55</v>
      </c>
      <c r="I57" s="25"/>
      <c r="J57" s="30" t="s">
        <v>56</v>
      </c>
      <c r="K57" s="30" t="s">
        <v>57</v>
      </c>
      <c r="L57" s="30" t="s">
        <v>58</v>
      </c>
      <c r="M57" s="30" t="s">
        <v>59</v>
      </c>
      <c r="N57" s="30" t="s">
        <v>60</v>
      </c>
      <c r="O57" s="30" t="s">
        <v>61</v>
      </c>
      <c r="P57" s="31"/>
    </row>
    <row r="58" spans="1:16">
      <c r="B58" s="32" t="s">
        <v>78</v>
      </c>
      <c r="C58" s="39">
        <f>Financials!M15</f>
        <v>255</v>
      </c>
      <c r="D58" s="32">
        <f>C58*1.08</f>
        <v>275.40000000000003</v>
      </c>
      <c r="E58" s="32">
        <f>D58*1.08</f>
        <v>297.43200000000007</v>
      </c>
      <c r="F58" s="32">
        <f>E58*1.08</f>
        <v>321.22656000000012</v>
      </c>
      <c r="G58" s="32">
        <f>F58*1.08</f>
        <v>346.92468480000014</v>
      </c>
      <c r="H58" s="32">
        <f>G58*1.08</f>
        <v>374.67865958400017</v>
      </c>
      <c r="I58" s="33"/>
      <c r="J58" s="32">
        <f>H58*1.05</f>
        <v>393.41259256320018</v>
      </c>
      <c r="K58" s="32">
        <f>J58*1.05</f>
        <v>413.08322219136022</v>
      </c>
      <c r="L58" s="32">
        <f>K58*1.05</f>
        <v>433.73738330092823</v>
      </c>
      <c r="M58" s="32">
        <f>L58*1.05</f>
        <v>455.42425246597463</v>
      </c>
      <c r="N58" s="32">
        <f>M58*1.05</f>
        <v>478.1954650892734</v>
      </c>
      <c r="O58" s="32">
        <f>N58*1.03</f>
        <v>492.5413290419516</v>
      </c>
      <c r="P58" s="34"/>
    </row>
    <row r="59" spans="1:16" ht="30">
      <c r="B59" s="35" t="s">
        <v>62</v>
      </c>
      <c r="C59" s="32"/>
      <c r="D59" s="32"/>
      <c r="E59" s="32"/>
      <c r="F59" s="32"/>
      <c r="G59" s="32"/>
      <c r="H59" s="32"/>
      <c r="I59" s="33"/>
      <c r="J59" s="32"/>
      <c r="K59" s="32"/>
      <c r="L59" s="32"/>
      <c r="M59" s="32"/>
      <c r="N59" s="32">
        <f>O58/(0.11531-0.03)</f>
        <v>5773.547404078673</v>
      </c>
      <c r="O59" s="32"/>
      <c r="P59" s="34"/>
    </row>
    <row r="60" spans="1:16" ht="30">
      <c r="B60" s="36" t="s">
        <v>63</v>
      </c>
      <c r="C60" s="7"/>
      <c r="D60" s="7">
        <f>D58/((1.11531)^D56)</f>
        <v>246.92686338327462</v>
      </c>
      <c r="E60" s="7">
        <f>E58/((1.11531)^E56)</f>
        <v>239.10931709922497</v>
      </c>
      <c r="F60" s="7">
        <f>F58/((1.11531)^F56)</f>
        <v>231.53926932168005</v>
      </c>
      <c r="G60" s="7">
        <f>G58/((1.11531)^G56)</f>
        <v>224.20888440650083</v>
      </c>
      <c r="H60" s="7">
        <f>H58/((1.11531)^H56)</f>
        <v>217.11057478102134</v>
      </c>
      <c r="I60" s="25"/>
      <c r="J60" s="7">
        <f>J58/((1.11531)^J56)</f>
        <v>204.39707661553504</v>
      </c>
      <c r="K60" s="7">
        <f>K58/((1.11531)^K56)</f>
        <v>192.42805179395128</v>
      </c>
      <c r="L60" s="7">
        <f>L58/((1.11531)^L56)</f>
        <v>181.15990566178806</v>
      </c>
      <c r="M60" s="7">
        <f>M58/((1.11531)^M56)</f>
        <v>170.55159636771612</v>
      </c>
      <c r="N60" s="7">
        <f>(N58+N59)/((1.11531)^N56)</f>
        <v>2099.1580844696036</v>
      </c>
      <c r="O60" s="7"/>
    </row>
    <row r="63" spans="1:16">
      <c r="B63" t="s">
        <v>64</v>
      </c>
      <c r="E63">
        <f>D60+E60+F60+G60+H60+J60+K60+L60+M60+N60</f>
        <v>4006.5896239002959</v>
      </c>
    </row>
    <row r="64" spans="1:16">
      <c r="B64" t="s">
        <v>65</v>
      </c>
      <c r="E64">
        <f>E20</f>
        <v>407</v>
      </c>
    </row>
    <row r="65" spans="1:15">
      <c r="B65" t="s">
        <v>66</v>
      </c>
      <c r="E65">
        <f>E63-E64</f>
        <v>3599.5896239002959</v>
      </c>
    </row>
    <row r="66" spans="1:15">
      <c r="B66" t="s">
        <v>67</v>
      </c>
      <c r="E66">
        <f>E22</f>
        <v>0.74713430000000003</v>
      </c>
    </row>
    <row r="67" spans="1:15">
      <c r="B67" s="1" t="s">
        <v>68</v>
      </c>
      <c r="E67" s="37">
        <f>E65/E66</f>
        <v>4817.861559695888</v>
      </c>
    </row>
    <row r="70" spans="1:15">
      <c r="A70" s="24" t="s">
        <v>84</v>
      </c>
    </row>
    <row r="71" spans="1:15">
      <c r="A71" s="24"/>
    </row>
    <row r="72" spans="1:15">
      <c r="B72" s="14"/>
      <c r="C72" s="14"/>
      <c r="D72" s="76" t="s">
        <v>85</v>
      </c>
      <c r="E72" s="76"/>
      <c r="F72" s="76"/>
      <c r="G72" s="76"/>
      <c r="H72" s="76"/>
      <c r="I72" s="25"/>
      <c r="J72" s="76" t="s">
        <v>89</v>
      </c>
      <c r="K72" s="76"/>
      <c r="L72" s="76"/>
      <c r="M72" s="76"/>
      <c r="N72" s="77"/>
      <c r="O72" s="26" t="s">
        <v>90</v>
      </c>
    </row>
    <row r="73" spans="1:15">
      <c r="B73" s="14"/>
      <c r="C73" s="28">
        <v>0</v>
      </c>
      <c r="D73" s="28">
        <v>1</v>
      </c>
      <c r="E73" s="28">
        <v>2</v>
      </c>
      <c r="F73" s="28">
        <v>3</v>
      </c>
      <c r="G73" s="28">
        <v>4</v>
      </c>
      <c r="H73" s="28">
        <v>5</v>
      </c>
      <c r="I73" s="25"/>
      <c r="J73" s="28">
        <v>6</v>
      </c>
      <c r="K73" s="28">
        <v>7</v>
      </c>
      <c r="L73" s="28">
        <v>8</v>
      </c>
      <c r="M73" s="28">
        <v>9</v>
      </c>
      <c r="N73" s="28">
        <v>10</v>
      </c>
      <c r="O73" s="29">
        <v>11</v>
      </c>
    </row>
    <row r="74" spans="1:15">
      <c r="B74" s="14"/>
      <c r="C74" s="30" t="s">
        <v>50</v>
      </c>
      <c r="D74" s="30" t="s">
        <v>51</v>
      </c>
      <c r="E74" s="30" t="s">
        <v>52</v>
      </c>
      <c r="F74" s="30" t="s">
        <v>53</v>
      </c>
      <c r="G74" s="30" t="s">
        <v>54</v>
      </c>
      <c r="H74" s="30" t="s">
        <v>55</v>
      </c>
      <c r="I74" s="25"/>
      <c r="J74" s="30" t="s">
        <v>56</v>
      </c>
      <c r="K74" s="30" t="s">
        <v>57</v>
      </c>
      <c r="L74" s="30" t="s">
        <v>58</v>
      </c>
      <c r="M74" s="30" t="s">
        <v>59</v>
      </c>
      <c r="N74" s="30" t="s">
        <v>60</v>
      </c>
      <c r="O74" s="30" t="s">
        <v>61</v>
      </c>
    </row>
    <row r="75" spans="1:15">
      <c r="B75" s="32" t="s">
        <v>79</v>
      </c>
      <c r="C75" s="39">
        <f>Financials!K53</f>
        <v>126</v>
      </c>
      <c r="D75" s="32">
        <f>C75*1.08</f>
        <v>136.08000000000001</v>
      </c>
      <c r="E75" s="32">
        <f>D75*1.08</f>
        <v>146.96640000000002</v>
      </c>
      <c r="F75" s="32">
        <f>E75*1.08</f>
        <v>158.72371200000003</v>
      </c>
      <c r="G75" s="32">
        <f>F75*1.08</f>
        <v>171.42160896000004</v>
      </c>
      <c r="H75" s="32">
        <f>G75*1.08</f>
        <v>185.13533767680005</v>
      </c>
      <c r="I75" s="33"/>
      <c r="J75" s="32">
        <f>H75*1.05</f>
        <v>194.39210456064006</v>
      </c>
      <c r="K75" s="32">
        <f>J75*1.05</f>
        <v>204.11170978867207</v>
      </c>
      <c r="L75" s="32">
        <f>K75*1.05</f>
        <v>214.31729527810569</v>
      </c>
      <c r="M75" s="32">
        <f>L75*1.05</f>
        <v>225.03316004201099</v>
      </c>
      <c r="N75" s="32">
        <f>M75*1.05</f>
        <v>236.28481804411155</v>
      </c>
      <c r="O75" s="32">
        <f>N75*1.03</f>
        <v>243.3733625854349</v>
      </c>
    </row>
    <row r="76" spans="1:15" ht="30">
      <c r="B76" s="35" t="s">
        <v>62</v>
      </c>
      <c r="C76" s="32"/>
      <c r="D76" s="32"/>
      <c r="E76" s="32"/>
      <c r="F76" s="32"/>
      <c r="G76" s="32"/>
      <c r="H76" s="32"/>
      <c r="I76" s="33"/>
      <c r="J76" s="32"/>
      <c r="K76" s="32"/>
      <c r="L76" s="32"/>
      <c r="M76" s="32"/>
      <c r="N76" s="32">
        <f>O75/(0.11531-0.03)</f>
        <v>2852.8116584859326</v>
      </c>
      <c r="O76" s="32"/>
    </row>
    <row r="77" spans="1:15" ht="30">
      <c r="B77" s="36" t="s">
        <v>63</v>
      </c>
      <c r="C77" s="7"/>
      <c r="D77" s="7">
        <f>D75/((1.11531)^D73)</f>
        <v>122.01092073055922</v>
      </c>
      <c r="E77" s="7">
        <f>E75/((1.11531)^E73)</f>
        <v>118.14813315491115</v>
      </c>
      <c r="F77" s="7">
        <f>F75/((1.11531)^F73)</f>
        <v>114.40763895894777</v>
      </c>
      <c r="G77" s="7">
        <f>G75/((1.11531)^G73)</f>
        <v>110.78556641262392</v>
      </c>
      <c r="H77" s="7">
        <f>H75/((1.11531)^H73)</f>
        <v>107.278166362387</v>
      </c>
      <c r="I77" s="25"/>
      <c r="J77" s="7">
        <f>J75/((1.11531)^J73)</f>
        <v>100.99620256297024</v>
      </c>
      <c r="K77" s="7">
        <f>K75/((1.11531)^K73)</f>
        <v>95.082096180540617</v>
      </c>
      <c r="L77" s="7">
        <f>L75/((1.11531)^L73)</f>
        <v>89.514306327001151</v>
      </c>
      <c r="M77" s="7">
        <f>M75/((1.11531)^M73)</f>
        <v>84.272553499342081</v>
      </c>
      <c r="N77" s="7">
        <f>(N75+N76)/((1.11531)^N73)</f>
        <v>1037.2310535026279</v>
      </c>
      <c r="O77" s="7"/>
    </row>
    <row r="80" spans="1:15">
      <c r="B80" t="s">
        <v>64</v>
      </c>
      <c r="E80">
        <f>D77+E77+F77+G77+H77+J77+K77+L77+M77+N77</f>
        <v>1979.726637691911</v>
      </c>
    </row>
    <row r="81" spans="2:5">
      <c r="B81" t="s">
        <v>65</v>
      </c>
      <c r="E81">
        <f>E64</f>
        <v>407</v>
      </c>
    </row>
    <row r="82" spans="2:5">
      <c r="B82" t="s">
        <v>66</v>
      </c>
      <c r="E82">
        <f>E80-E81</f>
        <v>1572.726637691911</v>
      </c>
    </row>
    <row r="83" spans="2:5">
      <c r="B83" t="s">
        <v>67</v>
      </c>
      <c r="E83">
        <f>E66</f>
        <v>0.74713430000000003</v>
      </c>
    </row>
    <row r="84" spans="2:5">
      <c r="B84" s="1" t="s">
        <v>68</v>
      </c>
      <c r="E84" s="37">
        <f>E82/E83</f>
        <v>2105.011960623292</v>
      </c>
    </row>
  </sheetData>
  <mergeCells count="8">
    <mergeCell ref="D72:H72"/>
    <mergeCell ref="J72:N72"/>
    <mergeCell ref="D11:H11"/>
    <mergeCell ref="J11:N11"/>
    <mergeCell ref="D28:H28"/>
    <mergeCell ref="J28:N28"/>
    <mergeCell ref="D55:H55"/>
    <mergeCell ref="J55:N55"/>
  </mergeCells>
  <pageMargins left="0.7" right="0.7" top="0.75" bottom="0.75" header="0.3" footer="0.3"/>
  <pageSetup paperSize="0" orientation="portrait" horizontalDpi="0" verticalDpi="0" copies="0"/>
  <ignoredErrors>
    <ignoredError sqref="E65 E8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activeCell="B16" sqref="B16"/>
    </sheetView>
  </sheetViews>
  <sheetFormatPr defaultRowHeight="15"/>
  <cols>
    <col min="1" max="1" width="20.85546875" bestFit="1" customWidth="1"/>
    <col min="13" max="13" width="11" bestFit="1" customWidth="1"/>
  </cols>
  <sheetData>
    <row r="1" spans="1:13">
      <c r="B1" s="53">
        <v>2009</v>
      </c>
      <c r="C1" s="53">
        <v>2010</v>
      </c>
      <c r="D1" s="53">
        <v>2011</v>
      </c>
      <c r="E1" s="53">
        <v>2012</v>
      </c>
      <c r="F1" s="53">
        <v>2013</v>
      </c>
      <c r="G1" s="53">
        <v>2014</v>
      </c>
      <c r="H1" s="53">
        <v>2015</v>
      </c>
      <c r="I1" s="53">
        <v>2016</v>
      </c>
      <c r="J1" s="53">
        <v>2017</v>
      </c>
      <c r="K1" s="53">
        <v>2018</v>
      </c>
      <c r="L1" s="53">
        <v>2019</v>
      </c>
      <c r="M1" s="16" t="s">
        <v>95</v>
      </c>
    </row>
    <row r="2" spans="1:13">
      <c r="A2" s="7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6" t="e">
        <f>AVERAGE(B2:L2)</f>
        <v>#DIV/0!</v>
      </c>
    </row>
    <row r="3" spans="1:13">
      <c r="A3" s="7" t="s">
        <v>111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6" t="e">
        <f>AVERAGE(B3:L3)</f>
        <v>#DIV/0!</v>
      </c>
    </row>
    <row r="4" spans="1:13">
      <c r="A4" s="7" t="s">
        <v>94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0" t="e">
        <f>(L4/B4)^0.1 -1</f>
        <v>#DIV/0!</v>
      </c>
    </row>
    <row r="5" spans="1:13">
      <c r="A5" s="7" t="s">
        <v>109</v>
      </c>
      <c r="B5" s="15" t="e">
        <f>B2/B3</f>
        <v>#DIV/0!</v>
      </c>
      <c r="C5" s="15" t="e">
        <f t="shared" ref="C5:L5" si="0">C2/C3</f>
        <v>#DIV/0!</v>
      </c>
      <c r="D5" s="15" t="e">
        <f t="shared" si="0"/>
        <v>#DIV/0!</v>
      </c>
      <c r="E5" s="15" t="e">
        <f t="shared" si="0"/>
        <v>#DIV/0!</v>
      </c>
      <c r="F5" s="15" t="e">
        <f t="shared" si="0"/>
        <v>#DIV/0!</v>
      </c>
      <c r="G5" s="15" t="e">
        <f t="shared" si="0"/>
        <v>#DIV/0!</v>
      </c>
      <c r="H5" s="15" t="e">
        <f t="shared" si="0"/>
        <v>#DIV/0!</v>
      </c>
      <c r="I5" s="15" t="e">
        <f t="shared" si="0"/>
        <v>#DIV/0!</v>
      </c>
      <c r="J5" s="15" t="e">
        <f t="shared" si="0"/>
        <v>#DIV/0!</v>
      </c>
      <c r="K5" s="15" t="e">
        <f t="shared" si="0"/>
        <v>#DIV/0!</v>
      </c>
      <c r="L5" s="15" t="e">
        <f t="shared" si="0"/>
        <v>#DIV/0!</v>
      </c>
      <c r="M5" s="50" t="e">
        <f>AVERAGE(B5:L5)</f>
        <v>#DIV/0!</v>
      </c>
    </row>
    <row r="6" spans="1:13">
      <c r="A6" s="7" t="s">
        <v>110</v>
      </c>
      <c r="B6" s="15" t="e">
        <f>B3/B4</f>
        <v>#DIV/0!</v>
      </c>
      <c r="C6" s="15" t="e">
        <f t="shared" ref="C6:L6" si="1">C3/C4</f>
        <v>#DIV/0!</v>
      </c>
      <c r="D6" s="15" t="e">
        <f t="shared" si="1"/>
        <v>#DIV/0!</v>
      </c>
      <c r="E6" s="15" t="e">
        <f t="shared" si="1"/>
        <v>#DIV/0!</v>
      </c>
      <c r="F6" s="15" t="e">
        <f t="shared" si="1"/>
        <v>#DIV/0!</v>
      </c>
      <c r="G6" s="15" t="e">
        <f t="shared" si="1"/>
        <v>#DIV/0!</v>
      </c>
      <c r="H6" s="15" t="e">
        <f t="shared" si="1"/>
        <v>#DIV/0!</v>
      </c>
      <c r="I6" s="15" t="e">
        <f t="shared" si="1"/>
        <v>#DIV/0!</v>
      </c>
      <c r="J6" s="15" t="e">
        <f t="shared" si="1"/>
        <v>#DIV/0!</v>
      </c>
      <c r="K6" s="15" t="e">
        <f t="shared" si="1"/>
        <v>#DIV/0!</v>
      </c>
      <c r="L6" s="15" t="e">
        <f t="shared" si="1"/>
        <v>#DIV/0!</v>
      </c>
      <c r="M6" s="50" t="e">
        <f>AVERAGE(B6:L6)</f>
        <v>#DIV/0!</v>
      </c>
    </row>
    <row r="7" spans="1:13">
      <c r="A7" s="7" t="s">
        <v>96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0" t="e">
        <f>AVERAGE(B7:L7)</f>
        <v>#DIV/0!</v>
      </c>
    </row>
    <row r="8" spans="1:13">
      <c r="A8" s="7" t="s">
        <v>97</v>
      </c>
      <c r="B8" s="21" t="e">
        <f>Financials!C41</f>
        <v>#DIV/0!</v>
      </c>
      <c r="C8" s="21">
        <f>Financials!D41</f>
        <v>0</v>
      </c>
      <c r="D8" s="21">
        <f>Financials!E41</f>
        <v>3.9863013698630136E-2</v>
      </c>
      <c r="E8" s="21">
        <f>Financials!F41</f>
        <v>6.4666666666666664E-2</v>
      </c>
      <c r="F8" s="21">
        <f>Financials!G41</f>
        <v>6.6136363636363646E-2</v>
      </c>
      <c r="G8" s="21">
        <f>Financials!H41</f>
        <v>0.26454545454545458</v>
      </c>
      <c r="H8" s="21">
        <f>Financials!I41</f>
        <v>5.4905660377358494E-2</v>
      </c>
      <c r="I8" s="21">
        <f>Financials!J41</f>
        <v>7.3670886075949377E-2</v>
      </c>
      <c r="J8" s="21">
        <f>Financials!K41</f>
        <v>0</v>
      </c>
      <c r="K8" s="21">
        <f>Financials!L41</f>
        <v>2.4931506849315069E-2</v>
      </c>
      <c r="L8" s="21">
        <f>Financials!M41</f>
        <v>2.7215686274509803E-2</v>
      </c>
      <c r="M8" s="51" t="e">
        <f>AVERAGE(B8:L8)</f>
        <v>#DIV/0!</v>
      </c>
    </row>
    <row r="9" spans="1:13">
      <c r="A9" s="7" t="s">
        <v>102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1" t="e">
        <f>AVERAGE(B9:L9)</f>
        <v>#DIV/0!</v>
      </c>
    </row>
    <row r="11" spans="1:13">
      <c r="A11" t="s">
        <v>103</v>
      </c>
      <c r="B11" s="40">
        <v>0.11531</v>
      </c>
    </row>
    <row r="13" spans="1:13">
      <c r="A13" s="78" t="s">
        <v>101</v>
      </c>
      <c r="B13" s="78"/>
      <c r="C13" s="78"/>
      <c r="E13" s="78" t="s">
        <v>115</v>
      </c>
      <c r="F13" s="78"/>
      <c r="G13" s="78"/>
    </row>
    <row r="14" spans="1:13">
      <c r="A14" s="43" t="s">
        <v>98</v>
      </c>
      <c r="B14" s="43" t="s">
        <v>94</v>
      </c>
      <c r="C14" s="43" t="s">
        <v>99</v>
      </c>
      <c r="E14" s="43" t="s">
        <v>98</v>
      </c>
      <c r="F14" s="43" t="s">
        <v>113</v>
      </c>
      <c r="G14" s="43" t="s">
        <v>114</v>
      </c>
    </row>
    <row r="15" spans="1:13">
      <c r="A15" s="45">
        <v>43525</v>
      </c>
      <c r="B15" s="46">
        <f>L4</f>
        <v>0</v>
      </c>
      <c r="C15" s="49">
        <f>B15*Financials!M41</f>
        <v>0</v>
      </c>
      <c r="E15" s="45">
        <v>43525</v>
      </c>
      <c r="F15" s="46" t="e">
        <f>B15*$M$3</f>
        <v>#DIV/0!</v>
      </c>
      <c r="G15" s="49" t="e">
        <f>B15*$M$2</f>
        <v>#DIV/0!</v>
      </c>
    </row>
    <row r="16" spans="1:13">
      <c r="A16" s="45">
        <v>43891</v>
      </c>
      <c r="B16" s="46" t="e">
        <f>B15*(1+M4)</f>
        <v>#DIV/0!</v>
      </c>
      <c r="C16" s="46" t="e">
        <f>B16*M8</f>
        <v>#DIV/0!</v>
      </c>
      <c r="E16" s="45">
        <v>43891</v>
      </c>
      <c r="F16" s="46" t="e">
        <f t="shared" ref="F16:F25" si="2">B16*$M$3</f>
        <v>#DIV/0!</v>
      </c>
      <c r="G16" s="49" t="e">
        <f t="shared" ref="G16:G25" si="3">B16*$M$2</f>
        <v>#DIV/0!</v>
      </c>
    </row>
    <row r="17" spans="1:7">
      <c r="A17" s="45">
        <v>44256</v>
      </c>
      <c r="B17" s="46" t="e">
        <f>B16*(1+M7)</f>
        <v>#DIV/0!</v>
      </c>
      <c r="C17" s="46" t="e">
        <f>B17*M9</f>
        <v>#DIV/0!</v>
      </c>
      <c r="E17" s="45">
        <v>44256</v>
      </c>
      <c r="F17" s="46" t="e">
        <f t="shared" si="2"/>
        <v>#DIV/0!</v>
      </c>
      <c r="G17" s="49" t="e">
        <f t="shared" si="3"/>
        <v>#DIV/0!</v>
      </c>
    </row>
    <row r="18" spans="1:7">
      <c r="A18" s="45">
        <v>44621</v>
      </c>
      <c r="B18" s="46" t="e">
        <f>B17*(1+M8)</f>
        <v>#DIV/0!</v>
      </c>
      <c r="C18" s="46" t="e">
        <f t="shared" ref="C18:C25" si="4">B18*M12</f>
        <v>#DIV/0!</v>
      </c>
      <c r="E18" s="45">
        <v>44621</v>
      </c>
      <c r="F18" s="46" t="e">
        <f t="shared" si="2"/>
        <v>#DIV/0!</v>
      </c>
      <c r="G18" s="49" t="e">
        <f t="shared" si="3"/>
        <v>#DIV/0!</v>
      </c>
    </row>
    <row r="19" spans="1:7">
      <c r="A19" s="45">
        <v>44986</v>
      </c>
      <c r="B19" s="46" t="e">
        <f>B18*(1+M9)</f>
        <v>#DIV/0!</v>
      </c>
      <c r="C19" s="46" t="e">
        <f t="shared" si="4"/>
        <v>#DIV/0!</v>
      </c>
      <c r="E19" s="45">
        <v>44986</v>
      </c>
      <c r="F19" s="46" t="e">
        <f t="shared" si="2"/>
        <v>#DIV/0!</v>
      </c>
      <c r="G19" s="49" t="e">
        <f t="shared" si="3"/>
        <v>#DIV/0!</v>
      </c>
    </row>
    <row r="20" spans="1:7">
      <c r="A20" s="45">
        <v>45352</v>
      </c>
      <c r="B20" s="46" t="e">
        <f t="shared" ref="B20:B25" si="5">B19*(1+M12)</f>
        <v>#DIV/0!</v>
      </c>
      <c r="C20" s="46" t="e">
        <f t="shared" si="4"/>
        <v>#DIV/0!</v>
      </c>
      <c r="E20" s="45">
        <v>45352</v>
      </c>
      <c r="F20" s="46" t="e">
        <f t="shared" si="2"/>
        <v>#DIV/0!</v>
      </c>
      <c r="G20" s="49" t="e">
        <f t="shared" si="3"/>
        <v>#DIV/0!</v>
      </c>
    </row>
    <row r="21" spans="1:7">
      <c r="A21" s="45">
        <v>45717</v>
      </c>
      <c r="B21" s="46" t="e">
        <f t="shared" si="5"/>
        <v>#DIV/0!</v>
      </c>
      <c r="C21" s="46" t="e">
        <f t="shared" si="4"/>
        <v>#DIV/0!</v>
      </c>
      <c r="E21" s="45">
        <v>45717</v>
      </c>
      <c r="F21" s="46" t="e">
        <f t="shared" si="2"/>
        <v>#DIV/0!</v>
      </c>
      <c r="G21" s="49" t="e">
        <f t="shared" si="3"/>
        <v>#DIV/0!</v>
      </c>
    </row>
    <row r="22" spans="1:7">
      <c r="A22" s="45">
        <v>46082</v>
      </c>
      <c r="B22" s="46" t="e">
        <f t="shared" si="5"/>
        <v>#DIV/0!</v>
      </c>
      <c r="C22" s="46" t="e">
        <f t="shared" si="4"/>
        <v>#DIV/0!</v>
      </c>
      <c r="E22" s="45">
        <v>46082</v>
      </c>
      <c r="F22" s="46" t="e">
        <f t="shared" si="2"/>
        <v>#DIV/0!</v>
      </c>
      <c r="G22" s="49" t="e">
        <f t="shared" si="3"/>
        <v>#DIV/0!</v>
      </c>
    </row>
    <row r="23" spans="1:7">
      <c r="A23" s="45">
        <v>46447</v>
      </c>
      <c r="B23" s="46" t="e">
        <f t="shared" si="5"/>
        <v>#DIV/0!</v>
      </c>
      <c r="C23" s="46" t="e">
        <f t="shared" si="4"/>
        <v>#DIV/0!</v>
      </c>
      <c r="E23" s="45">
        <v>46447</v>
      </c>
      <c r="F23" s="46" t="e">
        <f t="shared" si="2"/>
        <v>#DIV/0!</v>
      </c>
      <c r="G23" s="49" t="e">
        <f t="shared" si="3"/>
        <v>#DIV/0!</v>
      </c>
    </row>
    <row r="24" spans="1:7">
      <c r="A24" s="45">
        <v>46813</v>
      </c>
      <c r="B24" s="46" t="e">
        <f t="shared" si="5"/>
        <v>#DIV/0!</v>
      </c>
      <c r="C24" s="46" t="e">
        <f t="shared" si="4"/>
        <v>#DIV/0!</v>
      </c>
      <c r="E24" s="45">
        <v>46813</v>
      </c>
      <c r="F24" s="46" t="e">
        <f t="shared" si="2"/>
        <v>#DIV/0!</v>
      </c>
      <c r="G24" s="49" t="e">
        <f t="shared" si="3"/>
        <v>#DIV/0!</v>
      </c>
    </row>
    <row r="25" spans="1:7">
      <c r="A25" s="45">
        <v>47178</v>
      </c>
      <c r="B25" s="46" t="e">
        <f t="shared" si="5"/>
        <v>#DIV/0!</v>
      </c>
      <c r="C25" s="46" t="e">
        <f t="shared" si="4"/>
        <v>#DIV/0!</v>
      </c>
      <c r="E25" s="45">
        <v>47178</v>
      </c>
      <c r="F25" s="46" t="e">
        <f t="shared" si="2"/>
        <v>#DIV/0!</v>
      </c>
      <c r="G25" s="49" t="e">
        <f t="shared" si="3"/>
        <v>#DIV/0!</v>
      </c>
    </row>
    <row r="26" spans="1:7">
      <c r="A26" s="47" t="s">
        <v>100</v>
      </c>
      <c r="B26" s="47"/>
      <c r="C26" s="48" t="e">
        <f>SUM(C15:C25)</f>
        <v>#DIV/0!</v>
      </c>
    </row>
    <row r="28" spans="1:7">
      <c r="A28" s="79" t="s">
        <v>105</v>
      </c>
      <c r="B28" s="79"/>
      <c r="C28" s="79"/>
    </row>
    <row r="29" spans="1:7">
      <c r="A29" t="s">
        <v>104</v>
      </c>
      <c r="C29" s="59" t="e">
        <f>C26+(M9*B25)</f>
        <v>#DIV/0!</v>
      </c>
    </row>
    <row r="30" spans="1:7">
      <c r="A30" t="s">
        <v>106</v>
      </c>
      <c r="C30" s="41"/>
    </row>
    <row r="31" spans="1:7">
      <c r="A31" t="s">
        <v>107</v>
      </c>
      <c r="C31" s="40" t="e">
        <f>(C29/C30)^0.1-1</f>
        <v>#DIV/0!</v>
      </c>
    </row>
    <row r="32" spans="1:7">
      <c r="A32" t="s">
        <v>108</v>
      </c>
      <c r="C32">
        <f>C30*((1+0.2)^10)</f>
        <v>0</v>
      </c>
    </row>
  </sheetData>
  <mergeCells count="3">
    <mergeCell ref="A13:C13"/>
    <mergeCell ref="A28:C28"/>
    <mergeCell ref="E13:G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2" sqref="D2"/>
    </sheetView>
  </sheetViews>
  <sheetFormatPr defaultRowHeight="15"/>
  <cols>
    <col min="5" max="5" width="17" bestFit="1" customWidth="1"/>
  </cols>
  <sheetData>
    <row r="1" spans="1:5">
      <c r="A1" s="43" t="s">
        <v>39</v>
      </c>
      <c r="B1" s="43" t="s">
        <v>116</v>
      </c>
      <c r="C1" s="43" t="s">
        <v>94</v>
      </c>
      <c r="D1" s="43" t="s">
        <v>99</v>
      </c>
      <c r="E1" s="43" t="s">
        <v>117</v>
      </c>
    </row>
    <row r="2" spans="1:5">
      <c r="A2" s="56">
        <v>43525</v>
      </c>
      <c r="B2" s="52"/>
      <c r="C2" s="7">
        <f>'Historical Earnings Valuations'!L4</f>
        <v>0</v>
      </c>
      <c r="D2" s="17">
        <f>'Historical Earnings Valuations'!C15</f>
        <v>0</v>
      </c>
      <c r="E2" s="17">
        <f>C2-D2</f>
        <v>0</v>
      </c>
    </row>
    <row r="3" spans="1:5">
      <c r="A3" s="44">
        <v>43891</v>
      </c>
      <c r="B3" s="17">
        <f>B2+E2</f>
        <v>0</v>
      </c>
      <c r="C3" s="7" t="e">
        <f>B3*'Historical Earnings Valuations'!$M$7</f>
        <v>#DIV/0!</v>
      </c>
      <c r="D3" s="7" t="e">
        <f>C3*'Historical Earnings Valuations'!$M$8</f>
        <v>#DIV/0!</v>
      </c>
      <c r="E3" s="17" t="e">
        <f>C3-D3</f>
        <v>#DIV/0!</v>
      </c>
    </row>
    <row r="4" spans="1:5">
      <c r="A4" s="56">
        <v>44256</v>
      </c>
      <c r="B4" s="17" t="e">
        <f t="shared" ref="B4:B12" si="0">B3+E3</f>
        <v>#DIV/0!</v>
      </c>
      <c r="C4" s="7" t="e">
        <f>B4*'Historical Earnings Valuations'!$M$7</f>
        <v>#DIV/0!</v>
      </c>
      <c r="D4" s="7" t="e">
        <f>C4*'Historical Earnings Valuations'!$M$8</f>
        <v>#DIV/0!</v>
      </c>
      <c r="E4" s="17" t="e">
        <f t="shared" ref="E4:E12" si="1">C4-D4</f>
        <v>#DIV/0!</v>
      </c>
    </row>
    <row r="5" spans="1:5">
      <c r="A5" s="44">
        <v>44621</v>
      </c>
      <c r="B5" s="17" t="e">
        <f t="shared" si="0"/>
        <v>#DIV/0!</v>
      </c>
      <c r="C5" s="7" t="e">
        <f>B5*'Historical Earnings Valuations'!$M$7</f>
        <v>#DIV/0!</v>
      </c>
      <c r="D5" s="7" t="e">
        <f>C5*'Historical Earnings Valuations'!$M$8</f>
        <v>#DIV/0!</v>
      </c>
      <c r="E5" s="17" t="e">
        <f t="shared" si="1"/>
        <v>#DIV/0!</v>
      </c>
    </row>
    <row r="6" spans="1:5">
      <c r="A6" s="56">
        <v>44986</v>
      </c>
      <c r="B6" s="17" t="e">
        <f t="shared" si="0"/>
        <v>#DIV/0!</v>
      </c>
      <c r="C6" s="7" t="e">
        <f>B6*'Historical Earnings Valuations'!$M$7</f>
        <v>#DIV/0!</v>
      </c>
      <c r="D6" s="7" t="e">
        <f>C6*'Historical Earnings Valuations'!$M$8</f>
        <v>#DIV/0!</v>
      </c>
      <c r="E6" s="17" t="e">
        <f t="shared" si="1"/>
        <v>#DIV/0!</v>
      </c>
    </row>
    <row r="7" spans="1:5">
      <c r="A7" s="44">
        <v>45352</v>
      </c>
      <c r="B7" s="17" t="e">
        <f t="shared" si="0"/>
        <v>#DIV/0!</v>
      </c>
      <c r="C7" s="7" t="e">
        <f>B7*'Historical Earnings Valuations'!$M$7</f>
        <v>#DIV/0!</v>
      </c>
      <c r="D7" s="7" t="e">
        <f>C7*'Historical Earnings Valuations'!$M$8</f>
        <v>#DIV/0!</v>
      </c>
      <c r="E7" s="17" t="e">
        <f t="shared" si="1"/>
        <v>#DIV/0!</v>
      </c>
    </row>
    <row r="8" spans="1:5">
      <c r="A8" s="56">
        <v>45717</v>
      </c>
      <c r="B8" s="17" t="e">
        <f t="shared" si="0"/>
        <v>#DIV/0!</v>
      </c>
      <c r="C8" s="7" t="e">
        <f>B8*'Historical Earnings Valuations'!$M$7</f>
        <v>#DIV/0!</v>
      </c>
      <c r="D8" s="7" t="e">
        <f>C8*'Historical Earnings Valuations'!$M$8</f>
        <v>#DIV/0!</v>
      </c>
      <c r="E8" s="17" t="e">
        <f t="shared" si="1"/>
        <v>#DIV/0!</v>
      </c>
    </row>
    <row r="9" spans="1:5">
      <c r="A9" s="44">
        <v>46082</v>
      </c>
      <c r="B9" s="17" t="e">
        <f t="shared" si="0"/>
        <v>#DIV/0!</v>
      </c>
      <c r="C9" s="7" t="e">
        <f>B9*'Historical Earnings Valuations'!$M$7</f>
        <v>#DIV/0!</v>
      </c>
      <c r="D9" s="7" t="e">
        <f>C9*'Historical Earnings Valuations'!$M$8</f>
        <v>#DIV/0!</v>
      </c>
      <c r="E9" s="17" t="e">
        <f t="shared" si="1"/>
        <v>#DIV/0!</v>
      </c>
    </row>
    <row r="10" spans="1:5">
      <c r="A10" s="56">
        <v>46447</v>
      </c>
      <c r="B10" s="17" t="e">
        <f t="shared" si="0"/>
        <v>#DIV/0!</v>
      </c>
      <c r="C10" s="7" t="e">
        <f>B10*'Historical Earnings Valuations'!$M$7</f>
        <v>#DIV/0!</v>
      </c>
      <c r="D10" s="7" t="e">
        <f>C10*'Historical Earnings Valuations'!$M$8</f>
        <v>#DIV/0!</v>
      </c>
      <c r="E10" s="17" t="e">
        <f t="shared" si="1"/>
        <v>#DIV/0!</v>
      </c>
    </row>
    <row r="11" spans="1:5">
      <c r="A11" s="44">
        <v>46813</v>
      </c>
      <c r="B11" s="17" t="e">
        <f t="shared" si="0"/>
        <v>#DIV/0!</v>
      </c>
      <c r="C11" s="7" t="e">
        <f>B11*'Historical Earnings Valuations'!$M$7</f>
        <v>#DIV/0!</v>
      </c>
      <c r="D11" s="7" t="e">
        <f>C11*'Historical Earnings Valuations'!$M$8</f>
        <v>#DIV/0!</v>
      </c>
      <c r="E11" s="17" t="e">
        <f t="shared" si="1"/>
        <v>#DIV/0!</v>
      </c>
    </row>
    <row r="12" spans="1:5">
      <c r="A12" s="56">
        <v>47178</v>
      </c>
      <c r="B12" s="17" t="e">
        <f t="shared" si="0"/>
        <v>#DIV/0!</v>
      </c>
      <c r="C12" s="7" t="e">
        <f>B12*'Historical Earnings Valuations'!$M$7</f>
        <v>#DIV/0!</v>
      </c>
      <c r="D12" s="7" t="e">
        <f>C12*'Historical Earnings Valuations'!$M$8</f>
        <v>#DIV/0!</v>
      </c>
      <c r="E12" s="17" t="e">
        <f t="shared" si="1"/>
        <v>#DIV/0!</v>
      </c>
    </row>
    <row r="13" spans="1:5">
      <c r="A13" s="57" t="s">
        <v>100</v>
      </c>
      <c r="B13" s="58"/>
      <c r="C13" s="58"/>
      <c r="D13" s="48" t="e">
        <f>SUM(D2:D12)</f>
        <v>#DIV/0!</v>
      </c>
      <c r="E13" s="58"/>
    </row>
    <row r="14" spans="1:5">
      <c r="A14" s="55"/>
    </row>
    <row r="15" spans="1:5">
      <c r="A15" s="42"/>
    </row>
    <row r="16" spans="1:5">
      <c r="A16" s="55" t="s">
        <v>119</v>
      </c>
      <c r="C16" t="e">
        <f>C12</f>
        <v>#DIV/0!</v>
      </c>
    </row>
    <row r="17" spans="1:3">
      <c r="A17" t="s">
        <v>120</v>
      </c>
      <c r="C17" s="40" t="e">
        <f>'Historical Earnings Valuations'!M9</f>
        <v>#DIV/0!</v>
      </c>
    </row>
    <row r="18" spans="1:3">
      <c r="A18" t="s">
        <v>121</v>
      </c>
      <c r="C18" s="59" t="e">
        <f>C16*C17</f>
        <v>#DIV/0!</v>
      </c>
    </row>
    <row r="19" spans="1:3">
      <c r="A19" t="s">
        <v>106</v>
      </c>
      <c r="C19">
        <f>'Historical Earnings Valuations'!C30</f>
        <v>0</v>
      </c>
    </row>
    <row r="20" spans="1:3">
      <c r="A20" t="s">
        <v>107</v>
      </c>
      <c r="C20" t="e">
        <f>(C18/C19)^0.1-1</f>
        <v>#DIV/0!</v>
      </c>
    </row>
    <row r="22" spans="1:3" ht="33.75" customHeight="1">
      <c r="A22" s="80" t="s">
        <v>122</v>
      </c>
      <c r="B22" s="80"/>
      <c r="C22">
        <f>C19*((1+0.2)^10)</f>
        <v>0</v>
      </c>
    </row>
  </sheetData>
  <mergeCells count="1"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Financials</vt:lpstr>
      <vt:lpstr>Graphs</vt:lpstr>
      <vt:lpstr>Valuation - Conservative</vt:lpstr>
      <vt:lpstr>Historical Earnings Valuations</vt:lpstr>
      <vt:lpstr>Sustainable Growth Valuation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Pal, Aritra</dc:creator>
  <cp:lastModifiedBy>Amit Rupani</cp:lastModifiedBy>
  <dcterms:created xsi:type="dcterms:W3CDTF">2019-04-24T16:07:59Z</dcterms:created>
  <dcterms:modified xsi:type="dcterms:W3CDTF">2020-03-14T22:27:07Z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ecf5b19e-6544-4485-be1d-3466e04349dc</vt:lpwstr>
  </property>
  <property fmtid="{D5CDD505-2E9C-101B-9397-08002B2CF9AE}" pid="3" name="AllyClassification">
    <vt:lpwstr>PR</vt:lpwstr>
  </property>
</Properties>
</file>