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D:\Investment Research\CAMS\"/>
    </mc:Choice>
  </mc:AlternateContent>
  <xr:revisionPtr revIDLastSave="0" documentId="13_ncr:1_{96795C82-59DA-4470-95B7-8DE4ABF01247}" xr6:coauthVersionLast="47" xr6:coauthVersionMax="47" xr10:uidLastSave="{00000000-0000-0000-0000-000000000000}"/>
  <bookViews>
    <workbookView xWindow="-110" yWindow="-110" windowWidth="19420" windowHeight="10420" activeTab="1" xr2:uid="{00000000-000D-0000-FFFF-FFFF00000000}"/>
  </bookViews>
  <sheets>
    <sheet name="Business" sheetId="1" r:id="rId1"/>
    <sheet name="DCF Valuation" sheetId="8"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4" i="8" l="1"/>
  <c r="D33" i="8"/>
  <c r="C32" i="8"/>
  <c r="E31" i="8"/>
  <c r="F31" i="8" s="1"/>
  <c r="G31" i="8" s="1"/>
  <c r="H31" i="8" s="1"/>
  <c r="I31" i="8" s="1"/>
  <c r="J31" i="8" s="1"/>
  <c r="K31" i="8" s="1"/>
  <c r="L31" i="8" s="1"/>
  <c r="M31" i="8" s="1"/>
  <c r="N31" i="8" s="1"/>
  <c r="N32" i="8" s="1"/>
  <c r="D31" i="8"/>
  <c r="C31" i="8"/>
  <c r="D30" i="8"/>
  <c r="D19" i="8"/>
  <c r="C19" i="8"/>
  <c r="F16" i="8"/>
  <c r="G16" i="8" s="1"/>
  <c r="H16" i="8" s="1"/>
  <c r="I16" i="8" s="1"/>
  <c r="J16" i="8" s="1"/>
  <c r="K16" i="8" s="1"/>
  <c r="L16" i="8" s="1"/>
  <c r="M16" i="8" s="1"/>
  <c r="E16" i="8"/>
  <c r="D24" i="8"/>
  <c r="E18" i="8"/>
  <c r="F18" i="8" s="1"/>
  <c r="G18" i="8" s="1"/>
  <c r="H18" i="8" s="1"/>
  <c r="I18" i="8" s="1"/>
  <c r="J18" i="8" s="1"/>
  <c r="K18" i="8" s="1"/>
  <c r="L18" i="8" s="1"/>
  <c r="M18" i="8" s="1"/>
  <c r="E17" i="8"/>
  <c r="F17" i="8" s="1"/>
  <c r="G17" i="8" s="1"/>
  <c r="H17" i="8" s="1"/>
  <c r="I17" i="8" s="1"/>
  <c r="J17" i="8" s="1"/>
  <c r="L21" i="8"/>
  <c r="M21" i="8" s="1"/>
  <c r="K21" i="8"/>
  <c r="D14" i="8"/>
  <c r="D15" i="8" s="1"/>
  <c r="C14" i="8"/>
  <c r="D13" i="8"/>
  <c r="E13" i="8" s="1"/>
  <c r="F13" i="8" s="1"/>
  <c r="C8" i="8"/>
  <c r="C6" i="8"/>
  <c r="E12" i="8" s="1"/>
  <c r="H6" i="8"/>
  <c r="D26" i="8" s="1"/>
  <c r="K17" i="8" l="1"/>
  <c r="L17" i="8" s="1"/>
  <c r="M17" i="8" s="1"/>
  <c r="F12" i="8"/>
  <c r="E14" i="8"/>
  <c r="E19" i="8" s="1"/>
  <c r="G13" i="8"/>
  <c r="H13" i="8" s="1"/>
  <c r="I13" i="8" s="1"/>
  <c r="J13" i="8" s="1"/>
  <c r="K13" i="8" s="1"/>
  <c r="L13" i="8" s="1"/>
  <c r="M13" i="8" s="1"/>
  <c r="E15" i="8"/>
  <c r="D20" i="8" l="1"/>
  <c r="D29" i="8" s="1"/>
  <c r="D32" i="8" s="1"/>
  <c r="C20" i="8"/>
  <c r="C29" i="8" s="1"/>
  <c r="E20" i="8"/>
  <c r="E29" i="8" s="1"/>
  <c r="G12" i="8"/>
  <c r="F14" i="8"/>
  <c r="F19" i="8" s="1"/>
  <c r="E22" i="8" l="1"/>
  <c r="E23" i="8" s="1"/>
  <c r="E32" i="8"/>
  <c r="E30" i="8"/>
  <c r="D22" i="8"/>
  <c r="D23" i="8" s="1"/>
  <c r="C22" i="8"/>
  <c r="F15" i="8"/>
  <c r="H12" i="8"/>
  <c r="G14" i="8"/>
  <c r="G19" i="8" s="1"/>
  <c r="G15" i="8"/>
  <c r="G20" i="8" l="1"/>
  <c r="G22" i="8" s="1"/>
  <c r="G23" i="8" s="1"/>
  <c r="H14" i="8"/>
  <c r="H19" i="8" s="1"/>
  <c r="I12" i="8"/>
  <c r="F20" i="8"/>
  <c r="F22" i="8" s="1"/>
  <c r="F23" i="8" s="1"/>
  <c r="F29" i="8" l="1"/>
  <c r="F32" i="8" s="1"/>
  <c r="J12" i="8"/>
  <c r="I14" i="8"/>
  <c r="I19" i="8" s="1"/>
  <c r="H15" i="8"/>
  <c r="G29" i="8"/>
  <c r="F30" i="8" l="1"/>
  <c r="H20" i="8"/>
  <c r="H22" i="8" s="1"/>
  <c r="H23" i="8" s="1"/>
  <c r="I15" i="8"/>
  <c r="K12" i="8"/>
  <c r="J14" i="8"/>
  <c r="J19" i="8" s="1"/>
  <c r="G30" i="8"/>
  <c r="G32" i="8"/>
  <c r="H29" i="8" l="1"/>
  <c r="H30" i="8" s="1"/>
  <c r="I20" i="8"/>
  <c r="I29" i="8" s="1"/>
  <c r="I22" i="8"/>
  <c r="I23" i="8" s="1"/>
  <c r="J15" i="8"/>
  <c r="L12" i="8"/>
  <c r="K14" i="8"/>
  <c r="K19" i="8" s="1"/>
  <c r="H32" i="8" l="1"/>
  <c r="M12" i="8"/>
  <c r="M14" i="8" s="1"/>
  <c r="M19" i="8" s="1"/>
  <c r="L14" i="8"/>
  <c r="L19" i="8" s="1"/>
  <c r="I32" i="8"/>
  <c r="I34" i="8" s="1"/>
  <c r="I30" i="8"/>
  <c r="K15" i="8"/>
  <c r="J20" i="8"/>
  <c r="J29" i="8" s="1"/>
  <c r="J22" i="8" l="1"/>
  <c r="J23" i="8" s="1"/>
  <c r="J30" i="8"/>
  <c r="J32" i="8"/>
  <c r="K20" i="8"/>
  <c r="K22" i="8" s="1"/>
  <c r="K23" i="8" s="1"/>
  <c r="L15" i="8"/>
  <c r="M15" i="8"/>
  <c r="K29" i="8" l="1"/>
  <c r="L20" i="8"/>
  <c r="L22" i="8" s="1"/>
  <c r="L23" i="8" s="1"/>
  <c r="M20" i="8"/>
  <c r="M29" i="8" s="1"/>
  <c r="N29" i="8"/>
  <c r="M32" i="8" l="1"/>
  <c r="N34" i="8" s="1"/>
  <c r="N30" i="8"/>
  <c r="M22" i="8"/>
  <c r="N22" i="8" s="1"/>
  <c r="N23" i="8" s="1"/>
  <c r="L29" i="8"/>
  <c r="M30" i="8" s="1"/>
  <c r="K32" i="8"/>
  <c r="K30" i="8"/>
  <c r="L30" i="8" l="1"/>
  <c r="L32" i="8"/>
  <c r="M23" i="8"/>
  <c r="D25" i="8" s="1"/>
  <c r="I2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Mahesh Kakade</author>
  </authors>
  <commentList>
    <comment ref="E21" authorId="0" shapeId="0" xr:uid="{8692A8F3-D86D-4BCF-A8EC-D85BD19AEC8A}">
      <text>
        <r>
          <rPr>
            <b/>
            <sz val="9"/>
            <color indexed="81"/>
            <rFont val="Tahoma"/>
            <charset val="1"/>
          </rPr>
          <t>Mahesh Kakade:</t>
        </r>
        <r>
          <rPr>
            <sz val="9"/>
            <color indexed="81"/>
            <rFont val="Tahoma"/>
            <charset val="1"/>
          </rPr>
          <t xml:space="preserve">
Assuming Block chain implementation incremental capex for 3 years)
</t>
        </r>
      </text>
    </comment>
  </commentList>
</comments>
</file>

<file path=xl/sharedStrings.xml><?xml version="1.0" encoding="utf-8"?>
<sst xmlns="http://schemas.openxmlformats.org/spreadsheetml/2006/main" count="77" uniqueCount="76">
  <si>
    <t>%Growth</t>
  </si>
  <si>
    <t>Other Income</t>
  </si>
  <si>
    <t xml:space="preserve">Business Aspects - </t>
  </si>
  <si>
    <t xml:space="preserve">Strong Points - </t>
  </si>
  <si>
    <t xml:space="preserve">Investment Thesis - </t>
  </si>
  <si>
    <t xml:space="preserve">Things to track - </t>
  </si>
  <si>
    <t>Item</t>
  </si>
  <si>
    <t>FY21</t>
  </si>
  <si>
    <t>FY22</t>
  </si>
  <si>
    <t>FY23</t>
  </si>
  <si>
    <t>FY24</t>
  </si>
  <si>
    <t>FY25</t>
  </si>
  <si>
    <t>Tax</t>
  </si>
  <si>
    <t>No. of shares</t>
  </si>
  <si>
    <t>EPS</t>
  </si>
  <si>
    <t>PE</t>
  </si>
  <si>
    <t>FY26</t>
  </si>
  <si>
    <t>FY27</t>
  </si>
  <si>
    <t>FY28</t>
  </si>
  <si>
    <t>FY29</t>
  </si>
  <si>
    <t>FY30</t>
  </si>
  <si>
    <t>FY31</t>
  </si>
  <si>
    <t>FY32</t>
  </si>
  <si>
    <t xml:space="preserve">Assumptions: </t>
  </si>
  <si>
    <t>Facts:</t>
  </si>
  <si>
    <t>Tax Rate</t>
  </si>
  <si>
    <t>Discount Rate</t>
  </si>
  <si>
    <t>Current Cash equivalents (Cr)</t>
  </si>
  <si>
    <t>Share Price (Rs)</t>
  </si>
  <si>
    <t>Shares outstanding (Cr)</t>
  </si>
  <si>
    <t>Market Cap (Cr)</t>
  </si>
  <si>
    <t>Revenue from Operations (in Cr)</t>
  </si>
  <si>
    <t>Depreciation</t>
  </si>
  <si>
    <t>Interest</t>
  </si>
  <si>
    <t>Cash on Books</t>
  </si>
  <si>
    <t>Current Market Cap  (in Cr)</t>
  </si>
  <si>
    <t>PV of Futre Cash from operations</t>
  </si>
  <si>
    <t>EBIDTA (in Cr)</t>
  </si>
  <si>
    <t>PBT (in Cr.)</t>
  </si>
  <si>
    <t>Net Profit (in Cr)</t>
  </si>
  <si>
    <t>Per Share Price</t>
  </si>
  <si>
    <t>Present Value of Company (in Cr)</t>
  </si>
  <si>
    <t>Linked to Mutual Fund Investment growth trend</t>
  </si>
  <si>
    <t xml:space="preserve">No. 1 player with 70% Market share </t>
  </si>
  <si>
    <t>Complete IT infra provider to MF companies - high dependence and no switch over chances of customer</t>
  </si>
  <si>
    <t>RTA cost is very miniscule in end product (0.04% of AUM) coupled with high value (complete operations handling - freeing MF company to focus on marketing startegy and business mgmt)</t>
  </si>
  <si>
    <t>Entry barriers - regulatory approvals needed to work as RTA. Currently duo-poly with K-fin (Karvy) having smaller players (30% MS)</t>
  </si>
  <si>
    <t>- Needed IT infra and operation intelligence is accumulated knowledge base of decades which new player cannot get</t>
  </si>
  <si>
    <t xml:space="preserve">Lowlights - </t>
  </si>
  <si>
    <t>Negetive working capital business</t>
  </si>
  <si>
    <t>Growing trend of digital CLM (Customer Lifecycle Management - eKYC, paperless transactions etc)</t>
  </si>
  <si>
    <t>Convinience of access - 24 X 7 availability</t>
  </si>
  <si>
    <t>Customer data bank - though cannot sell data as MF is owner of data</t>
  </si>
  <si>
    <t>Cap on revenue - fixed 0.04% charges of AUM. Growth will be linear to market. Even charges decrease as AUM grows beyond certain limit. So growth below MF industry growth possible</t>
  </si>
  <si>
    <t>Other businesses (10% of revenue) growth possible - DigiLockers, NEFT transaction share, GIFT City Account Aggregator)</t>
  </si>
  <si>
    <t xml:space="preserve">Risks - </t>
  </si>
  <si>
    <t>Data security breach may lead to sever punishment from regulatory bodies and may also result in termination of licenses</t>
  </si>
  <si>
    <t>Any further regulatory cap on fees for MFs may result into RTA fees reduction (though SEBI cap is highly possible, less possibility for RTA fees reduction considering high value addition and very high customer dependence on RTA)</t>
  </si>
  <si>
    <t xml:space="preserve">Future Technology adoption - like blockchain etc. </t>
  </si>
  <si>
    <t>SEBI allowing new player as RTA</t>
  </si>
  <si>
    <t>Revenue growth remains in line with MF AUM growth</t>
  </si>
  <si>
    <t>Blockchain like technology introduction in RTA space and CAMS complaince capability</t>
  </si>
  <si>
    <t>High dividend distribution - 65% of profits - no incremental capex needed as more like a platform business with technology leverage availble</t>
  </si>
  <si>
    <t>Largly stagnant customer target base - 40 large MF houses in market. There will be new players coming but at the same time consolidation of MF companies also happens. So larger players will become large and get RTA fees discount as AUM grows</t>
  </si>
  <si>
    <t>Other business growth - this will be cherry on top</t>
  </si>
  <si>
    <t>Date</t>
  </si>
  <si>
    <t>EBIDTA Margin %</t>
  </si>
  <si>
    <t>MF Industry Growth Rate (First 5 Years)</t>
  </si>
  <si>
    <t>CAMS Revenue growth rate (First 5 Years)</t>
  </si>
  <si>
    <t>MF Industry Growth Rate (Next 5 Years)</t>
  </si>
  <si>
    <t>CAMS Revenue growth rate (Next 5 Years)</t>
  </si>
  <si>
    <t>Exit  Valuation (Exit multiple method)</t>
  </si>
  <si>
    <t>Maintenance Capex</t>
  </si>
  <si>
    <t>Free Cash Flow (FCF)</t>
  </si>
  <si>
    <t>(@15 times FCF)</t>
  </si>
  <si>
    <t>Share Price (By Intrinsic Value Method)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</si>
</sst>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_ * #,##0_ ;_ * \-#,##0_ ;_ * &quot;-&quot;??_ ;_ @_ "/>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9"/>
      <color indexed="81"/>
      <name val="Tahoma"/>
      <charset val="1"/>
    </font>
    <font>
      <b/>
      <sz val="9"/>
      <color indexed="81"/>
      <name val="Tahoma"/>
      <charset val="1"/>
    </font>
  </fonts>
  <fills count="4">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8">
    <xf numFmtId="0" fontId="0" fillId="0" borderId="0" xfId="0"/>
    <xf numFmtId="0" fontId="2" fillId="0" borderId="0" xfId="0" applyFont="1"/>
    <xf numFmtId="9" fontId="0" fillId="0" borderId="0" xfId="1" applyFont="1"/>
    <xf numFmtId="164" fontId="0" fillId="0" borderId="0" xfId="1" applyNumberFormat="1" applyFont="1"/>
    <xf numFmtId="9" fontId="0" fillId="0" borderId="0" xfId="0" applyNumberFormat="1"/>
    <xf numFmtId="1" fontId="0" fillId="0" borderId="0" xfId="0" applyNumberFormat="1"/>
    <xf numFmtId="2" fontId="0" fillId="0" borderId="0" xfId="0" applyNumberFormat="1"/>
    <xf numFmtId="165" fontId="0" fillId="0" borderId="0" xfId="1" applyNumberFormat="1" applyFont="1"/>
    <xf numFmtId="1" fontId="0" fillId="0" borderId="0" xfId="1" applyNumberFormat="1" applyFont="1"/>
    <xf numFmtId="166" fontId="0" fillId="0" borderId="0" xfId="2" applyNumberFormat="1" applyFont="1"/>
    <xf numFmtId="166" fontId="0" fillId="0" borderId="0" xfId="0" applyNumberFormat="1"/>
    <xf numFmtId="166" fontId="2" fillId="3" borderId="0" xfId="2" applyNumberFormat="1" applyFont="1" applyFill="1"/>
    <xf numFmtId="166" fontId="2" fillId="2" borderId="0" xfId="2" applyNumberFormat="1" applyFont="1" applyFill="1"/>
    <xf numFmtId="43" fontId="0" fillId="0" borderId="0" xfId="0" applyNumberFormat="1"/>
    <xf numFmtId="0" fontId="0" fillId="0" borderId="0" xfId="0" quotePrefix="1"/>
    <xf numFmtId="15" fontId="0" fillId="0" borderId="0" xfId="0" applyNumberFormat="1"/>
    <xf numFmtId="0" fontId="0" fillId="0" borderId="0" xfId="0" applyAlignment="1">
      <alignment horizontal="center"/>
    </xf>
    <xf numFmtId="166" fontId="2" fillId="0" borderId="0" xfId="2" applyNumberFormat="1" applyFont="1"/>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35"/>
  <sheetViews>
    <sheetView topLeftCell="A21" zoomScale="120" zoomScaleNormal="120" workbookViewId="0">
      <selection activeCell="B35" sqref="B35"/>
    </sheetView>
  </sheetViews>
  <sheetFormatPr defaultRowHeight="14.5" x14ac:dyDescent="0.35"/>
  <sheetData>
    <row r="2" spans="1:3" x14ac:dyDescent="0.35">
      <c r="A2" t="s">
        <v>4</v>
      </c>
    </row>
    <row r="3" spans="1:3" x14ac:dyDescent="0.35">
      <c r="A3">
        <v>1</v>
      </c>
      <c r="B3" t="s">
        <v>42</v>
      </c>
    </row>
    <row r="4" spans="1:3" x14ac:dyDescent="0.35">
      <c r="A4">
        <v>2</v>
      </c>
      <c r="B4" t="s">
        <v>43</v>
      </c>
    </row>
    <row r="5" spans="1:3" x14ac:dyDescent="0.35">
      <c r="A5">
        <v>3</v>
      </c>
      <c r="B5" t="s">
        <v>44</v>
      </c>
    </row>
    <row r="6" spans="1:3" x14ac:dyDescent="0.35">
      <c r="A6">
        <v>4</v>
      </c>
      <c r="B6" t="s">
        <v>45</v>
      </c>
    </row>
    <row r="7" spans="1:3" x14ac:dyDescent="0.35">
      <c r="A7">
        <v>5</v>
      </c>
      <c r="B7" t="s">
        <v>46</v>
      </c>
    </row>
    <row r="8" spans="1:3" x14ac:dyDescent="0.35">
      <c r="C8" s="14" t="s">
        <v>47</v>
      </c>
    </row>
    <row r="9" spans="1:3" x14ac:dyDescent="0.35">
      <c r="A9">
        <v>6</v>
      </c>
      <c r="B9" t="s">
        <v>54</v>
      </c>
    </row>
    <row r="11" spans="1:3" x14ac:dyDescent="0.35">
      <c r="A11" t="s">
        <v>2</v>
      </c>
    </row>
    <row r="12" spans="1:3" x14ac:dyDescent="0.35">
      <c r="A12" t="s">
        <v>3</v>
      </c>
    </row>
    <row r="13" spans="1:3" x14ac:dyDescent="0.35">
      <c r="A13">
        <v>1</v>
      </c>
      <c r="B13" t="s">
        <v>49</v>
      </c>
    </row>
    <row r="14" spans="1:3" x14ac:dyDescent="0.35">
      <c r="A14">
        <v>2</v>
      </c>
      <c r="B14" t="s">
        <v>50</v>
      </c>
    </row>
    <row r="15" spans="1:3" x14ac:dyDescent="0.35">
      <c r="A15">
        <v>3</v>
      </c>
      <c r="B15" t="s">
        <v>51</v>
      </c>
    </row>
    <row r="16" spans="1:3" x14ac:dyDescent="0.35">
      <c r="A16">
        <v>4</v>
      </c>
      <c r="B16" t="s">
        <v>52</v>
      </c>
    </row>
    <row r="17" spans="1:2" x14ac:dyDescent="0.35">
      <c r="A17">
        <v>5</v>
      </c>
      <c r="B17" t="s">
        <v>62</v>
      </c>
    </row>
    <row r="20" spans="1:2" x14ac:dyDescent="0.35">
      <c r="A20" t="s">
        <v>48</v>
      </c>
    </row>
    <row r="21" spans="1:2" x14ac:dyDescent="0.35">
      <c r="A21">
        <v>1</v>
      </c>
      <c r="B21" t="s">
        <v>53</v>
      </c>
    </row>
    <row r="22" spans="1:2" x14ac:dyDescent="0.35">
      <c r="A22">
        <v>2</v>
      </c>
      <c r="B22" t="s">
        <v>63</v>
      </c>
    </row>
    <row r="25" spans="1:2" x14ac:dyDescent="0.35">
      <c r="A25" t="s">
        <v>55</v>
      </c>
    </row>
    <row r="26" spans="1:2" x14ac:dyDescent="0.35">
      <c r="A26">
        <v>1</v>
      </c>
      <c r="B26" t="s">
        <v>56</v>
      </c>
    </row>
    <row r="27" spans="1:2" x14ac:dyDescent="0.35">
      <c r="A27">
        <v>2</v>
      </c>
      <c r="B27" t="s">
        <v>57</v>
      </c>
    </row>
    <row r="28" spans="1:2" x14ac:dyDescent="0.35">
      <c r="A28">
        <v>3</v>
      </c>
      <c r="B28" t="s">
        <v>58</v>
      </c>
    </row>
    <row r="29" spans="1:2" x14ac:dyDescent="0.35">
      <c r="A29">
        <v>4</v>
      </c>
      <c r="B29" t="s">
        <v>59</v>
      </c>
    </row>
    <row r="32" spans="1:2" x14ac:dyDescent="0.35">
      <c r="A32" t="s">
        <v>5</v>
      </c>
    </row>
    <row r="33" spans="1:2" x14ac:dyDescent="0.35">
      <c r="A33">
        <v>1</v>
      </c>
      <c r="B33" t="s">
        <v>60</v>
      </c>
    </row>
    <row r="34" spans="1:2" x14ac:dyDescent="0.35">
      <c r="A34">
        <v>2</v>
      </c>
      <c r="B34" t="s">
        <v>61</v>
      </c>
    </row>
    <row r="35" spans="1:2" x14ac:dyDescent="0.35">
      <c r="A35">
        <v>3</v>
      </c>
      <c r="B35" t="s">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5A9AD-7842-4251-BF7B-89CE30301830}">
  <dimension ref="B1:AA34"/>
  <sheetViews>
    <sheetView tabSelected="1" topLeftCell="B1" zoomScaleNormal="100" workbookViewId="0">
      <selection activeCell="C5" sqref="C5"/>
    </sheetView>
  </sheetViews>
  <sheetFormatPr defaultRowHeight="14.5" x14ac:dyDescent="0.35"/>
  <cols>
    <col min="1" max="1" width="2.453125" customWidth="1"/>
    <col min="2" max="2" width="38.1796875" customWidth="1"/>
    <col min="3" max="14" width="10.7265625" customWidth="1"/>
  </cols>
  <sheetData>
    <row r="1" spans="2:14" x14ac:dyDescent="0.35">
      <c r="B1" t="s">
        <v>65</v>
      </c>
      <c r="C1" s="15">
        <v>44535</v>
      </c>
    </row>
    <row r="2" spans="2:14" x14ac:dyDescent="0.35">
      <c r="B2" s="1" t="s">
        <v>23</v>
      </c>
      <c r="E2" s="1" t="s">
        <v>24</v>
      </c>
    </row>
    <row r="3" spans="2:14" x14ac:dyDescent="0.35">
      <c r="B3" t="s">
        <v>25</v>
      </c>
      <c r="C3" s="4">
        <v>0.25</v>
      </c>
      <c r="E3" t="s">
        <v>27</v>
      </c>
      <c r="H3">
        <v>577</v>
      </c>
    </row>
    <row r="4" spans="2:14" x14ac:dyDescent="0.35">
      <c r="B4" t="s">
        <v>26</v>
      </c>
      <c r="C4" s="4">
        <v>0.08</v>
      </c>
      <c r="E4" t="s">
        <v>28</v>
      </c>
      <c r="H4" s="9">
        <v>2942</v>
      </c>
    </row>
    <row r="5" spans="2:14" x14ac:dyDescent="0.35">
      <c r="B5" t="s">
        <v>67</v>
      </c>
      <c r="C5" s="4">
        <v>0.15</v>
      </c>
      <c r="E5" t="s">
        <v>29</v>
      </c>
      <c r="H5" s="6">
        <v>4.8789999999999996</v>
      </c>
    </row>
    <row r="6" spans="2:14" x14ac:dyDescent="0.35">
      <c r="B6" t="s">
        <v>68</v>
      </c>
      <c r="C6" s="4">
        <f>C5*0.8</f>
        <v>0.12</v>
      </c>
      <c r="E6" t="s">
        <v>30</v>
      </c>
      <c r="H6" s="9">
        <f>H5*H4</f>
        <v>14354.017999999998</v>
      </c>
    </row>
    <row r="7" spans="2:14" x14ac:dyDescent="0.35">
      <c r="B7" t="s">
        <v>69</v>
      </c>
      <c r="C7" s="4">
        <v>0.1</v>
      </c>
    </row>
    <row r="8" spans="2:14" x14ac:dyDescent="0.35">
      <c r="B8" t="s">
        <v>70</v>
      </c>
      <c r="C8" s="4">
        <f>C7*0.8</f>
        <v>8.0000000000000016E-2</v>
      </c>
    </row>
    <row r="10" spans="2:14" x14ac:dyDescent="0.35">
      <c r="D10" s="16">
        <v>1</v>
      </c>
      <c r="E10" s="16">
        <v>2</v>
      </c>
      <c r="F10" s="16">
        <v>3</v>
      </c>
      <c r="G10" s="16">
        <v>4</v>
      </c>
      <c r="H10" s="16">
        <v>5</v>
      </c>
      <c r="I10" s="16">
        <v>6</v>
      </c>
      <c r="J10" s="16">
        <v>7</v>
      </c>
      <c r="K10" s="16">
        <v>8</v>
      </c>
      <c r="L10" s="16">
        <v>9</v>
      </c>
      <c r="M10" s="16">
        <v>10</v>
      </c>
      <c r="N10" t="s">
        <v>71</v>
      </c>
    </row>
    <row r="11" spans="2:14" x14ac:dyDescent="0.35">
      <c r="B11" s="1" t="s">
        <v>6</v>
      </c>
      <c r="C11" s="1" t="s">
        <v>7</v>
      </c>
      <c r="D11" s="1" t="s">
        <v>8</v>
      </c>
      <c r="E11" s="1" t="s">
        <v>9</v>
      </c>
      <c r="F11" s="1" t="s">
        <v>10</v>
      </c>
      <c r="G11" s="1" t="s">
        <v>11</v>
      </c>
      <c r="H11" s="1" t="s">
        <v>16</v>
      </c>
      <c r="I11" s="1" t="s">
        <v>17</v>
      </c>
      <c r="J11" s="1" t="s">
        <v>18</v>
      </c>
      <c r="K11" s="1" t="s">
        <v>19</v>
      </c>
      <c r="L11" s="1" t="s">
        <v>20</v>
      </c>
      <c r="M11" s="1" t="s">
        <v>21</v>
      </c>
      <c r="N11" s="1" t="s">
        <v>22</v>
      </c>
    </row>
    <row r="12" spans="2:14" x14ac:dyDescent="0.35">
      <c r="B12" t="s">
        <v>31</v>
      </c>
      <c r="C12">
        <v>674</v>
      </c>
      <c r="D12">
        <v>750</v>
      </c>
      <c r="E12">
        <f>D12*(1+$C$6)</f>
        <v>840.00000000000011</v>
      </c>
      <c r="F12" s="5">
        <f t="shared" ref="F12:H12" si="0">E12*(1+$C$6)</f>
        <v>940.80000000000018</v>
      </c>
      <c r="G12" s="5">
        <f t="shared" si="0"/>
        <v>1053.6960000000004</v>
      </c>
      <c r="H12" s="5">
        <f t="shared" si="0"/>
        <v>1180.1395200000006</v>
      </c>
      <c r="I12" s="5">
        <f>H12*(1+$C$8)</f>
        <v>1274.5506816000009</v>
      </c>
      <c r="J12" s="5">
        <f t="shared" ref="J12:M12" si="1">I12*(1+$C$8)</f>
        <v>1376.514736128001</v>
      </c>
      <c r="K12" s="5">
        <f t="shared" si="1"/>
        <v>1486.6359150182411</v>
      </c>
      <c r="L12" s="5">
        <f t="shared" si="1"/>
        <v>1605.5667882197006</v>
      </c>
      <c r="M12" s="5">
        <f t="shared" si="1"/>
        <v>1734.0121312772767</v>
      </c>
      <c r="N12" s="10"/>
    </row>
    <row r="13" spans="2:14" x14ac:dyDescent="0.35">
      <c r="B13" t="s">
        <v>66</v>
      </c>
      <c r="C13" s="2">
        <v>0.4</v>
      </c>
      <c r="D13" s="2">
        <f>C13+1%</f>
        <v>0.41000000000000003</v>
      </c>
      <c r="E13" s="2">
        <f t="shared" ref="E13:M13" si="2">D13+1%</f>
        <v>0.42000000000000004</v>
      </c>
      <c r="F13" s="2">
        <f t="shared" si="2"/>
        <v>0.43000000000000005</v>
      </c>
      <c r="G13" s="2">
        <f t="shared" si="2"/>
        <v>0.44000000000000006</v>
      </c>
      <c r="H13" s="2">
        <f t="shared" si="2"/>
        <v>0.45000000000000007</v>
      </c>
      <c r="I13" s="2">
        <f t="shared" si="2"/>
        <v>0.46000000000000008</v>
      </c>
      <c r="J13" s="2">
        <f t="shared" si="2"/>
        <v>0.47000000000000008</v>
      </c>
      <c r="K13" s="2">
        <f t="shared" si="2"/>
        <v>0.48000000000000009</v>
      </c>
      <c r="L13" s="2">
        <f t="shared" si="2"/>
        <v>0.4900000000000001</v>
      </c>
      <c r="M13" s="2">
        <f t="shared" si="2"/>
        <v>0.50000000000000011</v>
      </c>
      <c r="N13" s="9"/>
    </row>
    <row r="14" spans="2:14" x14ac:dyDescent="0.35">
      <c r="B14" t="s">
        <v>37</v>
      </c>
      <c r="C14" s="9">
        <f>C12*C13</f>
        <v>269.60000000000002</v>
      </c>
      <c r="D14" s="9">
        <f t="shared" ref="D14:M14" si="3">D12*D13</f>
        <v>307.5</v>
      </c>
      <c r="E14" s="9">
        <f t="shared" si="3"/>
        <v>352.80000000000007</v>
      </c>
      <c r="F14" s="9">
        <f t="shared" si="3"/>
        <v>404.5440000000001</v>
      </c>
      <c r="G14" s="9">
        <f t="shared" si="3"/>
        <v>463.62624000000022</v>
      </c>
      <c r="H14" s="9">
        <f t="shared" si="3"/>
        <v>531.06278400000031</v>
      </c>
      <c r="I14" s="9">
        <f t="shared" si="3"/>
        <v>586.29331353600048</v>
      </c>
      <c r="J14" s="9">
        <f t="shared" si="3"/>
        <v>646.96192598016057</v>
      </c>
      <c r="K14" s="9">
        <f t="shared" si="3"/>
        <v>713.58523920875587</v>
      </c>
      <c r="L14" s="9">
        <f t="shared" si="3"/>
        <v>786.72772622765342</v>
      </c>
      <c r="M14" s="9">
        <f t="shared" si="3"/>
        <v>867.00606563863857</v>
      </c>
      <c r="N14" s="9"/>
    </row>
    <row r="15" spans="2:14" x14ac:dyDescent="0.35">
      <c r="B15" t="s">
        <v>0</v>
      </c>
      <c r="D15" s="3">
        <f t="shared" ref="D15:E15" si="4">(D14-C14)/C14</f>
        <v>0.14057863501483669</v>
      </c>
      <c r="E15" s="3">
        <f t="shared" si="4"/>
        <v>0.14731707317073192</v>
      </c>
      <c r="F15" s="3">
        <f t="shared" ref="F15" si="5">(F14-E14)/E14</f>
        <v>0.14666666666666672</v>
      </c>
      <c r="G15" s="3">
        <f t="shared" ref="G15" si="6">(G14-F14)/F14</f>
        <v>0.14604651162790724</v>
      </c>
      <c r="H15" s="3">
        <f t="shared" ref="H15" si="7">(H14-G14)/G14</f>
        <v>0.14545454545454556</v>
      </c>
      <c r="I15" s="3">
        <f t="shared" ref="I15" si="8">(I14-H14)/H14</f>
        <v>0.10400000000000027</v>
      </c>
      <c r="J15" s="3">
        <f t="shared" ref="J15" si="9">(J14-I14)/I14</f>
        <v>0.10347826086956528</v>
      </c>
      <c r="K15" s="3">
        <f t="shared" ref="K15" si="10">(K14-J14)/J14</f>
        <v>0.10297872340425537</v>
      </c>
      <c r="L15" s="3">
        <f t="shared" ref="L15" si="11">(L14-K14)/K14</f>
        <v>0.1025000000000001</v>
      </c>
      <c r="M15" s="3">
        <f t="shared" ref="M15" si="12">(M14-L14)/L14</f>
        <v>0.10204081632653075</v>
      </c>
      <c r="N15" s="3"/>
    </row>
    <row r="16" spans="2:14" x14ac:dyDescent="0.35">
      <c r="B16" t="s">
        <v>1</v>
      </c>
      <c r="C16">
        <v>58</v>
      </c>
      <c r="D16">
        <v>90</v>
      </c>
      <c r="E16">
        <f>1.1*D16</f>
        <v>99.000000000000014</v>
      </c>
      <c r="F16" s="5">
        <f t="shared" ref="F16:M16" si="13">1.1*E16</f>
        <v>108.90000000000002</v>
      </c>
      <c r="G16" s="5">
        <f t="shared" si="13"/>
        <v>119.79000000000003</v>
      </c>
      <c r="H16" s="5">
        <f t="shared" si="13"/>
        <v>131.76900000000006</v>
      </c>
      <c r="I16" s="5">
        <f t="shared" si="13"/>
        <v>144.94590000000008</v>
      </c>
      <c r="J16" s="5">
        <f t="shared" si="13"/>
        <v>159.4404900000001</v>
      </c>
      <c r="K16" s="5">
        <f t="shared" si="13"/>
        <v>175.38453900000013</v>
      </c>
      <c r="L16" s="5">
        <f t="shared" si="13"/>
        <v>192.92299290000017</v>
      </c>
      <c r="M16" s="5">
        <f t="shared" si="13"/>
        <v>212.21529219000021</v>
      </c>
      <c r="N16" s="3"/>
    </row>
    <row r="17" spans="2:27" x14ac:dyDescent="0.35">
      <c r="B17" t="s">
        <v>32</v>
      </c>
      <c r="C17" s="8">
        <v>39</v>
      </c>
      <c r="D17" s="8">
        <v>40</v>
      </c>
      <c r="E17" s="8">
        <f>(0.8*D17)+(E21*0.4)</f>
        <v>48</v>
      </c>
      <c r="F17" s="8">
        <f t="shared" ref="F17:M17" si="14">(0.8*E17)+(F21*0.4)</f>
        <v>58.400000000000006</v>
      </c>
      <c r="G17" s="8">
        <f t="shared" si="14"/>
        <v>70.72</v>
      </c>
      <c r="H17" s="8">
        <f t="shared" si="14"/>
        <v>68.575999999999993</v>
      </c>
      <c r="I17" s="8">
        <f t="shared" si="14"/>
        <v>62.860799999999998</v>
      </c>
      <c r="J17" s="8">
        <f t="shared" si="14"/>
        <v>54.288640000000001</v>
      </c>
      <c r="K17" s="8">
        <f t="shared" si="14"/>
        <v>47.430912000000006</v>
      </c>
      <c r="L17" s="8">
        <f t="shared" si="14"/>
        <v>41.944729600000009</v>
      </c>
      <c r="M17" s="8">
        <f t="shared" si="14"/>
        <v>37.555783680000012</v>
      </c>
      <c r="N17" s="8"/>
      <c r="O17" s="6"/>
      <c r="P17" s="6"/>
      <c r="Q17" s="6"/>
      <c r="R17" s="6"/>
      <c r="S17" s="6"/>
      <c r="T17" s="6"/>
      <c r="U17" s="6"/>
      <c r="V17" s="6"/>
      <c r="W17" s="6"/>
      <c r="X17" s="6"/>
      <c r="Y17" s="6"/>
      <c r="Z17" s="6"/>
      <c r="AA17" s="6"/>
    </row>
    <row r="18" spans="2:27" x14ac:dyDescent="0.35">
      <c r="B18" t="s">
        <v>33</v>
      </c>
      <c r="C18" s="8">
        <v>7</v>
      </c>
      <c r="D18" s="8">
        <v>7</v>
      </c>
      <c r="E18" s="8">
        <f>D18</f>
        <v>7</v>
      </c>
      <c r="F18" s="8">
        <f t="shared" ref="F18:M18" si="15">E18</f>
        <v>7</v>
      </c>
      <c r="G18" s="8">
        <f t="shared" si="15"/>
        <v>7</v>
      </c>
      <c r="H18" s="8">
        <f t="shared" si="15"/>
        <v>7</v>
      </c>
      <c r="I18" s="8">
        <f t="shared" si="15"/>
        <v>7</v>
      </c>
      <c r="J18" s="8">
        <f t="shared" si="15"/>
        <v>7</v>
      </c>
      <c r="K18" s="8">
        <f t="shared" si="15"/>
        <v>7</v>
      </c>
      <c r="L18" s="8">
        <f t="shared" si="15"/>
        <v>7</v>
      </c>
      <c r="M18" s="8">
        <f t="shared" si="15"/>
        <v>7</v>
      </c>
      <c r="N18" s="8"/>
      <c r="O18" s="8"/>
      <c r="P18" s="8"/>
      <c r="Q18" s="8"/>
      <c r="R18" s="8"/>
      <c r="S18" s="8"/>
      <c r="T18" s="8"/>
      <c r="U18" s="8"/>
      <c r="V18" s="8"/>
    </row>
    <row r="19" spans="2:27" x14ac:dyDescent="0.35">
      <c r="B19" t="s">
        <v>38</v>
      </c>
      <c r="C19" s="9">
        <f>C14+C16-(C17+C18)</f>
        <v>281.60000000000002</v>
      </c>
      <c r="D19" s="9">
        <f t="shared" ref="D19:M19" si="16">D14+D16-(D17+D18)</f>
        <v>350.5</v>
      </c>
      <c r="E19" s="9">
        <f t="shared" si="16"/>
        <v>396.80000000000007</v>
      </c>
      <c r="F19" s="9">
        <f t="shared" si="16"/>
        <v>448.0440000000001</v>
      </c>
      <c r="G19" s="9">
        <f t="shared" si="16"/>
        <v>505.69624000000022</v>
      </c>
      <c r="H19" s="9">
        <f t="shared" si="16"/>
        <v>587.2557840000004</v>
      </c>
      <c r="I19" s="9">
        <f t="shared" si="16"/>
        <v>661.37841353600049</v>
      </c>
      <c r="J19" s="9">
        <f t="shared" si="16"/>
        <v>745.11377598016065</v>
      </c>
      <c r="K19" s="9">
        <f t="shared" si="16"/>
        <v>834.53886620875596</v>
      </c>
      <c r="L19" s="9">
        <f t="shared" si="16"/>
        <v>930.70598952765363</v>
      </c>
      <c r="M19" s="9">
        <f t="shared" si="16"/>
        <v>1034.6655741486386</v>
      </c>
      <c r="N19" s="9"/>
      <c r="O19" s="8"/>
      <c r="P19" s="8"/>
      <c r="Q19" s="8"/>
      <c r="R19" s="8"/>
      <c r="S19" s="8"/>
      <c r="T19" s="8"/>
      <c r="U19" s="8"/>
      <c r="V19" s="8"/>
    </row>
    <row r="20" spans="2:27" x14ac:dyDescent="0.35">
      <c r="B20" t="s">
        <v>12</v>
      </c>
      <c r="C20" s="8">
        <f>C19*$C$3</f>
        <v>70.400000000000006</v>
      </c>
      <c r="D20" s="8">
        <f t="shared" ref="D20:M20" si="17">D19*$C$3</f>
        <v>87.625</v>
      </c>
      <c r="E20" s="8">
        <f t="shared" si="17"/>
        <v>99.200000000000017</v>
      </c>
      <c r="F20" s="8">
        <f t="shared" si="17"/>
        <v>112.01100000000002</v>
      </c>
      <c r="G20" s="8">
        <f t="shared" si="17"/>
        <v>126.42406000000005</v>
      </c>
      <c r="H20" s="8">
        <f t="shared" si="17"/>
        <v>146.8139460000001</v>
      </c>
      <c r="I20" s="8">
        <f t="shared" si="17"/>
        <v>165.34460338400012</v>
      </c>
      <c r="J20" s="8">
        <f t="shared" si="17"/>
        <v>186.27844399504016</v>
      </c>
      <c r="K20" s="8">
        <f t="shared" si="17"/>
        <v>208.63471655218899</v>
      </c>
      <c r="L20" s="8">
        <f t="shared" si="17"/>
        <v>232.67649738191341</v>
      </c>
      <c r="M20" s="8">
        <f t="shared" si="17"/>
        <v>258.66639353715965</v>
      </c>
      <c r="N20" s="9"/>
      <c r="O20" s="8"/>
      <c r="P20" s="8"/>
    </row>
    <row r="21" spans="2:27" x14ac:dyDescent="0.35">
      <c r="B21" t="s">
        <v>72</v>
      </c>
      <c r="C21" s="8">
        <v>0</v>
      </c>
      <c r="D21">
        <v>0</v>
      </c>
      <c r="E21" s="9">
        <v>40</v>
      </c>
      <c r="F21" s="9">
        <v>50</v>
      </c>
      <c r="G21" s="9">
        <v>60</v>
      </c>
      <c r="H21" s="9">
        <v>30</v>
      </c>
      <c r="I21" s="9">
        <v>20</v>
      </c>
      <c r="J21" s="9">
        <v>10</v>
      </c>
      <c r="K21" s="9">
        <f>J21</f>
        <v>10</v>
      </c>
      <c r="L21" s="9">
        <f t="shared" ref="L21:M21" si="18">K21</f>
        <v>10</v>
      </c>
      <c r="M21" s="9">
        <f t="shared" si="18"/>
        <v>10</v>
      </c>
      <c r="N21" s="9"/>
      <c r="O21" s="8"/>
      <c r="P21" s="8"/>
    </row>
    <row r="22" spans="2:27" x14ac:dyDescent="0.35">
      <c r="B22" t="s">
        <v>73</v>
      </c>
      <c r="C22" s="9">
        <f>C19+(C17+C18)-(C20+C21)</f>
        <v>257.20000000000005</v>
      </c>
      <c r="D22" s="9">
        <f t="shared" ref="D22:M22" si="19">D19+(D17+D18)-(D20+D21)</f>
        <v>309.875</v>
      </c>
      <c r="E22" s="9">
        <f t="shared" si="19"/>
        <v>312.60000000000002</v>
      </c>
      <c r="F22" s="9">
        <f t="shared" si="19"/>
        <v>351.43300000000005</v>
      </c>
      <c r="G22" s="9">
        <f t="shared" si="19"/>
        <v>396.99218000000019</v>
      </c>
      <c r="H22" s="9">
        <f t="shared" si="19"/>
        <v>486.01783800000032</v>
      </c>
      <c r="I22" s="9">
        <f t="shared" si="19"/>
        <v>545.89461015200038</v>
      </c>
      <c r="J22" s="9">
        <f t="shared" si="19"/>
        <v>610.12397198512053</v>
      </c>
      <c r="K22" s="9">
        <f t="shared" si="19"/>
        <v>670.33506165656695</v>
      </c>
      <c r="L22" s="9">
        <f t="shared" si="19"/>
        <v>736.97422174574012</v>
      </c>
      <c r="M22" s="9">
        <f t="shared" si="19"/>
        <v>810.55496429147911</v>
      </c>
      <c r="N22" s="9">
        <f>M22*15</f>
        <v>12158.324464372186</v>
      </c>
      <c r="O22" t="s">
        <v>74</v>
      </c>
    </row>
    <row r="23" spans="2:27" x14ac:dyDescent="0.35">
      <c r="B23" t="s">
        <v>36</v>
      </c>
      <c r="C23" s="8"/>
      <c r="D23" s="9">
        <f t="shared" ref="D23:F23" si="20">D22/((1+$C$4)^C10)</f>
        <v>309.875</v>
      </c>
      <c r="E23" s="9">
        <f t="shared" si="20"/>
        <v>289.44444444444446</v>
      </c>
      <c r="F23" s="9">
        <f t="shared" si="20"/>
        <v>301.29715363511662</v>
      </c>
      <c r="G23" s="9">
        <f>G22/((1+$C$4)^F10)</f>
        <v>315.14519191688271</v>
      </c>
      <c r="H23" s="9">
        <f t="shared" ref="H23:M23" si="21">H22/((1+$C$4)^G10)</f>
        <v>357.23761992159069</v>
      </c>
      <c r="I23" s="9">
        <f t="shared" si="21"/>
        <v>371.52669902074268</v>
      </c>
      <c r="J23" s="9">
        <f t="shared" si="21"/>
        <v>384.48159577830114</v>
      </c>
      <c r="K23" s="9">
        <f t="shared" si="21"/>
        <v>391.1340700840571</v>
      </c>
      <c r="L23" s="9">
        <f t="shared" si="21"/>
        <v>398.16424068928274</v>
      </c>
      <c r="M23" s="9">
        <f t="shared" si="21"/>
        <v>405.47928369008906</v>
      </c>
      <c r="N23" s="9">
        <f>N22/((1+$C$4)^M10)</f>
        <v>5631.6567179179037</v>
      </c>
    </row>
    <row r="24" spans="2:27" x14ac:dyDescent="0.35">
      <c r="B24" t="s">
        <v>34</v>
      </c>
      <c r="C24" s="8"/>
      <c r="D24" s="9">
        <f>H3</f>
        <v>577</v>
      </c>
      <c r="E24" s="8"/>
      <c r="G24" s="9"/>
      <c r="H24" s="9"/>
      <c r="I24" s="9"/>
      <c r="J24" s="9"/>
      <c r="K24" s="9"/>
      <c r="L24" s="9"/>
      <c r="M24" s="9"/>
      <c r="N24" s="9"/>
    </row>
    <row r="25" spans="2:27" x14ac:dyDescent="0.35">
      <c r="B25" s="1" t="s">
        <v>41</v>
      </c>
      <c r="C25" s="8"/>
      <c r="D25" s="11">
        <f>SUM(D23:N23)+D24</f>
        <v>9732.4420170984122</v>
      </c>
      <c r="E25" s="7" t="s">
        <v>75</v>
      </c>
      <c r="G25" s="9"/>
      <c r="H25" s="9"/>
      <c r="I25" s="17">
        <f>D25/H5</f>
        <v>1994.7616349863524</v>
      </c>
      <c r="J25" s="9"/>
      <c r="K25" s="9"/>
      <c r="L25" s="9"/>
      <c r="M25" s="9"/>
      <c r="N25" s="9"/>
    </row>
    <row r="26" spans="2:27" x14ac:dyDescent="0.35">
      <c r="B26" s="1" t="s">
        <v>35</v>
      </c>
      <c r="C26" s="8"/>
      <c r="D26" s="12">
        <f>H6</f>
        <v>14354.017999999998</v>
      </c>
      <c r="E26" s="7"/>
      <c r="G26" s="3"/>
      <c r="H26" s="3"/>
      <c r="I26" s="3"/>
      <c r="J26" s="3"/>
    </row>
    <row r="27" spans="2:27" x14ac:dyDescent="0.35">
      <c r="C27" s="8"/>
      <c r="D27" s="8"/>
      <c r="E27" s="7"/>
      <c r="F27" s="7"/>
      <c r="G27" s="3"/>
      <c r="H27" s="3"/>
      <c r="I27" s="3"/>
      <c r="J27" s="3"/>
    </row>
    <row r="28" spans="2:27" x14ac:dyDescent="0.35">
      <c r="C28" s="8"/>
      <c r="D28" s="8"/>
      <c r="E28" s="7"/>
      <c r="F28" s="7"/>
      <c r="G28" s="3"/>
      <c r="H28" s="3"/>
      <c r="I28" s="3"/>
      <c r="J28" s="3"/>
    </row>
    <row r="29" spans="2:27" x14ac:dyDescent="0.35">
      <c r="B29" t="s">
        <v>39</v>
      </c>
      <c r="C29" s="9">
        <f t="shared" ref="C29:N29" si="22">C19-C20</f>
        <v>211.20000000000002</v>
      </c>
      <c r="D29" s="9">
        <f t="shared" si="22"/>
        <v>262.875</v>
      </c>
      <c r="E29" s="9">
        <f t="shared" si="22"/>
        <v>297.60000000000002</v>
      </c>
      <c r="F29" s="9">
        <f t="shared" si="22"/>
        <v>336.03300000000007</v>
      </c>
      <c r="G29" s="9">
        <f t="shared" si="22"/>
        <v>379.27218000000016</v>
      </c>
      <c r="H29" s="9">
        <f t="shared" si="22"/>
        <v>440.4418380000003</v>
      </c>
      <c r="I29" s="9">
        <f t="shared" si="22"/>
        <v>496.03381015200034</v>
      </c>
      <c r="J29" s="9">
        <f t="shared" si="22"/>
        <v>558.83533198512055</v>
      </c>
      <c r="K29" s="9">
        <f t="shared" si="22"/>
        <v>625.90414965656691</v>
      </c>
      <c r="L29" s="9">
        <f t="shared" si="22"/>
        <v>698.02949214574028</v>
      </c>
      <c r="M29" s="9">
        <f t="shared" si="22"/>
        <v>775.99918061147901</v>
      </c>
      <c r="N29" s="9">
        <f t="shared" si="22"/>
        <v>0</v>
      </c>
    </row>
    <row r="30" spans="2:27" x14ac:dyDescent="0.35">
      <c r="B30" t="s">
        <v>0</v>
      </c>
      <c r="C30" s="3"/>
      <c r="D30" s="3">
        <f t="shared" ref="D30" si="23">(D29-C29)/C29</f>
        <v>0.24467329545454536</v>
      </c>
      <c r="E30" s="3">
        <f t="shared" ref="E30" si="24">(E29-D29)/D29</f>
        <v>0.13209700427960067</v>
      </c>
      <c r="F30" s="3">
        <f t="shared" ref="F30" si="25">(F29-E29)/E29</f>
        <v>0.12914314516129047</v>
      </c>
      <c r="G30" s="3">
        <f t="shared" ref="G30" si="26">(G29-F29)/F29</f>
        <v>0.1286753979519871</v>
      </c>
      <c r="H30" s="3">
        <f t="shared" ref="H30" si="27">(H29-G29)/G29</f>
        <v>0.16128168957712669</v>
      </c>
      <c r="I30" s="3">
        <f t="shared" ref="I30" si="28">(I29-H29)/H29</f>
        <v>0.12621864535948105</v>
      </c>
      <c r="J30" s="3">
        <f t="shared" ref="J30" si="29">(J29-I29)/I29</f>
        <v>0.12660734116869141</v>
      </c>
      <c r="K30" s="3">
        <f t="shared" ref="K30" si="30">(K29-J29)/J29</f>
        <v>0.12001534948264891</v>
      </c>
      <c r="L30" s="3">
        <f t="shared" ref="L30" si="31">(L29-K29)/K29</f>
        <v>0.11523384615479619</v>
      </c>
      <c r="M30" s="3">
        <f t="shared" ref="M30" si="32">(M29-L29)/L29</f>
        <v>0.11169970516010745</v>
      </c>
      <c r="N30" s="3">
        <f t="shared" ref="N30" si="33">(N29-M29)/M29</f>
        <v>-1</v>
      </c>
    </row>
    <row r="31" spans="2:27" x14ac:dyDescent="0.35">
      <c r="B31" t="s">
        <v>13</v>
      </c>
      <c r="C31">
        <f>H5*10000000</f>
        <v>48789999.999999993</v>
      </c>
      <c r="D31">
        <f>C31</f>
        <v>48789999.999999993</v>
      </c>
      <c r="E31">
        <f t="shared" ref="E31:N31" si="34">D31</f>
        <v>48789999.999999993</v>
      </c>
      <c r="F31">
        <f t="shared" si="34"/>
        <v>48789999.999999993</v>
      </c>
      <c r="G31">
        <f t="shared" si="34"/>
        <v>48789999.999999993</v>
      </c>
      <c r="H31">
        <f t="shared" si="34"/>
        <v>48789999.999999993</v>
      </c>
      <c r="I31">
        <f t="shared" si="34"/>
        <v>48789999.999999993</v>
      </c>
      <c r="J31">
        <f t="shared" si="34"/>
        <v>48789999.999999993</v>
      </c>
      <c r="K31">
        <f t="shared" si="34"/>
        <v>48789999.999999993</v>
      </c>
      <c r="L31">
        <f t="shared" si="34"/>
        <v>48789999.999999993</v>
      </c>
      <c r="M31">
        <f t="shared" si="34"/>
        <v>48789999.999999993</v>
      </c>
      <c r="N31">
        <f t="shared" si="34"/>
        <v>48789999.999999993</v>
      </c>
    </row>
    <row r="32" spans="2:27" x14ac:dyDescent="0.35">
      <c r="B32" t="s">
        <v>14</v>
      </c>
      <c r="C32" s="5">
        <f>C29*10000000/C31</f>
        <v>43.287558926009439</v>
      </c>
      <c r="D32" s="5">
        <f>D29*10000000/D31</f>
        <v>53.878868620618988</v>
      </c>
      <c r="E32" s="5">
        <f t="shared" ref="E32:J32" si="35">E29*10000000/E31</f>
        <v>60.996105759376931</v>
      </c>
      <c r="F32" s="5">
        <f t="shared" si="35"/>
        <v>68.873334699733576</v>
      </c>
      <c r="G32" s="5">
        <f t="shared" si="35"/>
        <v>77.735638450502194</v>
      </c>
      <c r="H32" s="5">
        <f t="shared" si="35"/>
        <v>90.272973560155847</v>
      </c>
      <c r="I32" s="5">
        <f t="shared" si="35"/>
        <v>101.66710599549096</v>
      </c>
      <c r="J32" s="5">
        <f t="shared" si="35"/>
        <v>114.5389079698956</v>
      </c>
      <c r="K32" s="5">
        <f t="shared" ref="K32" si="36">K29*10000000/K31</f>
        <v>128.28533503926357</v>
      </c>
      <c r="L32" s="5">
        <f t="shared" ref="L32" si="37">L29*10000000/L31</f>
        <v>143.06814760109458</v>
      </c>
      <c r="M32" s="5">
        <f t="shared" ref="M32" si="38">M29*10000000/M31</f>
        <v>159.04881750593955</v>
      </c>
      <c r="N32" s="5">
        <f t="shared" ref="N32" si="39">N29*10000000/N31</f>
        <v>0</v>
      </c>
    </row>
    <row r="33" spans="2:14" x14ac:dyDescent="0.35">
      <c r="B33" t="s">
        <v>15</v>
      </c>
      <c r="C33" s="13"/>
      <c r="D33" s="13">
        <f>H4/D32</f>
        <v>54.603967665240127</v>
      </c>
      <c r="I33">
        <v>40</v>
      </c>
      <c r="N33">
        <v>30</v>
      </c>
    </row>
    <row r="34" spans="2:14" x14ac:dyDescent="0.35">
      <c r="B34" t="s">
        <v>40</v>
      </c>
      <c r="D34" s="10">
        <f>H4</f>
        <v>2942</v>
      </c>
      <c r="F34" s="9"/>
      <c r="G34" s="9"/>
      <c r="H34" s="9"/>
      <c r="I34" s="9">
        <f>I32*I33</f>
        <v>4066.6842398196382</v>
      </c>
      <c r="J34" s="9"/>
      <c r="K34" s="9"/>
      <c r="L34" s="9"/>
      <c r="M34" s="9"/>
      <c r="N34" s="9">
        <f>M32*N33</f>
        <v>4771.4645251781867</v>
      </c>
    </row>
  </sheetData>
  <phoneticPr fontId="3" type="noConversion"/>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Business</vt:lpstr>
      <vt:lpstr>DCF Valuation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Mahesh Kakade</dc:creator>
  <cp:lastModifiedBy>Mahesh Kakade</cp:lastModifiedBy>
  <dcterms:created xsi:type="dcterms:W3CDTF">2015-06-05T18:17:20Z</dcterms:created>
  <dcterms:modified xsi:type="dcterms:W3CDTF">2021-12-05T15:47:08Z</dcterms:modified>
</cp:coreProperties>
</file>