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commentsmeta4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ta Sheet" sheetId="1" r:id="rId4"/>
    <sheet state="visible" name="Customization" sheetId="2" r:id="rId5"/>
    <sheet state="visible" name="Finanical Statment" sheetId="3" r:id="rId6"/>
    <sheet state="visible" name="Quarters" sheetId="4" r:id="rId7"/>
    <sheet state="visible" name="Key ratios" sheetId="5" r:id="rId8"/>
    <sheet state="visible" name="Common Size Analysis " sheetId="6" r:id="rId9"/>
    <sheet state="visible" name="Cost Analysis" sheetId="7" r:id="rId10"/>
    <sheet state="visible" name="Management check-list" sheetId="8" r:id="rId11"/>
    <sheet state="visible" name="Capital Allocation" sheetId="9" r:id="rId12"/>
    <sheet state="visible" name="Basic Valuation" sheetId="10" r:id="rId13"/>
    <sheet state="visible" name="Buffet-Valuation" sheetId="11" r:id="rId14"/>
    <sheet state="visible" name="Price Implied Value" sheetId="12" r:id="rId15"/>
  </sheets>
  <definedNames>
    <definedName name="Tax">'Finanical Statment'!$A$32</definedName>
    <definedName name="SH">'Finanical Statment'!$A$66</definedName>
    <definedName name="Revenue">'Finanical Statment'!$A$7</definedName>
    <definedName name="Dep">'Finanical Statment'!$A$22</definedName>
    <definedName name="Asset">'Finanical Statment'!$A$56</definedName>
    <definedName name="NP">'Finanical Statment'!$A$34</definedName>
    <definedName name="Int">'Finanical Statment'!$A$27</definedName>
    <definedName name="UPDATE">'Data Sheet'!$E$1</definedName>
    <definedName name="Liability">'Finanical Statment'!$A$62</definedName>
    <definedName name="EBT">'Finanical Statment'!$A$28</definedName>
    <definedName name="EBITDA">'Finanical Statment'!$A$16</definedName>
  </definedNames>
  <calcPr/>
  <extLst>
    <ext uri="GoogleSheetsCustomDataVersion2">
      <go:sheetsCustomData xmlns:go="http://customooxmlschemas.google.com/" r:id="rId16" roundtripDataChecksum="AA7tHqJZdwJ2nwwvxjCEsOlQZlCRby+4D5U/nKWm9o0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60">
      <text>
        <t xml:space="preserve">======
ID#AAAA-NRcXjw
Acer    (2023-11-06 13:48:21)
Fill Manually</t>
      </text>
    </comment>
    <comment authorId="0" ref="M9">
      <text>
        <t xml:space="preserve">======
ID#AAAA-NRcXjs
Acer    (2023-11-06 13:48:21)
It includes all expenses (COGS + SG&amp;A + Other Exp)</t>
      </text>
    </comment>
    <comment authorId="0" ref="A84">
      <text>
        <t xml:space="preserve">======
ID#AAAA-NRcXjg
Acer    (2023-11-06 13:48:21)
Fill Manually</t>
      </text>
    </comment>
  </commentList>
  <extLst>
    <ext uri="GoogleSheetsCustomDataVersion2">
      <go:sheetsCustomData xmlns:go="http://customooxmlschemas.google.com/" r:id="rId1" roundtripDataSignature="AMtx7mgQcCIUoV7bMcVZwwpRmkv1Uq4cOQ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0">
      <text>
        <t xml:space="preserve">======
ID#AAAA-NRcXj0
Acer    (2023-11-06 13:48:21)
Calculated using sales not COGS</t>
      </text>
    </comment>
    <comment authorId="0" ref="A6">
      <text>
        <t xml:space="preserve">======
ID#AAAA-NRcXjk
Acer    (2023-11-06 13:48:21)
Calculated using sales not COGS</t>
      </text>
    </comment>
  </commentList>
  <extLst>
    <ext uri="GoogleSheetsCustomDataVersion2">
      <go:sheetsCustomData xmlns:go="http://customooxmlschemas.google.com/" r:id="rId1" roundtripDataSignature="AMtx7mjjekkNPrA8W975Ay0F0SqCjeKqyQ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50">
      <text>
        <t xml:space="preserve">======
ID#AAAA-NRcXjo
Acer    (2023-11-06 13:48:21)
Higher capital intensity business demands higher threshold margin (to break even) than lower cap intensive</t>
      </text>
    </comment>
  </commentList>
  <extLst>
    <ext uri="GoogleSheetsCustomDataVersion2">
      <go:sheetsCustomData xmlns:go="http://customooxmlschemas.google.com/" r:id="rId1" roundtripDataSignature="AMtx7mg7dUSSW69TGIrzdcuZNEg2HrL1bQ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G50">
      <text>
        <t xml:space="preserve">======
ID#AAAA-NRcXjY
Acer    (2023-11-06 13:48:21)
Broken down into Working Capital turnover and Fixed Asset Turnover</t>
      </text>
    </comment>
    <comment authorId="0" ref="C7">
      <text>
        <t xml:space="preserve">======
ID#AAAA-NRcXjQ
Acer    (2023-11-06 13:48:21)
Enter manually</t>
      </text>
    </comment>
  </commentList>
  <extLst>
    <ext uri="GoogleSheetsCustomDataVersion2">
      <go:sheetsCustomData xmlns:go="http://customooxmlschemas.google.com/" r:id="rId1" roundtripDataSignature="AMtx7mgS17LxBzPth7BHN8YxBrM1eNv+UQ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22">
      <text>
        <t xml:space="preserve">======
ID#AAAA-NRcXjc
Acer    (2023-11-06 13:48:21)
If the value is negative, it means the companies have more cash than debt.</t>
      </text>
    </comment>
    <comment authorId="0" ref="B11">
      <text>
        <t xml:space="preserve">======
ID#AAAA-NRcXjU
Acer    (2023-11-06 13:48:21)
This model wont work if free cash flow is negative</t>
      </text>
    </comment>
  </commentList>
  <extLst>
    <ext uri="GoogleSheetsCustomDataVersion2">
      <go:sheetsCustomData xmlns:go="http://customooxmlschemas.google.com/" r:id="rId1" roundtripDataSignature="AMtx7mh2In5sD+NmnPJ0diVlob3YUgKPxg=="/>
    </ext>
  </extLst>
</comments>
</file>

<file path=xl/sharedStrings.xml><?xml version="1.0" encoding="utf-8"?>
<sst xmlns="http://schemas.openxmlformats.org/spreadsheetml/2006/main" count="737" uniqueCount="521">
  <si>
    <t>COMPANY NAME</t>
  </si>
  <si>
    <t>ITC LTD</t>
  </si>
  <si>
    <t>LATEST VERSION</t>
  </si>
  <si>
    <t>PLEASE DO NOT MAKE ANY CHANGES TO THIS SHEET</t>
  </si>
  <si>
    <t>CURRENT VERSION</t>
  </si>
  <si>
    <t>META</t>
  </si>
  <si>
    <t>Number of shares</t>
  </si>
  <si>
    <t>Face Value</t>
  </si>
  <si>
    <t>Current Price</t>
  </si>
  <si>
    <t>Market Capitalization</t>
  </si>
  <si>
    <t>PROFIT &amp; LOSS</t>
  </si>
  <si>
    <t>Report Date</t>
  </si>
  <si>
    <t>Sales</t>
  </si>
  <si>
    <t>Raw Material Cost</t>
  </si>
  <si>
    <t>Change in Inventory</t>
  </si>
  <si>
    <t>Power and Fuel</t>
  </si>
  <si>
    <t>Other Mfr. Exp</t>
  </si>
  <si>
    <t>Employee Cost</t>
  </si>
  <si>
    <t>Selling and admin</t>
  </si>
  <si>
    <t>Other Expenses</t>
  </si>
  <si>
    <t>Other Income</t>
  </si>
  <si>
    <t>Depreciation</t>
  </si>
  <si>
    <t>Interest</t>
  </si>
  <si>
    <t>Profit before tax</t>
  </si>
  <si>
    <t>Tax</t>
  </si>
  <si>
    <t>Net profit</t>
  </si>
  <si>
    <t>Dividend Amount</t>
  </si>
  <si>
    <t>Quarters</t>
  </si>
  <si>
    <t>Expenses</t>
  </si>
  <si>
    <t>Operating Profit</t>
  </si>
  <si>
    <t>BALANCE SHEET</t>
  </si>
  <si>
    <t>Equity Share Capital</t>
  </si>
  <si>
    <t>Reserves</t>
  </si>
  <si>
    <t>Borrowings</t>
  </si>
  <si>
    <t>Other Liabilities</t>
  </si>
  <si>
    <t>Total</t>
  </si>
  <si>
    <t>Net Block</t>
  </si>
  <si>
    <t>Capital Work in Progress</t>
  </si>
  <si>
    <t>Investments</t>
  </si>
  <si>
    <t>Other Assets</t>
  </si>
  <si>
    <t>Receivables</t>
  </si>
  <si>
    <t>Inventory</t>
  </si>
  <si>
    <t>Cash &amp; Bank</t>
  </si>
  <si>
    <t>No. of Equity Shares</t>
  </si>
  <si>
    <t>New Bonus Shares</t>
  </si>
  <si>
    <t>Face value</t>
  </si>
  <si>
    <t>CASH FLOW:</t>
  </si>
  <si>
    <t>Cash from Operating Activity</t>
  </si>
  <si>
    <t>Cash from Investing Activity</t>
  </si>
  <si>
    <t>Cash from Financing Activity</t>
  </si>
  <si>
    <t xml:space="preserve">Net Cash Flow  </t>
  </si>
  <si>
    <t>PRICE:</t>
  </si>
  <si>
    <t>DERIVED:</t>
  </si>
  <si>
    <t>Adjusted Equity Shares in Cr</t>
  </si>
  <si>
    <t>How to use it?</t>
  </si>
  <si>
    <t>You can customize this workbook as you want.</t>
  </si>
  <si>
    <t>You can add custom formating, add conditional formating, add your own formulas… do ANYTHING.</t>
  </si>
  <si>
    <t>Please don't edit the "Data Sheet" only.</t>
  </si>
  <si>
    <t>After customization, you can upload this back on Screener.</t>
  </si>
  <si>
    <t>Upload on:</t>
  </si>
  <si>
    <t xml:space="preserve"> https://www.screener.in/excel/</t>
  </si>
  <si>
    <t>Download your customized workbooks now onwards.</t>
  </si>
  <si>
    <t>Now whenever you will "Export to excel" from Screener, it will export your customized file.</t>
  </si>
  <si>
    <t>TESTING:</t>
  </si>
  <si>
    <t>This is a testing feature currently.</t>
  </si>
  <si>
    <r>
      <rPr>
        <rFont val="Open Sans"/>
        <color theme="1"/>
        <sz val="16.0"/>
      </rPr>
      <t xml:space="preserve">You can report any formula errors on the worksheet at: </t>
    </r>
    <r>
      <rPr>
        <rFont val="Open Sans"/>
        <b/>
        <color theme="1"/>
        <sz val="16.0"/>
      </rPr>
      <t>support@screener.in</t>
    </r>
  </si>
  <si>
    <t>Created by - Devesh Balkote</t>
  </si>
  <si>
    <t>For Feedback - Deveshbalkote710@gmail.com</t>
  </si>
  <si>
    <t xml:space="preserve">Linkedin </t>
  </si>
  <si>
    <t xml:space="preserve">Twitter/X </t>
  </si>
  <si>
    <t>Financial Statement</t>
  </si>
  <si>
    <t>TTM</t>
  </si>
  <si>
    <t xml:space="preserve">Income Statement </t>
  </si>
  <si>
    <t>Revenue</t>
  </si>
  <si>
    <t>% Growth YOY</t>
  </si>
  <si>
    <t>COGS</t>
  </si>
  <si>
    <t>Gross Profit</t>
  </si>
  <si>
    <t>Gross Profit Margin</t>
  </si>
  <si>
    <t>SG&amp;A</t>
  </si>
  <si>
    <t xml:space="preserve">Other Expenses </t>
  </si>
  <si>
    <t>EBITDA</t>
  </si>
  <si>
    <t>Operating Profit Margin</t>
  </si>
  <si>
    <t xml:space="preserve">% Growth YOY </t>
  </si>
  <si>
    <t>Other Income as % of Sales</t>
  </si>
  <si>
    <t>EBIT</t>
  </si>
  <si>
    <t>EBIT Margin</t>
  </si>
  <si>
    <t>EBT</t>
  </si>
  <si>
    <t>EBT Margin</t>
  </si>
  <si>
    <t>Tax Rate</t>
  </si>
  <si>
    <t>Net Profit</t>
  </si>
  <si>
    <t>Net Profit Margin</t>
  </si>
  <si>
    <t>% Growth YoY Net Profit</t>
  </si>
  <si>
    <t>Dividend Paid</t>
  </si>
  <si>
    <t>DPS</t>
  </si>
  <si>
    <t>Dividend Pay Out Ratio</t>
  </si>
  <si>
    <t>Retained Earning</t>
  </si>
  <si>
    <t xml:space="preserve">% Retained Earning </t>
  </si>
  <si>
    <t>EPS</t>
  </si>
  <si>
    <t xml:space="preserve">Balance Sheet </t>
  </si>
  <si>
    <t>ASSETS</t>
  </si>
  <si>
    <t>Total  Asset</t>
  </si>
  <si>
    <t xml:space="preserve">LIABILITIES </t>
  </si>
  <si>
    <t>Trade Payable</t>
  </si>
  <si>
    <t>Total Liabilities</t>
  </si>
  <si>
    <t xml:space="preserve">EQUITY </t>
  </si>
  <si>
    <t>Total Equity</t>
  </si>
  <si>
    <t>Total Liability &amp; Equity</t>
  </si>
  <si>
    <t>Check</t>
  </si>
  <si>
    <t>Working Capital</t>
  </si>
  <si>
    <t xml:space="preserve">Cash Flow </t>
  </si>
  <si>
    <t>Cash &amp; Eq</t>
  </si>
  <si>
    <t xml:space="preserve"> - Capex</t>
  </si>
  <si>
    <t xml:space="preserve"> - Tax Shield ( Int*Tax)</t>
  </si>
  <si>
    <t>FREE CASH FLOW TO FIRM (FCFF)</t>
  </si>
  <si>
    <t>Average FCFE Last 3 Year</t>
  </si>
  <si>
    <t>Growth Rate YoY</t>
  </si>
  <si>
    <t xml:space="preserve"> - Interest</t>
  </si>
  <si>
    <t xml:space="preserve"> + Tax Shield ( Int*Tax)</t>
  </si>
  <si>
    <t xml:space="preserve"> - Debt Repayment</t>
  </si>
  <si>
    <t xml:space="preserve"> + New Debt</t>
  </si>
  <si>
    <t>FREE CASH FLOW TO EQUITY (FCFE)</t>
  </si>
  <si>
    <t>Price</t>
  </si>
  <si>
    <t xml:space="preserve">Adjusted Eq Shares </t>
  </si>
  <si>
    <t>Market Cap</t>
  </si>
  <si>
    <t>Enterprise Value (EV)</t>
  </si>
  <si>
    <t>Book Value per share</t>
  </si>
  <si>
    <t xml:space="preserve">Current Data </t>
  </si>
  <si>
    <t>Mcap</t>
  </si>
  <si>
    <t>Stock CAGR 3YR</t>
  </si>
  <si>
    <t>Stock CAGR 5YR</t>
  </si>
  <si>
    <t>Stock CAGR 10YR</t>
  </si>
  <si>
    <t>Income Statement</t>
  </si>
  <si>
    <t>% Growth QOQ</t>
  </si>
  <si>
    <t>Observation</t>
  </si>
  <si>
    <t xml:space="preserve">          Latest Quarter</t>
  </si>
  <si>
    <t xml:space="preserve">     Latest 6 Months Period</t>
  </si>
  <si>
    <t xml:space="preserve">     Latest 9 Months Period</t>
  </si>
  <si>
    <t>Growth</t>
  </si>
  <si>
    <t>Latest</t>
  </si>
  <si>
    <t>Year Ago</t>
  </si>
  <si>
    <t>EBITDA Margin</t>
  </si>
  <si>
    <t>PAT Margin</t>
  </si>
  <si>
    <t xml:space="preserve">Ratio Analysis </t>
  </si>
  <si>
    <t>Trend</t>
  </si>
  <si>
    <t>Mean</t>
  </si>
  <si>
    <t xml:space="preserve">Median </t>
  </si>
  <si>
    <t>Max</t>
  </si>
  <si>
    <t>Min</t>
  </si>
  <si>
    <t>Efficiency Ratios</t>
  </si>
  <si>
    <t>Inventory Turnover  Rate</t>
  </si>
  <si>
    <t>Average Inventory Days</t>
  </si>
  <si>
    <t>Receivable Turnover Rate</t>
  </si>
  <si>
    <t>Average Receivables Days</t>
  </si>
  <si>
    <t>Payable Turnover Rate</t>
  </si>
  <si>
    <t>Average Payable Days</t>
  </si>
  <si>
    <t>Sales to  Capital Employed</t>
  </si>
  <si>
    <t>Working Capital Turnover Rate</t>
  </si>
  <si>
    <t>Average Working Capital Cycle</t>
  </si>
  <si>
    <t>Average Working Capital Turnover</t>
  </si>
  <si>
    <t>Average Fixed Asset Turnover</t>
  </si>
  <si>
    <t>Asset Turnover Rate</t>
  </si>
  <si>
    <t>Liquidity Ratio</t>
  </si>
  <si>
    <t>Current Ratio</t>
  </si>
  <si>
    <t>Quick Ratio</t>
  </si>
  <si>
    <t>Cash  Ratio</t>
  </si>
  <si>
    <t>Solvency Ratio</t>
  </si>
  <si>
    <t>Debt to Equity</t>
  </si>
  <si>
    <t>Debt to Capital Ratio</t>
  </si>
  <si>
    <t>Debt to Asset</t>
  </si>
  <si>
    <t>Financial Leverage Ratio</t>
  </si>
  <si>
    <t>Interest Coverage Ratio</t>
  </si>
  <si>
    <t>Debt to EBITDA</t>
  </si>
  <si>
    <t>Interest / BV of debt</t>
  </si>
  <si>
    <t>Profitability Ratio</t>
  </si>
  <si>
    <t>Operating Profit Margin (EBITDA)</t>
  </si>
  <si>
    <t>`</t>
  </si>
  <si>
    <t>Capital Allocation Ratio</t>
  </si>
  <si>
    <t xml:space="preserve">Return on Asset ROA </t>
  </si>
  <si>
    <t>Operating ROA</t>
  </si>
  <si>
    <t>Return on Equity ROE</t>
  </si>
  <si>
    <t>Return on Capital Employed  ROCE</t>
  </si>
  <si>
    <t>Return on Invested Capital ROIC</t>
  </si>
  <si>
    <t xml:space="preserve">Valuation Ratio </t>
  </si>
  <si>
    <t>Price/Earnings</t>
  </si>
  <si>
    <t>Price/Book</t>
  </si>
  <si>
    <t>Price/Cashflows</t>
  </si>
  <si>
    <t>Price/Sales</t>
  </si>
  <si>
    <t>Price/CFO</t>
  </si>
  <si>
    <t>EV/EBITDA</t>
  </si>
  <si>
    <t>BVPS</t>
  </si>
  <si>
    <t>Cash Flow Ratio</t>
  </si>
  <si>
    <t>CFO/Net Income</t>
  </si>
  <si>
    <t>CFO/EBITDA</t>
  </si>
  <si>
    <t>FCFF/CFO</t>
  </si>
  <si>
    <t>FCFE/CFO</t>
  </si>
  <si>
    <t>Re-Investment(Capex/CFO)</t>
  </si>
  <si>
    <t>FCFF/Sales</t>
  </si>
  <si>
    <t>Altman Z-score</t>
  </si>
  <si>
    <t>Z-Weight</t>
  </si>
  <si>
    <t>Working Capital / Total Assets</t>
  </si>
  <si>
    <t>Retained Earnings / Total Assets</t>
  </si>
  <si>
    <t>EBIT / Total Assets</t>
  </si>
  <si>
    <t>Market cap / Total Assets</t>
  </si>
  <si>
    <t>Sales / Total Assets</t>
  </si>
  <si>
    <t>Altman Z-Score</t>
  </si>
  <si>
    <t>Common Size Statement</t>
  </si>
  <si>
    <t>Balance Sheet</t>
  </si>
  <si>
    <t>Cost Analysis</t>
  </si>
  <si>
    <t>Sales increase</t>
  </si>
  <si>
    <t>Growth in EBIT</t>
  </si>
  <si>
    <t xml:space="preserve">Operating Expenses </t>
  </si>
  <si>
    <t>Common Size Expenses</t>
  </si>
  <si>
    <t>Year on Year Escalation (1)</t>
  </si>
  <si>
    <t xml:space="preserve">Raw Martial Increase / Sales Increase </t>
  </si>
  <si>
    <t>Change in Inventory Increase/ Sales Increase</t>
  </si>
  <si>
    <t>Power and Fuel Increase / Sales Increase</t>
  </si>
  <si>
    <t>Other Mfr. Exp Increase / Sales increase</t>
  </si>
  <si>
    <t>Employee Cost Increase / Sales increase</t>
  </si>
  <si>
    <t>Selling and admin Increase / Sales increase</t>
  </si>
  <si>
    <t>Other Expenses Increase / Sales increase</t>
  </si>
  <si>
    <t>Year on Year Escalation (2)</t>
  </si>
  <si>
    <t>Working Capital Increase/ Sales Increase</t>
  </si>
  <si>
    <t>Reservable Increase / Sales Increase</t>
  </si>
  <si>
    <t>Inventory Increase / Sales increase</t>
  </si>
  <si>
    <t>Creditors increase / Sales Increase</t>
  </si>
  <si>
    <t>Invested Capital Increase / Sales Increase</t>
  </si>
  <si>
    <t>Dilution</t>
  </si>
  <si>
    <t>Equity Capital Increase/Decrease</t>
  </si>
  <si>
    <t>Management Check List</t>
  </si>
  <si>
    <t>Potential Problem</t>
  </si>
  <si>
    <t xml:space="preserve">% Increase in Sales </t>
  </si>
  <si>
    <t xml:space="preserve">% Increase in Receivables </t>
  </si>
  <si>
    <t>% Increase in Inventory</t>
  </si>
  <si>
    <t>% Increase in Payable</t>
  </si>
  <si>
    <t>Inventory / Sales</t>
  </si>
  <si>
    <t>Receivable / Sales</t>
  </si>
  <si>
    <t>Payable / Sales</t>
  </si>
  <si>
    <t xml:space="preserve">Cash Yield </t>
  </si>
  <si>
    <t>Depreciation Rate</t>
  </si>
  <si>
    <t>CFO / Net Profit</t>
  </si>
  <si>
    <t>CFO / EBITDA</t>
  </si>
  <si>
    <t>Self Sustainable Growth Rate (SSGA)</t>
  </si>
  <si>
    <t>Dividend Payout Ratio</t>
  </si>
  <si>
    <t>CWIP/Net Block</t>
  </si>
  <si>
    <t>Employee Cost % of Sales</t>
  </si>
  <si>
    <t>Market Value Added (MVA)</t>
  </si>
  <si>
    <t>MVA Per Share</t>
  </si>
  <si>
    <t>EBT / Avg Net Fixed Asset</t>
  </si>
  <si>
    <t>Business Robustness Snap Shot</t>
  </si>
  <si>
    <t xml:space="preserve">Operating Profit </t>
  </si>
  <si>
    <t>1YR Sales Increase</t>
  </si>
  <si>
    <t>3YR Sales Increase</t>
  </si>
  <si>
    <t>1YR Operating Profit Increase</t>
  </si>
  <si>
    <t>3YR Operating Profit Increase</t>
  </si>
  <si>
    <t>1YR Operating Leverage</t>
  </si>
  <si>
    <t>3YR Operating Leverage</t>
  </si>
  <si>
    <t>Invested Capital</t>
  </si>
  <si>
    <t>Capital Turns</t>
  </si>
  <si>
    <t>ROIC</t>
  </si>
  <si>
    <t xml:space="preserve">5YR Rolling </t>
  </si>
  <si>
    <t>Economic Profit Added (EPA)</t>
  </si>
  <si>
    <t>EPA / Share</t>
  </si>
  <si>
    <t>Threshold Margin Snapshot</t>
  </si>
  <si>
    <t>Incremental Threshold Margin</t>
  </si>
  <si>
    <t>Threshold Margin (Value Neutral Operating Margin)</t>
  </si>
  <si>
    <t>Threshold Exceed Rate</t>
  </si>
  <si>
    <t>Capital Allocation</t>
  </si>
  <si>
    <t>Last Closing price</t>
  </si>
  <si>
    <t>WACC</t>
  </si>
  <si>
    <t>Capex</t>
  </si>
  <si>
    <t>10YR Profit Growth Rate CAGR</t>
  </si>
  <si>
    <t>Value Created Per INR of RE</t>
  </si>
  <si>
    <t>Profit Growth Vs Mcap Growth</t>
  </si>
  <si>
    <t>5YR Profit Growth Rate CAGR</t>
  </si>
  <si>
    <t>Year</t>
  </si>
  <si>
    <t>Cumulative RE</t>
  </si>
  <si>
    <t>Change in Mcap</t>
  </si>
  <si>
    <t>Value added</t>
  </si>
  <si>
    <t>Compounding Multiple</t>
  </si>
  <si>
    <t>Change in Mcap/Change In Profit</t>
  </si>
  <si>
    <t>10YR Mcap Change</t>
  </si>
  <si>
    <t>3YR</t>
  </si>
  <si>
    <t>5YR</t>
  </si>
  <si>
    <t>5YR Mcap Change</t>
  </si>
  <si>
    <t>10YR</t>
  </si>
  <si>
    <t>Capex Ratio</t>
  </si>
  <si>
    <t>Capex / Net Profit 3YR</t>
  </si>
  <si>
    <t>Capex / Net Profit 5YR</t>
  </si>
  <si>
    <t>Capex / Net Profit 10YR</t>
  </si>
  <si>
    <t>Economic Value Added (EVA)</t>
  </si>
  <si>
    <t>EVA Per Share</t>
  </si>
  <si>
    <t>EVA / Sales</t>
  </si>
  <si>
    <t>EVA / Sales Increase 3YR</t>
  </si>
  <si>
    <t xml:space="preserve">ROIC Analysis </t>
  </si>
  <si>
    <t>FROM THE LIABILITY SIDE</t>
  </si>
  <si>
    <t xml:space="preserve">Return on Average Invested Capital  (ROIC) </t>
  </si>
  <si>
    <t>Median</t>
  </si>
  <si>
    <t>Operating EBIT</t>
  </si>
  <si>
    <t>ROIC (EBIAT/Avg Invested Capital)</t>
  </si>
  <si>
    <t>NOPAT</t>
  </si>
  <si>
    <t>Invested capital  from Liability Side = BV of Equity + Net Debt (Borrowing - Cash)</t>
  </si>
  <si>
    <t xml:space="preserve">Invested Capital </t>
  </si>
  <si>
    <t>Average Invested Capital</t>
  </si>
  <si>
    <t>DuPont Breakup</t>
  </si>
  <si>
    <t>Operating margin (NOPAT/Sales)</t>
  </si>
  <si>
    <t>Capital Efficiency (Sales/Avg invested Capital)</t>
  </si>
  <si>
    <t>FROM THE ASSET SIDE</t>
  </si>
  <si>
    <t xml:space="preserve"> </t>
  </si>
  <si>
    <t>Return on Average Invested Capital  (ROIC) With Breakdown</t>
  </si>
  <si>
    <t>Operating EBIT Margin</t>
  </si>
  <si>
    <t>Gross Margin</t>
  </si>
  <si>
    <t xml:space="preserve">                        -SG&amp;A &amp; Others</t>
  </si>
  <si>
    <t xml:space="preserve">                           -Depreciation</t>
  </si>
  <si>
    <t>ROIC Predictor</t>
  </si>
  <si>
    <t>Sales/Avg Invested Capital</t>
  </si>
  <si>
    <t xml:space="preserve">Mean </t>
  </si>
  <si>
    <t>Net Working Capital</t>
  </si>
  <si>
    <t xml:space="preserve">   -SG&amp;A &amp; Others</t>
  </si>
  <si>
    <t>Average Net Working Capital</t>
  </si>
  <si>
    <t xml:space="preserve">       -Depreciation</t>
  </si>
  <si>
    <t>Avg Working Capital/ Sales</t>
  </si>
  <si>
    <t>Op EBIT Margin</t>
  </si>
  <si>
    <t>Avg Working Capital Turnover</t>
  </si>
  <si>
    <t>Capital Efficiency</t>
  </si>
  <si>
    <t xml:space="preserve">Sales / Avg Invested Capital </t>
  </si>
  <si>
    <t>Fixed Asset Turnover</t>
  </si>
  <si>
    <t>Working Capital Turnover</t>
  </si>
  <si>
    <t>Avg Working Capital Cycle Day</t>
  </si>
  <si>
    <t>Fixed Asset</t>
  </si>
  <si>
    <t>Average Fixed Assets</t>
  </si>
  <si>
    <t>Avg Fixed Asset / Sales</t>
  </si>
  <si>
    <t>Sales / Avg Invested Capital</t>
  </si>
  <si>
    <t>Avg Fixed Assets Turnover</t>
  </si>
  <si>
    <t>Forecasted ROIC</t>
  </si>
  <si>
    <t>ROIC Pre-Tax</t>
  </si>
  <si>
    <t>Effective Tax Rate</t>
  </si>
  <si>
    <t>Non-Operating Assets</t>
  </si>
  <si>
    <t>Average Non-Operating Assets</t>
  </si>
  <si>
    <t>Roic Post-Tax</t>
  </si>
  <si>
    <t>Average Non-Operating Assets /Sales</t>
  </si>
  <si>
    <t>Average Non-Operating Turnover</t>
  </si>
  <si>
    <t>Converting ROIC to ROE</t>
  </si>
  <si>
    <t>Return on Equity</t>
  </si>
  <si>
    <t>Debt / Equity</t>
  </si>
  <si>
    <t>Avg Invested Capital from Asset Side = Avg Net Block &amp; CWIP +  Avg Net Working Capital + Avg Other Operating Assets</t>
  </si>
  <si>
    <t>Interest / Book Value of Debt</t>
  </si>
  <si>
    <t>Avg Invested Capital</t>
  </si>
  <si>
    <t>Avg Invested Capital Turnover</t>
  </si>
  <si>
    <t>ROE</t>
  </si>
  <si>
    <t>ROIC Post-Tax</t>
  </si>
  <si>
    <t>Incremental  And Rolling ROIIC</t>
  </si>
  <si>
    <t>ROIIC</t>
  </si>
  <si>
    <t xml:space="preserve">Cumulative NOPAT </t>
  </si>
  <si>
    <t>Incremental NOPAT</t>
  </si>
  <si>
    <t>Cumulative Incremental Capital Employed</t>
  </si>
  <si>
    <t>Capital Employed</t>
  </si>
  <si>
    <t>Reinvestment Rate</t>
  </si>
  <si>
    <t>Incremental Capital Employed</t>
  </si>
  <si>
    <t>Return on Incremental Capital Employed (ROIIC) of 10yr</t>
  </si>
  <si>
    <t>Rolling ROIIC</t>
  </si>
  <si>
    <t>Rolling ROIC 3YR</t>
  </si>
  <si>
    <t>Rolling ROIC 5YR</t>
  </si>
  <si>
    <t>Dupont Analysis of ROE</t>
  </si>
  <si>
    <t>3 STAGE MODEL</t>
  </si>
  <si>
    <t>Asset Turnover</t>
  </si>
  <si>
    <t>Financial Leverage  Ratio</t>
  </si>
  <si>
    <t>5 STAGE MODEL</t>
  </si>
  <si>
    <t>Tax Burden</t>
  </si>
  <si>
    <t>Interest Burden</t>
  </si>
  <si>
    <t>CHECK</t>
  </si>
  <si>
    <t>Incremental ROE 3YR Rolling</t>
  </si>
  <si>
    <t>Valuation Models</t>
  </si>
  <si>
    <t>Discounted Cash Flow Valuation(FCFE)</t>
  </si>
  <si>
    <t xml:space="preserve">Assumptions/Forecasting </t>
  </si>
  <si>
    <t xml:space="preserve">FCFE Growth Rate (1-5 Years) </t>
  </si>
  <si>
    <t>FCFE Forecast</t>
  </si>
  <si>
    <t xml:space="preserve">FCFE Growth Rate (6-10 Years) </t>
  </si>
  <si>
    <t>Terminal Value</t>
  </si>
  <si>
    <t>Terminal Growth Rate (10Year&lt;)</t>
  </si>
  <si>
    <t>PV of FCFE Forecast</t>
  </si>
  <si>
    <t>Discount Rate/ Cost of capital</t>
  </si>
  <si>
    <t>PV of Terminal Value</t>
  </si>
  <si>
    <t>Avg FCFE of last 3 Year</t>
  </si>
  <si>
    <t>Final Calculation</t>
  </si>
  <si>
    <t>Current Market Value</t>
  </si>
  <si>
    <t xml:space="preserve">Total PV of FCFE Forecast </t>
  </si>
  <si>
    <t xml:space="preserve">PV Of Terminal Value </t>
  </si>
  <si>
    <t xml:space="preserve">Total PV of Cash Flows </t>
  </si>
  <si>
    <t>Compare</t>
  </si>
  <si>
    <t>Current Mcap</t>
  </si>
  <si>
    <t>DCF Value</t>
  </si>
  <si>
    <t>Net Debt</t>
  </si>
  <si>
    <t>Price per share</t>
  </si>
  <si>
    <t>Expected Return Model</t>
  </si>
  <si>
    <t>CAGR 3YR</t>
  </si>
  <si>
    <t>CAGR 5YR</t>
  </si>
  <si>
    <t>CAGR 10YR</t>
  </si>
  <si>
    <t>Forecast</t>
  </si>
  <si>
    <t>% Growth rate in Net Profit (10YR)</t>
  </si>
  <si>
    <t>Discount Rate/Cost of Capital</t>
  </si>
  <si>
    <t>Net Profit after 10YR</t>
  </si>
  <si>
    <t>Current P/E</t>
  </si>
  <si>
    <t>Estimated Exit P/E after 10YR</t>
  </si>
  <si>
    <t>Model</t>
  </si>
  <si>
    <t>Market Cap After after 10YR</t>
  </si>
  <si>
    <t>Discounted value</t>
  </si>
  <si>
    <t>Current Market Cap</t>
  </si>
  <si>
    <t>Residual Income Model</t>
  </si>
  <si>
    <t>Beg Book Value</t>
  </si>
  <si>
    <t>% Growth Rate in Net Profit</t>
  </si>
  <si>
    <t xml:space="preserve">Net Profit </t>
  </si>
  <si>
    <t>Discount Rate/Cost of Equity</t>
  </si>
  <si>
    <t>Persistence Factor</t>
  </si>
  <si>
    <t>End Book Value</t>
  </si>
  <si>
    <t xml:space="preserve">Average Div 5YR Payout </t>
  </si>
  <si>
    <t>Equity Charge</t>
  </si>
  <si>
    <t>Residual Income</t>
  </si>
  <si>
    <t>Residual Income / Share</t>
  </si>
  <si>
    <t>PV Of Residual Income</t>
  </si>
  <si>
    <t>Terminal Residual Income</t>
  </si>
  <si>
    <t xml:space="preserve">Cumulative PV </t>
  </si>
  <si>
    <t>Value of the Company</t>
  </si>
  <si>
    <t>Forecasted</t>
  </si>
  <si>
    <t>Price Multiple</t>
  </si>
  <si>
    <t>No. of Shares</t>
  </si>
  <si>
    <t>DSP</t>
  </si>
  <si>
    <t>DPS Growth rate</t>
  </si>
  <si>
    <t>Dividend Payout</t>
  </si>
  <si>
    <t>Stock Price</t>
  </si>
  <si>
    <t>Trailing P/E</t>
  </si>
  <si>
    <t>3YR Avg</t>
  </si>
  <si>
    <t>5YR Avg</t>
  </si>
  <si>
    <t>10YR Avg</t>
  </si>
  <si>
    <t>Leading P/E</t>
  </si>
  <si>
    <t>PVGO</t>
  </si>
  <si>
    <t>P/E attributed to PVGO</t>
  </si>
  <si>
    <t>% PVGO in P/E</t>
  </si>
  <si>
    <t>P/B</t>
  </si>
  <si>
    <t>EV/EBIT</t>
  </si>
  <si>
    <t>EV / EBITDA</t>
  </si>
  <si>
    <t>EV / Sales</t>
  </si>
  <si>
    <t>Buffet-Valuation</t>
  </si>
  <si>
    <t>10YR Projected company Data using historical earnings growth rate/current visibility</t>
  </si>
  <si>
    <t xml:space="preserve">Price </t>
  </si>
  <si>
    <t>P/E</t>
  </si>
  <si>
    <t>Calculation</t>
  </si>
  <si>
    <t>Earnings Yield</t>
  </si>
  <si>
    <t>Earning After 10YR</t>
  </si>
  <si>
    <t xml:space="preserve">Forecasted </t>
  </si>
  <si>
    <t xml:space="preserve">Dividend Yield </t>
  </si>
  <si>
    <t>Dividends paid over 10YR</t>
  </si>
  <si>
    <t>Market Value</t>
  </si>
  <si>
    <t>P/BV</t>
  </si>
  <si>
    <t>Cost of Equity/Cost of Capital</t>
  </si>
  <si>
    <t>Projected Price after 10YR
(Avg Sustainable P/E*EPS)</t>
  </si>
  <si>
    <t>Total Gain
(Projected Price + Dividends)</t>
  </si>
  <si>
    <t>Med Term Forecast</t>
  </si>
  <si>
    <t>Sales 10YR CAGR</t>
  </si>
  <si>
    <t>Projected annual return using current EPS growth visibility</t>
  </si>
  <si>
    <t>Sales 5YR CAGR</t>
  </si>
  <si>
    <t>Sales 3YR CAGR</t>
  </si>
  <si>
    <t>10YR Projected Company data using sustainable growth rate based on current visibility</t>
  </si>
  <si>
    <t>YoY Sales Growth</t>
  </si>
  <si>
    <t>Sales TTM Growth</t>
  </si>
  <si>
    <t>Med Term forecast</t>
  </si>
  <si>
    <t>EPS 10YR CAGR</t>
  </si>
  <si>
    <t xml:space="preserve">EPS 5YR CAGR </t>
  </si>
  <si>
    <t>EPS 3YR CAGR</t>
  </si>
  <si>
    <t>YoY EPS Growth</t>
  </si>
  <si>
    <t>Projected Price after 10 YR
(Avg Sustainable P/E*EPS)</t>
  </si>
  <si>
    <t>EPS TTM Growth</t>
  </si>
  <si>
    <t>Return On Equity (ROE)</t>
  </si>
  <si>
    <t>Projected annual return using current sustainable growth visibility</t>
  </si>
  <si>
    <t>Payout  Ratio</t>
  </si>
  <si>
    <t>Highest P/E Ratio</t>
  </si>
  <si>
    <t>Lowest P/E Ratio</t>
  </si>
  <si>
    <t>Avg P/E Ratio</t>
  </si>
  <si>
    <t>Avg Sustainable P/E</t>
  </si>
  <si>
    <t>SSGR</t>
  </si>
  <si>
    <t>ROE Forecast</t>
  </si>
  <si>
    <t>Div Payout Forecaster</t>
  </si>
  <si>
    <t>Sustainable Growth Rate</t>
  </si>
  <si>
    <t>Price Implied Value</t>
  </si>
  <si>
    <t>Consensus Forecast</t>
  </si>
  <si>
    <t>Input</t>
  </si>
  <si>
    <t>Sales Growth Rate</t>
  </si>
  <si>
    <t>Inc Fixed Capital Rate</t>
  </si>
  <si>
    <t>Inc Fixed Capital Investment</t>
  </si>
  <si>
    <t>Inc Working Capital Rate</t>
  </si>
  <si>
    <t>Inc Working Capital Investment</t>
  </si>
  <si>
    <t>FCF</t>
  </si>
  <si>
    <t>Inflation</t>
  </si>
  <si>
    <t>PV of FCF</t>
  </si>
  <si>
    <t>Cumulative PV of FCF</t>
  </si>
  <si>
    <t>Growth Rate Total Asset</t>
  </si>
  <si>
    <t>Residual Value</t>
  </si>
  <si>
    <t>Growth Rate Total Liability</t>
  </si>
  <si>
    <t>PV of Residual Value</t>
  </si>
  <si>
    <t>Total Asset</t>
  </si>
  <si>
    <t>Number of Shares</t>
  </si>
  <si>
    <t>Total Liability</t>
  </si>
  <si>
    <t>CMP</t>
  </si>
  <si>
    <t xml:space="preserve">Forecasting Period </t>
  </si>
  <si>
    <t>Corporate Value</t>
  </si>
  <si>
    <t xml:space="preserve"> + Non-Operative Assets</t>
  </si>
  <si>
    <t xml:space="preserve"> - Debt</t>
  </si>
  <si>
    <t>Current Value</t>
  </si>
  <si>
    <t>Forecasted Value</t>
  </si>
  <si>
    <t>Shareholder  Value</t>
  </si>
  <si>
    <t>Shareholder  Value / Share</t>
  </si>
  <si>
    <t xml:space="preserve"> P/E</t>
  </si>
  <si>
    <t>Incremental Sales</t>
  </si>
  <si>
    <t>Incremental Fixed  Capital Investment</t>
  </si>
  <si>
    <t>Incremental Fixed  Capital Investment Rate</t>
  </si>
  <si>
    <t>9YR Avg</t>
  </si>
  <si>
    <t>Incremental Working Capital</t>
  </si>
  <si>
    <t>Incremental Working Capital Rate</t>
  </si>
  <si>
    <t>Non-Operative Assets/Total Asset</t>
  </si>
  <si>
    <t>% Growth in Total Assets</t>
  </si>
  <si>
    <t>Debt/Total Liability</t>
  </si>
  <si>
    <t>% Growth in Total Liability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</si>
</sst>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_ * #,##0.00_ ;_ * \-#,##0.00_ ;_ * &quot;-&quot;??_ ;_ @_ "/>
    <numFmt numFmtId="165" formatCode="[$-409]mmm\-yy"/>
    <numFmt numFmtId="166" formatCode="_(* #,##0.00_);_(* \(#,##0.00\);_(* &quot;-&quot;??_);_(@_)"/>
    <numFmt numFmtId="167" formatCode="_ * #,##0_ ;_ * \-#,##0_ ;_ * &quot;-&quot;??_ ;_ @_ "/>
    <numFmt numFmtId="168" formatCode="#,##0_ ;\-#,##0\ "/>
    <numFmt numFmtId="169" formatCode="0.0"/>
    <numFmt numFmtId="170" formatCode="_-* #,##0.00_-;\-* #,##0.00_-;_-* &quot;-&quot;??_-;_-@"/>
    <numFmt numFmtId="171" formatCode="_ * #,##0.0_ ;_ * \-#,##0.0_ ;_ * &quot;-&quot;??_ ;_ @_ "/>
    <numFmt numFmtId="172" formatCode="#,##0.0"/>
    <numFmt numFmtId="173" formatCode="0.0%"/>
    <numFmt numFmtId="174" formatCode="_-* #,##0_-;\-* #,##0_-;_-* &quot;-&quot;??_-;_-@"/>
    <numFmt numFmtId="175" formatCode="&quot;£&quot;#,##0.00;[Red]\-&quot;£&quot;#,##0.00"/>
  </numFmts>
  <fonts count="39">
    <font>
      <sz val="11.0"/>
      <color theme="1"/>
      <name val="Calibri"/>
      <scheme val="minor"/>
    </font>
    <font>
      <b/>
      <sz val="11.0"/>
      <color theme="1"/>
      <name val="Calibri"/>
    </font>
    <font>
      <u/>
      <sz val="11.0"/>
      <color theme="10"/>
      <name val="Calibri"/>
    </font>
    <font>
      <sz val="11.0"/>
      <color theme="1"/>
      <name val="Calibri"/>
    </font>
    <font>
      <b/>
      <sz val="11.0"/>
      <color theme="0"/>
      <name val="Calibri"/>
    </font>
    <font/>
    <font>
      <color theme="1"/>
      <name val="Calibri"/>
      <scheme val="minor"/>
    </font>
    <font>
      <b/>
      <sz val="16.0"/>
      <color theme="1"/>
      <name val="Open Sans"/>
    </font>
    <font>
      <sz val="16.0"/>
      <color theme="1"/>
      <name val="Open Sans"/>
    </font>
    <font>
      <b/>
      <u/>
      <sz val="16.0"/>
      <color theme="10"/>
      <name val="Open Sans"/>
    </font>
    <font>
      <b/>
      <u/>
      <sz val="16.0"/>
      <color theme="10"/>
      <name val="Open Sans"/>
    </font>
    <font>
      <b/>
      <sz val="11.0"/>
      <color theme="0"/>
      <name val="Open Sans"/>
    </font>
    <font>
      <b/>
      <u/>
      <sz val="11.0"/>
      <color rgb="FFEA8B00"/>
      <name val="Calibri"/>
    </font>
    <font>
      <b/>
      <u/>
      <sz val="11.0"/>
      <color rgb="FFEA8B00"/>
      <name val="Calibri"/>
    </font>
    <font>
      <sz val="11.0"/>
      <color theme="1"/>
      <name val="Open Sans"/>
    </font>
    <font>
      <b/>
      <sz val="18.0"/>
      <color theme="0"/>
      <name val="Open Sans"/>
    </font>
    <font>
      <b/>
      <sz val="20.0"/>
      <color theme="0"/>
      <name val="Open Sans"/>
    </font>
    <font>
      <b/>
      <sz val="24.0"/>
      <color theme="0"/>
      <name val="Open Sans"/>
    </font>
    <font>
      <sz val="11.0"/>
      <color theme="0"/>
      <name val="Open Sans"/>
    </font>
    <font>
      <b/>
      <sz val="16.0"/>
      <color theme="0"/>
      <name val="Open Sans"/>
    </font>
    <font>
      <b/>
      <sz val="14.0"/>
      <color theme="0"/>
      <name val="Open Sans"/>
    </font>
    <font>
      <b/>
      <sz val="11.0"/>
      <color theme="1"/>
      <name val="Open Sans"/>
    </font>
    <font>
      <i/>
      <sz val="11.0"/>
      <color theme="1"/>
      <name val="Open Sans"/>
    </font>
    <font>
      <b/>
      <i/>
      <sz val="11.0"/>
      <color theme="1"/>
      <name val="Open Sans"/>
    </font>
    <font>
      <b/>
      <u/>
      <sz val="11.0"/>
      <color rgb="FFEA8B00"/>
      <name val="Calibri"/>
    </font>
    <font>
      <b/>
      <u/>
      <sz val="11.0"/>
      <color rgb="FFEA8B00"/>
      <name val="Calibri"/>
    </font>
    <font>
      <b/>
      <sz val="22.0"/>
      <color theme="0"/>
      <name val="Open Sans"/>
    </font>
    <font>
      <b/>
      <sz val="16.0"/>
      <color rgb="FFE1551D"/>
      <name val="Open Sans"/>
    </font>
    <font>
      <sz val="11.0"/>
      <color rgb="FFE1551D"/>
      <name val="Open Sans"/>
    </font>
    <font>
      <b/>
      <sz val="11.0"/>
      <color rgb="FFFFFFFF"/>
      <name val="Open Sans"/>
    </font>
    <font>
      <u/>
      <sz val="11.0"/>
      <color theme="10"/>
      <name val="Calibri"/>
    </font>
    <font>
      <u/>
      <sz val="11.0"/>
      <color theme="10"/>
      <name val="Calibri"/>
    </font>
    <font>
      <sz val="11.0"/>
      <color rgb="FF000000"/>
      <name val="Open Sans"/>
    </font>
    <font>
      <b/>
      <sz val="12.0"/>
      <color theme="0"/>
      <name val="Open Sans"/>
    </font>
    <font>
      <b/>
      <sz val="12.0"/>
      <color rgb="FFEA8B00"/>
      <name val="Open Sans"/>
    </font>
    <font>
      <b/>
      <sz val="14.0"/>
      <color theme="1"/>
      <name val="Open Sans"/>
    </font>
    <font>
      <i/>
      <sz val="10.0"/>
      <color theme="1"/>
      <name val="Open Sans"/>
    </font>
    <font>
      <sz val="10.0"/>
      <color theme="1"/>
      <name val="Open Sans"/>
    </font>
    <font>
      <b/>
      <sz val="12.0"/>
      <color theme="0"/>
      <name val="Calibri"/>
    </font>
  </fonts>
  <fills count="16">
    <fill>
      <patternFill patternType="none"/>
    </fill>
    <fill>
      <patternFill patternType="lightGray"/>
    </fill>
    <fill>
      <patternFill patternType="solid">
        <fgColor theme="9"/>
        <bgColor theme="9"/>
      </patternFill>
    </fill>
    <fill>
      <patternFill patternType="solid">
        <fgColor rgb="FF0275D8"/>
        <bgColor rgb="FF0275D8"/>
      </patternFill>
    </fill>
    <fill>
      <patternFill patternType="solid">
        <fgColor rgb="FF000054"/>
        <bgColor rgb="FF000054"/>
      </patternFill>
    </fill>
    <fill>
      <patternFill patternType="solid">
        <fgColor theme="0"/>
        <bgColor theme="0"/>
      </patternFill>
    </fill>
    <fill>
      <patternFill patternType="solid">
        <fgColor rgb="FF000010"/>
        <bgColor rgb="FF000010"/>
      </patternFill>
    </fill>
    <fill>
      <patternFill patternType="solid">
        <fgColor rgb="FF000036"/>
        <bgColor rgb="FF000036"/>
      </patternFill>
    </fill>
    <fill>
      <patternFill patternType="solid">
        <fgColor rgb="FFEA8B00"/>
        <bgColor rgb="FFEA8B00"/>
      </patternFill>
    </fill>
    <fill>
      <patternFill patternType="solid">
        <fgColor rgb="FFE48A40"/>
        <bgColor rgb="FFE48A4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B5E8F3"/>
        <bgColor rgb="FFB5E8F3"/>
      </patternFill>
    </fill>
    <fill>
      <patternFill patternType="solid">
        <fgColor rgb="FF080808"/>
        <bgColor rgb="FF080808"/>
      </patternFill>
    </fill>
    <fill>
      <patternFill patternType="solid">
        <fgColor rgb="FFA8BFDF"/>
        <bgColor rgb="FFA8BFDF"/>
      </patternFill>
    </fill>
    <fill>
      <patternFill patternType="solid">
        <fgColor rgb="FFF2F2F2"/>
        <bgColor rgb="FFF2F2F2"/>
      </patternFill>
    </fill>
  </fills>
  <borders count="143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/>
      <top/>
    </border>
    <border>
      <right/>
      <top/>
    </border>
    <border>
      <left/>
      <bottom/>
    </border>
    <border>
      <right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hair">
        <color rgb="FF000000"/>
      </left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</border>
    <border>
      <right style="medium">
        <color rgb="FF000000"/>
      </right>
      <top/>
      <bottom/>
    </border>
    <border>
      <left style="medium">
        <color rgb="FF000000"/>
      </left>
      <right/>
      <bottom/>
    </border>
    <border>
      <left style="medium">
        <color rgb="FF000000"/>
      </left>
      <right/>
      <top style="medium">
        <color rgb="FF000000"/>
      </top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 style="thin">
        <color rgb="FF000000"/>
      </top>
      <bottom/>
    </border>
    <border>
      <left style="medium">
        <color rgb="FF000000"/>
      </left>
      <top/>
      <bottom/>
    </border>
    <border>
      <left style="medium">
        <color rgb="FF000000"/>
      </left>
      <top/>
    </border>
    <border>
      <top/>
    </border>
    <border>
      <left style="medium">
        <color rgb="FF000000"/>
      </left>
      <bottom/>
    </border>
    <border>
      <bottom/>
    </border>
    <border>
      <left style="hair">
        <color rgb="FF000000"/>
      </left>
    </border>
    <border>
      <right style="hair">
        <color rgb="FF000000"/>
      </right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hair">
        <color rgb="FF000000"/>
      </left>
      <bottom style="hair">
        <color rgb="FF000000"/>
      </bottom>
    </border>
    <border>
      <left style="dotted">
        <color rgb="FF000000"/>
      </left>
      <top style="dotted">
        <color rgb="FF000000"/>
      </top>
    </border>
    <border>
      <right style="dotted">
        <color rgb="FF000000"/>
      </right>
      <top style="dotted">
        <color rgb="FF000000"/>
      </top>
    </border>
    <border>
      <left style="dotted">
        <color rgb="FF000000"/>
      </left>
    </border>
    <border>
      <right style="dotted">
        <color rgb="FF000000"/>
      </right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dotted">
        <color rgb="FF000000"/>
      </left>
      <bottom style="dotted">
        <color rgb="FF000000"/>
      </bottom>
    </border>
    <border>
      <right style="dotted">
        <color rgb="FF000000"/>
      </right>
      <bottom style="dotted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medium">
        <color rgb="FF000000"/>
      </top>
      <bottom/>
    </border>
    <border>
      <right/>
      <top style="medium">
        <color rgb="FF000000"/>
      </top>
      <bottom/>
    </border>
    <border>
      <left/>
    </border>
    <border>
      <right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/>
    </border>
    <border>
      <left style="dotted">
        <color rgb="FF000000"/>
      </left>
      <right style="medium">
        <color rgb="FF000000"/>
      </right>
      <top/>
      <bottom/>
    </border>
    <border>
      <left style="dotted">
        <color rgb="FF000000"/>
      </left>
      <right style="medium">
        <color rgb="FF000000"/>
      </right>
      <top/>
      <bottom style="dotted">
        <color rgb="FF000000"/>
      </bottom>
    </border>
    <border>
      <top style="hair">
        <color rgb="FF000000"/>
      </top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top style="thin">
        <color rgb="FF000000"/>
      </top>
    </border>
    <border>
      <left style="hair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bottom style="double">
        <color rgb="FF000000"/>
      </bottom>
    </border>
    <border>
      <right style="medium">
        <color rgb="FF000000"/>
      </right>
      <bottom style="double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thin">
        <color rgb="FF000000"/>
      </lef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/>
      <top style="medium">
        <color rgb="FF000000"/>
      </top>
    </border>
    <border>
      <right/>
      <bottom style="medium">
        <color rgb="FF000000"/>
      </bottom>
    </border>
    <border>
      <left style="dotted">
        <color rgb="FF000000"/>
      </left>
      <right/>
      <top style="dotted">
        <color rgb="FF000000"/>
      </top>
      <bottom/>
    </border>
    <border>
      <left style="dotted">
        <color rgb="FF000000"/>
      </left>
      <right/>
      <top/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/>
    </border>
    <border>
      <left style="dotted">
        <color rgb="FF000000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/>
      <top style="thin">
        <color rgb="FF000000"/>
      </top>
      <bottom style="dotted">
        <color rgb="FF000000"/>
      </bottom>
    </border>
    <border>
      <left/>
      <right/>
      <top/>
      <bottom style="dotted">
        <color rgb="FF000000"/>
      </bottom>
    </border>
    <border>
      <left/>
      <right/>
      <top style="thin">
        <color rgb="FF000000"/>
      </top>
      <bottom style="dotted">
        <color rgb="FF000000"/>
      </bottom>
    </border>
    <border>
      <right style="thin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dotted">
        <color rgb="FF000000"/>
      </left>
      <right style="dotted">
        <color rgb="FF000000"/>
      </right>
      <top/>
      <bottom/>
    </border>
    <border>
      <left/>
      <right/>
      <top style="dotted">
        <color rgb="FF000000"/>
      </top>
      <bottom/>
    </border>
    <border>
      <left/>
      <right style="dotted">
        <color rgb="FF000000"/>
      </right>
      <top style="dotted">
        <color rgb="FF000000"/>
      </top>
      <bottom/>
    </border>
    <border>
      <left style="dotted">
        <color rgb="FF000000"/>
      </left>
      <right/>
      <top/>
      <bottom/>
    </border>
    <border>
      <left/>
      <right style="dotted">
        <color rgb="FF000000"/>
      </right>
      <top/>
      <bottom/>
    </border>
    <border>
      <left/>
      <right style="dotted">
        <color rgb="FF000000"/>
      </right>
      <top/>
      <bottom style="dotted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dotted">
        <color rgb="FF000000"/>
      </bottom>
    </border>
    <border>
      <bottom style="dotted">
        <color rgb="FF000000"/>
      </bottom>
    </border>
    <border>
      <right style="medium">
        <color rgb="FF000000"/>
      </right>
      <bottom style="dotted">
        <color rgb="FF000000"/>
      </bottom>
    </border>
  </borders>
  <cellStyleXfs count="1">
    <xf borderId="0" fillId="0" fontId="0" numFmtId="0" applyAlignment="1" applyFont="1"/>
  </cellStyleXfs>
  <cellXfs count="669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2" numFmtId="164" xfId="0" applyAlignment="1" applyFont="1" applyNumberFormat="1">
      <alignment horizontal="center"/>
    </xf>
    <xf borderId="0" fillId="0" fontId="3" numFmtId="164" xfId="0" applyFont="1" applyNumberFormat="1"/>
    <xf borderId="1" fillId="2" fontId="4" numFmtId="164" xfId="0" applyAlignment="1" applyBorder="1" applyFill="1" applyFont="1" applyNumberFormat="1">
      <alignment horizontal="center"/>
    </xf>
    <xf borderId="2" fillId="0" fontId="5" numFmtId="0" xfId="0" applyBorder="1" applyFont="1"/>
    <xf borderId="3" fillId="0" fontId="5" numFmtId="0" xfId="0" applyBorder="1" applyFont="1"/>
    <xf borderId="0" fillId="0" fontId="6" numFmtId="0" xfId="0" applyFont="1"/>
    <xf borderId="4" fillId="3" fontId="4" numFmtId="165" xfId="0" applyBorder="1" applyFill="1" applyFont="1" applyNumberFormat="1"/>
    <xf borderId="4" fillId="3" fontId="4" numFmtId="165" xfId="0" applyAlignment="1" applyBorder="1" applyFont="1" applyNumberFormat="1">
      <alignment horizontal="center"/>
    </xf>
    <xf borderId="0" fillId="0" fontId="3" numFmtId="165" xfId="0" applyFont="1" applyNumberFormat="1"/>
    <xf borderId="0" fillId="0" fontId="3" numFmtId="166" xfId="0" applyFont="1" applyNumberFormat="1"/>
    <xf borderId="0" fillId="0" fontId="7" numFmtId="0" xfId="0" applyFont="1"/>
    <xf borderId="0" fillId="0" fontId="8" numFmtId="0" xfId="0" applyFont="1"/>
    <xf borderId="0" fillId="0" fontId="8" numFmtId="0" xfId="0" applyAlignment="1" applyFont="1">
      <alignment horizontal="left"/>
    </xf>
    <xf borderId="0" fillId="0" fontId="9" numFmtId="0" xfId="0" applyAlignment="1" applyFont="1">
      <alignment horizontal="left"/>
    </xf>
    <xf borderId="0" fillId="0" fontId="10" numFmtId="0" xfId="0" applyFont="1"/>
    <xf borderId="1" fillId="4" fontId="11" numFmtId="0" xfId="0" applyAlignment="1" applyBorder="1" applyFill="1" applyFont="1">
      <alignment horizontal="center"/>
    </xf>
    <xf borderId="1" fillId="4" fontId="11" numFmtId="3" xfId="0" applyAlignment="1" applyBorder="1" applyFont="1" applyNumberFormat="1">
      <alignment horizontal="center"/>
    </xf>
    <xf borderId="4" fillId="4" fontId="12" numFmtId="3" xfId="0" applyAlignment="1" applyBorder="1" applyFont="1" applyNumberFormat="1">
      <alignment horizontal="center"/>
    </xf>
    <xf borderId="4" fillId="4" fontId="13" numFmtId="0" xfId="0" applyAlignment="1" applyBorder="1" applyFont="1">
      <alignment horizontal="center"/>
    </xf>
    <xf borderId="4" fillId="4" fontId="14" numFmtId="0" xfId="0" applyBorder="1" applyFont="1"/>
    <xf borderId="4" fillId="4" fontId="14" numFmtId="0" xfId="0" applyAlignment="1" applyBorder="1" applyFont="1">
      <alignment horizontal="right"/>
    </xf>
    <xf borderId="4" fillId="5" fontId="14" numFmtId="0" xfId="0" applyBorder="1" applyFill="1" applyFont="1"/>
    <xf borderId="5" fillId="6" fontId="15" numFmtId="0" xfId="0" applyAlignment="1" applyBorder="1" applyFill="1" applyFont="1">
      <alignment horizontal="center" vertical="center"/>
    </xf>
    <xf borderId="6" fillId="0" fontId="5" numFmtId="0" xfId="0" applyBorder="1" applyFont="1"/>
    <xf borderId="1" fillId="6" fontId="16" numFmtId="164" xfId="0" applyAlignment="1" applyBorder="1" applyFont="1" applyNumberFormat="1">
      <alignment horizontal="center" vertical="center"/>
    </xf>
    <xf borderId="4" fillId="6" fontId="17" numFmtId="0" xfId="0" applyAlignment="1" applyBorder="1" applyFont="1">
      <alignment horizontal="right" vertical="center"/>
    </xf>
    <xf borderId="4" fillId="6" fontId="18" numFmtId="0" xfId="0" applyBorder="1" applyFont="1"/>
    <xf borderId="4" fillId="5" fontId="18" numFmtId="0" xfId="0" applyBorder="1" applyFont="1"/>
    <xf borderId="7" fillId="0" fontId="5" numFmtId="0" xfId="0" applyBorder="1" applyFont="1"/>
    <xf borderId="8" fillId="0" fontId="5" numFmtId="0" xfId="0" applyBorder="1" applyFont="1"/>
    <xf borderId="4" fillId="6" fontId="19" numFmtId="0" xfId="0" applyAlignment="1" applyBorder="1" applyFont="1">
      <alignment horizontal="center"/>
    </xf>
    <xf borderId="4" fillId="6" fontId="19" numFmtId="0" xfId="0" applyAlignment="1" applyBorder="1" applyFont="1">
      <alignment horizontal="right"/>
    </xf>
    <xf borderId="4" fillId="7" fontId="14" numFmtId="0" xfId="0" applyBorder="1" applyFill="1" applyFont="1"/>
    <xf borderId="4" fillId="6" fontId="14" numFmtId="0" xfId="0" applyBorder="1" applyFont="1"/>
    <xf borderId="4" fillId="5" fontId="20" numFmtId="0" xfId="0" applyAlignment="1" applyBorder="1" applyFont="1">
      <alignment horizontal="center" vertical="center"/>
    </xf>
    <xf borderId="4" fillId="5" fontId="20" numFmtId="3" xfId="0" applyAlignment="1" applyBorder="1" applyFont="1" applyNumberFormat="1">
      <alignment horizontal="center" vertical="center"/>
    </xf>
    <xf borderId="4" fillId="5" fontId="20" numFmtId="0" xfId="0" applyAlignment="1" applyBorder="1" applyFont="1">
      <alignment horizontal="right" vertical="center"/>
    </xf>
    <xf borderId="9" fillId="8" fontId="20" numFmtId="0" xfId="0" applyBorder="1" applyFill="1" applyFont="1"/>
    <xf borderId="10" fillId="8" fontId="20" numFmtId="0" xfId="0" applyBorder="1" applyFont="1"/>
    <xf borderId="10" fillId="8" fontId="14" numFmtId="3" xfId="0" applyAlignment="1" applyBorder="1" applyFont="1" applyNumberFormat="1">
      <alignment horizontal="center"/>
    </xf>
    <xf borderId="10" fillId="8" fontId="14" numFmtId="0" xfId="0" applyBorder="1" applyFont="1"/>
    <xf borderId="11" fillId="9" fontId="14" numFmtId="0" xfId="0" applyAlignment="1" applyBorder="1" applyFill="1" applyFont="1">
      <alignment horizontal="right"/>
    </xf>
    <xf borderId="0" fillId="0" fontId="14" numFmtId="0" xfId="0" applyFont="1"/>
    <xf borderId="0" fillId="0" fontId="14" numFmtId="3" xfId="0" applyAlignment="1" applyFont="1" applyNumberFormat="1">
      <alignment horizontal="center"/>
    </xf>
    <xf borderId="0" fillId="0" fontId="14" numFmtId="0" xfId="0" applyAlignment="1" applyFont="1">
      <alignment horizontal="right"/>
    </xf>
    <xf borderId="0" fillId="0" fontId="21" numFmtId="0" xfId="0" applyFont="1"/>
    <xf borderId="0" fillId="0" fontId="14" numFmtId="3" xfId="0" applyAlignment="1" applyFont="1" applyNumberFormat="1">
      <alignment horizontal="right"/>
    </xf>
    <xf borderId="0" fillId="0" fontId="22" numFmtId="0" xfId="0" applyFont="1"/>
    <xf borderId="0" fillId="0" fontId="14" numFmtId="9" xfId="0" applyAlignment="1" applyFont="1" applyNumberFormat="1">
      <alignment horizontal="right"/>
    </xf>
    <xf borderId="0" fillId="0" fontId="22" numFmtId="9" xfId="0" applyAlignment="1" applyFont="1" applyNumberFormat="1">
      <alignment horizontal="right"/>
    </xf>
    <xf borderId="12" fillId="0" fontId="14" numFmtId="0" xfId="0" applyBorder="1" applyFont="1"/>
    <xf borderId="12" fillId="0" fontId="14" numFmtId="3" xfId="0" applyAlignment="1" applyBorder="1" applyFont="1" applyNumberFormat="1">
      <alignment horizontal="right"/>
    </xf>
    <xf borderId="0" fillId="0" fontId="14" numFmtId="37" xfId="0" applyAlignment="1" applyFont="1" applyNumberFormat="1">
      <alignment horizontal="right"/>
    </xf>
    <xf borderId="13" fillId="10" fontId="21" numFmtId="9" xfId="0" applyBorder="1" applyFill="1" applyFont="1" applyNumberFormat="1"/>
    <xf borderId="13" fillId="10" fontId="21" numFmtId="3" xfId="0" applyAlignment="1" applyBorder="1" applyFont="1" applyNumberFormat="1">
      <alignment horizontal="right"/>
    </xf>
    <xf borderId="13" fillId="10" fontId="21" numFmtId="167" xfId="0" applyAlignment="1" applyBorder="1" applyFont="1" applyNumberFormat="1">
      <alignment horizontal="right"/>
    </xf>
    <xf borderId="0" fillId="0" fontId="22" numFmtId="9" xfId="0" applyFont="1" applyNumberFormat="1"/>
    <xf borderId="4" fillId="5" fontId="22" numFmtId="0" xfId="0" applyBorder="1" applyFont="1"/>
    <xf borderId="0" fillId="0" fontId="22" numFmtId="3" xfId="0" applyAlignment="1" applyFont="1" applyNumberFormat="1">
      <alignment horizontal="right"/>
    </xf>
    <xf borderId="0" fillId="0" fontId="14" numFmtId="164" xfId="0" applyAlignment="1" applyFont="1" applyNumberFormat="1">
      <alignment horizontal="right"/>
    </xf>
    <xf borderId="0" fillId="0" fontId="14" numFmtId="167" xfId="0" applyAlignment="1" applyFont="1" applyNumberFormat="1">
      <alignment horizontal="right"/>
    </xf>
    <xf borderId="13" fillId="10" fontId="21" numFmtId="0" xfId="0" applyBorder="1" applyFont="1"/>
    <xf borderId="13" fillId="10" fontId="21" numFmtId="37" xfId="0" applyAlignment="1" applyBorder="1" applyFont="1" applyNumberFormat="1">
      <alignment horizontal="right"/>
    </xf>
    <xf borderId="0" fillId="0" fontId="14" numFmtId="164" xfId="0" applyFont="1" applyNumberFormat="1"/>
    <xf borderId="0" fillId="0" fontId="14" numFmtId="168" xfId="0" applyAlignment="1" applyFont="1" applyNumberFormat="1">
      <alignment horizontal="right"/>
    </xf>
    <xf borderId="12" fillId="0" fontId="14" numFmtId="164" xfId="0" applyBorder="1" applyFont="1" applyNumberFormat="1"/>
    <xf borderId="4" fillId="5" fontId="22" numFmtId="9" xfId="0" applyAlignment="1" applyBorder="1" applyFont="1" applyNumberFormat="1">
      <alignment horizontal="right"/>
    </xf>
    <xf borderId="4" fillId="5" fontId="22" numFmtId="3" xfId="0" applyAlignment="1" applyBorder="1" applyFont="1" applyNumberFormat="1">
      <alignment horizontal="right"/>
    </xf>
    <xf borderId="12" fillId="0" fontId="22" numFmtId="0" xfId="0" applyBorder="1" applyFont="1"/>
    <xf borderId="12" fillId="0" fontId="22" numFmtId="9" xfId="0" applyAlignment="1" applyBorder="1" applyFont="1" applyNumberFormat="1">
      <alignment horizontal="right"/>
    </xf>
    <xf borderId="0" fillId="0" fontId="14" numFmtId="169" xfId="0" applyAlignment="1" applyFont="1" applyNumberFormat="1">
      <alignment horizontal="right"/>
    </xf>
    <xf borderId="0" fillId="0" fontId="14" numFmtId="4" xfId="0" applyAlignment="1" applyFont="1" applyNumberFormat="1">
      <alignment horizontal="right"/>
    </xf>
    <xf borderId="0" fillId="0" fontId="14" numFmtId="2" xfId="0" applyAlignment="1" applyFont="1" applyNumberFormat="1">
      <alignment horizontal="right"/>
    </xf>
    <xf borderId="9" fillId="9" fontId="20" numFmtId="0" xfId="0" applyBorder="1" applyFont="1"/>
    <xf borderId="10" fillId="9" fontId="20" numFmtId="0" xfId="0" applyBorder="1" applyFont="1"/>
    <xf borderId="10" fillId="9" fontId="14" numFmtId="3" xfId="0" applyAlignment="1" applyBorder="1" applyFont="1" applyNumberFormat="1">
      <alignment horizontal="right"/>
    </xf>
    <xf borderId="10" fillId="9" fontId="14" numFmtId="0" xfId="0" applyAlignment="1" applyBorder="1" applyFont="1">
      <alignment horizontal="right"/>
    </xf>
    <xf borderId="4" fillId="5" fontId="14" numFmtId="0" xfId="0" applyAlignment="1" applyBorder="1" applyFont="1">
      <alignment horizontal="right"/>
    </xf>
    <xf borderId="4" fillId="5" fontId="14" numFmtId="167" xfId="0" applyAlignment="1" applyBorder="1" applyFont="1" applyNumberFormat="1">
      <alignment horizontal="right"/>
    </xf>
    <xf borderId="4" fillId="11" fontId="21" numFmtId="0" xfId="0" applyBorder="1" applyFill="1" applyFont="1"/>
    <xf borderId="4" fillId="11" fontId="21" numFmtId="3" xfId="0" applyAlignment="1" applyBorder="1" applyFont="1" applyNumberFormat="1">
      <alignment horizontal="right"/>
    </xf>
    <xf borderId="4" fillId="5" fontId="21" numFmtId="167" xfId="0" applyAlignment="1" applyBorder="1" applyFont="1" applyNumberFormat="1">
      <alignment horizontal="right"/>
    </xf>
    <xf borderId="1" fillId="12" fontId="22" numFmtId="0" xfId="0" applyBorder="1" applyFill="1" applyFont="1"/>
    <xf borderId="4" fillId="12" fontId="22" numFmtId="3" xfId="0" applyAlignment="1" applyBorder="1" applyFont="1" applyNumberFormat="1">
      <alignment horizontal="right"/>
    </xf>
    <xf borderId="12" fillId="0" fontId="14" numFmtId="167" xfId="0" applyAlignment="1" applyBorder="1" applyFont="1" applyNumberFormat="1">
      <alignment horizontal="right"/>
    </xf>
    <xf borderId="4" fillId="5" fontId="21" numFmtId="170" xfId="0" applyAlignment="1" applyBorder="1" applyFont="1" applyNumberFormat="1">
      <alignment horizontal="right"/>
    </xf>
    <xf borderId="0" fillId="0" fontId="22" numFmtId="3" xfId="0" applyAlignment="1" applyFont="1" applyNumberFormat="1">
      <alignment horizontal="right" vertical="top"/>
    </xf>
    <xf borderId="0" fillId="0" fontId="22" numFmtId="0" xfId="0" applyAlignment="1" applyFont="1">
      <alignment horizontal="right" vertical="top"/>
    </xf>
    <xf borderId="4" fillId="5" fontId="22" numFmtId="0" xfId="0" applyAlignment="1" applyBorder="1" applyFont="1">
      <alignment horizontal="right" vertical="top"/>
    </xf>
    <xf borderId="10" fillId="9" fontId="18" numFmtId="3" xfId="0" applyAlignment="1" applyBorder="1" applyFont="1" applyNumberFormat="1">
      <alignment horizontal="right"/>
    </xf>
    <xf borderId="10" fillId="9" fontId="18" numFmtId="0" xfId="0" applyAlignment="1" applyBorder="1" applyFont="1">
      <alignment horizontal="right"/>
    </xf>
    <xf borderId="11" fillId="9" fontId="11" numFmtId="0" xfId="0" applyAlignment="1" applyBorder="1" applyFont="1">
      <alignment horizontal="right"/>
    </xf>
    <xf borderId="14" fillId="10" fontId="21" numFmtId="164" xfId="0" applyBorder="1" applyFont="1" applyNumberFormat="1"/>
    <xf borderId="14" fillId="10" fontId="21" numFmtId="0" xfId="0" applyBorder="1" applyFont="1"/>
    <xf borderId="14" fillId="10" fontId="21" numFmtId="3" xfId="0" applyAlignment="1" applyBorder="1" applyFont="1" applyNumberFormat="1">
      <alignment horizontal="right"/>
    </xf>
    <xf borderId="14" fillId="10" fontId="21" numFmtId="167" xfId="0" applyAlignment="1" applyBorder="1" applyFont="1" applyNumberFormat="1">
      <alignment horizontal="right"/>
    </xf>
    <xf borderId="4" fillId="5" fontId="22" numFmtId="167" xfId="0" applyAlignment="1" applyBorder="1" applyFont="1" applyNumberFormat="1">
      <alignment horizontal="right"/>
    </xf>
    <xf borderId="4" fillId="12" fontId="22" numFmtId="0" xfId="0" applyBorder="1" applyFont="1"/>
    <xf borderId="4" fillId="12" fontId="14" numFmtId="0" xfId="0" applyBorder="1" applyFont="1"/>
    <xf borderId="4" fillId="12" fontId="14" numFmtId="3" xfId="0" applyAlignment="1" applyBorder="1" applyFont="1" applyNumberFormat="1">
      <alignment horizontal="right"/>
    </xf>
    <xf borderId="4" fillId="5" fontId="14" numFmtId="171" xfId="0" applyAlignment="1" applyBorder="1" applyFont="1" applyNumberFormat="1">
      <alignment horizontal="right"/>
    </xf>
    <xf borderId="15" fillId="10" fontId="21" numFmtId="0" xfId="0" applyBorder="1" applyFont="1"/>
    <xf borderId="16" fillId="0" fontId="5" numFmtId="0" xfId="0" applyBorder="1" applyFont="1"/>
    <xf borderId="4" fillId="5" fontId="21" numFmtId="3" xfId="0" applyAlignment="1" applyBorder="1" applyFont="1" applyNumberFormat="1">
      <alignment horizontal="right"/>
    </xf>
    <xf borderId="4" fillId="5" fontId="21" numFmtId="171" xfId="0" applyAlignment="1" applyBorder="1" applyFont="1" applyNumberFormat="1">
      <alignment horizontal="right"/>
    </xf>
    <xf borderId="4" fillId="5" fontId="23" numFmtId="37" xfId="0" applyAlignment="1" applyBorder="1" applyFont="1" applyNumberFormat="1">
      <alignment horizontal="right"/>
    </xf>
    <xf borderId="4" fillId="5" fontId="23" numFmtId="171" xfId="0" applyAlignment="1" applyBorder="1" applyFont="1" applyNumberFormat="1">
      <alignment horizontal="right"/>
    </xf>
    <xf borderId="0" fillId="0" fontId="3" numFmtId="0" xfId="0" applyFont="1"/>
    <xf borderId="17" fillId="12" fontId="21" numFmtId="0" xfId="0" applyBorder="1" applyFont="1"/>
    <xf borderId="18" fillId="12" fontId="21" numFmtId="0" xfId="0" applyBorder="1" applyFont="1"/>
    <xf borderId="18" fillId="12" fontId="21" numFmtId="3" xfId="0" applyAlignment="1" applyBorder="1" applyFont="1" applyNumberFormat="1">
      <alignment horizontal="right"/>
    </xf>
    <xf borderId="19" fillId="12" fontId="21" numFmtId="3" xfId="0" applyAlignment="1" applyBorder="1" applyFont="1" applyNumberFormat="1">
      <alignment horizontal="right"/>
    </xf>
    <xf borderId="20" fillId="12" fontId="21" numFmtId="0" xfId="0" applyBorder="1" applyFont="1"/>
    <xf borderId="4" fillId="12" fontId="21" numFmtId="0" xfId="0" applyBorder="1" applyFont="1"/>
    <xf borderId="4" fillId="12" fontId="21" numFmtId="3" xfId="0" applyAlignment="1" applyBorder="1" applyFont="1" applyNumberFormat="1">
      <alignment horizontal="right"/>
    </xf>
    <xf borderId="21" fillId="12" fontId="21" numFmtId="3" xfId="0" applyAlignment="1" applyBorder="1" applyFont="1" applyNumberFormat="1">
      <alignment horizontal="right"/>
    </xf>
    <xf borderId="22" fillId="12" fontId="21" numFmtId="0" xfId="0" applyBorder="1" applyFont="1"/>
    <xf borderId="23" fillId="12" fontId="21" numFmtId="0" xfId="0" applyBorder="1" applyFont="1"/>
    <xf borderId="23" fillId="12" fontId="21" numFmtId="3" xfId="0" applyAlignment="1" applyBorder="1" applyFont="1" applyNumberFormat="1">
      <alignment horizontal="right"/>
    </xf>
    <xf borderId="24" fillId="12" fontId="21" numFmtId="3" xfId="0" applyAlignment="1" applyBorder="1" applyFont="1" applyNumberFormat="1">
      <alignment horizontal="right"/>
    </xf>
    <xf borderId="25" fillId="0" fontId="21" numFmtId="3" xfId="0" applyAlignment="1" applyBorder="1" applyFont="1" applyNumberFormat="1">
      <alignment horizontal="left"/>
    </xf>
    <xf borderId="26" fillId="0" fontId="14" numFmtId="0" xfId="0" applyAlignment="1" applyBorder="1" applyFont="1">
      <alignment horizontal="right"/>
    </xf>
    <xf borderId="17" fillId="12" fontId="21" numFmtId="3" xfId="0" applyAlignment="1" applyBorder="1" applyFont="1" applyNumberFormat="1">
      <alignment horizontal="left"/>
    </xf>
    <xf borderId="19" fillId="12" fontId="21" numFmtId="172" xfId="0" applyAlignment="1" applyBorder="1" applyFont="1" applyNumberFormat="1">
      <alignment horizontal="right"/>
    </xf>
    <xf borderId="20" fillId="12" fontId="21" numFmtId="3" xfId="0" applyAlignment="1" applyBorder="1" applyFont="1" applyNumberFormat="1">
      <alignment horizontal="left"/>
    </xf>
    <xf borderId="21" fillId="12" fontId="21" numFmtId="172" xfId="0" applyAlignment="1" applyBorder="1" applyFont="1" applyNumberFormat="1">
      <alignment horizontal="right"/>
    </xf>
    <xf borderId="21" fillId="12" fontId="21" numFmtId="9" xfId="0" applyAlignment="1" applyBorder="1" applyFont="1" applyNumberFormat="1">
      <alignment horizontal="right"/>
    </xf>
    <xf borderId="21" fillId="12" fontId="21" numFmtId="9" xfId="0" applyBorder="1" applyFont="1" applyNumberFormat="1"/>
    <xf borderId="24" fillId="12" fontId="21" numFmtId="9" xfId="0" applyBorder="1" applyFont="1" applyNumberFormat="1"/>
    <xf borderId="4" fillId="5" fontId="21" numFmtId="9" xfId="0" applyBorder="1" applyFont="1" applyNumberFormat="1"/>
    <xf borderId="27" fillId="4" fontId="11" numFmtId="0" xfId="0" applyAlignment="1" applyBorder="1" applyFont="1">
      <alignment horizontal="center"/>
    </xf>
    <xf borderId="28" fillId="0" fontId="5" numFmtId="0" xfId="0" applyBorder="1" applyFont="1"/>
    <xf borderId="29" fillId="4" fontId="11" numFmtId="3" xfId="0" applyAlignment="1" applyBorder="1" applyFont="1" applyNumberFormat="1">
      <alignment horizontal="center"/>
    </xf>
    <xf borderId="30" fillId="0" fontId="5" numFmtId="0" xfId="0" applyBorder="1" applyFont="1"/>
    <xf borderId="10" fillId="4" fontId="24" numFmtId="3" xfId="0" applyAlignment="1" applyBorder="1" applyFont="1" applyNumberFormat="1">
      <alignment horizontal="center"/>
    </xf>
    <xf borderId="10" fillId="4" fontId="25" numFmtId="0" xfId="0" applyAlignment="1" applyBorder="1" applyFont="1">
      <alignment horizontal="center"/>
    </xf>
    <xf borderId="10" fillId="4" fontId="14" numFmtId="0" xfId="0" applyBorder="1" applyFont="1"/>
    <xf borderId="11" fillId="4" fontId="14" numFmtId="0" xfId="0" applyAlignment="1" applyBorder="1" applyFont="1">
      <alignment horizontal="right"/>
    </xf>
    <xf borderId="4" fillId="13" fontId="26" numFmtId="0" xfId="0" applyAlignment="1" applyBorder="1" applyFill="1" applyFont="1">
      <alignment horizontal="center" vertical="center"/>
    </xf>
    <xf borderId="1" fillId="13" fontId="16" numFmtId="164" xfId="0" applyAlignment="1" applyBorder="1" applyFont="1" applyNumberFormat="1">
      <alignment horizontal="center" vertical="center"/>
    </xf>
    <xf borderId="4" fillId="13" fontId="14" numFmtId="0" xfId="0" applyBorder="1" applyFont="1"/>
    <xf borderId="4" fillId="13" fontId="11" numFmtId="0" xfId="0" applyBorder="1" applyFont="1"/>
    <xf borderId="4" fillId="13" fontId="20" numFmtId="165" xfId="0" applyAlignment="1" applyBorder="1" applyFont="1" applyNumberFormat="1">
      <alignment horizontal="center"/>
    </xf>
    <xf borderId="4" fillId="13" fontId="21" numFmtId="0" xfId="0" applyBorder="1" applyFont="1"/>
    <xf borderId="9" fillId="8" fontId="20" numFmtId="0" xfId="0" applyAlignment="1" applyBorder="1" applyFont="1">
      <alignment horizontal="center"/>
    </xf>
    <xf borderId="10" fillId="8" fontId="11" numFmtId="0" xfId="0" applyBorder="1" applyFont="1"/>
    <xf borderId="10" fillId="8" fontId="19" numFmtId="165" xfId="0" applyAlignment="1" applyBorder="1" applyFont="1" applyNumberFormat="1">
      <alignment horizontal="center"/>
    </xf>
    <xf borderId="11" fillId="8" fontId="19" numFmtId="165" xfId="0" applyAlignment="1" applyBorder="1" applyFont="1" applyNumberFormat="1">
      <alignment horizontal="center"/>
    </xf>
    <xf borderId="4" fillId="5" fontId="21" numFmtId="0" xfId="0" applyBorder="1" applyFont="1"/>
    <xf borderId="0" fillId="0" fontId="14" numFmtId="1" xfId="0" applyFont="1" applyNumberFormat="1"/>
    <xf borderId="0" fillId="0" fontId="22" numFmtId="164" xfId="0" applyFont="1" applyNumberFormat="1"/>
    <xf borderId="0" fillId="0" fontId="14" numFmtId="167" xfId="0" applyFont="1" applyNumberFormat="1"/>
    <xf borderId="14" fillId="10" fontId="21" numFmtId="167" xfId="0" applyBorder="1" applyFont="1" applyNumberFormat="1"/>
    <xf borderId="0" fillId="0" fontId="23" numFmtId="0" xfId="0" applyFont="1"/>
    <xf borderId="0" fillId="0" fontId="23" numFmtId="9" xfId="0" applyFont="1" applyNumberFormat="1"/>
    <xf borderId="0" fillId="0" fontId="14" numFmtId="9" xfId="0" applyFont="1" applyNumberFormat="1"/>
    <xf borderId="0" fillId="0" fontId="3" numFmtId="9" xfId="0" applyFont="1" applyNumberFormat="1"/>
    <xf borderId="10" fillId="8" fontId="27" numFmtId="165" xfId="0" applyAlignment="1" applyBorder="1" applyFont="1" applyNumberFormat="1">
      <alignment horizontal="center"/>
    </xf>
    <xf borderId="11" fillId="8" fontId="28" numFmtId="0" xfId="0" applyBorder="1" applyFont="1"/>
    <xf borderId="4" fillId="5" fontId="20" numFmtId="0" xfId="0" applyAlignment="1" applyBorder="1" applyFont="1">
      <alignment horizontal="center"/>
    </xf>
    <xf borderId="4" fillId="5" fontId="11" numFmtId="0" xfId="0" applyBorder="1" applyFont="1"/>
    <xf borderId="4" fillId="5" fontId="19" numFmtId="165" xfId="0" applyAlignment="1" applyBorder="1" applyFont="1" applyNumberFormat="1">
      <alignment horizontal="center"/>
    </xf>
    <xf borderId="1" fillId="13" fontId="11" numFmtId="164" xfId="0" applyAlignment="1" applyBorder="1" applyFont="1" applyNumberFormat="1">
      <alignment horizontal="center" vertical="center"/>
    </xf>
    <xf borderId="27" fillId="13" fontId="11" numFmtId="164" xfId="0" applyAlignment="1" applyBorder="1" applyFont="1" applyNumberFormat="1">
      <alignment horizontal="center" vertical="center"/>
    </xf>
    <xf borderId="31" fillId="0" fontId="5" numFmtId="0" xfId="0" applyBorder="1" applyFont="1"/>
    <xf borderId="0" fillId="0" fontId="21" numFmtId="164" xfId="0" applyFont="1" applyNumberFormat="1"/>
    <xf borderId="4" fillId="8" fontId="11" numFmtId="165" xfId="0" applyAlignment="1" applyBorder="1" applyFont="1" applyNumberFormat="1">
      <alignment horizontal="center"/>
    </xf>
    <xf borderId="4" fillId="8" fontId="11" numFmtId="0" xfId="0" applyAlignment="1" applyBorder="1" applyFont="1">
      <alignment horizontal="center"/>
    </xf>
    <xf borderId="0" fillId="0" fontId="14" numFmtId="167" xfId="0" applyAlignment="1" applyFont="1" applyNumberFormat="1">
      <alignment horizontal="center"/>
    </xf>
    <xf borderId="0" fillId="0" fontId="14" numFmtId="9" xfId="0" applyAlignment="1" applyFont="1" applyNumberFormat="1">
      <alignment horizontal="center"/>
    </xf>
    <xf borderId="0" fillId="0" fontId="3" numFmtId="0" xfId="0" applyAlignment="1" applyFont="1">
      <alignment horizontal="right"/>
    </xf>
    <xf borderId="14" fillId="10" fontId="21" numFmtId="167" xfId="0" applyAlignment="1" applyBorder="1" applyFont="1" applyNumberFormat="1">
      <alignment horizontal="center"/>
    </xf>
    <xf borderId="14" fillId="10" fontId="21" numFmtId="9" xfId="0" applyAlignment="1" applyBorder="1" applyFont="1" applyNumberFormat="1">
      <alignment horizontal="right"/>
    </xf>
    <xf borderId="14" fillId="10" fontId="21" numFmtId="9" xfId="0" applyBorder="1" applyFont="1" applyNumberFormat="1"/>
    <xf borderId="0" fillId="0" fontId="21" numFmtId="167" xfId="0" applyFont="1" applyNumberFormat="1"/>
    <xf borderId="14" fillId="10" fontId="21" numFmtId="170" xfId="0" applyBorder="1" applyFont="1" applyNumberFormat="1"/>
    <xf borderId="9" fillId="4" fontId="29" numFmtId="0" xfId="0" applyAlignment="1" applyBorder="1" applyFont="1">
      <alignment horizontal="center"/>
    </xf>
    <xf borderId="29" fillId="4" fontId="29" numFmtId="3" xfId="0" applyAlignment="1" applyBorder="1" applyFont="1" applyNumberFormat="1">
      <alignment horizontal="center"/>
    </xf>
    <xf borderId="10" fillId="4" fontId="30" numFmtId="3" xfId="0" applyAlignment="1" applyBorder="1" applyFont="1" applyNumberFormat="1">
      <alignment horizontal="center"/>
    </xf>
    <xf borderId="10" fillId="4" fontId="31" numFmtId="0" xfId="0" applyAlignment="1" applyBorder="1" applyFont="1">
      <alignment horizontal="center"/>
    </xf>
    <xf borderId="10" fillId="4" fontId="32" numFmtId="0" xfId="0" applyBorder="1" applyFont="1"/>
    <xf borderId="10" fillId="4" fontId="32" numFmtId="0" xfId="0" applyAlignment="1" applyBorder="1" applyFont="1">
      <alignment horizontal="right"/>
    </xf>
    <xf borderId="11" fillId="4" fontId="32" numFmtId="0" xfId="0" applyBorder="1" applyFont="1"/>
    <xf borderId="4" fillId="5" fontId="32" numFmtId="0" xfId="0" applyBorder="1" applyFont="1"/>
    <xf borderId="32" fillId="6" fontId="16" numFmtId="0" xfId="0" applyAlignment="1" applyBorder="1" applyFont="1">
      <alignment horizontal="center" shrinkToFit="0" vertical="center" wrapText="1"/>
    </xf>
    <xf borderId="33" fillId="0" fontId="5" numFmtId="0" xfId="0" applyBorder="1" applyFont="1"/>
    <xf borderId="4" fillId="4" fontId="18" numFmtId="0" xfId="0" applyBorder="1" applyFont="1"/>
    <xf borderId="34" fillId="0" fontId="5" numFmtId="0" xfId="0" applyBorder="1" applyFont="1"/>
    <xf borderId="4" fillId="6" fontId="19" numFmtId="0" xfId="0" applyAlignment="1" applyBorder="1" applyFont="1">
      <alignment horizontal="center" vertical="center"/>
    </xf>
    <xf borderId="21" fillId="6" fontId="19" numFmtId="0" xfId="0" applyAlignment="1" applyBorder="1" applyFont="1">
      <alignment horizontal="center" vertical="center"/>
    </xf>
    <xf borderId="4" fillId="4" fontId="15" numFmtId="0" xfId="0" applyAlignment="1" applyBorder="1" applyFont="1">
      <alignment horizontal="center" vertical="top"/>
    </xf>
    <xf borderId="4" fillId="4" fontId="20" numFmtId="0" xfId="0" applyAlignment="1" applyBorder="1" applyFont="1">
      <alignment horizontal="center" vertical="center"/>
    </xf>
    <xf borderId="4" fillId="5" fontId="19" numFmtId="0" xfId="0" applyAlignment="1" applyBorder="1" applyFont="1">
      <alignment horizontal="center" vertical="center"/>
    </xf>
    <xf borderId="9" fillId="8" fontId="19" numFmtId="0" xfId="0" applyAlignment="1" applyBorder="1" applyFont="1">
      <alignment horizontal="center" vertical="center"/>
    </xf>
    <xf borderId="10" fillId="8" fontId="33" numFmtId="0" xfId="0" applyAlignment="1" applyBorder="1" applyFont="1">
      <alignment horizontal="center" vertical="center"/>
    </xf>
    <xf borderId="10" fillId="8" fontId="34" numFmtId="0" xfId="0" applyAlignment="1" applyBorder="1" applyFont="1">
      <alignment horizontal="center" vertical="center"/>
    </xf>
    <xf borderId="11" fillId="8" fontId="33" numFmtId="0" xfId="0" applyAlignment="1" applyBorder="1" applyFont="1">
      <alignment horizontal="center" vertical="center"/>
    </xf>
    <xf borderId="0" fillId="0" fontId="14" numFmtId="2" xfId="0" applyFont="1" applyNumberFormat="1"/>
    <xf borderId="0" fillId="0" fontId="14" numFmtId="169" xfId="0" applyFont="1" applyNumberFormat="1"/>
    <xf borderId="10" fillId="8" fontId="14" numFmtId="2" xfId="0" applyBorder="1" applyFont="1" applyNumberFormat="1"/>
    <xf borderId="11" fillId="8" fontId="14" numFmtId="2" xfId="0" applyBorder="1" applyFont="1" applyNumberFormat="1"/>
    <xf borderId="10" fillId="8" fontId="19" numFmtId="0" xfId="0" applyAlignment="1" applyBorder="1" applyFont="1">
      <alignment horizontal="center" vertical="center"/>
    </xf>
    <xf borderId="0" fillId="0" fontId="14" numFmtId="170" xfId="0" applyFont="1" applyNumberFormat="1"/>
    <xf borderId="11" fillId="8" fontId="19" numFmtId="0" xfId="0" applyAlignment="1" applyBorder="1" applyFont="1">
      <alignment horizontal="center" vertical="center"/>
    </xf>
    <xf borderId="4" fillId="5" fontId="32" numFmtId="0" xfId="0" applyAlignment="1" applyBorder="1" applyFont="1">
      <alignment horizontal="right"/>
    </xf>
    <xf borderId="35" fillId="6" fontId="19" numFmtId="0" xfId="0" applyAlignment="1" applyBorder="1" applyFont="1">
      <alignment horizontal="center" shrinkToFit="0" vertical="center" wrapText="1"/>
    </xf>
    <xf borderId="36" fillId="6" fontId="16" numFmtId="164" xfId="0" applyAlignment="1" applyBorder="1" applyFont="1" applyNumberFormat="1">
      <alignment horizontal="center" vertical="center"/>
    </xf>
    <xf borderId="37" fillId="0" fontId="5" numFmtId="0" xfId="0" applyBorder="1" applyFont="1"/>
    <xf borderId="38" fillId="0" fontId="5" numFmtId="0" xfId="0" applyBorder="1" applyFont="1"/>
    <xf borderId="11" fillId="8" fontId="14" numFmtId="0" xfId="0" applyBorder="1" applyFont="1"/>
    <xf borderId="39" fillId="0" fontId="14" numFmtId="0" xfId="0" applyBorder="1" applyFont="1"/>
    <xf borderId="0" fillId="0" fontId="14" numFmtId="173" xfId="0" applyFont="1" applyNumberFormat="1"/>
    <xf borderId="40" fillId="0" fontId="14" numFmtId="173" xfId="0" applyBorder="1" applyFont="1" applyNumberFormat="1"/>
    <xf borderId="41" fillId="0" fontId="14" numFmtId="0" xfId="0" applyBorder="1" applyFont="1"/>
    <xf borderId="12" fillId="0" fontId="14" numFmtId="173" xfId="0" applyBorder="1" applyFont="1" applyNumberFormat="1"/>
    <xf borderId="42" fillId="0" fontId="14" numFmtId="173" xfId="0" applyBorder="1" applyFont="1" applyNumberFormat="1"/>
    <xf borderId="20" fillId="10" fontId="21" numFmtId="9" xfId="0" applyBorder="1" applyFont="1" applyNumberFormat="1"/>
    <xf borderId="4" fillId="10" fontId="14" numFmtId="173" xfId="0" applyBorder="1" applyFont="1" applyNumberFormat="1"/>
    <xf borderId="21" fillId="10" fontId="14" numFmtId="173" xfId="0" applyBorder="1" applyFont="1" applyNumberFormat="1"/>
    <xf borderId="20" fillId="5" fontId="14" numFmtId="164" xfId="0" applyBorder="1" applyFont="1" applyNumberFormat="1"/>
    <xf borderId="4" fillId="5" fontId="14" numFmtId="173" xfId="0" applyBorder="1" applyFont="1" applyNumberFormat="1"/>
    <xf borderId="21" fillId="5" fontId="14" numFmtId="173" xfId="0" applyBorder="1" applyFont="1" applyNumberFormat="1"/>
    <xf borderId="20" fillId="10" fontId="21" numFmtId="0" xfId="0" applyBorder="1" applyFont="1"/>
    <xf borderId="39" fillId="0" fontId="14" numFmtId="164" xfId="0" applyBorder="1" applyFont="1" applyNumberFormat="1"/>
    <xf borderId="41" fillId="0" fontId="14" numFmtId="164" xfId="0" applyBorder="1" applyFont="1" applyNumberFormat="1"/>
    <xf borderId="43" fillId="0" fontId="14" numFmtId="0" xfId="0" applyBorder="1" applyFont="1"/>
    <xf borderId="44" fillId="0" fontId="14" numFmtId="173" xfId="0" applyBorder="1" applyFont="1" applyNumberFormat="1"/>
    <xf borderId="45" fillId="0" fontId="14" numFmtId="173" xfId="0" applyBorder="1" applyFont="1" applyNumberFormat="1"/>
    <xf borderId="10" fillId="8" fontId="35" numFmtId="10" xfId="0" applyBorder="1" applyFont="1" applyNumberFormat="1"/>
    <xf borderId="10" fillId="8" fontId="35" numFmtId="0" xfId="0" applyBorder="1" applyFont="1"/>
    <xf borderId="11" fillId="8" fontId="35" numFmtId="0" xfId="0" applyBorder="1" applyFont="1"/>
    <xf borderId="39" fillId="0" fontId="21" numFmtId="0" xfId="0" applyBorder="1" applyFont="1"/>
    <xf borderId="40" fillId="0" fontId="14" numFmtId="0" xfId="0" applyBorder="1" applyFont="1"/>
    <xf borderId="40" fillId="0" fontId="14" numFmtId="9" xfId="0" applyBorder="1" applyFont="1" applyNumberFormat="1"/>
    <xf borderId="12" fillId="0" fontId="14" numFmtId="9" xfId="0" applyBorder="1" applyFont="1" applyNumberFormat="1"/>
    <xf borderId="42" fillId="0" fontId="14" numFmtId="9" xfId="0" applyBorder="1" applyFont="1" applyNumberFormat="1"/>
    <xf borderId="4" fillId="10" fontId="14" numFmtId="9" xfId="0" applyBorder="1" applyFont="1" applyNumberFormat="1"/>
    <xf borderId="21" fillId="10" fontId="14" numFmtId="9" xfId="0" applyBorder="1" applyFont="1" applyNumberFormat="1"/>
    <xf borderId="22" fillId="10" fontId="21" numFmtId="0" xfId="0" applyBorder="1" applyFont="1"/>
    <xf borderId="23" fillId="10" fontId="14" numFmtId="9" xfId="0" applyBorder="1" applyFont="1" applyNumberFormat="1"/>
    <xf borderId="24" fillId="10" fontId="14" numFmtId="9" xfId="0" applyBorder="1" applyFont="1" applyNumberFormat="1"/>
    <xf borderId="35" fillId="6" fontId="16" numFmtId="0" xfId="0" applyAlignment="1" applyBorder="1" applyFont="1">
      <alignment horizontal="center" shrinkToFit="0" vertical="center" wrapText="1"/>
    </xf>
    <xf borderId="0" fillId="0" fontId="14" numFmtId="3" xfId="0" applyFont="1" applyNumberFormat="1"/>
    <xf borderId="9" fillId="8" fontId="33" numFmtId="0" xfId="0" applyAlignment="1" applyBorder="1" applyFont="1">
      <alignment horizontal="center" vertical="center"/>
    </xf>
    <xf borderId="11" fillId="8" fontId="11" numFmtId="0" xfId="0" applyBorder="1" applyFont="1"/>
    <xf borderId="0" fillId="0" fontId="14" numFmtId="10" xfId="0" applyFont="1" applyNumberFormat="1"/>
    <xf borderId="46" fillId="10" fontId="21" numFmtId="0" xfId="0" applyBorder="1" applyFont="1"/>
    <xf borderId="46" fillId="10" fontId="21" numFmtId="2" xfId="0" applyBorder="1" applyFont="1" applyNumberFormat="1"/>
    <xf borderId="23" fillId="10" fontId="21" numFmtId="0" xfId="0" applyBorder="1" applyFont="1"/>
    <xf borderId="23" fillId="10" fontId="21" numFmtId="2" xfId="0" applyBorder="1" applyFont="1" applyNumberFormat="1"/>
    <xf borderId="0" fillId="0" fontId="14" numFmtId="171" xfId="0" applyFont="1" applyNumberFormat="1"/>
    <xf borderId="47" fillId="4" fontId="11" numFmtId="0" xfId="0" applyAlignment="1" applyBorder="1" applyFont="1">
      <alignment horizontal="center"/>
    </xf>
    <xf borderId="10" fillId="4" fontId="14" numFmtId="0" xfId="0" applyAlignment="1" applyBorder="1" applyFont="1">
      <alignment horizontal="right"/>
    </xf>
    <xf borderId="11" fillId="4" fontId="14" numFmtId="0" xfId="0" applyBorder="1" applyFont="1"/>
    <xf borderId="48" fillId="6" fontId="17" numFmtId="0" xfId="0" applyAlignment="1" applyBorder="1" applyFont="1">
      <alignment horizontal="center" shrinkToFit="0" vertical="center" wrapText="1"/>
    </xf>
    <xf borderId="49" fillId="0" fontId="5" numFmtId="0" xfId="0" applyBorder="1" applyFont="1"/>
    <xf borderId="4" fillId="6" fontId="19" numFmtId="0" xfId="0" applyAlignment="1" applyBorder="1" applyFont="1">
      <alignment horizontal="center" shrinkToFit="0" vertical="center" wrapText="1"/>
    </xf>
    <xf borderId="50" fillId="0" fontId="5" numFmtId="0" xfId="0" applyBorder="1" applyFont="1"/>
    <xf borderId="51" fillId="0" fontId="5" numFmtId="0" xfId="0" applyBorder="1" applyFont="1"/>
    <xf borderId="25" fillId="0" fontId="14" numFmtId="164" xfId="0" applyBorder="1" applyFont="1" applyNumberFormat="1"/>
    <xf borderId="26" fillId="0" fontId="14" numFmtId="37" xfId="0" applyAlignment="1" applyBorder="1" applyFont="1" applyNumberFormat="1">
      <alignment vertical="center"/>
    </xf>
    <xf borderId="0" fillId="0" fontId="14" numFmtId="3" xfId="0" applyAlignment="1" applyFont="1" applyNumberFormat="1">
      <alignment horizontal="right" vertical="center"/>
    </xf>
    <xf borderId="52" fillId="0" fontId="14" numFmtId="164" xfId="0" applyBorder="1" applyFont="1" applyNumberFormat="1"/>
    <xf borderId="53" fillId="0" fontId="14" numFmtId="37" xfId="0" applyAlignment="1" applyBorder="1" applyFont="1" applyNumberFormat="1">
      <alignment vertical="center"/>
    </xf>
    <xf borderId="52" fillId="0" fontId="14" numFmtId="0" xfId="0" applyBorder="1" applyFont="1"/>
    <xf borderId="54" fillId="12" fontId="21" numFmtId="37" xfId="0" applyAlignment="1" applyBorder="1" applyFont="1" applyNumberFormat="1">
      <alignment vertical="center"/>
    </xf>
    <xf borderId="0" fillId="0" fontId="14" numFmtId="37" xfId="0" applyAlignment="1" applyFont="1" applyNumberFormat="1">
      <alignment vertical="center"/>
    </xf>
    <xf borderId="55" fillId="0" fontId="14" numFmtId="0" xfId="0" applyBorder="1" applyFont="1"/>
    <xf borderId="54" fillId="12" fontId="21" numFmtId="9" xfId="0" applyAlignment="1" applyBorder="1" applyFont="1" applyNumberFormat="1">
      <alignment vertical="center"/>
    </xf>
    <xf borderId="0" fillId="0" fontId="14" numFmtId="3" xfId="0" applyAlignment="1" applyFont="1" applyNumberFormat="1">
      <alignment horizontal="center" vertical="center"/>
    </xf>
    <xf borderId="56" fillId="0" fontId="14" numFmtId="0" xfId="0" applyBorder="1" applyFont="1"/>
    <xf borderId="57" fillId="0" fontId="14" numFmtId="9" xfId="0" applyBorder="1" applyFont="1" applyNumberFormat="1"/>
    <xf borderId="27" fillId="6" fontId="11" numFmtId="0" xfId="0" applyAlignment="1" applyBorder="1" applyFont="1">
      <alignment horizontal="center"/>
    </xf>
    <xf borderId="58" fillId="0" fontId="14" numFmtId="0" xfId="0" applyBorder="1" applyFont="1"/>
    <xf borderId="59" fillId="0" fontId="14" numFmtId="9" xfId="0" applyBorder="1" applyFont="1" applyNumberFormat="1"/>
    <xf borderId="9" fillId="8" fontId="11" numFmtId="0" xfId="0" applyAlignment="1" applyBorder="1" applyFont="1">
      <alignment horizontal="center" vertical="center"/>
    </xf>
    <xf borderId="27" fillId="8" fontId="11" numFmtId="0" xfId="0" applyAlignment="1" applyBorder="1" applyFont="1">
      <alignment horizontal="center"/>
    </xf>
    <xf borderId="29" fillId="8" fontId="11" numFmtId="0" xfId="0" applyAlignment="1" applyBorder="1" applyFont="1">
      <alignment horizontal="center"/>
    </xf>
    <xf borderId="39" fillId="0" fontId="14" numFmtId="0" xfId="0" applyAlignment="1" applyBorder="1" applyFont="1">
      <alignment horizontal="center" vertical="center"/>
    </xf>
    <xf borderId="0" fillId="0" fontId="14" numFmtId="37" xfId="0" applyAlignment="1" applyFont="1" applyNumberFormat="1">
      <alignment horizontal="center" vertical="center"/>
    </xf>
    <xf borderId="40" fillId="0" fontId="14" numFmtId="39" xfId="0" applyAlignment="1" applyBorder="1" applyFont="1" applyNumberFormat="1">
      <alignment horizontal="center" vertical="center"/>
    </xf>
    <xf borderId="60" fillId="0" fontId="14" numFmtId="0" xfId="0" applyAlignment="1" applyBorder="1" applyFont="1">
      <alignment horizontal="center"/>
    </xf>
    <xf borderId="61" fillId="0" fontId="5" numFmtId="0" xfId="0" applyBorder="1" applyFont="1"/>
    <xf borderId="61" fillId="0" fontId="14" numFmtId="2" xfId="0" applyAlignment="1" applyBorder="1" applyFont="1" applyNumberFormat="1">
      <alignment horizontal="center"/>
    </xf>
    <xf borderId="62" fillId="0" fontId="5" numFmtId="0" xfId="0" applyBorder="1" applyFont="1"/>
    <xf borderId="63" fillId="0" fontId="14" numFmtId="0" xfId="0" applyBorder="1" applyFont="1"/>
    <xf borderId="64" fillId="0" fontId="14" numFmtId="9" xfId="0" applyBorder="1" applyFont="1" applyNumberFormat="1"/>
    <xf borderId="43" fillId="0" fontId="14" numFmtId="0" xfId="0" applyAlignment="1" applyBorder="1" applyFont="1">
      <alignment horizontal="center"/>
    </xf>
    <xf borderId="44" fillId="0" fontId="5" numFmtId="0" xfId="0" applyBorder="1" applyFont="1"/>
    <xf borderId="44" fillId="0" fontId="14" numFmtId="2" xfId="0" applyAlignment="1" applyBorder="1" applyFont="1" applyNumberFormat="1">
      <alignment horizontal="center"/>
    </xf>
    <xf borderId="45" fillId="0" fontId="5" numFmtId="0" xfId="0" applyBorder="1" applyFont="1"/>
    <xf borderId="43" fillId="0" fontId="14" numFmtId="0" xfId="0" applyAlignment="1" applyBorder="1" applyFont="1">
      <alignment horizontal="center" vertical="center"/>
    </xf>
    <xf borderId="44" fillId="0" fontId="14" numFmtId="3" xfId="0" applyAlignment="1" applyBorder="1" applyFont="1" applyNumberFormat="1">
      <alignment horizontal="center" vertical="center"/>
    </xf>
    <xf borderId="44" fillId="0" fontId="14" numFmtId="37" xfId="0" applyAlignment="1" applyBorder="1" applyFont="1" applyNumberFormat="1">
      <alignment horizontal="center" vertical="center"/>
    </xf>
    <xf borderId="45" fillId="0" fontId="14" numFmtId="39" xfId="0" applyAlignment="1" applyBorder="1" applyFont="1" applyNumberFormat="1">
      <alignment horizontal="center" vertical="center"/>
    </xf>
    <xf borderId="17" fillId="13" fontId="11" numFmtId="0" xfId="0" applyBorder="1" applyFont="1"/>
    <xf borderId="19" fillId="13" fontId="14" numFmtId="0" xfId="0" applyBorder="1" applyFont="1"/>
    <xf borderId="0" fillId="0" fontId="22" numFmtId="169" xfId="0" applyAlignment="1" applyFont="1" applyNumberFormat="1">
      <alignment horizontal="center"/>
    </xf>
    <xf borderId="45" fillId="0" fontId="14" numFmtId="9" xfId="0" applyBorder="1" applyFont="1" applyNumberFormat="1"/>
    <xf borderId="14" fillId="14" fontId="21" numFmtId="0" xfId="0" applyBorder="1" applyFill="1" applyFont="1"/>
    <xf borderId="14" fillId="14" fontId="21" numFmtId="37" xfId="0" applyAlignment="1" applyBorder="1" applyFont="1" applyNumberFormat="1">
      <alignment horizontal="center" vertical="center"/>
    </xf>
    <xf borderId="0" fillId="0" fontId="22" numFmtId="9" xfId="0" applyAlignment="1" applyFont="1" applyNumberFormat="1">
      <alignment horizontal="center"/>
    </xf>
    <xf borderId="27" fillId="8" fontId="20" numFmtId="0" xfId="0" applyAlignment="1" applyBorder="1" applyFont="1">
      <alignment horizontal="center"/>
    </xf>
    <xf borderId="1" fillId="6" fontId="11" numFmtId="0" xfId="0" applyAlignment="1" applyBorder="1" applyFont="1">
      <alignment horizontal="center"/>
    </xf>
    <xf borderId="65" fillId="0" fontId="21" numFmtId="0" xfId="0" applyAlignment="1" applyBorder="1" applyFont="1">
      <alignment horizontal="right" vertical="center"/>
    </xf>
    <xf borderId="66" fillId="0" fontId="21" numFmtId="0" xfId="0" applyBorder="1" applyFont="1"/>
    <xf borderId="67" fillId="0" fontId="21" numFmtId="0" xfId="0" applyBorder="1" applyFont="1"/>
    <xf borderId="55" fillId="0" fontId="14" numFmtId="9" xfId="0" applyBorder="1" applyFont="1" applyNumberFormat="1"/>
    <xf borderId="68" fillId="0" fontId="14" numFmtId="9" xfId="0" applyBorder="1" applyFont="1" applyNumberFormat="1"/>
    <xf borderId="69" fillId="0" fontId="14" numFmtId="9" xfId="0" applyBorder="1" applyFont="1" applyNumberFormat="1"/>
    <xf borderId="12" fillId="0" fontId="3" numFmtId="0" xfId="0" applyBorder="1" applyFont="1"/>
    <xf borderId="12" fillId="0" fontId="14" numFmtId="9" xfId="0" applyAlignment="1" applyBorder="1" applyFont="1" applyNumberFormat="1">
      <alignment horizontal="center"/>
    </xf>
    <xf borderId="1" fillId="15" fontId="21" numFmtId="0" xfId="0" applyAlignment="1" applyBorder="1" applyFill="1" applyFont="1">
      <alignment horizontal="center"/>
    </xf>
    <xf borderId="13" fillId="10" fontId="21" numFmtId="3" xfId="0" applyAlignment="1" applyBorder="1" applyFont="1" applyNumberFormat="1">
      <alignment horizontal="center" vertical="center"/>
    </xf>
    <xf borderId="0" fillId="0" fontId="14" numFmtId="0" xfId="0" applyAlignment="1" applyFont="1">
      <alignment horizontal="center"/>
    </xf>
    <xf borderId="4" fillId="15" fontId="36" numFmtId="0" xfId="0" applyBorder="1" applyFont="1"/>
    <xf borderId="4" fillId="15" fontId="37" numFmtId="0" xfId="0" applyBorder="1" applyFont="1"/>
    <xf borderId="4" fillId="5" fontId="37" numFmtId="0" xfId="0" applyBorder="1" applyFont="1"/>
    <xf borderId="70" fillId="0" fontId="14" numFmtId="9" xfId="0" applyBorder="1" applyFont="1" applyNumberFormat="1"/>
    <xf borderId="71" fillId="0" fontId="14" numFmtId="9" xfId="0" applyBorder="1" applyFont="1" applyNumberFormat="1"/>
    <xf borderId="72" fillId="0" fontId="14" numFmtId="9" xfId="0" applyBorder="1" applyFont="1" applyNumberFormat="1"/>
    <xf borderId="13" fillId="14" fontId="21" numFmtId="0" xfId="0" applyBorder="1" applyFont="1"/>
    <xf borderId="13" fillId="14" fontId="14" numFmtId="0" xfId="0" applyBorder="1" applyFont="1"/>
    <xf borderId="13" fillId="14" fontId="21" numFmtId="9" xfId="0" applyAlignment="1" applyBorder="1" applyFont="1" applyNumberFormat="1">
      <alignment horizontal="center"/>
    </xf>
    <xf borderId="0" fillId="0" fontId="14" numFmtId="0" xfId="0" applyAlignment="1" applyFont="1">
      <alignment horizontal="right" vertical="center"/>
    </xf>
    <xf borderId="70" fillId="0" fontId="14" numFmtId="169" xfId="0" applyBorder="1" applyFont="1" applyNumberFormat="1"/>
    <xf borderId="71" fillId="0" fontId="14" numFmtId="169" xfId="0" applyBorder="1" applyFont="1" applyNumberFormat="1"/>
    <xf borderId="72" fillId="0" fontId="14" numFmtId="169" xfId="0" applyBorder="1" applyFont="1" applyNumberFormat="1"/>
    <xf borderId="0" fillId="0" fontId="14" numFmtId="169" xfId="0" applyAlignment="1" applyFont="1" applyNumberFormat="1">
      <alignment horizontal="center"/>
    </xf>
    <xf borderId="73" fillId="6" fontId="11" numFmtId="0" xfId="0" applyAlignment="1" applyBorder="1" applyFont="1">
      <alignment horizontal="center"/>
    </xf>
    <xf borderId="74" fillId="0" fontId="5" numFmtId="0" xfId="0" applyBorder="1" applyFont="1"/>
    <xf borderId="10" fillId="6" fontId="14" numFmtId="0" xfId="0" applyBorder="1" applyFont="1"/>
    <xf borderId="29" fillId="6" fontId="11" numFmtId="0" xfId="0" applyAlignment="1" applyBorder="1" applyFont="1">
      <alignment horizontal="center"/>
    </xf>
    <xf borderId="4" fillId="5" fontId="11" numFmtId="0" xfId="0" applyAlignment="1" applyBorder="1" applyFont="1">
      <alignment horizontal="center"/>
    </xf>
    <xf borderId="13" fillId="10" fontId="21" numFmtId="9" xfId="0" applyAlignment="1" applyBorder="1" applyFont="1" applyNumberFormat="1">
      <alignment horizontal="center"/>
    </xf>
    <xf borderId="4" fillId="5" fontId="36" numFmtId="0" xfId="0" applyAlignment="1" applyBorder="1" applyFont="1">
      <alignment horizontal="center"/>
    </xf>
    <xf borderId="4" fillId="5" fontId="22" numFmtId="9" xfId="0" applyAlignment="1" applyBorder="1" applyFont="1" applyNumberFormat="1">
      <alignment horizontal="center"/>
    </xf>
    <xf borderId="5" fillId="5" fontId="11" numFmtId="0" xfId="0" applyAlignment="1" applyBorder="1" applyFont="1">
      <alignment horizontal="center"/>
    </xf>
    <xf borderId="4" fillId="5" fontId="36" numFmtId="0" xfId="0" applyBorder="1" applyFont="1"/>
    <xf borderId="75" fillId="0" fontId="5" numFmtId="0" xfId="0" applyBorder="1" applyFont="1"/>
    <xf borderId="76" fillId="0" fontId="5" numFmtId="0" xfId="0" applyBorder="1" applyFont="1"/>
    <xf borderId="4" fillId="5" fontId="14" numFmtId="9" xfId="0" applyAlignment="1" applyBorder="1" applyFont="1" applyNumberFormat="1">
      <alignment horizontal="center"/>
    </xf>
    <xf borderId="4" fillId="5" fontId="21" numFmtId="0" xfId="0" applyAlignment="1" applyBorder="1" applyFont="1">
      <alignment horizontal="center"/>
    </xf>
    <xf borderId="70" fillId="0" fontId="14" numFmtId="2" xfId="0" applyBorder="1" applyFont="1" applyNumberFormat="1"/>
    <xf borderId="71" fillId="0" fontId="14" numFmtId="2" xfId="0" applyBorder="1" applyFont="1" applyNumberFormat="1"/>
    <xf borderId="72" fillId="0" fontId="14" numFmtId="2" xfId="0" applyBorder="1" applyFont="1" applyNumberFormat="1"/>
    <xf borderId="13" fillId="10" fontId="21" numFmtId="2" xfId="0" applyBorder="1" applyFont="1" applyNumberFormat="1"/>
    <xf borderId="13" fillId="10" fontId="21" numFmtId="2" xfId="0" applyAlignment="1" applyBorder="1" applyFont="1" applyNumberFormat="1">
      <alignment horizontal="center"/>
    </xf>
    <xf borderId="77" fillId="8" fontId="11" numFmtId="0" xfId="0" applyBorder="1" applyFont="1"/>
    <xf borderId="19" fillId="8" fontId="21" numFmtId="0" xfId="0" applyBorder="1" applyFont="1"/>
    <xf borderId="17" fillId="8" fontId="11" numFmtId="0" xfId="0" applyAlignment="1" applyBorder="1" applyFont="1">
      <alignment horizontal="center"/>
    </xf>
    <xf borderId="18" fillId="8" fontId="11" numFmtId="0" xfId="0" applyAlignment="1" applyBorder="1" applyFont="1">
      <alignment horizontal="center"/>
    </xf>
    <xf borderId="19" fillId="8" fontId="11" numFmtId="0" xfId="0" applyAlignment="1" applyBorder="1" applyFont="1">
      <alignment horizontal="center"/>
    </xf>
    <xf borderId="20" fillId="5" fontId="37" numFmtId="0" xfId="0" applyAlignment="1" applyBorder="1" applyFont="1">
      <alignment vertical="top"/>
    </xf>
    <xf borderId="78" fillId="12" fontId="21" numFmtId="9" xfId="0" applyBorder="1" applyFont="1" applyNumberFormat="1"/>
    <xf borderId="39" fillId="0" fontId="14" numFmtId="9" xfId="0" applyAlignment="1" applyBorder="1" applyFont="1" applyNumberFormat="1">
      <alignment horizontal="center"/>
    </xf>
    <xf borderId="40" fillId="0" fontId="14" numFmtId="9" xfId="0" applyAlignment="1" applyBorder="1" applyFont="1" applyNumberFormat="1">
      <alignment horizontal="center"/>
    </xf>
    <xf borderId="79" fillId="12" fontId="21" numFmtId="9" xfId="0" applyBorder="1" applyFont="1" applyNumberFormat="1"/>
    <xf borderId="0" fillId="0" fontId="22" numFmtId="3" xfId="0" applyAlignment="1" applyFont="1" applyNumberFormat="1">
      <alignment horizontal="center" vertical="center"/>
    </xf>
    <xf borderId="80" fillId="12" fontId="21" numFmtId="9" xfId="0" applyBorder="1" applyFont="1" applyNumberFormat="1"/>
    <xf borderId="25" fillId="0" fontId="14" numFmtId="9" xfId="0" applyBorder="1" applyFont="1" applyNumberFormat="1"/>
    <xf borderId="81" fillId="0" fontId="14" numFmtId="9" xfId="0" applyBorder="1" applyFont="1" applyNumberFormat="1"/>
    <xf borderId="26" fillId="0" fontId="14" numFmtId="9" xfId="0" applyBorder="1" applyFont="1" applyNumberFormat="1"/>
    <xf borderId="82" fillId="0" fontId="14" numFmtId="0" xfId="0" applyBorder="1" applyFont="1"/>
    <xf borderId="24" fillId="10" fontId="21" numFmtId="9" xfId="0" applyBorder="1" applyFont="1" applyNumberFormat="1"/>
    <xf borderId="43" fillId="0" fontId="14" numFmtId="9" xfId="0" applyAlignment="1" applyBorder="1" applyFont="1" applyNumberFormat="1">
      <alignment horizontal="center"/>
    </xf>
    <xf borderId="44" fillId="0" fontId="14" numFmtId="9" xfId="0" applyAlignment="1" applyBorder="1" applyFont="1" applyNumberFormat="1">
      <alignment horizontal="center"/>
    </xf>
    <xf borderId="45" fillId="0" fontId="14" numFmtId="9" xfId="0" applyAlignment="1" applyBorder="1" applyFont="1" applyNumberFormat="1">
      <alignment horizontal="center"/>
    </xf>
    <xf borderId="55" fillId="0" fontId="14" numFmtId="169" xfId="0" applyBorder="1" applyFont="1" applyNumberFormat="1"/>
    <xf borderId="68" fillId="0" fontId="14" numFmtId="169" xfId="0" applyBorder="1" applyFont="1" applyNumberFormat="1"/>
    <xf borderId="69" fillId="0" fontId="14" numFmtId="169" xfId="0" applyBorder="1" applyFont="1" applyNumberFormat="1"/>
    <xf borderId="13" fillId="10" fontId="21" numFmtId="169" xfId="0" applyAlignment="1" applyBorder="1" applyFont="1" applyNumberFormat="1">
      <alignment horizontal="center"/>
    </xf>
    <xf borderId="0" fillId="0" fontId="14" numFmtId="0" xfId="0" applyAlignment="1" applyFont="1">
      <alignment horizontal="left"/>
    </xf>
    <xf borderId="0" fillId="0" fontId="14" numFmtId="1" xfId="0" applyAlignment="1" applyFont="1" applyNumberFormat="1">
      <alignment horizontal="center" vertical="center"/>
    </xf>
    <xf borderId="17" fillId="8" fontId="11" numFmtId="0" xfId="0" applyBorder="1" applyFont="1"/>
    <xf borderId="19" fillId="8" fontId="11" numFmtId="0" xfId="0" applyBorder="1" applyFont="1"/>
    <xf borderId="83" fillId="12" fontId="21" numFmtId="0" xfId="0" applyBorder="1" applyFont="1"/>
    <xf borderId="39" fillId="0" fontId="14" numFmtId="169" xfId="0" applyAlignment="1" applyBorder="1" applyFont="1" applyNumberFormat="1">
      <alignment horizontal="center"/>
    </xf>
    <xf borderId="40" fillId="0" fontId="14" numFmtId="169" xfId="0" applyAlignment="1" applyBorder="1" applyFont="1" applyNumberFormat="1">
      <alignment horizontal="center"/>
    </xf>
    <xf borderId="40" fillId="0" fontId="21" numFmtId="2" xfId="0" applyBorder="1" applyFont="1" applyNumberFormat="1"/>
    <xf borderId="66" fillId="0" fontId="14" numFmtId="0" xfId="0" applyBorder="1" applyFont="1"/>
    <xf borderId="66" fillId="0" fontId="14" numFmtId="1" xfId="0" applyAlignment="1" applyBorder="1" applyFont="1" applyNumberFormat="1">
      <alignment horizontal="center" vertical="center"/>
    </xf>
    <xf borderId="39" fillId="0" fontId="22" numFmtId="0" xfId="0" applyAlignment="1" applyBorder="1" applyFont="1">
      <alignment horizontal="right"/>
    </xf>
    <xf borderId="78" fillId="12" fontId="21" numFmtId="0" xfId="0" applyBorder="1" applyFont="1"/>
    <xf borderId="39" fillId="0" fontId="14" numFmtId="1" xfId="0" applyAlignment="1" applyBorder="1" applyFont="1" applyNumberFormat="1">
      <alignment horizontal="center"/>
    </xf>
    <xf borderId="0" fillId="0" fontId="14" numFmtId="1" xfId="0" applyAlignment="1" applyFont="1" applyNumberFormat="1">
      <alignment horizontal="center"/>
    </xf>
    <xf borderId="40" fillId="0" fontId="14" numFmtId="1" xfId="0" applyAlignment="1" applyBorder="1" applyFont="1" applyNumberFormat="1">
      <alignment horizontal="center"/>
    </xf>
    <xf borderId="79" fillId="12" fontId="21" numFmtId="0" xfId="0" applyBorder="1" applyFont="1"/>
    <xf borderId="80" fillId="12" fontId="21" numFmtId="0" xfId="0" applyBorder="1" applyFont="1"/>
    <xf borderId="0" fillId="0" fontId="22" numFmtId="0" xfId="0" applyAlignment="1" applyFont="1">
      <alignment horizontal="left" vertical="center"/>
    </xf>
    <xf borderId="0" fillId="0" fontId="22" numFmtId="0" xfId="0" applyAlignment="1" applyFont="1">
      <alignment horizontal="center" vertical="center"/>
    </xf>
    <xf borderId="40" fillId="0" fontId="21" numFmtId="0" xfId="0" applyBorder="1" applyFont="1"/>
    <xf borderId="0" fillId="0" fontId="14" numFmtId="9" xfId="0" applyAlignment="1" applyFont="1" applyNumberFormat="1">
      <alignment horizontal="center" vertical="center"/>
    </xf>
    <xf borderId="84" fillId="10" fontId="21" numFmtId="2" xfId="0" applyBorder="1" applyFont="1" applyNumberFormat="1"/>
    <xf borderId="43" fillId="0" fontId="14" numFmtId="2" xfId="0" applyAlignment="1" applyBorder="1" applyFont="1" applyNumberFormat="1">
      <alignment horizontal="center"/>
    </xf>
    <xf borderId="45" fillId="0" fontId="14" numFmtId="2" xfId="0" applyAlignment="1" applyBorder="1" applyFont="1" applyNumberFormat="1">
      <alignment horizontal="center"/>
    </xf>
    <xf borderId="13" fillId="10" fontId="21" numFmtId="169" xfId="0" applyAlignment="1" applyBorder="1" applyFont="1" applyNumberFormat="1">
      <alignment horizontal="center" vertical="center"/>
    </xf>
    <xf borderId="85" fillId="14" fontId="21" numFmtId="0" xfId="0" applyBorder="1" applyFont="1"/>
    <xf borderId="84" fillId="14" fontId="21" numFmtId="9" xfId="0" applyBorder="1" applyFont="1" applyNumberFormat="1"/>
    <xf borderId="83" fillId="12" fontId="21" numFmtId="9" xfId="0" applyBorder="1" applyFont="1" applyNumberFormat="1"/>
    <xf borderId="86" fillId="0" fontId="14" numFmtId="0" xfId="0" applyBorder="1" applyFont="1"/>
    <xf borderId="86" fillId="0" fontId="14" numFmtId="3" xfId="0" applyBorder="1" applyFont="1" applyNumberFormat="1"/>
    <xf borderId="0" fillId="0" fontId="22" numFmtId="3" xfId="0" applyFont="1" applyNumberFormat="1"/>
    <xf borderId="13" fillId="10" fontId="23" numFmtId="0" xfId="0" applyBorder="1" applyFont="1"/>
    <xf borderId="39" fillId="0" fontId="14" numFmtId="2" xfId="0" applyAlignment="1" applyBorder="1" applyFont="1" applyNumberFormat="1">
      <alignment horizontal="center"/>
    </xf>
    <xf borderId="0" fillId="0" fontId="14" numFmtId="2" xfId="0" applyAlignment="1" applyFont="1" applyNumberFormat="1">
      <alignment horizontal="center"/>
    </xf>
    <xf borderId="40" fillId="0" fontId="14" numFmtId="2" xfId="0" applyAlignment="1" applyBorder="1" applyFont="1" applyNumberFormat="1">
      <alignment horizontal="center"/>
    </xf>
    <xf borderId="4" fillId="15" fontId="14" numFmtId="0" xfId="0" applyBorder="1" applyFont="1"/>
    <xf borderId="4" fillId="5" fontId="22" numFmtId="2" xfId="0" applyAlignment="1" applyBorder="1" applyFont="1" applyNumberFormat="1">
      <alignment horizontal="center" vertical="center"/>
    </xf>
    <xf borderId="44" fillId="0" fontId="14" numFmtId="0" xfId="0" applyBorder="1" applyFont="1"/>
    <xf borderId="87" fillId="14" fontId="21" numFmtId="9" xfId="0" applyBorder="1" applyFont="1" applyNumberFormat="1"/>
    <xf borderId="88" fillId="14" fontId="21" numFmtId="9" xfId="0" applyBorder="1" applyFont="1" applyNumberFormat="1"/>
    <xf borderId="89" fillId="14" fontId="21" numFmtId="9" xfId="0" applyBorder="1" applyFont="1" applyNumberFormat="1"/>
    <xf borderId="41" fillId="0" fontId="14" numFmtId="0" xfId="0" applyAlignment="1" applyBorder="1" applyFont="1">
      <alignment horizontal="center"/>
    </xf>
    <xf borderId="90" fillId="0" fontId="5" numFmtId="0" xfId="0" applyBorder="1" applyFont="1"/>
    <xf borderId="91" fillId="0" fontId="14" numFmtId="3" xfId="0" applyAlignment="1" applyBorder="1" applyFont="1" applyNumberFormat="1">
      <alignment horizontal="center" vertical="center"/>
    </xf>
    <xf borderId="42" fillId="0" fontId="5" numFmtId="0" xfId="0" applyBorder="1" applyFont="1"/>
    <xf borderId="92" fillId="0" fontId="14" numFmtId="0" xfId="0" applyAlignment="1" applyBorder="1" applyFont="1">
      <alignment horizontal="center" shrinkToFit="0" wrapText="1"/>
    </xf>
    <xf borderId="67" fillId="0" fontId="5" numFmtId="0" xfId="0" applyBorder="1" applyFont="1"/>
    <xf borderId="65" fillId="0" fontId="14" numFmtId="3" xfId="0" applyAlignment="1" applyBorder="1" applyFont="1" applyNumberFormat="1">
      <alignment horizontal="center" vertical="center"/>
    </xf>
    <xf borderId="93" fillId="0" fontId="5" numFmtId="0" xfId="0" applyBorder="1" applyFont="1"/>
    <xf borderId="92" fillId="14" fontId="21" numFmtId="0" xfId="0" applyAlignment="1" applyBorder="1" applyFont="1">
      <alignment horizontal="center"/>
    </xf>
    <xf borderId="65" fillId="14" fontId="21" numFmtId="9" xfId="0" applyAlignment="1" applyBorder="1" applyFont="1" applyNumberFormat="1">
      <alignment horizontal="center"/>
    </xf>
    <xf borderId="82" fillId="14" fontId="21" numFmtId="0" xfId="0" applyAlignment="1" applyBorder="1" applyFont="1">
      <alignment horizontal="center" shrinkToFit="0" vertical="center" wrapText="1"/>
    </xf>
    <xf borderId="94" fillId="0" fontId="5" numFmtId="0" xfId="0" applyBorder="1" applyFont="1"/>
    <xf borderId="95" fillId="14" fontId="21" numFmtId="9" xfId="0" applyAlignment="1" applyBorder="1" applyFont="1" applyNumberFormat="1">
      <alignment horizontal="center" vertical="center"/>
    </xf>
    <xf borderId="96" fillId="0" fontId="5" numFmtId="0" xfId="0" applyBorder="1" applyFont="1"/>
    <xf borderId="13" fillId="10" fontId="21" numFmtId="0" xfId="0" applyAlignment="1" applyBorder="1" applyFont="1">
      <alignment vertical="center"/>
    </xf>
    <xf borderId="13" fillId="10" fontId="14" numFmtId="0" xfId="0" applyAlignment="1" applyBorder="1" applyFont="1">
      <alignment vertical="center"/>
    </xf>
    <xf borderId="13" fillId="10" fontId="21" numFmtId="9" xfId="0" applyAlignment="1" applyBorder="1" applyFont="1" applyNumberFormat="1">
      <alignment horizontal="center" vertical="center"/>
    </xf>
    <xf borderId="0" fillId="0" fontId="36" numFmtId="0" xfId="0" applyFont="1"/>
    <xf borderId="0" fillId="0" fontId="36" numFmtId="9" xfId="0" applyAlignment="1" applyFont="1" applyNumberFormat="1">
      <alignment horizontal="center" vertical="center"/>
    </xf>
    <xf borderId="27" fillId="8" fontId="20" numFmtId="0" xfId="0" applyAlignment="1" applyBorder="1" applyFont="1">
      <alignment horizontal="center" vertical="center"/>
    </xf>
    <xf borderId="0" fillId="0" fontId="14" numFmtId="164" xfId="0" applyAlignment="1" applyFont="1" applyNumberFormat="1">
      <alignment horizontal="left"/>
    </xf>
    <xf borderId="9" fillId="8" fontId="19" numFmtId="0" xfId="0" applyAlignment="1" applyBorder="1" applyFont="1">
      <alignment horizontal="left" vertical="center"/>
    </xf>
    <xf borderId="12" fillId="0" fontId="14" numFmtId="0" xfId="0" applyAlignment="1" applyBorder="1" applyFont="1">
      <alignment horizontal="left"/>
    </xf>
    <xf borderId="12" fillId="0" fontId="14" numFmtId="169" xfId="0" applyAlignment="1" applyBorder="1" applyFont="1" applyNumberFormat="1">
      <alignment horizontal="right"/>
    </xf>
    <xf borderId="13" fillId="10" fontId="21" numFmtId="0" xfId="0" applyAlignment="1" applyBorder="1" applyFont="1">
      <alignment horizontal="left"/>
    </xf>
    <xf borderId="0" fillId="0" fontId="22" numFmtId="0" xfId="0" applyAlignment="1" applyFont="1">
      <alignment horizontal="left"/>
    </xf>
    <xf borderId="0" fillId="0" fontId="22" numFmtId="0" xfId="0" applyAlignment="1" applyFont="1">
      <alignment horizontal="right"/>
    </xf>
    <xf borderId="13" fillId="10" fontId="21" numFmtId="9" xfId="0" applyAlignment="1" applyBorder="1" applyFont="1" applyNumberFormat="1">
      <alignment horizontal="right" vertical="center"/>
    </xf>
    <xf borderId="27" fillId="4" fontId="29" numFmtId="0" xfId="0" applyAlignment="1" applyBorder="1" applyFont="1">
      <alignment horizontal="center"/>
    </xf>
    <xf borderId="4" fillId="4" fontId="32" numFmtId="0" xfId="0" applyBorder="1" applyFont="1"/>
    <xf borderId="4" fillId="4" fontId="32" numFmtId="0" xfId="0" applyAlignment="1" applyBorder="1" applyFont="1">
      <alignment horizontal="right"/>
    </xf>
    <xf borderId="1" fillId="13" fontId="19" numFmtId="0" xfId="0" applyAlignment="1" applyBorder="1" applyFont="1">
      <alignment horizontal="left" shrinkToFit="0" vertical="center" wrapText="1"/>
    </xf>
    <xf borderId="4" fillId="5" fontId="16" numFmtId="0" xfId="0" applyAlignment="1" applyBorder="1" applyFont="1">
      <alignment vertical="center"/>
    </xf>
    <xf borderId="4" fillId="5" fontId="16" numFmtId="0" xfId="0" applyAlignment="1" applyBorder="1" applyFont="1">
      <alignment horizontal="center" vertical="center"/>
    </xf>
    <xf borderId="27" fillId="8" fontId="20" numFmtId="0" xfId="0" applyAlignment="1" applyBorder="1" applyFont="1">
      <alignment horizontal="center" shrinkToFit="0" wrapText="1"/>
    </xf>
    <xf borderId="10" fillId="8" fontId="20" numFmtId="0" xfId="0" applyAlignment="1" applyBorder="1" applyFont="1">
      <alignment vertical="center"/>
    </xf>
    <xf borderId="60" fillId="0" fontId="14" numFmtId="0" xfId="0" applyBorder="1" applyFont="1"/>
    <xf borderId="97" fillId="12" fontId="21" numFmtId="9" xfId="0" applyAlignment="1" applyBorder="1" applyFont="1" applyNumberFormat="1">
      <alignment horizontal="center" vertical="center"/>
    </xf>
    <xf borderId="98" fillId="0" fontId="14" numFmtId="0" xfId="0" applyBorder="1" applyFont="1"/>
    <xf borderId="61" fillId="0" fontId="14" numFmtId="3" xfId="0" applyAlignment="1" applyBorder="1" applyFont="1" applyNumberFormat="1">
      <alignment horizontal="center" vertical="center"/>
    </xf>
    <xf borderId="99" fillId="0" fontId="14" numFmtId="3" xfId="0" applyAlignment="1" applyBorder="1" applyFont="1" applyNumberFormat="1">
      <alignment horizontal="center" vertical="center"/>
    </xf>
    <xf borderId="79" fillId="12" fontId="21" numFmtId="9" xfId="0" applyAlignment="1" applyBorder="1" applyFont="1" applyNumberFormat="1">
      <alignment horizontal="center" vertical="center"/>
    </xf>
    <xf borderId="100" fillId="0" fontId="14" numFmtId="0" xfId="0" applyBorder="1" applyFont="1"/>
    <xf borderId="12" fillId="0" fontId="14" numFmtId="3" xfId="0" applyAlignment="1" applyBorder="1" applyFont="1" applyNumberFormat="1">
      <alignment horizontal="center" vertical="center"/>
    </xf>
    <xf borderId="101" fillId="0" fontId="14" numFmtId="3" xfId="0" applyAlignment="1" applyBorder="1" applyFont="1" applyNumberFormat="1">
      <alignment horizontal="center" vertical="center"/>
    </xf>
    <xf borderId="102" fillId="10" fontId="21" numFmtId="0" xfId="0" applyBorder="1" applyFont="1"/>
    <xf borderId="103" fillId="10" fontId="21" numFmtId="3" xfId="0" applyAlignment="1" applyBorder="1" applyFont="1" applyNumberFormat="1">
      <alignment horizontal="center" vertical="center"/>
    </xf>
    <xf borderId="104" fillId="10" fontId="21" numFmtId="3" xfId="0" applyAlignment="1" applyBorder="1" applyFont="1" applyNumberFormat="1">
      <alignment horizontal="center" vertical="center"/>
    </xf>
    <xf borderId="80" fillId="12" fontId="21" numFmtId="9" xfId="0" applyAlignment="1" applyBorder="1" applyFont="1" applyNumberFormat="1">
      <alignment horizontal="center" vertical="center"/>
    </xf>
    <xf borderId="105" fillId="5" fontId="21" numFmtId="0" xfId="0" applyBorder="1" applyFont="1"/>
    <xf borderId="23" fillId="5" fontId="21" numFmtId="3" xfId="0" applyAlignment="1" applyBorder="1" applyFont="1" applyNumberFormat="1">
      <alignment horizontal="center" vertical="center"/>
    </xf>
    <xf borderId="106" fillId="10" fontId="21" numFmtId="3" xfId="0" applyAlignment="1" applyBorder="1" applyFont="1" applyNumberFormat="1">
      <alignment horizontal="center" vertical="center"/>
    </xf>
    <xf borderId="45" fillId="0" fontId="23" numFmtId="3" xfId="0" applyAlignment="1" applyBorder="1" applyFont="1" applyNumberFormat="1">
      <alignment horizontal="center" vertical="center"/>
    </xf>
    <xf borderId="0" fillId="0" fontId="14" numFmtId="0" xfId="0" applyAlignment="1" applyFont="1">
      <alignment horizontal="center" vertical="center"/>
    </xf>
    <xf borderId="40" fillId="0" fontId="14" numFmtId="174" xfId="0" applyBorder="1" applyFont="1" applyNumberFormat="1"/>
    <xf borderId="62" fillId="0" fontId="14" numFmtId="3" xfId="0" applyAlignment="1" applyBorder="1" applyFont="1" applyNumberFormat="1">
      <alignment horizontal="center" vertical="center"/>
    </xf>
    <xf borderId="107" fillId="0" fontId="14" numFmtId="0" xfId="0" applyBorder="1" applyFont="1"/>
    <xf borderId="108" fillId="0" fontId="14" numFmtId="167" xfId="0" applyBorder="1" applyFont="1" applyNumberFormat="1"/>
    <xf borderId="40" fillId="0" fontId="14" numFmtId="3" xfId="0" applyAlignment="1" applyBorder="1" applyFont="1" applyNumberFormat="1">
      <alignment horizontal="center" vertical="center"/>
    </xf>
    <xf borderId="43" fillId="0" fontId="21" numFmtId="0" xfId="0" applyBorder="1" applyFont="1"/>
    <xf borderId="45" fillId="0" fontId="21" numFmtId="167" xfId="0" applyBorder="1" applyFont="1" applyNumberFormat="1"/>
    <xf borderId="45" fillId="0" fontId="14" numFmtId="3" xfId="0" applyAlignment="1" applyBorder="1" applyFont="1" applyNumberFormat="1">
      <alignment horizontal="center" vertical="center"/>
    </xf>
    <xf borderId="109" fillId="6" fontId="11" numFmtId="0" xfId="0" applyAlignment="1" applyBorder="1" applyFont="1">
      <alignment horizontal="center"/>
    </xf>
    <xf borderId="9" fillId="6" fontId="11" numFmtId="0" xfId="0" applyAlignment="1" applyBorder="1" applyFont="1">
      <alignment horizontal="center" vertical="center"/>
    </xf>
    <xf borderId="11" fillId="6" fontId="11" numFmtId="0" xfId="0" applyAlignment="1" applyBorder="1" applyFont="1">
      <alignment horizontal="center" vertical="center"/>
    </xf>
    <xf borderId="110" fillId="6" fontId="11" numFmtId="0" xfId="0" applyAlignment="1" applyBorder="1" applyFont="1">
      <alignment horizontal="center" vertical="center"/>
    </xf>
    <xf borderId="60" fillId="0" fontId="14" numFmtId="3" xfId="0" applyAlignment="1" applyBorder="1" applyFont="1" applyNumberFormat="1">
      <alignment horizontal="center" vertical="center"/>
    </xf>
    <xf borderId="0" fillId="0" fontId="14" numFmtId="3" xfId="0" applyAlignment="1" applyFont="1" applyNumberFormat="1">
      <alignment vertical="center"/>
    </xf>
    <xf borderId="111" fillId="6" fontId="11" numFmtId="0" xfId="0" applyAlignment="1" applyBorder="1" applyFont="1">
      <alignment horizontal="center" vertical="center"/>
    </xf>
    <xf borderId="43" fillId="0" fontId="14" numFmtId="3" xfId="0" applyAlignment="1" applyBorder="1" applyFont="1" applyNumberFormat="1">
      <alignment horizontal="center" vertical="center"/>
    </xf>
    <xf borderId="60" fillId="0" fontId="14" numFmtId="164" xfId="0" applyBorder="1" applyFont="1" applyNumberFormat="1"/>
    <xf borderId="42" fillId="0" fontId="14" numFmtId="3" xfId="0" applyAlignment="1" applyBorder="1" applyFont="1" applyNumberFormat="1">
      <alignment horizontal="center" vertical="center"/>
    </xf>
    <xf borderId="45" fillId="0" fontId="21" numFmtId="3" xfId="0" applyAlignment="1" applyBorder="1" applyFont="1" applyNumberFormat="1">
      <alignment vertical="center"/>
    </xf>
    <xf borderId="9" fillId="8" fontId="21" numFmtId="0" xfId="0" applyAlignment="1" applyBorder="1" applyFont="1">
      <alignment horizontal="center" vertical="center"/>
    </xf>
    <xf borderId="31" fillId="0" fontId="21" numFmtId="9" xfId="0" applyAlignment="1" applyBorder="1" applyFont="1" applyNumberFormat="1">
      <alignment horizontal="center"/>
    </xf>
    <xf borderId="10" fillId="8" fontId="14" numFmtId="0" xfId="0" applyAlignment="1" applyBorder="1" applyFont="1">
      <alignment horizontal="center" vertical="center"/>
    </xf>
    <xf borderId="10" fillId="8" fontId="20" numFmtId="0" xfId="0" applyAlignment="1" applyBorder="1" applyFont="1">
      <alignment horizontal="center" vertical="center"/>
    </xf>
    <xf borderId="11" fillId="8" fontId="20" numFmtId="0" xfId="0" applyAlignment="1" applyBorder="1" applyFont="1">
      <alignment horizontal="center" vertical="center"/>
    </xf>
    <xf borderId="112" fillId="0" fontId="14" numFmtId="0" xfId="0" applyBorder="1" applyFont="1"/>
    <xf borderId="61" fillId="0" fontId="14" numFmtId="37" xfId="0" applyAlignment="1" applyBorder="1" applyFont="1" applyNumberFormat="1">
      <alignment horizontal="center" vertical="center"/>
    </xf>
    <xf borderId="113" fillId="0" fontId="14" numFmtId="9" xfId="0" applyAlignment="1" applyBorder="1" applyFont="1" applyNumberFormat="1">
      <alignment horizontal="center"/>
    </xf>
    <xf borderId="61" fillId="0" fontId="14" numFmtId="9" xfId="0" applyAlignment="1" applyBorder="1" applyFont="1" applyNumberFormat="1">
      <alignment horizontal="center"/>
    </xf>
    <xf borderId="62" fillId="0" fontId="14" numFmtId="9" xfId="0" applyAlignment="1" applyBorder="1" applyFont="1" applyNumberFormat="1">
      <alignment horizontal="center"/>
    </xf>
    <xf borderId="114" fillId="0" fontId="14" numFmtId="9" xfId="0" applyBorder="1" applyFont="1" applyNumberFormat="1"/>
    <xf borderId="115" fillId="0" fontId="14" numFmtId="0" xfId="0" applyAlignment="1" applyBorder="1" applyFont="1">
      <alignment horizontal="center"/>
    </xf>
    <xf borderId="40" fillId="0" fontId="14" numFmtId="0" xfId="0" applyAlignment="1" applyBorder="1" applyFont="1">
      <alignment horizontal="center"/>
    </xf>
    <xf borderId="116" fillId="0" fontId="14" numFmtId="0" xfId="0" applyBorder="1" applyFont="1"/>
    <xf borderId="44" fillId="0" fontId="14" numFmtId="9" xfId="0" applyAlignment="1" applyBorder="1" applyFont="1" applyNumberFormat="1">
      <alignment horizontal="center" vertical="center"/>
    </xf>
    <xf borderId="117" fillId="0" fontId="14" numFmtId="0" xfId="0" applyAlignment="1" applyBorder="1" applyFont="1">
      <alignment horizontal="center"/>
    </xf>
    <xf borderId="44" fillId="0" fontId="14" numFmtId="0" xfId="0" applyAlignment="1" applyBorder="1" applyFont="1">
      <alignment horizontal="center"/>
    </xf>
    <xf borderId="45" fillId="0" fontId="14" numFmtId="0" xfId="0" applyAlignment="1" applyBorder="1" applyFont="1">
      <alignment horizontal="center"/>
    </xf>
    <xf borderId="40" fillId="0" fontId="14" numFmtId="169" xfId="0" applyAlignment="1" applyBorder="1" applyFont="1" applyNumberFormat="1">
      <alignment horizontal="center" vertical="center"/>
    </xf>
    <xf borderId="83" fillId="12" fontId="21" numFmtId="1" xfId="0" applyAlignment="1" applyBorder="1" applyFont="1" applyNumberFormat="1">
      <alignment horizontal="center" vertical="center"/>
    </xf>
    <xf borderId="27" fillId="8" fontId="20" numFmtId="0" xfId="0" applyAlignment="1" applyBorder="1" applyFont="1">
      <alignment horizontal="center" shrinkToFit="0" vertical="center" wrapText="1"/>
    </xf>
    <xf borderId="61" fillId="0" fontId="14" numFmtId="37" xfId="0" applyAlignment="1" applyBorder="1" applyFont="1" applyNumberFormat="1">
      <alignment horizontal="center"/>
    </xf>
    <xf borderId="99" fillId="0" fontId="14" numFmtId="37" xfId="0" applyAlignment="1" applyBorder="1" applyFont="1" applyNumberFormat="1">
      <alignment horizontal="center"/>
    </xf>
    <xf borderId="0" fillId="0" fontId="14" numFmtId="37" xfId="0" applyAlignment="1" applyFont="1" applyNumberFormat="1">
      <alignment horizontal="center"/>
    </xf>
    <xf borderId="118" fillId="0" fontId="14" numFmtId="37" xfId="0" applyAlignment="1" applyBorder="1" applyFont="1" applyNumberFormat="1">
      <alignment horizontal="center"/>
    </xf>
    <xf borderId="80" fillId="12" fontId="21" numFmtId="1" xfId="0" applyAlignment="1" applyBorder="1" applyFont="1" applyNumberFormat="1">
      <alignment horizontal="center" vertical="center"/>
    </xf>
    <xf borderId="24" fillId="5" fontId="14" numFmtId="9" xfId="0" applyAlignment="1" applyBorder="1" applyFont="1" applyNumberFormat="1">
      <alignment horizontal="center" vertical="center"/>
    </xf>
    <xf borderId="85" fillId="10" fontId="21" numFmtId="0" xfId="0" applyBorder="1" applyFont="1"/>
    <xf borderId="14" fillId="10" fontId="21" numFmtId="37" xfId="0" applyAlignment="1" applyBorder="1" applyFont="1" applyNumberFormat="1">
      <alignment horizontal="center"/>
    </xf>
    <xf borderId="119" fillId="10" fontId="21" numFmtId="37" xfId="0" applyAlignment="1" applyBorder="1" applyFont="1" applyNumberFormat="1">
      <alignment horizontal="center"/>
    </xf>
    <xf borderId="39" fillId="0" fontId="22" numFmtId="0" xfId="0" applyBorder="1" applyFont="1"/>
    <xf borderId="0" fillId="0" fontId="22" numFmtId="37" xfId="0" applyAlignment="1" applyFont="1" applyNumberFormat="1">
      <alignment horizontal="center"/>
    </xf>
    <xf borderId="118" fillId="0" fontId="22" numFmtId="37" xfId="0" applyAlignment="1" applyBorder="1" applyFont="1" applyNumberFormat="1">
      <alignment horizontal="center"/>
    </xf>
    <xf borderId="60" fillId="0" fontId="14" numFmtId="3" xfId="0" applyBorder="1" applyFont="1" applyNumberFormat="1"/>
    <xf borderId="62" fillId="0" fontId="14" numFmtId="3" xfId="0" applyAlignment="1" applyBorder="1" applyFont="1" applyNumberFormat="1">
      <alignment horizontal="center"/>
    </xf>
    <xf borderId="39" fillId="0" fontId="14" numFmtId="3" xfId="0" applyBorder="1" applyFont="1" applyNumberFormat="1"/>
    <xf borderId="40" fillId="0" fontId="14" numFmtId="3" xfId="0" applyAlignment="1" applyBorder="1" applyFont="1" applyNumberFormat="1">
      <alignment horizontal="center"/>
    </xf>
    <xf borderId="27" fillId="0" fontId="14" numFmtId="0" xfId="0" applyBorder="1" applyFont="1"/>
    <xf borderId="30" fillId="0" fontId="14" numFmtId="0" xfId="0" applyBorder="1" applyFont="1"/>
    <xf borderId="120" fillId="10" fontId="21" numFmtId="37" xfId="0" applyAlignment="1" applyBorder="1" applyFont="1" applyNumberFormat="1">
      <alignment horizontal="center"/>
    </xf>
    <xf borderId="45" fillId="0" fontId="14" numFmtId="0" xfId="0" applyBorder="1" applyFont="1"/>
    <xf borderId="40" fillId="0" fontId="14" numFmtId="37" xfId="0" applyBorder="1" applyFont="1" applyNumberFormat="1"/>
    <xf borderId="42" fillId="0" fontId="14" numFmtId="37" xfId="0" applyBorder="1" applyFont="1" applyNumberFormat="1"/>
    <xf borderId="24" fillId="10" fontId="21" numFmtId="37" xfId="0" applyBorder="1" applyFont="1" applyNumberFormat="1"/>
    <xf borderId="54" fillId="12" fontId="21" numFmtId="9" xfId="0" applyAlignment="1" applyBorder="1" applyFont="1" applyNumberFormat="1">
      <alignment horizontal="center" vertical="center"/>
    </xf>
    <xf borderId="73" fillId="4" fontId="11" numFmtId="0" xfId="0" applyAlignment="1" applyBorder="1" applyFont="1">
      <alignment horizontal="center"/>
    </xf>
    <xf borderId="40" fillId="0" fontId="14" numFmtId="172" xfId="0" applyBorder="1" applyFont="1" applyNumberFormat="1"/>
    <xf borderId="0" fillId="0" fontId="14" numFmtId="4" xfId="0" applyFont="1" applyNumberFormat="1"/>
    <xf borderId="0" fillId="0" fontId="14" numFmtId="172" xfId="0" applyFont="1" applyNumberFormat="1"/>
    <xf borderId="0" fillId="0" fontId="21" numFmtId="0" xfId="0" applyAlignment="1" applyFont="1">
      <alignment horizontal="center"/>
    </xf>
    <xf borderId="14" fillId="10" fontId="21" numFmtId="169" xfId="0" applyBorder="1" applyFont="1" applyNumberFormat="1"/>
    <xf borderId="84" fillId="10" fontId="21" numFmtId="169" xfId="0" applyBorder="1" applyFont="1" applyNumberFormat="1"/>
    <xf borderId="0" fillId="0" fontId="22" numFmtId="169" xfId="0" applyFont="1" applyNumberFormat="1"/>
    <xf borderId="40" fillId="0" fontId="22" numFmtId="169" xfId="0" applyBorder="1" applyFont="1" applyNumberFormat="1"/>
    <xf borderId="40" fillId="0" fontId="14" numFmtId="169" xfId="0" applyBorder="1" applyFont="1" applyNumberFormat="1"/>
    <xf borderId="84" fillId="10" fontId="14" numFmtId="169" xfId="0" applyBorder="1" applyFont="1" applyNumberFormat="1"/>
    <xf borderId="14" fillId="10" fontId="21" numFmtId="2" xfId="0" applyBorder="1" applyFont="1" applyNumberFormat="1"/>
    <xf borderId="84" fillId="10" fontId="21" numFmtId="0" xfId="0" applyBorder="1" applyFont="1"/>
    <xf borderId="40" fillId="0" fontId="14" numFmtId="3" xfId="0" applyBorder="1" applyFont="1" applyNumberFormat="1"/>
    <xf borderId="0" fillId="0" fontId="22" numFmtId="2" xfId="0" applyFont="1" applyNumberFormat="1"/>
    <xf borderId="18" fillId="4" fontId="14" numFmtId="0" xfId="0" applyBorder="1" applyFont="1"/>
    <xf borderId="60" fillId="6" fontId="26" numFmtId="0" xfId="0" applyAlignment="1" applyBorder="1" applyFont="1">
      <alignment horizontal="center" shrinkToFit="0" vertical="center" wrapText="1"/>
    </xf>
    <xf borderId="121" fillId="0" fontId="5" numFmtId="0" xfId="0" applyBorder="1" applyFont="1"/>
    <xf borderId="4" fillId="6" fontId="16" numFmtId="0" xfId="0" applyAlignment="1" applyBorder="1" applyFont="1">
      <alignment horizontal="left" shrinkToFit="0" vertical="center" wrapText="1"/>
    </xf>
    <xf borderId="43" fillId="0" fontId="5" numFmtId="0" xfId="0" applyBorder="1" applyFont="1"/>
    <xf borderId="122" fillId="0" fontId="5" numFmtId="0" xfId="0" applyBorder="1" applyFont="1"/>
    <xf borderId="23" fillId="6" fontId="16" numFmtId="0" xfId="0" applyAlignment="1" applyBorder="1" applyFont="1">
      <alignment horizontal="left" vertical="center"/>
    </xf>
    <xf borderId="23" fillId="6" fontId="19" numFmtId="0" xfId="0" applyAlignment="1" applyBorder="1" applyFont="1">
      <alignment horizontal="center" vertical="center"/>
    </xf>
    <xf borderId="24" fillId="6" fontId="19" numFmtId="0" xfId="0" applyAlignment="1" applyBorder="1" applyFont="1">
      <alignment horizontal="center" vertical="center"/>
    </xf>
    <xf borderId="0" fillId="0" fontId="1" numFmtId="0" xfId="0" applyFont="1"/>
    <xf borderId="27" fillId="8" fontId="38" numFmtId="0" xfId="0" applyAlignment="1" applyBorder="1" applyFont="1">
      <alignment horizontal="center"/>
    </xf>
    <xf borderId="11" fillId="8" fontId="3" numFmtId="0" xfId="0" applyBorder="1" applyFont="1"/>
    <xf borderId="56" fillId="0" fontId="3" numFmtId="0" xfId="0" applyBorder="1" applyFont="1"/>
    <xf borderId="57" fillId="0" fontId="3" numFmtId="172" xfId="0" applyBorder="1" applyFont="1" applyNumberFormat="1"/>
    <xf borderId="39" fillId="0" fontId="3" numFmtId="0" xfId="0" applyBorder="1" applyFont="1"/>
    <xf borderId="0" fillId="0" fontId="3" numFmtId="3" xfId="0" applyFont="1" applyNumberFormat="1"/>
    <xf borderId="0" fillId="0" fontId="3" numFmtId="167" xfId="0" applyFont="1" applyNumberFormat="1"/>
    <xf borderId="40" fillId="0" fontId="3" numFmtId="167" xfId="0" applyBorder="1" applyFont="1" applyNumberFormat="1"/>
    <xf borderId="58" fillId="0" fontId="3" numFmtId="0" xfId="0" applyBorder="1" applyFont="1"/>
    <xf borderId="59" fillId="0" fontId="3" numFmtId="4" xfId="0" applyBorder="1" applyFont="1" applyNumberFormat="1"/>
    <xf borderId="0" fillId="0" fontId="3" numFmtId="4" xfId="0" applyFont="1" applyNumberFormat="1"/>
    <xf borderId="40" fillId="0" fontId="3" numFmtId="164" xfId="0" applyBorder="1" applyFont="1" applyNumberFormat="1"/>
    <xf borderId="59" fillId="0" fontId="3" numFmtId="169" xfId="0" applyBorder="1" applyFont="1" applyNumberFormat="1"/>
    <xf borderId="43" fillId="0" fontId="3" numFmtId="0" xfId="0" applyBorder="1" applyFont="1"/>
    <xf borderId="44" fillId="0" fontId="3" numFmtId="169" xfId="0" applyBorder="1" applyFont="1" applyNumberFormat="1"/>
    <xf borderId="44" fillId="0" fontId="3" numFmtId="164" xfId="0" applyBorder="1" applyFont="1" applyNumberFormat="1"/>
    <xf borderId="45" fillId="0" fontId="3" numFmtId="164" xfId="0" applyBorder="1" applyFont="1" applyNumberFormat="1"/>
    <xf borderId="59" fillId="0" fontId="3" numFmtId="2" xfId="0" applyBorder="1" applyFont="1" applyNumberFormat="1"/>
    <xf borderId="9" fillId="6" fontId="4" numFmtId="0" xfId="0" applyBorder="1" applyFont="1"/>
    <xf borderId="10" fillId="6" fontId="4" numFmtId="0" xfId="0" applyBorder="1" applyFont="1"/>
    <xf borderId="11" fillId="6" fontId="4" numFmtId="0" xfId="0" applyBorder="1" applyFont="1"/>
    <xf borderId="0" fillId="0" fontId="3" numFmtId="175" xfId="0" applyFont="1" applyNumberFormat="1"/>
    <xf borderId="59" fillId="0" fontId="3" numFmtId="10" xfId="0" applyBorder="1" applyFont="1" applyNumberFormat="1"/>
    <xf borderId="60" fillId="0" fontId="3" numFmtId="0" xfId="0" applyBorder="1" applyFont="1"/>
    <xf borderId="40" fillId="0" fontId="3" numFmtId="0" xfId="0" applyBorder="1" applyFont="1"/>
    <xf borderId="63" fillId="0" fontId="3" numFmtId="0" xfId="0" applyBorder="1" applyFont="1"/>
    <xf borderId="54" fillId="12" fontId="1" numFmtId="9" xfId="0" applyBorder="1" applyFont="1" applyNumberFormat="1"/>
    <xf borderId="39" fillId="0" fontId="3" numFmtId="0" xfId="0" applyAlignment="1" applyBorder="1" applyFont="1">
      <alignment horizontal="left" shrinkToFit="0" vertical="center" wrapText="1"/>
    </xf>
    <xf borderId="40" fillId="0" fontId="3" numFmtId="170" xfId="0" applyAlignment="1" applyBorder="1" applyFont="1" applyNumberFormat="1">
      <alignment vertical="center"/>
    </xf>
    <xf borderId="39" fillId="0" fontId="5" numFmtId="0" xfId="0" applyBorder="1" applyFont="1"/>
    <xf borderId="40" fillId="0" fontId="5" numFmtId="0" xfId="0" applyBorder="1" applyFont="1"/>
    <xf borderId="39" fillId="0" fontId="3" numFmtId="0" xfId="0" applyAlignment="1" applyBorder="1" applyFont="1">
      <alignment horizontal="left" shrinkToFit="0" wrapText="1"/>
    </xf>
    <xf borderId="40" fillId="0" fontId="3" numFmtId="170" xfId="0" applyAlignment="1" applyBorder="1" applyFont="1" applyNumberFormat="1">
      <alignment horizontal="left" vertical="center"/>
    </xf>
    <xf borderId="123" fillId="10" fontId="1" numFmtId="0" xfId="0" applyBorder="1" applyFont="1"/>
    <xf borderId="27" fillId="8" fontId="1" numFmtId="0" xfId="0" applyAlignment="1" applyBorder="1" applyFont="1">
      <alignment horizontal="left" vertical="top"/>
    </xf>
    <xf borderId="11" fillId="5" fontId="1" numFmtId="173" xfId="0" applyBorder="1" applyFont="1" applyNumberFormat="1"/>
    <xf borderId="0" fillId="0" fontId="3" numFmtId="2" xfId="0" applyFont="1" applyNumberFormat="1"/>
    <xf borderId="40" fillId="0" fontId="3" numFmtId="2" xfId="0" applyBorder="1" applyFont="1" applyNumberFormat="1"/>
    <xf borderId="64" fillId="0" fontId="3" numFmtId="10" xfId="0" applyBorder="1" applyFont="1" applyNumberFormat="1"/>
    <xf borderId="44" fillId="0" fontId="3" numFmtId="2" xfId="0" applyBorder="1" applyFont="1" applyNumberFormat="1"/>
    <xf borderId="45" fillId="0" fontId="3" numFmtId="2" xfId="0" applyBorder="1" applyFont="1" applyNumberFormat="1"/>
    <xf borderId="27" fillId="6" fontId="4" numFmtId="0" xfId="0" applyAlignment="1" applyBorder="1" applyFont="1">
      <alignment horizontal="center" vertical="center"/>
    </xf>
    <xf borderId="62" fillId="0" fontId="3" numFmtId="2" xfId="0" applyBorder="1" applyFont="1" applyNumberFormat="1"/>
    <xf borderId="40" fillId="0" fontId="3" numFmtId="2" xfId="0" applyAlignment="1" applyBorder="1" applyFont="1" applyNumberFormat="1">
      <alignment horizontal="right" vertical="center"/>
    </xf>
    <xf borderId="64" fillId="0" fontId="3" numFmtId="9" xfId="0" applyBorder="1" applyFont="1" applyNumberFormat="1"/>
    <xf borderId="57" fillId="0" fontId="3" numFmtId="9" xfId="0" applyBorder="1" applyFont="1" applyNumberFormat="1"/>
    <xf borderId="59" fillId="0" fontId="3" numFmtId="9" xfId="0" applyBorder="1" applyFont="1" applyNumberFormat="1"/>
    <xf borderId="124" fillId="10" fontId="1" numFmtId="0" xfId="0" applyBorder="1" applyFont="1"/>
    <xf borderId="54" fillId="12" fontId="1" numFmtId="0" xfId="0" applyBorder="1" applyFont="1"/>
    <xf borderId="125" fillId="12" fontId="1" numFmtId="9" xfId="0" applyBorder="1" applyFont="1" applyNumberFormat="1"/>
    <xf borderId="126" fillId="12" fontId="1" numFmtId="9" xfId="0" applyBorder="1" applyFont="1" applyNumberFormat="1"/>
    <xf borderId="127" fillId="10" fontId="1" numFmtId="0" xfId="0" applyBorder="1" applyFont="1"/>
    <xf borderId="128" fillId="10" fontId="1" numFmtId="10" xfId="0" applyBorder="1" applyFont="1" applyNumberFormat="1"/>
    <xf borderId="129" fillId="10" fontId="1" numFmtId="10" xfId="0" applyBorder="1" applyFont="1" applyNumberFormat="1"/>
    <xf borderId="4" fillId="5" fontId="1" numFmtId="173" xfId="0" applyBorder="1" applyFont="1" applyNumberFormat="1"/>
    <xf borderId="5" fillId="6" fontId="26" numFmtId="0" xfId="0" applyAlignment="1" applyBorder="1" applyFont="1">
      <alignment horizontal="center" vertical="center"/>
    </xf>
    <xf borderId="65" fillId="0" fontId="21" numFmtId="0" xfId="0" applyAlignment="1" applyBorder="1" applyFont="1">
      <alignment horizontal="left"/>
    </xf>
    <xf borderId="66" fillId="0" fontId="21" numFmtId="0" xfId="0" applyAlignment="1" applyBorder="1" applyFont="1">
      <alignment horizontal="center"/>
    </xf>
    <xf borderId="130" fillId="0" fontId="21" numFmtId="0" xfId="0" applyAlignment="1" applyBorder="1" applyFont="1">
      <alignment horizontal="center"/>
    </xf>
    <xf borderId="131" fillId="0" fontId="14" numFmtId="0" xfId="0" applyBorder="1" applyFont="1"/>
    <xf borderId="86" fillId="0" fontId="14" numFmtId="9" xfId="0" applyAlignment="1" applyBorder="1" applyFont="1" applyNumberFormat="1">
      <alignment horizontal="center"/>
    </xf>
    <xf borderId="125" fillId="12" fontId="21" numFmtId="9" xfId="0" applyAlignment="1" applyBorder="1" applyFont="1" applyNumberFormat="1">
      <alignment horizontal="center"/>
    </xf>
    <xf borderId="132" fillId="12" fontId="21" numFmtId="9" xfId="0" applyAlignment="1" applyBorder="1" applyFont="1" applyNumberFormat="1">
      <alignment horizontal="center"/>
    </xf>
    <xf borderId="0" fillId="0" fontId="14" numFmtId="10" xfId="0" applyAlignment="1" applyFont="1" applyNumberFormat="1">
      <alignment horizontal="center"/>
    </xf>
    <xf borderId="68" fillId="0" fontId="14" numFmtId="0" xfId="0" applyBorder="1" applyFont="1"/>
    <xf borderId="68" fillId="0" fontId="14" numFmtId="0" xfId="0" applyAlignment="1" applyBorder="1" applyFont="1">
      <alignment horizontal="center"/>
    </xf>
    <xf borderId="126" fillId="12" fontId="21" numFmtId="9" xfId="0" applyAlignment="1" applyBorder="1" applyFont="1" applyNumberFormat="1">
      <alignment horizontal="center"/>
    </xf>
    <xf borderId="13" fillId="10" fontId="21" numFmtId="3" xfId="0" applyAlignment="1" applyBorder="1" applyFont="1" applyNumberFormat="1">
      <alignment horizontal="center"/>
    </xf>
    <xf borderId="4" fillId="5" fontId="21" numFmtId="3" xfId="0" applyAlignment="1" applyBorder="1" applyFont="1" applyNumberFormat="1">
      <alignment horizontal="center"/>
    </xf>
    <xf borderId="25" fillId="0" fontId="14" numFmtId="0" xfId="0" applyBorder="1" applyFont="1"/>
    <xf borderId="81" fillId="0" fontId="14" numFmtId="0" xfId="0" applyBorder="1" applyFont="1"/>
    <xf borderId="26" fillId="0" fontId="14" numFmtId="10" xfId="0" applyAlignment="1" applyBorder="1" applyFont="1" applyNumberFormat="1">
      <alignment horizontal="center"/>
    </xf>
    <xf borderId="53" fillId="0" fontId="14" numFmtId="10" xfId="0" applyAlignment="1" applyBorder="1" applyFont="1" applyNumberFormat="1">
      <alignment horizontal="center"/>
    </xf>
    <xf borderId="53" fillId="0" fontId="14" numFmtId="9" xfId="0" applyAlignment="1" applyBorder="1" applyFont="1" applyNumberFormat="1">
      <alignment horizontal="center"/>
    </xf>
    <xf borderId="53" fillId="0" fontId="14" numFmtId="3" xfId="0" applyAlignment="1" applyBorder="1" applyFont="1" applyNumberFormat="1">
      <alignment horizontal="center"/>
    </xf>
    <xf borderId="69" fillId="0" fontId="14" numFmtId="3" xfId="0" applyAlignment="1" applyBorder="1" applyFont="1" applyNumberFormat="1">
      <alignment horizontal="center"/>
    </xf>
    <xf borderId="0" fillId="0" fontId="21" numFmtId="0" xfId="0" applyAlignment="1" applyFont="1">
      <alignment horizontal="left"/>
    </xf>
    <xf borderId="13" fillId="14" fontId="21" numFmtId="3" xfId="0" applyAlignment="1" applyBorder="1" applyFont="1" applyNumberFormat="1">
      <alignment horizontal="center"/>
    </xf>
    <xf borderId="123" fillId="14" fontId="21" numFmtId="3" xfId="0" applyBorder="1" applyFont="1" applyNumberFormat="1"/>
    <xf borderId="133" fillId="14" fontId="21" numFmtId="3" xfId="0" applyAlignment="1" applyBorder="1" applyFont="1" applyNumberFormat="1">
      <alignment horizontal="center"/>
    </xf>
    <xf borderId="133" fillId="14" fontId="21" numFmtId="1" xfId="0" applyAlignment="1" applyBorder="1" applyFont="1" applyNumberFormat="1">
      <alignment horizontal="center"/>
    </xf>
    <xf borderId="134" fillId="14" fontId="21" numFmtId="0" xfId="0" applyBorder="1" applyFont="1"/>
    <xf borderId="103" fillId="14" fontId="21" numFmtId="0" xfId="0" applyBorder="1" applyFont="1"/>
    <xf borderId="103" fillId="14" fontId="21" numFmtId="3" xfId="0" applyAlignment="1" applyBorder="1" applyFont="1" applyNumberFormat="1">
      <alignment horizontal="center"/>
    </xf>
    <xf borderId="135" fillId="14" fontId="21" numFmtId="3" xfId="0" applyBorder="1" applyFont="1" applyNumberFormat="1"/>
    <xf borderId="4" fillId="14" fontId="21" numFmtId="3" xfId="0" applyAlignment="1" applyBorder="1" applyFont="1" applyNumberFormat="1">
      <alignment horizontal="center"/>
    </xf>
    <xf borderId="136" fillId="14" fontId="21" numFmtId="0" xfId="0" applyBorder="1" applyFont="1"/>
    <xf borderId="124" fillId="14" fontId="21" numFmtId="0" xfId="0" applyBorder="1" applyFont="1"/>
    <xf borderId="128" fillId="14" fontId="21" numFmtId="1" xfId="0" applyAlignment="1" applyBorder="1" applyFont="1" applyNumberFormat="1">
      <alignment horizontal="center"/>
    </xf>
    <xf borderId="137" fillId="14" fontId="21" numFmtId="0" xfId="0" applyBorder="1" applyFont="1"/>
    <xf borderId="10" fillId="8" fontId="11" numFmtId="0" xfId="0" applyAlignment="1" applyBorder="1" applyFont="1">
      <alignment horizontal="center" vertical="center"/>
    </xf>
    <xf borderId="11" fillId="8" fontId="11" numFmtId="0" xfId="0" applyAlignment="1" applyBorder="1" applyFont="1">
      <alignment horizontal="center" vertical="center"/>
    </xf>
    <xf borderId="61" fillId="0" fontId="14" numFmtId="0" xfId="0" applyBorder="1" applyFont="1"/>
    <xf borderId="61" fillId="0" fontId="14" numFmtId="3" xfId="0" applyAlignment="1" applyBorder="1" applyFont="1" applyNumberFormat="1">
      <alignment horizontal="center"/>
    </xf>
    <xf borderId="138" fillId="10" fontId="21" numFmtId="0" xfId="0" applyBorder="1" applyFont="1"/>
    <xf borderId="13" fillId="10" fontId="21" numFmtId="0" xfId="0" applyAlignment="1" applyBorder="1" applyFont="1">
      <alignment horizontal="center"/>
    </xf>
    <xf borderId="139" fillId="10" fontId="21" numFmtId="9" xfId="0" applyAlignment="1" applyBorder="1" applyFont="1" applyNumberFormat="1">
      <alignment horizontal="center"/>
    </xf>
    <xf borderId="39" fillId="0" fontId="22" numFmtId="0" xfId="0" applyAlignment="1" applyBorder="1" applyFont="1">
      <alignment horizontal="left"/>
    </xf>
    <xf borderId="0" fillId="0" fontId="22" numFmtId="10" xfId="0" applyAlignment="1" applyFont="1" applyNumberFormat="1">
      <alignment horizontal="center"/>
    </xf>
    <xf borderId="40" fillId="0" fontId="22" numFmtId="10" xfId="0" applyAlignment="1" applyBorder="1" applyFont="1" applyNumberFormat="1">
      <alignment horizontal="center"/>
    </xf>
    <xf borderId="140" fillId="0" fontId="22" numFmtId="0" xfId="0" applyBorder="1" applyFont="1"/>
    <xf borderId="141" fillId="0" fontId="22" numFmtId="0" xfId="0" applyBorder="1" applyFont="1"/>
    <xf borderId="142" fillId="0" fontId="22" numFmtId="10" xfId="0" applyAlignment="1" applyBorder="1" applyFont="1" applyNumberFormat="1">
      <alignment horizontal="center"/>
    </xf>
    <xf borderId="4" fillId="5" fontId="14" numFmtId="10" xfId="0" applyAlignment="1" applyBorder="1" applyFont="1" applyNumberFormat="1">
      <alignment horizontal="center"/>
    </xf>
    <xf borderId="21" fillId="5" fontId="14" numFmtId="10" xfId="0" applyAlignment="1" applyBorder="1" applyFont="1" applyNumberFormat="1">
      <alignment horizontal="center"/>
    </xf>
    <xf borderId="4" fillId="5" fontId="22" numFmtId="10" xfId="0" applyAlignment="1" applyBorder="1" applyFont="1" applyNumberFormat="1">
      <alignment horizontal="center"/>
    </xf>
    <xf borderId="21" fillId="5" fontId="22" numFmtId="10" xfId="0" applyAlignment="1" applyBorder="1" applyFont="1" applyNumberFormat="1">
      <alignment horizontal="center"/>
    </xf>
    <xf borderId="43" fillId="0" fontId="22" numFmtId="0" xfId="0" applyBorder="1" applyFont="1"/>
    <xf borderId="44" fillId="0" fontId="22" numFmtId="0" xfId="0" applyBorder="1" applyFont="1"/>
    <xf borderId="23" fillId="5" fontId="22" numFmtId="10" xfId="0" applyAlignment="1" applyBorder="1" applyFont="1" applyNumberFormat="1">
      <alignment horizontal="center"/>
    </xf>
    <xf borderId="24" fillId="5" fontId="22" numFmtId="10" xfId="0" applyAlignment="1" applyBorder="1" applyFont="1" applyNumberFormat="1">
      <alignment horizontal="center"/>
    </xf>
  </cellXfs>
  <cellStyles count="1">
    <cellStyle xfId="0" name="Normal" builtinId="0"/>
  </cellStyles>
  <dxfs count="1">
    <dxf>
      <font>
        <b/>
        <color theme="0"/>
      </font>
      <fill>
        <patternFill patternType="solid">
          <fgColor theme="5"/>
          <bgColor theme="5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757575"/>
                </a:solidFill>
                <a:latin typeface="+mn-lt"/>
              </a:defRPr>
            </a:pPr>
            <a:r>
              <a:rPr b="1" i="0" sz="1400">
                <a:solidFill>
                  <a:srgbClr val="757575"/>
                </a:solidFill>
                <a:latin typeface="+mn-lt"/>
              </a:rPr>
              <a:t>EBITDA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EBITDA</c:v>
          </c:tx>
          <c:spPr>
            <a:solidFill>
              <a:srgbClr val="EA8B00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Statment'!$C$16:$L$16</c:f>
              <c:numCache/>
            </c:numRef>
          </c:val>
        </c:ser>
        <c:axId val="1382548863"/>
        <c:axId val="1709107630"/>
      </c:barChart>
      <c:lineChart>
        <c:varyColors val="0"/>
        <c:ser>
          <c:idx val="1"/>
          <c:order val="1"/>
          <c:tx>
            <c:v>% Growth YOY </c:v>
          </c:tx>
          <c:spPr>
            <a:ln cmpd="sng" w="28575">
              <a:solidFill>
                <a:srgbClr val="DA1F28"/>
              </a:solidFill>
            </a:ln>
          </c:spPr>
          <c:marker>
            <c:symbol val="circle"/>
            <c:size val="5"/>
            <c:spPr>
              <a:solidFill>
                <a:srgbClr val="DA1F28"/>
              </a:solidFill>
              <a:ln cmpd="sng">
                <a:solidFill>
                  <a:srgbClr val="DA1F28"/>
                </a:solidFill>
              </a:ln>
            </c:spPr>
          </c:marke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'Finanical Statment'!$C$3:$L$3</c:f>
            </c:strRef>
          </c:cat>
          <c:val>
            <c:numRef>
              <c:f>'Finanical Statment'!$C$18:$L$18</c:f>
              <c:numCache/>
            </c:numRef>
          </c:val>
          <c:smooth val="0"/>
        </c:ser>
        <c:axId val="1382548863"/>
        <c:axId val="1709107630"/>
      </c:lineChart>
      <c:catAx>
        <c:axId val="13825488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09107630"/>
      </c:catAx>
      <c:valAx>
        <c:axId val="17091076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8254886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757575"/>
                </a:solidFill>
                <a:latin typeface="+mn-lt"/>
              </a:defRPr>
            </a:pPr>
            <a:r>
              <a:rPr b="1" i="0" sz="1400">
                <a:solidFill>
                  <a:srgbClr val="757575"/>
                </a:solidFill>
                <a:latin typeface="+mn-lt"/>
              </a:rPr>
              <a:t> Revenue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Revenue</c:v>
          </c:tx>
          <c:spPr>
            <a:solidFill>
              <a:srgbClr val="EA8B00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Statment'!$C$7:$L$7</c:f>
              <c:numCache/>
            </c:numRef>
          </c:val>
        </c:ser>
        <c:axId val="1977839682"/>
        <c:axId val="1730622216"/>
      </c:barChart>
      <c:lineChart>
        <c:varyColors val="0"/>
        <c:ser>
          <c:idx val="1"/>
          <c:order val="1"/>
          <c:tx>
            <c:v>% Growth YOY</c:v>
          </c:tx>
          <c:spPr>
            <a:ln cmpd="sng" w="28575">
              <a:solidFill>
                <a:srgbClr val="000010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000010">
                  <a:alpha val="100000"/>
                </a:srgbClr>
              </a:solidFill>
              <a:ln cmpd="sng">
                <a:solidFill>
                  <a:srgbClr val="000010">
                    <a:alpha val="100000"/>
                  </a:srgbClr>
                </a:solidFill>
              </a:ln>
            </c:spPr>
          </c:marke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'Finanical Statment'!$C$3:$L$3</c:f>
            </c:strRef>
          </c:cat>
          <c:val>
            <c:numRef>
              <c:f>'Finanical Statment'!$C$8:$L$8</c:f>
              <c:numCache/>
            </c:numRef>
          </c:val>
          <c:smooth val="0"/>
        </c:ser>
        <c:axId val="1977839682"/>
        <c:axId val="1730622216"/>
      </c:lineChart>
      <c:catAx>
        <c:axId val="19778396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30622216"/>
      </c:catAx>
      <c:valAx>
        <c:axId val="17306222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7783968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757575"/>
                </a:solidFill>
                <a:latin typeface="+mn-lt"/>
              </a:defRPr>
            </a:pPr>
            <a:r>
              <a:rPr b="1" i="0" sz="1400">
                <a:solidFill>
                  <a:srgbClr val="757575"/>
                </a:solidFill>
                <a:latin typeface="+mn-lt"/>
              </a:rPr>
              <a:t>Net Profit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Net Profit</c:v>
          </c:tx>
          <c:spPr>
            <a:solidFill>
              <a:srgbClr val="EA8B00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Statment'!$C$34:$L$34</c:f>
              <c:numCache/>
            </c:numRef>
          </c:val>
        </c:ser>
        <c:axId val="1098393318"/>
        <c:axId val="179117423"/>
      </c:barChart>
      <c:lineChart>
        <c:varyColors val="0"/>
        <c:ser>
          <c:idx val="1"/>
          <c:order val="1"/>
          <c:tx>
            <c:v>% Growth YoY Net Profit</c:v>
          </c:tx>
          <c:spPr>
            <a:ln cmpd="sng" w="28575">
              <a:solidFill>
                <a:srgbClr val="000036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000036">
                  <a:alpha val="100000"/>
                </a:srgbClr>
              </a:solidFill>
              <a:ln cmpd="sng">
                <a:solidFill>
                  <a:srgbClr val="000036">
                    <a:alpha val="100000"/>
                  </a:srgbClr>
                </a:solidFill>
              </a:ln>
            </c:spPr>
          </c:marke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'Finanical Statment'!$C$3:$L$3</c:f>
            </c:strRef>
          </c:cat>
          <c:val>
            <c:numRef>
              <c:f>'Finanical Statment'!$C$36:$L$36</c:f>
              <c:numCache/>
            </c:numRef>
          </c:val>
          <c:smooth val="0"/>
        </c:ser>
        <c:axId val="1098393318"/>
        <c:axId val="179117423"/>
      </c:lineChart>
      <c:catAx>
        <c:axId val="10983933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9117423"/>
      </c:catAx>
      <c:valAx>
        <c:axId val="1791174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9839331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400">
                <a:solidFill>
                  <a:srgbClr val="757575"/>
                </a:solidFill>
                <a:latin typeface="+mn-lt"/>
              </a:defRPr>
            </a:pPr>
            <a:r>
              <a:rPr b="0" i="0" sz="1400">
                <a:solidFill>
                  <a:srgbClr val="757575"/>
                </a:solidFill>
                <a:latin typeface="+mn-lt"/>
              </a:rPr>
              <a:t>Profit Margin</a:t>
            </a:r>
          </a:p>
        </c:rich>
      </c:tx>
      <c:overlay val="0"/>
    </c:title>
    <c:plotArea>
      <c:layout/>
      <c:lineChart>
        <c:ser>
          <c:idx val="0"/>
          <c:order val="0"/>
          <c:tx>
            <c:v>Operating Profit Margin</c:v>
          </c:tx>
          <c:spPr>
            <a:ln cmpd="sng"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'Finanical Statment'!$C$3:$L$3</c:f>
            </c:strRef>
          </c:cat>
          <c:val>
            <c:numRef>
              <c:f>'Finanical Statment'!$C$17:$L$17</c:f>
              <c:numCache/>
            </c:numRef>
          </c:val>
          <c:smooth val="0"/>
        </c:ser>
        <c:ser>
          <c:idx val="1"/>
          <c:order val="1"/>
          <c:tx>
            <c:v>EBT Margin</c:v>
          </c:tx>
          <c:spPr>
            <a:ln cmpd="sng" w="28575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'Finanical Statment'!$C$3:$L$3</c:f>
            </c:strRef>
          </c:cat>
          <c:val>
            <c:numRef>
              <c:f>'Finanical Statment'!$C$29:$L$29</c:f>
              <c:numCache/>
            </c:numRef>
          </c:val>
          <c:smooth val="0"/>
        </c:ser>
        <c:ser>
          <c:idx val="2"/>
          <c:order val="2"/>
          <c:tx>
            <c:v>Net Profit Margin</c:v>
          </c:tx>
          <c:spPr>
            <a:ln cmpd="sng" w="28575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'Finanical Statment'!$C$3:$L$3</c:f>
            </c:strRef>
          </c:cat>
          <c:val>
            <c:numRef>
              <c:f>'Finanical Statment'!$C$35:$L$35</c:f>
              <c:numCache/>
            </c:numRef>
          </c:val>
          <c:smooth val="0"/>
        </c:ser>
        <c:axId val="1452825643"/>
        <c:axId val="824706705"/>
      </c:lineChart>
      <c:catAx>
        <c:axId val="14528256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24706705"/>
      </c:catAx>
      <c:valAx>
        <c:axId val="8247067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5282564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400">
                <a:solidFill>
                  <a:srgbClr val="757575"/>
                </a:solidFill>
                <a:latin typeface="+mn-lt"/>
              </a:defRPr>
            </a:pPr>
            <a:r>
              <a:rPr b="0" i="0" sz="1400">
                <a:solidFill>
                  <a:srgbClr val="757575"/>
                </a:solidFill>
                <a:latin typeface="+mn-lt"/>
              </a:rPr>
              <a:t>Cash Flow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Net Income</c:v>
          </c:tx>
          <c:spPr>
            <a:solidFill>
              <a:srgbClr val="00B0F0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Statment'!$C$34:$L$34</c:f>
              <c:numCache/>
            </c:numRef>
          </c:val>
        </c:ser>
        <c:ser>
          <c:idx val="1"/>
          <c:order val="1"/>
          <c:tx>
            <c:v>Cash from Operating Activity</c:v>
          </c:tx>
          <c:spPr>
            <a:solidFill>
              <a:srgbClr val="000010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Statment'!$C$78:$L$78</c:f>
              <c:numCache/>
            </c:numRef>
          </c:val>
        </c:ser>
        <c:ser>
          <c:idx val="2"/>
          <c:order val="2"/>
          <c:tx>
            <c:v>FREE CASH FLOW TO FIRM (FCFF)</c:v>
          </c:tx>
          <c:spPr>
            <a:solidFill>
              <a:srgbClr val="CC9900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Statment'!$C$86:$L$86</c:f>
              <c:numCache/>
            </c:numRef>
          </c:val>
        </c:ser>
        <c:ser>
          <c:idx val="3"/>
          <c:order val="3"/>
          <c:tx>
            <c:v>FREE CASH FLOW TO EQUITY (FCFE)</c:v>
          </c:tx>
          <c:spPr>
            <a:solidFill>
              <a:srgbClr val="FF3399"/>
            </a:solidFill>
            <a:ln cmpd="sng">
              <a:solidFill>
                <a:srgbClr val="000000"/>
              </a:solidFill>
            </a:ln>
          </c:spPr>
          <c:cat>
            <c:strRef>
              <c:f>'Finanical Statment'!$C$3:$L$3</c:f>
            </c:strRef>
          </c:cat>
          <c:val>
            <c:numRef>
              <c:f>'Finanical Statment'!$C$94:$L$94</c:f>
              <c:numCache/>
            </c:numRef>
          </c:val>
        </c:ser>
        <c:axId val="251965933"/>
        <c:axId val="62035344"/>
      </c:barChart>
      <c:lineChart>
        <c:varyColors val="0"/>
        <c:ser>
          <c:idx val="4"/>
          <c:order val="4"/>
          <c:tx>
            <c:v>CFO / Net Income</c:v>
          </c:tx>
          <c:spPr>
            <a:ln cmpd="sng" w="28575">
              <a:solidFill>
                <a:srgbClr val="E1551D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E1551D">
                  <a:alpha val="100000"/>
                </a:srgbClr>
              </a:solidFill>
              <a:ln cmpd="sng">
                <a:solidFill>
                  <a:srgbClr val="E1551D">
                    <a:alpha val="100000"/>
                  </a:srgbClr>
                </a:solidFill>
              </a:ln>
            </c:spPr>
          </c:marker>
          <c:dPt>
            <c:idx val="9"/>
            <c:marker>
              <c:symbol val="none"/>
            </c:marker>
          </c:dPt>
          <c:dLbls>
            <c:dLbl>
              <c:idx val="9"/>
              <c:numFmt formatCode="General" sourceLinked="1"/>
              <c:txPr>
                <a:bodyPr/>
                <a:lstStyle/>
                <a:p>
                  <a:pPr lvl="0">
                    <a:defRPr b="0" i="0" sz="900"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'Finanical Statment'!$C$3:$L$3</c:f>
            </c:strRef>
          </c:cat>
          <c:val>
            <c:numRef>
              <c:f>'Key ratios'!$B$57:$K$57</c:f>
              <c:numCache/>
            </c:numRef>
          </c:val>
          <c:smooth val="0"/>
        </c:ser>
        <c:axId val="251965933"/>
        <c:axId val="62035344"/>
      </c:lineChart>
      <c:catAx>
        <c:axId val="2519659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2035344"/>
      </c:catAx>
      <c:valAx>
        <c:axId val="62035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5196593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757575"/>
                </a:solidFill>
                <a:latin typeface="+mn-lt"/>
              </a:defRPr>
            </a:pPr>
            <a:r>
              <a:rPr b="1" i="0" sz="1400">
                <a:solidFill>
                  <a:srgbClr val="757575"/>
                </a:solidFill>
                <a:latin typeface="+mn-lt"/>
              </a:rPr>
              <a:t>ROE Break-Down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Asset Turnover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cat>
            <c:strRef>
              <c:f>'Capital Allocation'!$H$3:$Q$3</c:f>
            </c:strRef>
          </c:cat>
          <c:val>
            <c:numRef>
              <c:f>'Capital Allocation'!$H$107:$Q$107</c:f>
              <c:numCache/>
            </c:numRef>
          </c:val>
        </c:ser>
        <c:ser>
          <c:idx val="1"/>
          <c:order val="1"/>
          <c:tx>
            <c:v>Financial Leverage  Ratio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'Capital Allocation'!$H$3:$Q$3</c:f>
            </c:strRef>
          </c:cat>
          <c:val>
            <c:numRef>
              <c:f>'Capital Allocation'!$H$108:$Q$108</c:f>
              <c:numCache/>
            </c:numRef>
          </c:val>
        </c:ser>
        <c:axId val="1916886716"/>
        <c:axId val="93455623"/>
      </c:barChart>
      <c:lineChart>
        <c:ser>
          <c:idx val="2"/>
          <c:order val="2"/>
          <c:tx>
            <c:v>Net Profit Margin</c:v>
          </c:tx>
          <c:spPr>
            <a:ln cmpd="sng" w="28575"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'Capital Allocation'!$H$3:$Q$3</c:f>
            </c:strRef>
          </c:cat>
          <c:val>
            <c:numRef>
              <c:f>'Capital Allocation'!$H$106:$Q$106</c:f>
              <c:numCache/>
            </c:numRef>
          </c:val>
          <c:smooth val="0"/>
        </c:ser>
        <c:ser>
          <c:idx val="3"/>
          <c:order val="3"/>
          <c:tx>
            <c:v>ROE</c:v>
          </c:tx>
          <c:spPr>
            <a:ln cmpd="sng" w="28575">
              <a:solidFill>
                <a:schemeClr val="accent4"/>
              </a:solidFill>
            </a:ln>
          </c:spPr>
          <c:marker>
            <c:symbol val="circle"/>
            <c:size val="5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'Capital Allocation'!$H$3:$Q$3</c:f>
            </c:strRef>
          </c:cat>
          <c:val>
            <c:numRef>
              <c:f>'Capital Allocation'!$H$109:$Q$109</c:f>
              <c:numCache/>
            </c:numRef>
          </c:val>
          <c:smooth val="0"/>
        </c:ser>
        <c:axId val="1916886716"/>
        <c:axId val="93455623"/>
      </c:lineChart>
      <c:catAx>
        <c:axId val="19168867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3455623"/>
      </c:catAx>
      <c:valAx>
        <c:axId val="934556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1688671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0</xdr:colOff>
      <xdr:row>15</xdr:row>
      <xdr:rowOff>38100</xdr:rowOff>
    </xdr:from>
    <xdr:ext cx="3867150" cy="2371725"/>
    <xdr:graphicFrame>
      <xdr:nvGraphicFramePr>
        <xdr:cNvPr id="199374852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590550</xdr:colOff>
      <xdr:row>3</xdr:row>
      <xdr:rowOff>238125</xdr:rowOff>
    </xdr:from>
    <xdr:ext cx="3876675" cy="2143125"/>
    <xdr:graphicFrame>
      <xdr:nvGraphicFramePr>
        <xdr:cNvPr id="155100175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13</xdr:col>
      <xdr:colOff>590550</xdr:colOff>
      <xdr:row>28</xdr:row>
      <xdr:rowOff>104775</xdr:rowOff>
    </xdr:from>
    <xdr:ext cx="3895725" cy="2324100"/>
    <xdr:graphicFrame>
      <xdr:nvGraphicFramePr>
        <xdr:cNvPr id="163223470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13</xdr:col>
      <xdr:colOff>590550</xdr:colOff>
      <xdr:row>40</xdr:row>
      <xdr:rowOff>85725</xdr:rowOff>
    </xdr:from>
    <xdr:ext cx="3895725" cy="2038350"/>
    <xdr:graphicFrame>
      <xdr:nvGraphicFramePr>
        <xdr:cNvPr id="158193329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13</xdr:col>
      <xdr:colOff>219075</xdr:colOff>
      <xdr:row>77</xdr:row>
      <xdr:rowOff>19050</xdr:rowOff>
    </xdr:from>
    <xdr:ext cx="4829175" cy="2466975"/>
    <xdr:graphicFrame>
      <xdr:nvGraphicFramePr>
        <xdr:cNvPr id="76731013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94</xdr:row>
      <xdr:rowOff>133350</xdr:rowOff>
    </xdr:from>
    <xdr:ext cx="3495675" cy="2276475"/>
    <xdr:graphicFrame>
      <xdr:nvGraphicFramePr>
        <xdr:cNvPr id="1511999144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18</xdr:col>
      <xdr:colOff>276225</xdr:colOff>
      <xdr:row>12</xdr:row>
      <xdr:rowOff>171450</xdr:rowOff>
    </xdr:from>
    <xdr:ext cx="6562725" cy="2476500"/>
    <xdr:pic>
      <xdr:nvPicPr>
        <xdr:cNvPr descr="ROIC Formula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27</xdr:row>
      <xdr:rowOff>0</xdr:rowOff>
    </xdr:from>
    <xdr:ext cx="6553200" cy="3429000"/>
    <xdr:pic>
      <xdr:nvPicPr>
        <xdr:cNvPr descr="ROIC breakup"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581025</xdr:colOff>
      <xdr:row>77</xdr:row>
      <xdr:rowOff>19050</xdr:rowOff>
    </xdr:from>
    <xdr:ext cx="3514725" cy="1304925"/>
    <xdr:pic>
      <xdr:nvPicPr>
        <xdr:cNvPr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2DA2BF"/>
      </a:accent1>
      <a:accent2>
        <a:srgbClr val="DA1F28"/>
      </a:accent2>
      <a:accent3>
        <a:srgbClr val="EB641B"/>
      </a:accent3>
      <a:accent4>
        <a:srgbClr val="39639D"/>
      </a:accent4>
      <a:accent5>
        <a:srgbClr val="474B78"/>
      </a:accent5>
      <a:accent6>
        <a:srgbClr val="7D3C4A"/>
      </a:accent6>
      <a:hlink>
        <a:srgbClr val="FF8119"/>
      </a:hlink>
      <a:folHlink>
        <a:srgbClr val="FF8119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s://www.linkedin.com/in/devesh-balkote/" TargetMode="External"/><Relationship Id="rId3" Type="http://schemas.openxmlformats.org/officeDocument/2006/relationships/hyperlink" Target="https://twitter.com/DeveshBalkote" TargetMode="External"/><Relationship Id="rId4" Type="http://schemas.openxmlformats.org/officeDocument/2006/relationships/drawing" Target="../drawings/drawing10.xml"/><Relationship Id="rId5" Type="http://schemas.openxmlformats.org/officeDocument/2006/relationships/vmlDrawing" Target="../drawings/vmlDrawing5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inkedin.com/in/devesh-balkote/" TargetMode="External"/><Relationship Id="rId2" Type="http://schemas.openxmlformats.org/officeDocument/2006/relationships/hyperlink" Target="https://twitter.com/DeveshBalkote" TargetMode="External"/><Relationship Id="rId3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inkedin.com/in/devesh-balkote/" TargetMode="External"/><Relationship Id="rId2" Type="http://schemas.openxmlformats.org/officeDocument/2006/relationships/hyperlink" Target="https://twitter.com/DeveshBalkote" TargetMode="External"/><Relationship Id="rId3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screener.in/excel/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www.linkedin.com/in/devesh-balkote/" TargetMode="External"/><Relationship Id="rId3" Type="http://schemas.openxmlformats.org/officeDocument/2006/relationships/hyperlink" Target="https://twitter.com/DeveshBalkote" TargetMode="External"/><Relationship Id="rId4" Type="http://schemas.openxmlformats.org/officeDocument/2006/relationships/drawing" Target="../drawings/drawing3.xml"/><Relationship Id="rId5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inkedin.com/in/devesh-balkote/" TargetMode="External"/><Relationship Id="rId2" Type="http://schemas.openxmlformats.org/officeDocument/2006/relationships/hyperlink" Target="https://twitter.com/DeveshBalkote" TargetMode="External"/><Relationship Id="rId3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s://www.linkedin.com/in/devesh-balkote/" TargetMode="External"/><Relationship Id="rId3" Type="http://schemas.openxmlformats.org/officeDocument/2006/relationships/hyperlink" Target="https://twitter.com/DeveshBalkote" TargetMode="External"/><Relationship Id="rId4" Type="http://schemas.openxmlformats.org/officeDocument/2006/relationships/drawing" Target="../drawings/drawing5.xml"/><Relationship Id="rId5" Type="http://schemas.openxmlformats.org/officeDocument/2006/relationships/vmlDrawing" Target="../drawings/vmlDrawing2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inkedin.com/in/devesh-balkote/" TargetMode="External"/><Relationship Id="rId2" Type="http://schemas.openxmlformats.org/officeDocument/2006/relationships/hyperlink" Target="https://twitter.com/DeveshBalkote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inkedin.com/in/devesh-balkote/" TargetMode="External"/><Relationship Id="rId2" Type="http://schemas.openxmlformats.org/officeDocument/2006/relationships/hyperlink" Target="https://twitter.com/DeveshBalkote" TargetMode="External"/><Relationship Id="rId3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www.linkedin.com/in/devesh-balkote/" TargetMode="External"/><Relationship Id="rId3" Type="http://schemas.openxmlformats.org/officeDocument/2006/relationships/hyperlink" Target="https://twitter.com/DeveshBalkote" TargetMode="External"/><Relationship Id="rId4" Type="http://schemas.openxmlformats.org/officeDocument/2006/relationships/drawing" Target="../drawings/drawing8.xml"/><Relationship Id="rId5" Type="http://schemas.openxmlformats.org/officeDocument/2006/relationships/vmlDrawing" Target="../drawings/vmlDrawing3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hyperlink" Target="https://www.linkedin.com/in/devesh-balkote/" TargetMode="External"/><Relationship Id="rId3" Type="http://schemas.openxmlformats.org/officeDocument/2006/relationships/hyperlink" Target="https://twitter.com/DeveshBalkote" TargetMode="External"/><Relationship Id="rId4" Type="http://schemas.openxmlformats.org/officeDocument/2006/relationships/drawing" Target="../drawings/drawing9.xml"/><Relationship Id="rId5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 fitToPage="1"/>
  </sheetPr>
  <sheetViews>
    <sheetView showGridLines="0"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7.71"/>
    <col customWidth="1" min="2" max="11" width="13.43"/>
    <col customWidth="1" min="12" max="26" width="8.86"/>
  </cols>
  <sheetData>
    <row r="1" ht="14.25" customHeight="1">
      <c r="A1" s="1" t="s">
        <v>0</v>
      </c>
      <c r="B1" s="1" t="s">
        <v>1</v>
      </c>
      <c r="C1" s="1"/>
      <c r="D1" s="1"/>
      <c r="E1" s="2" t="str">
        <f>IF(B2&lt;&gt;B3, "A NEW VERSION OF THE WORKSHEET IS AVAILABLE", "")</f>
        <v/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 t="s">
        <v>2</v>
      </c>
      <c r="B2" s="3">
        <v>2.1</v>
      </c>
      <c r="C2" s="3"/>
      <c r="D2" s="3"/>
      <c r="E2" s="4" t="s">
        <v>3</v>
      </c>
      <c r="F2" s="5"/>
      <c r="G2" s="5"/>
      <c r="H2" s="5"/>
      <c r="I2" s="5"/>
      <c r="J2" s="5"/>
      <c r="K2" s="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4.25" customHeight="1">
      <c r="A3" s="1" t="s">
        <v>4</v>
      </c>
      <c r="B3" s="3">
        <v>2.1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4.25" customHeight="1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4.25" customHeight="1">
      <c r="A5" s="1" t="s">
        <v>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4.25" customHeight="1">
      <c r="A6" s="3" t="s">
        <v>6</v>
      </c>
      <c r="B6" s="3">
        <f>IF(B9&gt;0, B9/B8, 0)</f>
        <v>1247.023836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4.25" customHeight="1">
      <c r="A7" s="3" t="s">
        <v>7</v>
      </c>
      <c r="B7" s="7">
        <v>1.0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4.25" customHeight="1">
      <c r="A8" s="3" t="s">
        <v>8</v>
      </c>
      <c r="B8" s="7">
        <v>442.6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4.25" customHeight="1">
      <c r="A9" s="3" t="s">
        <v>9</v>
      </c>
      <c r="B9" s="7">
        <v>551932.75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4.25" customHeight="1">
      <c r="A15" s="1" t="s">
        <v>10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4.25" customHeight="1">
      <c r="A16" s="8" t="s">
        <v>11</v>
      </c>
      <c r="B16" s="9">
        <v>41729.0</v>
      </c>
      <c r="C16" s="9">
        <v>42094.0</v>
      </c>
      <c r="D16" s="9">
        <v>42460.0</v>
      </c>
      <c r="E16" s="9">
        <v>42825.0</v>
      </c>
      <c r="F16" s="9">
        <v>43190.0</v>
      </c>
      <c r="G16" s="9">
        <v>43555.0</v>
      </c>
      <c r="H16" s="9">
        <v>43921.0</v>
      </c>
      <c r="I16" s="9">
        <v>44286.0</v>
      </c>
      <c r="J16" s="9">
        <v>44651.0</v>
      </c>
      <c r="K16" s="9">
        <v>45016.0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ht="14.25" customHeight="1">
      <c r="A17" s="3" t="s">
        <v>12</v>
      </c>
      <c r="B17" s="7">
        <v>35306.43</v>
      </c>
      <c r="C17" s="7">
        <v>38817.15</v>
      </c>
      <c r="D17" s="7">
        <v>39192.1</v>
      </c>
      <c r="E17" s="7">
        <v>42767.6</v>
      </c>
      <c r="F17" s="7">
        <v>43448.94</v>
      </c>
      <c r="G17" s="7">
        <v>48339.58</v>
      </c>
      <c r="H17" s="7">
        <v>49387.7</v>
      </c>
      <c r="I17" s="7">
        <v>49257.45</v>
      </c>
      <c r="J17" s="7">
        <v>60644.54</v>
      </c>
      <c r="K17" s="7">
        <v>70919.03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4.25" customHeight="1">
      <c r="A18" s="3" t="s">
        <v>13</v>
      </c>
      <c r="B18" s="7">
        <v>13353.03</v>
      </c>
      <c r="C18" s="7">
        <v>15007.9</v>
      </c>
      <c r="D18" s="7">
        <v>13763.88</v>
      </c>
      <c r="E18" s="7">
        <v>15456.59</v>
      </c>
      <c r="F18" s="7">
        <v>14827.72</v>
      </c>
      <c r="G18" s="7">
        <v>17623.52</v>
      </c>
      <c r="H18" s="7">
        <v>18048.6</v>
      </c>
      <c r="I18" s="7">
        <v>20776.71</v>
      </c>
      <c r="J18" s="7">
        <v>27071.07</v>
      </c>
      <c r="K18" s="7">
        <v>29364.36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4.25" customHeight="1">
      <c r="A19" s="3" t="s">
        <v>14</v>
      </c>
      <c r="B19" s="7">
        <v>112.74</v>
      </c>
      <c r="C19" s="7">
        <v>235.72</v>
      </c>
      <c r="D19" s="7">
        <v>195.38</v>
      </c>
      <c r="E19" s="7">
        <v>-592.57</v>
      </c>
      <c r="F19" s="7">
        <v>-1027.76</v>
      </c>
      <c r="G19" s="7">
        <v>203.19</v>
      </c>
      <c r="H19" s="7">
        <v>703.13</v>
      </c>
      <c r="I19" s="7">
        <v>645.27</v>
      </c>
      <c r="J19" s="7">
        <v>686.0</v>
      </c>
      <c r="K19" s="7">
        <v>358.59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4.25" customHeight="1">
      <c r="A20" s="3" t="s">
        <v>15</v>
      </c>
      <c r="B20" s="7">
        <v>644.96</v>
      </c>
      <c r="C20" s="7">
        <v>610.67</v>
      </c>
      <c r="D20" s="7">
        <v>571.88</v>
      </c>
      <c r="E20" s="7">
        <v>584.33</v>
      </c>
      <c r="F20" s="7">
        <v>653.5</v>
      </c>
      <c r="G20" s="7">
        <v>746.73</v>
      </c>
      <c r="H20" s="7">
        <v>780.85</v>
      </c>
      <c r="I20" s="7">
        <v>699.56</v>
      </c>
      <c r="J20" s="7">
        <v>889.77</v>
      </c>
      <c r="K20" s="7">
        <v>1232.34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4.25" customHeight="1">
      <c r="A21" s="3" t="s">
        <v>16</v>
      </c>
      <c r="B21" s="7">
        <v>1395.57</v>
      </c>
      <c r="C21" s="7">
        <v>1533.25</v>
      </c>
      <c r="D21" s="7">
        <v>1581.59</v>
      </c>
      <c r="E21" s="7">
        <v>1683.9</v>
      </c>
      <c r="F21" s="7">
        <v>1697.62</v>
      </c>
      <c r="G21" s="7">
        <v>1871.01</v>
      </c>
      <c r="H21" s="7">
        <v>1908.29</v>
      </c>
      <c r="I21" s="7">
        <v>1587.18</v>
      </c>
      <c r="J21" s="7">
        <v>1887.67</v>
      </c>
      <c r="K21" s="7">
        <v>2327.8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4.25" customHeight="1">
      <c r="A22" s="3" t="s">
        <v>17</v>
      </c>
      <c r="B22" s="7">
        <v>2504.24</v>
      </c>
      <c r="C22" s="7">
        <v>2772.28</v>
      </c>
      <c r="D22" s="7">
        <v>3440.97</v>
      </c>
      <c r="E22" s="7">
        <v>3631.73</v>
      </c>
      <c r="F22" s="7">
        <v>3760.9</v>
      </c>
      <c r="G22" s="7">
        <v>4177.88</v>
      </c>
      <c r="H22" s="7">
        <v>4295.79</v>
      </c>
      <c r="I22" s="7">
        <v>4463.33</v>
      </c>
      <c r="J22" s="7">
        <v>4890.55</v>
      </c>
      <c r="K22" s="7">
        <v>5736.22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4.25" customHeight="1">
      <c r="A23" s="3" t="s">
        <v>18</v>
      </c>
      <c r="B23" s="7">
        <v>3361.2</v>
      </c>
      <c r="C23" s="7">
        <v>3876.19</v>
      </c>
      <c r="D23" s="7">
        <v>4261.78</v>
      </c>
      <c r="E23" s="7">
        <v>4179.74</v>
      </c>
      <c r="F23" s="7">
        <v>3954.87</v>
      </c>
      <c r="G23" s="7">
        <v>4546.39</v>
      </c>
      <c r="H23" s="7">
        <v>4488.63</v>
      </c>
      <c r="I23" s="7">
        <v>4236.77</v>
      </c>
      <c r="J23" s="7">
        <v>4858.38</v>
      </c>
      <c r="K23" s="7">
        <v>5604.08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4.25" customHeight="1">
      <c r="A24" s="3" t="s">
        <v>19</v>
      </c>
      <c r="B24" s="7">
        <v>1080.27</v>
      </c>
      <c r="C24" s="7">
        <v>1000.96</v>
      </c>
      <c r="D24" s="7">
        <v>1235.89</v>
      </c>
      <c r="E24" s="7">
        <v>1169.23</v>
      </c>
      <c r="F24" s="7">
        <v>1005.98</v>
      </c>
      <c r="G24" s="7">
        <v>1039.85</v>
      </c>
      <c r="H24" s="7">
        <v>1225.13</v>
      </c>
      <c r="I24" s="7">
        <v>1074.39</v>
      </c>
      <c r="J24" s="7">
        <v>1109.95</v>
      </c>
      <c r="K24" s="7">
        <v>1308.56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4.25" customHeight="1">
      <c r="A25" s="3" t="s">
        <v>20</v>
      </c>
      <c r="B25" s="7">
        <v>965.74</v>
      </c>
      <c r="C25" s="7">
        <v>1229.35</v>
      </c>
      <c r="D25" s="7">
        <v>1483.11</v>
      </c>
      <c r="E25" s="7">
        <v>1758.63</v>
      </c>
      <c r="F25" s="7">
        <v>2239.81</v>
      </c>
      <c r="G25" s="7">
        <v>2080.44</v>
      </c>
      <c r="H25" s="7">
        <v>2417.32</v>
      </c>
      <c r="I25" s="7">
        <v>2576.95</v>
      </c>
      <c r="J25" s="7">
        <v>1909.72</v>
      </c>
      <c r="K25" s="7">
        <v>2097.64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4.25" customHeight="1">
      <c r="A26" s="3" t="s">
        <v>21</v>
      </c>
      <c r="B26" s="7">
        <v>964.92</v>
      </c>
      <c r="C26" s="7">
        <v>1027.96</v>
      </c>
      <c r="D26" s="7">
        <v>1077.4</v>
      </c>
      <c r="E26" s="7">
        <v>1152.79</v>
      </c>
      <c r="F26" s="7">
        <v>1236.28</v>
      </c>
      <c r="G26" s="7">
        <v>1396.61</v>
      </c>
      <c r="H26" s="7">
        <v>1644.91</v>
      </c>
      <c r="I26" s="7">
        <v>1645.59</v>
      </c>
      <c r="J26" s="7">
        <v>1732.41</v>
      </c>
      <c r="K26" s="7">
        <v>1809.01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4.25" customHeight="1">
      <c r="A27" s="3" t="s">
        <v>22</v>
      </c>
      <c r="B27" s="7">
        <v>29.17</v>
      </c>
      <c r="C27" s="7">
        <v>90.96</v>
      </c>
      <c r="D27" s="7">
        <v>78.13</v>
      </c>
      <c r="E27" s="7">
        <v>49.03</v>
      </c>
      <c r="F27" s="7">
        <v>115.01</v>
      </c>
      <c r="G27" s="7">
        <v>71.4</v>
      </c>
      <c r="H27" s="7">
        <v>81.38</v>
      </c>
      <c r="I27" s="7">
        <v>57.97</v>
      </c>
      <c r="J27" s="7">
        <v>59.99</v>
      </c>
      <c r="K27" s="7">
        <v>77.77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4.25" customHeight="1">
      <c r="A28" s="3" t="s">
        <v>23</v>
      </c>
      <c r="B28" s="7">
        <v>13051.55</v>
      </c>
      <c r="C28" s="7">
        <v>14362.05</v>
      </c>
      <c r="D28" s="7">
        <v>14859.07</v>
      </c>
      <c r="E28" s="7">
        <v>16026.32</v>
      </c>
      <c r="F28" s="7">
        <v>17409.11</v>
      </c>
      <c r="G28" s="7">
        <v>19149.82</v>
      </c>
      <c r="H28" s="7">
        <v>20034.57</v>
      </c>
      <c r="I28" s="7">
        <v>17938.17</v>
      </c>
      <c r="J28" s="7">
        <v>20740.47</v>
      </c>
      <c r="K28" s="7">
        <v>25915.12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4.25" customHeight="1">
      <c r="A29" s="3" t="s">
        <v>24</v>
      </c>
      <c r="B29" s="7">
        <v>4060.93</v>
      </c>
      <c r="C29" s="7">
        <v>4596.42</v>
      </c>
      <c r="D29" s="7">
        <v>5358.21</v>
      </c>
      <c r="E29" s="7">
        <v>5549.09</v>
      </c>
      <c r="F29" s="7">
        <v>5916.43</v>
      </c>
      <c r="G29" s="7">
        <v>6313.92</v>
      </c>
      <c r="H29" s="7">
        <v>4441.79</v>
      </c>
      <c r="I29" s="7">
        <v>4555.29</v>
      </c>
      <c r="J29" s="7">
        <v>5237.34</v>
      </c>
      <c r="K29" s="7">
        <v>6438.4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4.25" customHeight="1">
      <c r="A30" s="3" t="s">
        <v>25</v>
      </c>
      <c r="B30" s="7">
        <v>8891.38</v>
      </c>
      <c r="C30" s="7">
        <v>9663.17</v>
      </c>
      <c r="D30" s="7">
        <v>9344.45</v>
      </c>
      <c r="E30" s="7">
        <v>10289.44</v>
      </c>
      <c r="F30" s="7">
        <v>11271.2</v>
      </c>
      <c r="G30" s="7">
        <v>12592.33</v>
      </c>
      <c r="H30" s="7">
        <v>15306.23</v>
      </c>
      <c r="I30" s="7">
        <v>13161.19</v>
      </c>
      <c r="J30" s="7">
        <v>15242.66</v>
      </c>
      <c r="K30" s="7">
        <v>19191.66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4.25" customHeight="1">
      <c r="A31" s="3" t="s">
        <v>26</v>
      </c>
      <c r="B31" s="7">
        <v>4771.92</v>
      </c>
      <c r="C31" s="7">
        <v>5009.69</v>
      </c>
      <c r="D31" s="7">
        <v>6840.12</v>
      </c>
      <c r="E31" s="7">
        <v>5770.02</v>
      </c>
      <c r="F31" s="7">
        <v>6285.21</v>
      </c>
      <c r="G31" s="7">
        <v>7048.7</v>
      </c>
      <c r="H31" s="7">
        <v>12476.58</v>
      </c>
      <c r="I31" s="7">
        <v>13231.96</v>
      </c>
      <c r="J31" s="7">
        <v>14171.8</v>
      </c>
      <c r="K31" s="7">
        <v>19263.4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4.25" customHeight="1">
      <c r="A40" s="1" t="s">
        <v>27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4.25" customHeight="1">
      <c r="A41" s="8" t="s">
        <v>11</v>
      </c>
      <c r="B41" s="9">
        <v>44286.0</v>
      </c>
      <c r="C41" s="9">
        <v>44377.0</v>
      </c>
      <c r="D41" s="9">
        <v>44469.0</v>
      </c>
      <c r="E41" s="9">
        <v>44561.0</v>
      </c>
      <c r="F41" s="9">
        <v>44651.0</v>
      </c>
      <c r="G41" s="9">
        <v>44742.0</v>
      </c>
      <c r="H41" s="9">
        <v>44834.0</v>
      </c>
      <c r="I41" s="9">
        <v>44926.0</v>
      </c>
      <c r="J41" s="9">
        <v>45016.0</v>
      </c>
      <c r="K41" s="9">
        <v>45107.0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ht="14.25" customHeight="1">
      <c r="A42" s="3" t="s">
        <v>12</v>
      </c>
      <c r="B42" s="7">
        <v>14342.27</v>
      </c>
      <c r="C42" s="7">
        <v>13247.25</v>
      </c>
      <c r="D42" s="7">
        <v>13757.15</v>
      </c>
      <c r="E42" s="7">
        <v>17108.16</v>
      </c>
      <c r="F42" s="7">
        <v>16555.53</v>
      </c>
      <c r="G42" s="7">
        <v>18489.45</v>
      </c>
      <c r="H42" s="7">
        <v>17107.99</v>
      </c>
      <c r="I42" s="7">
        <v>17704.52</v>
      </c>
      <c r="J42" s="7">
        <v>17634.89</v>
      </c>
      <c r="K42" s="7">
        <v>17164.46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4.25" customHeight="1">
      <c r="A43" s="3" t="s">
        <v>28</v>
      </c>
      <c r="B43" s="7">
        <v>9471.15</v>
      </c>
      <c r="C43" s="7">
        <v>8803.51</v>
      </c>
      <c r="D43" s="7">
        <v>8739.55</v>
      </c>
      <c r="E43" s="7">
        <v>11510.49</v>
      </c>
      <c r="F43" s="7">
        <v>10956.13</v>
      </c>
      <c r="G43" s="7">
        <v>12412.32</v>
      </c>
      <c r="H43" s="7">
        <v>10848.89</v>
      </c>
      <c r="I43" s="7">
        <v>10999.82</v>
      </c>
      <c r="J43" s="7">
        <v>11010.89</v>
      </c>
      <c r="K43" s="7">
        <v>10494.39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4.25" customHeight="1">
      <c r="A44" s="3" t="s">
        <v>20</v>
      </c>
      <c r="B44" s="7">
        <v>579.49</v>
      </c>
      <c r="C44" s="7">
        <v>447.04</v>
      </c>
      <c r="D44" s="7">
        <v>468.77</v>
      </c>
      <c r="E44" s="7">
        <v>421.92</v>
      </c>
      <c r="F44" s="7">
        <v>498.62</v>
      </c>
      <c r="G44" s="7">
        <v>320.73</v>
      </c>
      <c r="H44" s="7">
        <v>454.68</v>
      </c>
      <c r="I44" s="7">
        <v>595.43</v>
      </c>
      <c r="J44" s="7">
        <v>682.52</v>
      </c>
      <c r="K44" s="7">
        <v>722.3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4.25" customHeight="1">
      <c r="A45" s="3" t="s">
        <v>21</v>
      </c>
      <c r="B45" s="7">
        <v>408.51</v>
      </c>
      <c r="C45" s="7">
        <v>414.13</v>
      </c>
      <c r="D45" s="7">
        <v>421.73</v>
      </c>
      <c r="E45" s="7">
        <v>429.59</v>
      </c>
      <c r="F45" s="7">
        <v>466.96</v>
      </c>
      <c r="G45" s="7">
        <v>438.12</v>
      </c>
      <c r="H45" s="7">
        <v>462.38</v>
      </c>
      <c r="I45" s="7">
        <v>447.11</v>
      </c>
      <c r="J45" s="7">
        <v>461.4</v>
      </c>
      <c r="K45" s="7">
        <v>442.46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4.25" customHeight="1">
      <c r="A46" s="3" t="s">
        <v>22</v>
      </c>
      <c r="B46" s="7">
        <v>2.88</v>
      </c>
      <c r="C46" s="7">
        <v>9.34</v>
      </c>
      <c r="D46" s="7">
        <v>9.75</v>
      </c>
      <c r="E46" s="7">
        <v>9.56</v>
      </c>
      <c r="F46" s="7">
        <v>10.71</v>
      </c>
      <c r="G46" s="7">
        <v>9.25</v>
      </c>
      <c r="H46" s="7">
        <v>12.59</v>
      </c>
      <c r="I46" s="7">
        <v>9.21</v>
      </c>
      <c r="J46" s="7">
        <v>12.15</v>
      </c>
      <c r="K46" s="7">
        <v>9.9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4.25" customHeight="1">
      <c r="A47" s="3" t="s">
        <v>23</v>
      </c>
      <c r="B47" s="7">
        <v>5039.22</v>
      </c>
      <c r="C47" s="7">
        <v>4467.31</v>
      </c>
      <c r="D47" s="7">
        <v>5054.89</v>
      </c>
      <c r="E47" s="7">
        <v>5580.44</v>
      </c>
      <c r="F47" s="7">
        <v>5620.35</v>
      </c>
      <c r="G47" s="7">
        <v>5950.49</v>
      </c>
      <c r="H47" s="7">
        <v>6238.81</v>
      </c>
      <c r="I47" s="7">
        <v>6843.81</v>
      </c>
      <c r="J47" s="7">
        <v>6832.97</v>
      </c>
      <c r="K47" s="7">
        <v>6940.01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4.25" customHeight="1">
      <c r="A48" s="3" t="s">
        <v>24</v>
      </c>
      <c r="B48" s="7">
        <v>1222.38</v>
      </c>
      <c r="C48" s="7">
        <v>1123.87</v>
      </c>
      <c r="D48" s="7">
        <v>1291.16</v>
      </c>
      <c r="E48" s="7">
        <v>1461.64</v>
      </c>
      <c r="F48" s="7">
        <v>1360.67</v>
      </c>
      <c r="G48" s="7">
        <v>1488.24</v>
      </c>
      <c r="H48" s="7">
        <v>1568.49</v>
      </c>
      <c r="I48" s="7">
        <v>1773.72</v>
      </c>
      <c r="J48" s="7">
        <v>1607.95</v>
      </c>
      <c r="K48" s="7">
        <v>1759.89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4.25" customHeight="1">
      <c r="A49" s="3" t="s">
        <v>25</v>
      </c>
      <c r="B49" s="7">
        <v>3755.47</v>
      </c>
      <c r="C49" s="7">
        <v>3276.48</v>
      </c>
      <c r="D49" s="7">
        <v>3713.76</v>
      </c>
      <c r="E49" s="7">
        <v>4056.73</v>
      </c>
      <c r="F49" s="7">
        <v>4195.69</v>
      </c>
      <c r="G49" s="7">
        <v>4389.76</v>
      </c>
      <c r="H49" s="7">
        <v>4619.77</v>
      </c>
      <c r="I49" s="7">
        <v>5006.65</v>
      </c>
      <c r="J49" s="7">
        <v>5175.48</v>
      </c>
      <c r="K49" s="7">
        <v>5104.93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4.25" customHeight="1">
      <c r="A50" s="3" t="s">
        <v>29</v>
      </c>
      <c r="B50" s="7">
        <v>4871.12</v>
      </c>
      <c r="C50" s="7">
        <v>4443.74</v>
      </c>
      <c r="D50" s="7">
        <v>5017.6</v>
      </c>
      <c r="E50" s="7">
        <v>5597.67</v>
      </c>
      <c r="F50" s="7">
        <v>5599.4</v>
      </c>
      <c r="G50" s="7">
        <v>6077.13</v>
      </c>
      <c r="H50" s="7">
        <v>6259.1</v>
      </c>
      <c r="I50" s="7">
        <v>6704.7</v>
      </c>
      <c r="J50" s="7">
        <v>6624.0</v>
      </c>
      <c r="K50" s="7">
        <v>6670.07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4.25" customHeight="1">
      <c r="A55" s="1" t="s">
        <v>30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4.25" customHeight="1">
      <c r="A56" s="8" t="s">
        <v>11</v>
      </c>
      <c r="B56" s="9">
        <v>41729.0</v>
      </c>
      <c r="C56" s="9">
        <v>42094.0</v>
      </c>
      <c r="D56" s="9">
        <v>42460.0</v>
      </c>
      <c r="E56" s="9">
        <v>42825.0</v>
      </c>
      <c r="F56" s="9">
        <v>43190.0</v>
      </c>
      <c r="G56" s="9">
        <v>43555.0</v>
      </c>
      <c r="H56" s="9">
        <v>43921.0</v>
      </c>
      <c r="I56" s="9">
        <v>44286.0</v>
      </c>
      <c r="J56" s="9">
        <v>44651.0</v>
      </c>
      <c r="K56" s="9">
        <v>45016.0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ht="14.25" customHeight="1">
      <c r="A57" s="3" t="s">
        <v>31</v>
      </c>
      <c r="B57" s="7">
        <v>795.32</v>
      </c>
      <c r="C57" s="7">
        <v>801.55</v>
      </c>
      <c r="D57" s="7">
        <v>804.72</v>
      </c>
      <c r="E57" s="7">
        <v>1214.74</v>
      </c>
      <c r="F57" s="7">
        <v>1220.43</v>
      </c>
      <c r="G57" s="7">
        <v>1225.86</v>
      </c>
      <c r="H57" s="7">
        <v>1229.22</v>
      </c>
      <c r="I57" s="7">
        <v>1230.88</v>
      </c>
      <c r="J57" s="7">
        <v>1232.33</v>
      </c>
      <c r="K57" s="7">
        <v>1242.8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4.25" customHeight="1">
      <c r="A58" s="3" t="s">
        <v>32</v>
      </c>
      <c r="B58" s="7">
        <v>26441.64</v>
      </c>
      <c r="C58" s="7">
        <v>30933.94</v>
      </c>
      <c r="D58" s="7">
        <v>41874.8</v>
      </c>
      <c r="E58" s="7">
        <v>45198.19</v>
      </c>
      <c r="F58" s="7">
        <v>51289.68</v>
      </c>
      <c r="G58" s="7">
        <v>57915.01</v>
      </c>
      <c r="H58" s="7">
        <v>64044.04</v>
      </c>
      <c r="I58" s="7">
        <v>59116.46</v>
      </c>
      <c r="J58" s="7">
        <v>61223.24</v>
      </c>
      <c r="K58" s="7">
        <v>67912.46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4.25" customHeight="1">
      <c r="A59" s="3" t="s">
        <v>33</v>
      </c>
      <c r="B59" s="7">
        <v>242.41</v>
      </c>
      <c r="C59" s="7">
        <v>268.8</v>
      </c>
      <c r="D59" s="7">
        <v>83.78</v>
      </c>
      <c r="E59" s="7">
        <v>45.72</v>
      </c>
      <c r="F59" s="7">
        <v>35.92</v>
      </c>
      <c r="G59" s="7">
        <v>13.44</v>
      </c>
      <c r="H59" s="7">
        <v>277.45</v>
      </c>
      <c r="I59" s="7">
        <v>270.83</v>
      </c>
      <c r="J59" s="7">
        <v>249.44</v>
      </c>
      <c r="K59" s="7">
        <v>306.04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4.25" customHeight="1">
      <c r="A60" s="3" t="s">
        <v>34</v>
      </c>
      <c r="B60" s="7">
        <v>13369.04</v>
      </c>
      <c r="C60" s="7">
        <v>13947.93</v>
      </c>
      <c r="D60" s="7">
        <v>8888.04</v>
      </c>
      <c r="E60" s="7">
        <v>9439.67</v>
      </c>
      <c r="F60" s="7">
        <v>11694.85</v>
      </c>
      <c r="G60" s="7">
        <v>12584.73</v>
      </c>
      <c r="H60" s="7">
        <v>11760.04</v>
      </c>
      <c r="I60" s="7">
        <v>13142.59</v>
      </c>
      <c r="J60" s="7">
        <v>14491.01</v>
      </c>
      <c r="K60" s="7">
        <v>16369.66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4.25" customHeight="1">
      <c r="A61" s="1" t="s">
        <v>35</v>
      </c>
      <c r="B61" s="7">
        <v>40848.41</v>
      </c>
      <c r="C61" s="7">
        <v>45952.22</v>
      </c>
      <c r="D61" s="7">
        <v>51651.34</v>
      </c>
      <c r="E61" s="7">
        <v>55898.32</v>
      </c>
      <c r="F61" s="7">
        <v>64240.88</v>
      </c>
      <c r="G61" s="7">
        <v>71739.04</v>
      </c>
      <c r="H61" s="7">
        <v>77310.75</v>
      </c>
      <c r="I61" s="7">
        <v>73760.76</v>
      </c>
      <c r="J61" s="7">
        <v>77196.02</v>
      </c>
      <c r="K61" s="7">
        <v>85830.96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3" t="s">
        <v>36</v>
      </c>
      <c r="B62" s="7">
        <v>12921.3</v>
      </c>
      <c r="C62" s="7">
        <v>15303.28</v>
      </c>
      <c r="D62" s="7">
        <v>15106.63</v>
      </c>
      <c r="E62" s="7">
        <v>15893.48</v>
      </c>
      <c r="F62" s="7">
        <v>16523.96</v>
      </c>
      <c r="G62" s="7">
        <v>19374.19</v>
      </c>
      <c r="H62" s="7">
        <v>21713.34</v>
      </c>
      <c r="I62" s="7">
        <v>23298.48</v>
      </c>
      <c r="J62" s="7">
        <v>24231.59</v>
      </c>
      <c r="K62" s="7">
        <v>25851.27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4.25" customHeight="1">
      <c r="A63" s="3" t="s">
        <v>37</v>
      </c>
      <c r="B63" s="7">
        <v>3117.37</v>
      </c>
      <c r="C63" s="7">
        <v>2700.2</v>
      </c>
      <c r="D63" s="7">
        <v>2559.72</v>
      </c>
      <c r="E63" s="7">
        <v>3729.89</v>
      </c>
      <c r="F63" s="7">
        <v>5508.33</v>
      </c>
      <c r="G63" s="7">
        <v>4136.42</v>
      </c>
      <c r="H63" s="7">
        <v>3256.46</v>
      </c>
      <c r="I63" s="7">
        <v>4011.29</v>
      </c>
      <c r="J63" s="7">
        <v>3225.54</v>
      </c>
      <c r="K63" s="7">
        <v>3003.3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4.25" customHeight="1">
      <c r="A64" s="3" t="s">
        <v>38</v>
      </c>
      <c r="B64" s="7">
        <v>7284.02</v>
      </c>
      <c r="C64" s="7">
        <v>6942.77</v>
      </c>
      <c r="D64" s="7">
        <v>11747.59</v>
      </c>
      <c r="E64" s="7">
        <v>17581.38</v>
      </c>
      <c r="F64" s="7">
        <v>22052.86</v>
      </c>
      <c r="G64" s="7">
        <v>25043.49</v>
      </c>
      <c r="H64" s="7">
        <v>28663.35</v>
      </c>
      <c r="I64" s="7">
        <v>24870.87</v>
      </c>
      <c r="J64" s="7">
        <v>24841.01</v>
      </c>
      <c r="K64" s="7">
        <v>29415.02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4.25" customHeight="1">
      <c r="A65" s="3" t="s">
        <v>39</v>
      </c>
      <c r="B65" s="7">
        <v>17525.72</v>
      </c>
      <c r="C65" s="7">
        <v>21005.97</v>
      </c>
      <c r="D65" s="7">
        <v>22237.4</v>
      </c>
      <c r="E65" s="7">
        <v>18693.57</v>
      </c>
      <c r="F65" s="7">
        <v>20155.73</v>
      </c>
      <c r="G65" s="7">
        <v>23184.94</v>
      </c>
      <c r="H65" s="7">
        <v>23677.6</v>
      </c>
      <c r="I65" s="7">
        <v>21580.12</v>
      </c>
      <c r="J65" s="7">
        <v>24897.88</v>
      </c>
      <c r="K65" s="7">
        <v>27561.37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4.25" customHeight="1">
      <c r="A66" s="1" t="s">
        <v>35</v>
      </c>
      <c r="B66" s="7">
        <v>40848.41</v>
      </c>
      <c r="C66" s="7">
        <v>45952.22</v>
      </c>
      <c r="D66" s="7">
        <v>51651.34</v>
      </c>
      <c r="E66" s="7">
        <v>55898.32</v>
      </c>
      <c r="F66" s="7">
        <v>64240.88</v>
      </c>
      <c r="G66" s="7">
        <v>71739.04</v>
      </c>
      <c r="H66" s="7">
        <v>77310.75</v>
      </c>
      <c r="I66" s="7">
        <v>73760.76</v>
      </c>
      <c r="J66" s="7">
        <v>77196.02</v>
      </c>
      <c r="K66" s="7">
        <v>85830.96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3" t="s">
        <v>40</v>
      </c>
      <c r="B67" s="7">
        <v>2439.21</v>
      </c>
      <c r="C67" s="7">
        <v>1982.07</v>
      </c>
      <c r="D67" s="7">
        <v>1917.18</v>
      </c>
      <c r="E67" s="7">
        <v>2474.29</v>
      </c>
      <c r="F67" s="7">
        <v>2682.29</v>
      </c>
      <c r="G67" s="7">
        <v>4035.28</v>
      </c>
      <c r="H67" s="7">
        <v>2562.48</v>
      </c>
      <c r="I67" s="7">
        <v>2501.7</v>
      </c>
      <c r="J67" s="7">
        <v>2461.9</v>
      </c>
      <c r="K67" s="7">
        <v>2956.17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4.25" customHeight="1">
      <c r="A68" s="3" t="s">
        <v>41</v>
      </c>
      <c r="B68" s="7">
        <v>8255.24</v>
      </c>
      <c r="C68" s="7">
        <v>8586.87</v>
      </c>
      <c r="D68" s="7">
        <v>9062.1</v>
      </c>
      <c r="E68" s="7">
        <v>8116.1</v>
      </c>
      <c r="F68" s="7">
        <v>7495.09</v>
      </c>
      <c r="G68" s="7">
        <v>7859.56</v>
      </c>
      <c r="H68" s="7">
        <v>8879.33</v>
      </c>
      <c r="I68" s="7">
        <v>10397.16</v>
      </c>
      <c r="J68" s="7">
        <v>10864.15</v>
      </c>
      <c r="K68" s="7">
        <v>11771.16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4.25" customHeight="1">
      <c r="A69" s="3" t="s">
        <v>42</v>
      </c>
      <c r="B69" s="7">
        <v>3490.19</v>
      </c>
      <c r="C69" s="7">
        <v>7896.22</v>
      </c>
      <c r="D69" s="7">
        <v>6063.3</v>
      </c>
      <c r="E69" s="7">
        <v>2967.4</v>
      </c>
      <c r="F69" s="7">
        <v>2899.6</v>
      </c>
      <c r="G69" s="7">
        <v>4152.03</v>
      </c>
      <c r="H69" s="7">
        <v>7277.34</v>
      </c>
      <c r="I69" s="7">
        <v>4659.02</v>
      </c>
      <c r="J69" s="7">
        <v>4654.42</v>
      </c>
      <c r="K69" s="7">
        <v>4880.19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4.25" customHeight="1">
      <c r="A70" s="3" t="s">
        <v>43</v>
      </c>
      <c r="B70" s="7">
        <v>7.95318295E9</v>
      </c>
      <c r="C70" s="7">
        <v>8.015519541E9</v>
      </c>
      <c r="D70" s="7">
        <v>8.047206991E9</v>
      </c>
      <c r="E70" s="7">
        <v>1.2147383071E10</v>
      </c>
      <c r="F70" s="7">
        <v>1.2204294911E10</v>
      </c>
      <c r="G70" s="7">
        <v>1.2258631601E10</v>
      </c>
      <c r="H70" s="7">
        <v>1.2292231241E10</v>
      </c>
      <c r="I70" s="7">
        <v>1.2308844231E10</v>
      </c>
      <c r="J70" s="7">
        <v>1.2323255931E10</v>
      </c>
      <c r="K70" s="7">
        <v>1.2428017741E10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4.25" customHeight="1">
      <c r="A71" s="3" t="s">
        <v>44</v>
      </c>
      <c r="B71" s="3"/>
      <c r="C71" s="3"/>
      <c r="D71" s="3"/>
      <c r="E71" s="7">
        <v>4.0266571E9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4.25" customHeight="1">
      <c r="A72" s="3" t="s">
        <v>45</v>
      </c>
      <c r="B72" s="7">
        <v>1.0</v>
      </c>
      <c r="C72" s="7">
        <v>1.0</v>
      </c>
      <c r="D72" s="7">
        <v>1.0</v>
      </c>
      <c r="E72" s="7">
        <v>1.0</v>
      </c>
      <c r="F72" s="7">
        <v>1.0</v>
      </c>
      <c r="G72" s="7">
        <v>1.0</v>
      </c>
      <c r="H72" s="7">
        <v>1.0</v>
      </c>
      <c r="I72" s="7">
        <v>1.0</v>
      </c>
      <c r="J72" s="7">
        <v>1.0</v>
      </c>
      <c r="K72" s="7">
        <v>1.0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4.25" customHeight="1">
      <c r="A80" s="1" t="s">
        <v>46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4.25" customHeight="1">
      <c r="A81" s="8" t="s">
        <v>11</v>
      </c>
      <c r="B81" s="9">
        <v>41729.0</v>
      </c>
      <c r="C81" s="9">
        <v>42094.0</v>
      </c>
      <c r="D81" s="9">
        <v>42460.0</v>
      </c>
      <c r="E81" s="9">
        <v>42825.0</v>
      </c>
      <c r="F81" s="9">
        <v>43190.0</v>
      </c>
      <c r="G81" s="9">
        <v>43555.0</v>
      </c>
      <c r="H81" s="9">
        <v>43921.0</v>
      </c>
      <c r="I81" s="9">
        <v>44286.0</v>
      </c>
      <c r="J81" s="9">
        <v>44651.0</v>
      </c>
      <c r="K81" s="9">
        <v>45016.0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ht="14.25" customHeight="1">
      <c r="A82" s="3" t="s">
        <v>47</v>
      </c>
      <c r="B82" s="7">
        <v>7343.58</v>
      </c>
      <c r="C82" s="7">
        <v>9843.2</v>
      </c>
      <c r="D82" s="7">
        <v>9799.04</v>
      </c>
      <c r="E82" s="7">
        <v>10627.31</v>
      </c>
      <c r="F82" s="7">
        <v>13169.4</v>
      </c>
      <c r="G82" s="7">
        <v>12583.41</v>
      </c>
      <c r="H82" s="7">
        <v>14689.66</v>
      </c>
      <c r="I82" s="7">
        <v>12526.97</v>
      </c>
      <c r="J82" s="7">
        <v>15775.51</v>
      </c>
      <c r="K82" s="7">
        <v>18877.55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3" t="s">
        <v>48</v>
      </c>
      <c r="B83" s="7">
        <v>-3254.08</v>
      </c>
      <c r="C83" s="7">
        <v>-5275.43</v>
      </c>
      <c r="D83" s="7">
        <v>-3920.73</v>
      </c>
      <c r="E83" s="7">
        <v>-3250.93</v>
      </c>
      <c r="F83" s="7">
        <v>-7113.89</v>
      </c>
      <c r="G83" s="7">
        <v>-5545.68</v>
      </c>
      <c r="H83" s="7">
        <v>-6174.02</v>
      </c>
      <c r="I83" s="7">
        <v>5739.98</v>
      </c>
      <c r="J83" s="7">
        <v>-2238.49</v>
      </c>
      <c r="K83" s="7">
        <v>-5732.29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4.25" customHeight="1">
      <c r="A84" s="3" t="s">
        <v>49</v>
      </c>
      <c r="B84" s="7">
        <v>-4121.54</v>
      </c>
      <c r="C84" s="7">
        <v>-4661.03</v>
      </c>
      <c r="D84" s="7">
        <v>-5612.52</v>
      </c>
      <c r="E84" s="7">
        <v>-7301.03</v>
      </c>
      <c r="F84" s="7">
        <v>-6221.13</v>
      </c>
      <c r="G84" s="7">
        <v>-6868.64</v>
      </c>
      <c r="H84" s="7">
        <v>-8181.48</v>
      </c>
      <c r="I84" s="7">
        <v>-18633.83</v>
      </c>
      <c r="J84" s="7">
        <v>-13580.5</v>
      </c>
      <c r="K84" s="7">
        <v>-13006.03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4.25" customHeight="1">
      <c r="A85" s="3" t="s">
        <v>50</v>
      </c>
      <c r="B85" s="7">
        <v>-32.04</v>
      </c>
      <c r="C85" s="7">
        <v>-93.26</v>
      </c>
      <c r="D85" s="7">
        <v>265.79</v>
      </c>
      <c r="E85" s="7">
        <v>75.35</v>
      </c>
      <c r="F85" s="7">
        <v>-165.62</v>
      </c>
      <c r="G85" s="7">
        <v>169.09</v>
      </c>
      <c r="H85" s="7">
        <v>334.16</v>
      </c>
      <c r="I85" s="7">
        <v>-366.88</v>
      </c>
      <c r="J85" s="7">
        <v>-43.48</v>
      </c>
      <c r="K85" s="7">
        <v>139.23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4.25" customHeight="1">
      <c r="A90" s="1" t="s">
        <v>51</v>
      </c>
      <c r="B90" s="7">
        <v>235.23</v>
      </c>
      <c r="C90" s="7">
        <v>217.23</v>
      </c>
      <c r="D90" s="7">
        <v>218.83</v>
      </c>
      <c r="E90" s="7">
        <v>280.3</v>
      </c>
      <c r="F90" s="7">
        <v>255.5</v>
      </c>
      <c r="G90" s="7">
        <v>297.25</v>
      </c>
      <c r="H90" s="7">
        <v>171.7</v>
      </c>
      <c r="I90" s="7">
        <v>218.5</v>
      </c>
      <c r="J90" s="7">
        <v>250.65</v>
      </c>
      <c r="K90" s="7">
        <v>383.5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4.25" customHeight="1">
      <c r="A92" s="1" t="s">
        <v>52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3" t="s">
        <v>53</v>
      </c>
      <c r="B93" s="11">
        <v>1192.98</v>
      </c>
      <c r="C93" s="11">
        <v>1202.33</v>
      </c>
      <c r="D93" s="11">
        <v>1207.08</v>
      </c>
      <c r="E93" s="11">
        <v>1214.74</v>
      </c>
      <c r="F93" s="11">
        <v>1220.43</v>
      </c>
      <c r="G93" s="11">
        <v>1225.86</v>
      </c>
      <c r="H93" s="11">
        <v>1229.22</v>
      </c>
      <c r="I93" s="11">
        <v>1230.88</v>
      </c>
      <c r="J93" s="11">
        <v>1232.33</v>
      </c>
      <c r="K93" s="11">
        <v>1242.8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E1:K1"/>
    <mergeCell ref="E2:K2"/>
  </mergeCells>
  <conditionalFormatting sqref="E1:K1">
    <cfRule type="cellIs" dxfId="0" priority="1" operator="notEqual">
      <formula>""</formula>
    </cfRule>
  </conditionalFormatting>
  <printOptions horizontalCentered="1" verticalCentered="1"/>
  <pageMargins bottom="0.75" footer="0.0" header="0.0" left="0.25" right="0.25" top="0.75"/>
  <pageSetup paperSize="3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 outlineLevelRow="1"/>
  <cols>
    <col customWidth="1" min="1" max="1" width="32.43"/>
    <col customWidth="1" min="2" max="2" width="13.86"/>
    <col customWidth="1" min="3" max="3" width="12.86"/>
    <col customWidth="1" min="4" max="4" width="28.43"/>
    <col customWidth="1" min="5" max="5" width="15.0"/>
    <col customWidth="1" min="6" max="13" width="13.71"/>
    <col customWidth="1" min="14" max="14" width="15.86"/>
    <col customWidth="1" min="15" max="16" width="14.71"/>
    <col customWidth="1" min="17" max="17" width="16.29"/>
    <col customWidth="1" min="18" max="33" width="9.14"/>
  </cols>
  <sheetData>
    <row r="1">
      <c r="A1" s="443" t="s">
        <v>66</v>
      </c>
      <c r="B1" s="133"/>
      <c r="C1" s="179" t="s">
        <v>67</v>
      </c>
      <c r="D1" s="135"/>
      <c r="E1" s="135"/>
      <c r="F1" s="133"/>
      <c r="G1" s="180" t="s">
        <v>68</v>
      </c>
      <c r="H1" s="181" t="s">
        <v>69</v>
      </c>
      <c r="I1" s="182"/>
      <c r="J1" s="182"/>
      <c r="K1" s="184"/>
      <c r="L1" s="444"/>
      <c r="M1" s="445"/>
      <c r="N1" s="444"/>
      <c r="O1" s="444"/>
      <c r="P1" s="444"/>
      <c r="Q1" s="444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</row>
    <row r="2" ht="44.25" customHeight="1">
      <c r="A2" s="446" t="s">
        <v>371</v>
      </c>
      <c r="B2" s="6"/>
      <c r="C2" s="141" t="str">
        <f>'Data Sheet'!B1</f>
        <v>ITC LTD</v>
      </c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142"/>
      <c r="P2" s="142"/>
      <c r="Q2" s="142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</row>
    <row r="3" ht="16.5" customHeight="1">
      <c r="A3" s="29"/>
      <c r="B3" s="447"/>
      <c r="C3" s="448"/>
      <c r="D3" s="447"/>
      <c r="E3" s="447"/>
      <c r="F3" s="447"/>
      <c r="G3" s="447"/>
      <c r="H3" s="447"/>
      <c r="I3" s="447"/>
      <c r="J3" s="447"/>
      <c r="K3" s="447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ht="44.25" customHeight="1">
      <c r="A4" s="449" t="s">
        <v>372</v>
      </c>
      <c r="B4" s="133"/>
      <c r="C4" s="450"/>
      <c r="D4" s="450"/>
      <c r="E4" s="203">
        <f>'Finanical Statment'!L3+1</f>
        <v>2024</v>
      </c>
      <c r="F4" s="203">
        <f t="shared" ref="F4:N4" si="1">E4+1</f>
        <v>2025</v>
      </c>
      <c r="G4" s="203">
        <f t="shared" si="1"/>
        <v>2026</v>
      </c>
      <c r="H4" s="203">
        <f t="shared" si="1"/>
        <v>2027</v>
      </c>
      <c r="I4" s="203">
        <f t="shared" si="1"/>
        <v>2028</v>
      </c>
      <c r="J4" s="203">
        <f t="shared" si="1"/>
        <v>2029</v>
      </c>
      <c r="K4" s="203">
        <f t="shared" si="1"/>
        <v>2030</v>
      </c>
      <c r="L4" s="203">
        <f t="shared" si="1"/>
        <v>2031</v>
      </c>
      <c r="M4" s="203">
        <f t="shared" si="1"/>
        <v>2032</v>
      </c>
      <c r="N4" s="205">
        <f t="shared" si="1"/>
        <v>2033</v>
      </c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ht="16.5" customHeight="1" outlineLevel="1">
      <c r="A5" s="29"/>
      <c r="B5" s="447"/>
      <c r="C5" s="448"/>
      <c r="D5" s="447"/>
      <c r="E5" s="447"/>
      <c r="F5" s="447"/>
      <c r="G5" s="447"/>
      <c r="H5" s="447"/>
      <c r="I5" s="447"/>
      <c r="J5" s="447"/>
      <c r="K5" s="447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ht="17.25" customHeight="1" outlineLevel="1">
      <c r="A6" s="150" t="s">
        <v>373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outlineLevel="1">
      <c r="A7" s="451" t="s">
        <v>374</v>
      </c>
      <c r="B7" s="452">
        <v>0.2</v>
      </c>
      <c r="C7" s="44"/>
      <c r="D7" s="453" t="s">
        <v>375</v>
      </c>
      <c r="E7" s="454">
        <f>(B11*B7)+B11</f>
        <v>15138.756</v>
      </c>
      <c r="F7" s="454">
        <f t="shared" ref="F7:I7" si="2">(E7*$B$7)+E7</f>
        <v>18166.5072</v>
      </c>
      <c r="G7" s="454">
        <f t="shared" si="2"/>
        <v>21799.80864</v>
      </c>
      <c r="H7" s="454">
        <f t="shared" si="2"/>
        <v>26159.77037</v>
      </c>
      <c r="I7" s="454">
        <f t="shared" si="2"/>
        <v>31391.72444</v>
      </c>
      <c r="J7" s="454">
        <f t="shared" ref="J7:N7" si="3">(I7*$B$8)+I7</f>
        <v>37670.06933</v>
      </c>
      <c r="K7" s="454">
        <f t="shared" si="3"/>
        <v>45204.0832</v>
      </c>
      <c r="L7" s="454">
        <f t="shared" si="3"/>
        <v>54244.89984</v>
      </c>
      <c r="M7" s="454">
        <f t="shared" si="3"/>
        <v>65093.8798</v>
      </c>
      <c r="N7" s="455">
        <f t="shared" si="3"/>
        <v>78112.65576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outlineLevel="1">
      <c r="A8" s="212" t="s">
        <v>376</v>
      </c>
      <c r="B8" s="456">
        <v>0.2</v>
      </c>
      <c r="C8" s="44"/>
      <c r="D8" s="457" t="s">
        <v>377</v>
      </c>
      <c r="E8" s="458"/>
      <c r="F8" s="458"/>
      <c r="G8" s="458"/>
      <c r="H8" s="458"/>
      <c r="I8" s="458"/>
      <c r="J8" s="458"/>
      <c r="K8" s="458"/>
      <c r="L8" s="458"/>
      <c r="M8" s="458"/>
      <c r="N8" s="459">
        <f>((N7*B9)+N7)/(B10-B9)</f>
        <v>885276.7653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outlineLevel="1">
      <c r="A9" s="212" t="s">
        <v>378</v>
      </c>
      <c r="B9" s="456">
        <v>0.02</v>
      </c>
      <c r="C9" s="44"/>
      <c r="D9" s="460" t="s">
        <v>379</v>
      </c>
      <c r="E9" s="461">
        <f>E7/(1+$B$10)^(E4-'Finanical Statment'!$L$3)</f>
        <v>13638.51892</v>
      </c>
      <c r="F9" s="461">
        <f>F7/(1+$B$10)^(F4-'Finanical Statment'!$L$3)</f>
        <v>14744.34478</v>
      </c>
      <c r="G9" s="461">
        <f>G7/(1+$B$10)^(G4-'Finanical Statment'!$L$3)</f>
        <v>15939.83219</v>
      </c>
      <c r="H9" s="461">
        <f>H7/(1+$B$10)^(H4-'Finanical Statment'!$L$3)</f>
        <v>17232.25102</v>
      </c>
      <c r="I9" s="461">
        <f>I7/(1+$B$10)^(I4-'Finanical Statment'!$L$3)</f>
        <v>18629.46056</v>
      </c>
      <c r="J9" s="461">
        <f>J7/(1+$B$10)^(J4-'Finanical Statment'!$L$3)</f>
        <v>20139.95736</v>
      </c>
      <c r="K9" s="461">
        <f>K7/(1+$B$10)^(K4-'Finanical Statment'!$L$3)</f>
        <v>21772.92688</v>
      </c>
      <c r="L9" s="461">
        <f>L7/(1+$B$10)^(L4-'Finanical Statment'!$L$3)</f>
        <v>23538.29933</v>
      </c>
      <c r="M9" s="461">
        <f>M7/(1+$B$10)^(M4-'Finanical Statment'!$L$3)</f>
        <v>25446.81008</v>
      </c>
      <c r="N9" s="462">
        <f>N7/(1+$B$10)^(N4-'Finanical Statment'!$L$3)</f>
        <v>27510.06496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</row>
    <row r="10" outlineLevel="1">
      <c r="A10" s="212" t="s">
        <v>380</v>
      </c>
      <c r="B10" s="463">
        <v>0.11</v>
      </c>
      <c r="C10" s="44"/>
      <c r="D10" s="464" t="s">
        <v>381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6">
        <f>N8/(1+$B$10)^(N4-'Finanical Statment'!$L$3)</f>
        <v>311780.7362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outlineLevel="1">
      <c r="A11" s="227" t="s">
        <v>382</v>
      </c>
      <c r="B11" s="467">
        <f>IF('Finanical Statment'!L95&gt;0,'Finanical Statment'!L95,0)</f>
        <v>12615.63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outlineLevel="1">
      <c r="A12" s="44"/>
      <c r="B12" s="468"/>
      <c r="C12" s="44"/>
      <c r="D12" s="274" t="s">
        <v>383</v>
      </c>
      <c r="E12" s="166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</row>
    <row r="13" outlineLevel="1">
      <c r="A13" s="47" t="s">
        <v>384</v>
      </c>
      <c r="B13" s="468"/>
      <c r="C13" s="44"/>
      <c r="D13" s="212" t="s">
        <v>385</v>
      </c>
      <c r="E13" s="469">
        <f>SUM(E9:N9)</f>
        <v>198592.4661</v>
      </c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</row>
    <row r="14" outlineLevel="1">
      <c r="A14" s="451" t="str">
        <f>'Finanical Statment'!A98</f>
        <v>Price</v>
      </c>
      <c r="B14" s="470">
        <f>'Finanical Statment'!B107</f>
        <v>442.6</v>
      </c>
      <c r="C14" s="44"/>
      <c r="D14" s="471" t="s">
        <v>386</v>
      </c>
      <c r="E14" s="472">
        <f>N10</f>
        <v>311780.7362</v>
      </c>
      <c r="F14" s="153"/>
      <c r="G14" s="44"/>
      <c r="H14" s="44"/>
      <c r="I14" s="44"/>
      <c r="J14" s="44"/>
      <c r="K14" s="44"/>
      <c r="L14" s="153"/>
      <c r="M14" s="153"/>
      <c r="N14" s="153"/>
      <c r="O14" s="109"/>
      <c r="P14" s="109"/>
      <c r="Q14" s="109"/>
      <c r="R14" s="109"/>
      <c r="S14" s="109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</row>
    <row r="15" outlineLevel="1">
      <c r="A15" s="212" t="str">
        <f>'Finanical Statment'!A99</f>
        <v>Adjusted Eq Shares </v>
      </c>
      <c r="B15" s="473">
        <f>'Finanical Statment'!B105</f>
        <v>1247.023836</v>
      </c>
      <c r="C15" s="44"/>
      <c r="D15" s="474" t="s">
        <v>387</v>
      </c>
      <c r="E15" s="475">
        <f>E13+E14</f>
        <v>510373.2022</v>
      </c>
      <c r="F15" s="44"/>
      <c r="G15" s="44"/>
      <c r="H15" s="44"/>
      <c r="I15" s="44"/>
      <c r="J15" s="44"/>
      <c r="K15" s="44"/>
      <c r="L15" s="44"/>
      <c r="M15" s="44"/>
      <c r="N15" s="44"/>
      <c r="O15" s="109"/>
      <c r="P15" s="109"/>
      <c r="Q15" s="109"/>
      <c r="R15" s="109"/>
      <c r="S15" s="109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</row>
    <row r="16" outlineLevel="1">
      <c r="A16" s="212" t="str">
        <f>'Finanical Statment'!A100</f>
        <v>Market Cap</v>
      </c>
      <c r="B16" s="473">
        <f>'Finanical Statment'!B108</f>
        <v>551932.75</v>
      </c>
      <c r="C16" s="44"/>
      <c r="D16" s="44"/>
      <c r="E16" s="199"/>
      <c r="F16" s="199"/>
      <c r="G16" s="199"/>
      <c r="H16" s="44"/>
      <c r="I16" s="44"/>
      <c r="J16" s="44"/>
      <c r="K16" s="44"/>
      <c r="L16" s="44"/>
      <c r="M16" s="44"/>
      <c r="N16" s="44"/>
      <c r="O16" s="109"/>
      <c r="P16" s="109"/>
      <c r="Q16" s="109"/>
      <c r="R16" s="109"/>
      <c r="S16" s="109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</row>
    <row r="17" outlineLevel="1">
      <c r="A17" s="227" t="str">
        <f>'Finanical Statment'!A101</f>
        <v>Enterprise Value (EV)</v>
      </c>
      <c r="B17" s="476">
        <f>'Finanical Statment'!L101</f>
        <v>481187.95</v>
      </c>
      <c r="C17" s="44"/>
      <c r="D17" s="477" t="s">
        <v>388</v>
      </c>
      <c r="E17" s="478" t="s">
        <v>389</v>
      </c>
      <c r="F17" s="479" t="s">
        <v>390</v>
      </c>
      <c r="G17" s="335"/>
      <c r="H17" s="44"/>
      <c r="I17" s="44"/>
      <c r="J17" s="44"/>
      <c r="K17" s="44"/>
      <c r="L17" s="44"/>
      <c r="M17" s="44"/>
      <c r="N17" s="44"/>
      <c r="O17" s="109"/>
      <c r="P17" s="109"/>
      <c r="Q17" s="109"/>
      <c r="R17" s="109"/>
      <c r="S17" s="109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</row>
    <row r="18" outlineLevel="1">
      <c r="A18" s="44"/>
      <c r="B18" s="468"/>
      <c r="C18" s="44"/>
      <c r="D18" s="480" t="str">
        <f t="shared" ref="D18:E18" si="4">A16</f>
        <v>Market Cap</v>
      </c>
      <c r="E18" s="481">
        <f t="shared" si="4"/>
        <v>551932.75</v>
      </c>
      <c r="F18" s="470">
        <f>E15</f>
        <v>510373.2022</v>
      </c>
      <c r="G18" s="44"/>
      <c r="H18" s="482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</row>
    <row r="19" ht="17.25" customHeight="1" outlineLevel="1">
      <c r="A19" s="47" t="s">
        <v>391</v>
      </c>
      <c r="B19" s="468"/>
      <c r="C19" s="44"/>
      <c r="D19" s="483" t="s">
        <v>392</v>
      </c>
      <c r="E19" s="484">
        <f>E18/B15</f>
        <v>442.6</v>
      </c>
      <c r="F19" s="476">
        <f>F18/B15</f>
        <v>409.2730125</v>
      </c>
      <c r="G19" s="44"/>
      <c r="H19" s="482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</row>
    <row r="20" outlineLevel="1">
      <c r="A20" s="485" t="str">
        <f>'Finanical Statment'!A59</f>
        <v>Borrowings</v>
      </c>
      <c r="B20" s="470">
        <f>'Finanical Statment'!L59</f>
        <v>306.04</v>
      </c>
      <c r="C20" s="44"/>
      <c r="D20" s="44"/>
      <c r="E20" s="44"/>
      <c r="F20" s="316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</row>
    <row r="21" outlineLevel="1">
      <c r="A21" s="215" t="str">
        <f>'Finanical Statment'!A82</f>
        <v>Cash &amp; Eq</v>
      </c>
      <c r="B21" s="486">
        <f>'Finanical Statment'!L82</f>
        <v>4880.19</v>
      </c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</row>
    <row r="22" outlineLevel="1">
      <c r="A22" s="474" t="s">
        <v>391</v>
      </c>
      <c r="B22" s="487">
        <f>B20-B21</f>
        <v>-4574.15</v>
      </c>
      <c r="C22" s="44"/>
      <c r="D22" s="488" t="str">
        <f>IF(E19&gt;F19,"Overvalued By ","Undervalued By ")</f>
        <v>Overvalued By </v>
      </c>
      <c r="E22" s="489">
        <f>IF(B11=0,0,IF(E19&gt;F19,((E19/F19)-1),((F19/E19)-1)))</f>
        <v>0.08142972159</v>
      </c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</row>
    <row r="23" outlineLevel="1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>
      <c r="A25" s="434" t="s">
        <v>393</v>
      </c>
      <c r="B25" s="133"/>
      <c r="C25" s="490"/>
      <c r="D25" s="490"/>
      <c r="E25" s="491">
        <v>2014.0</v>
      </c>
      <c r="F25" s="491">
        <f t="shared" ref="F25:N25" si="5">E25+1</f>
        <v>2015</v>
      </c>
      <c r="G25" s="491">
        <f t="shared" si="5"/>
        <v>2016</v>
      </c>
      <c r="H25" s="491">
        <f t="shared" si="5"/>
        <v>2017</v>
      </c>
      <c r="I25" s="491">
        <f t="shared" si="5"/>
        <v>2018</v>
      </c>
      <c r="J25" s="491">
        <f t="shared" si="5"/>
        <v>2019</v>
      </c>
      <c r="K25" s="491">
        <f t="shared" si="5"/>
        <v>2020</v>
      </c>
      <c r="L25" s="491">
        <f t="shared" si="5"/>
        <v>2021</v>
      </c>
      <c r="M25" s="491">
        <f t="shared" si="5"/>
        <v>2022</v>
      </c>
      <c r="N25" s="491">
        <f t="shared" si="5"/>
        <v>2023</v>
      </c>
      <c r="O25" s="491" t="s">
        <v>394</v>
      </c>
      <c r="P25" s="491" t="s">
        <v>395</v>
      </c>
      <c r="Q25" s="492" t="s">
        <v>396</v>
      </c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</row>
    <row r="26" outlineLevel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</row>
    <row r="27" outlineLevel="1">
      <c r="A27" s="47" t="s">
        <v>397</v>
      </c>
      <c r="B27" s="47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</row>
    <row r="28" outlineLevel="1">
      <c r="A28" s="451" t="s">
        <v>398</v>
      </c>
      <c r="B28" s="452">
        <v>0.12</v>
      </c>
      <c r="C28" s="44"/>
      <c r="D28" s="493" t="s">
        <v>89</v>
      </c>
      <c r="E28" s="494">
        <f>'Finanical Statment'!C34</f>
        <v>8990.62</v>
      </c>
      <c r="F28" s="494">
        <f>'Finanical Statment'!D34</f>
        <v>9765.63</v>
      </c>
      <c r="G28" s="494">
        <f>'Finanical Statment'!E34</f>
        <v>9500.86</v>
      </c>
      <c r="H28" s="494">
        <f>'Finanical Statment'!F34</f>
        <v>10477.23</v>
      </c>
      <c r="I28" s="494">
        <f>'Finanical Statment'!G34</f>
        <v>11492.68</v>
      </c>
      <c r="J28" s="494">
        <f>'Finanical Statment'!H34</f>
        <v>12835.9</v>
      </c>
      <c r="K28" s="494">
        <f>'Finanical Statment'!I34</f>
        <v>15592.78</v>
      </c>
      <c r="L28" s="494">
        <f>'Finanical Statment'!J34</f>
        <v>13382.88</v>
      </c>
      <c r="M28" s="494">
        <f>'Finanical Statment'!K34</f>
        <v>15503.13</v>
      </c>
      <c r="N28" s="494">
        <f>'Finanical Statment'!L34</f>
        <v>19476.72</v>
      </c>
      <c r="O28" s="495">
        <f>(N28/L28)^(1/3)-1</f>
        <v>0.133240479</v>
      </c>
      <c r="P28" s="496">
        <f>(N28/J28)^(1/5)-1</f>
        <v>0.0869708542</v>
      </c>
      <c r="Q28" s="497">
        <f>(N28/E28)^(1/5)-1</f>
        <v>0.1671998841</v>
      </c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</row>
    <row r="29" outlineLevel="1">
      <c r="A29" s="212" t="s">
        <v>399</v>
      </c>
      <c r="B29" s="463">
        <v>0.12</v>
      </c>
      <c r="C29" s="44"/>
      <c r="D29" s="498" t="str">
        <f>'Finanical Statment'!A35</f>
        <v>Net Profit Margin</v>
      </c>
      <c r="E29" s="394">
        <f>'Finanical Statment'!C35</f>
        <v>0.2546454003</v>
      </c>
      <c r="F29" s="394">
        <f>'Finanical Statment'!D35</f>
        <v>0.2515802938</v>
      </c>
      <c r="G29" s="394">
        <f>'Finanical Statment'!E35</f>
        <v>0.2424177321</v>
      </c>
      <c r="H29" s="394">
        <f>'Finanical Statment'!F35</f>
        <v>0.244980546</v>
      </c>
      <c r="I29" s="394">
        <f>'Finanical Statment'!G35</f>
        <v>0.2645100203</v>
      </c>
      <c r="J29" s="394">
        <f>'Finanical Statment'!H35</f>
        <v>0.2655360266</v>
      </c>
      <c r="K29" s="394">
        <f>'Finanical Statment'!I35</f>
        <v>0.3157219308</v>
      </c>
      <c r="L29" s="394">
        <f>'Finanical Statment'!J35</f>
        <v>0.2716925054</v>
      </c>
      <c r="M29" s="394">
        <f>'Finanical Statment'!K35</f>
        <v>0.255639337</v>
      </c>
      <c r="N29" s="394">
        <f>'Finanical Statment'!L35</f>
        <v>0.2746331979</v>
      </c>
      <c r="O29" s="499"/>
      <c r="P29" s="316"/>
      <c r="Q29" s="500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</row>
    <row r="30" outlineLevel="1">
      <c r="A30" s="212" t="s">
        <v>400</v>
      </c>
      <c r="B30" s="473">
        <f>FV(B28,10,0,-N28)</f>
        <v>60491.73592</v>
      </c>
      <c r="C30" s="44"/>
      <c r="D30" s="501" t="str">
        <f>'Key ratios'!A43</f>
        <v>Return on Equity ROE</v>
      </c>
      <c r="E30" s="502">
        <f>'Key ratios'!B43</f>
        <v>0.3300889673</v>
      </c>
      <c r="F30" s="502">
        <f>'Key ratios'!C43</f>
        <v>0.3077195279</v>
      </c>
      <c r="G30" s="502">
        <f>'Key ratios'!D43</f>
        <v>0.2226093452</v>
      </c>
      <c r="H30" s="502">
        <f>'Key ratios'!E43</f>
        <v>0.2257394653</v>
      </c>
      <c r="I30" s="502">
        <f>'Key ratios'!F43</f>
        <v>0.2188660431</v>
      </c>
      <c r="J30" s="502">
        <f>'Key ratios'!G43</f>
        <v>0.2170394179</v>
      </c>
      <c r="K30" s="502">
        <f>'Key ratios'!H43</f>
        <v>0.238884652</v>
      </c>
      <c r="L30" s="502">
        <f>'Key ratios'!I43</f>
        <v>0.221764207</v>
      </c>
      <c r="M30" s="502">
        <f>'Key ratios'!J43</f>
        <v>0.2482265393</v>
      </c>
      <c r="N30" s="502">
        <f>'Key ratios'!K43</f>
        <v>0.281637579</v>
      </c>
      <c r="O30" s="503"/>
      <c r="P30" s="504"/>
      <c r="Q30" s="505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</row>
    <row r="31" outlineLevel="1">
      <c r="A31" s="212" t="s">
        <v>401</v>
      </c>
      <c r="B31" s="506">
        <f>B35/N28</f>
        <v>28.33807489</v>
      </c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</row>
    <row r="32" outlineLevel="1">
      <c r="A32" s="212" t="s">
        <v>402</v>
      </c>
      <c r="B32" s="507">
        <v>20.0</v>
      </c>
      <c r="C32" s="44"/>
      <c r="D32" s="477" t="s">
        <v>388</v>
      </c>
      <c r="E32" s="478" t="s">
        <v>389</v>
      </c>
      <c r="F32" s="479" t="s">
        <v>403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outlineLevel="1">
      <c r="A33" s="212" t="s">
        <v>404</v>
      </c>
      <c r="B33" s="473">
        <f>B32*B30</f>
        <v>1209834.718</v>
      </c>
      <c r="C33" s="44"/>
      <c r="D33" s="480" t="s">
        <v>123</v>
      </c>
      <c r="E33" s="481">
        <f>B35</f>
        <v>551932.75</v>
      </c>
      <c r="F33" s="470">
        <f>B34</f>
        <v>389534.4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outlineLevel="1">
      <c r="A34" s="212" t="s">
        <v>405</v>
      </c>
      <c r="B34" s="473">
        <f>PV(B29,10,0,-B33)</f>
        <v>389534.4</v>
      </c>
      <c r="C34" s="44"/>
      <c r="D34" s="483" t="s">
        <v>392</v>
      </c>
      <c r="E34" s="484">
        <f>E33/B15</f>
        <v>442.6</v>
      </c>
      <c r="F34" s="476">
        <f>F33/B15</f>
        <v>312.3712544</v>
      </c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 outlineLevel="1">
      <c r="A35" s="227" t="s">
        <v>406</v>
      </c>
      <c r="B35" s="476">
        <f>'Finanical Statment'!B108</f>
        <v>551932.75</v>
      </c>
      <c r="C35" s="44"/>
      <c r="D35" s="44"/>
      <c r="E35" s="44"/>
      <c r="F35" s="316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</row>
    <row r="36" outlineLevel="1">
      <c r="A36" s="44"/>
      <c r="B36" s="44"/>
      <c r="C36" s="44"/>
      <c r="D36" s="488" t="str">
        <f>IF(E34&gt;F34,"Overvalued By ","Undervalued By ")</f>
        <v>Overvalued By </v>
      </c>
      <c r="E36" s="489">
        <f>IF(E34&gt;F34,((E34/F34)-1),((F34/E34)-1))</f>
        <v>0.4169037446</v>
      </c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>
      <c r="A37" s="44"/>
      <c r="B37" s="44"/>
      <c r="C37" s="44"/>
      <c r="D37" s="20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>
      <c r="A38" s="508" t="s">
        <v>407</v>
      </c>
      <c r="B38" s="133"/>
      <c r="C38" s="450"/>
      <c r="D38" s="450"/>
      <c r="E38" s="203">
        <f>N25</f>
        <v>2023</v>
      </c>
      <c r="F38" s="203">
        <f t="shared" ref="F38:O38" si="6">E38+1</f>
        <v>2024</v>
      </c>
      <c r="G38" s="203">
        <f t="shared" si="6"/>
        <v>2025</v>
      </c>
      <c r="H38" s="203">
        <f t="shared" si="6"/>
        <v>2026</v>
      </c>
      <c r="I38" s="203">
        <f t="shared" si="6"/>
        <v>2027</v>
      </c>
      <c r="J38" s="203">
        <f t="shared" si="6"/>
        <v>2028</v>
      </c>
      <c r="K38" s="203">
        <f t="shared" si="6"/>
        <v>2029</v>
      </c>
      <c r="L38" s="203">
        <f t="shared" si="6"/>
        <v>2030</v>
      </c>
      <c r="M38" s="203">
        <f t="shared" si="6"/>
        <v>2031</v>
      </c>
      <c r="N38" s="203">
        <f t="shared" si="6"/>
        <v>2032</v>
      </c>
      <c r="O38" s="205">
        <f t="shared" si="6"/>
        <v>2033</v>
      </c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 outlineLevel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</row>
    <row r="40" outlineLevel="1">
      <c r="A40" s="47" t="s">
        <v>397</v>
      </c>
      <c r="B40" s="44"/>
      <c r="C40" s="44"/>
      <c r="D40" s="451" t="s">
        <v>408</v>
      </c>
      <c r="E40" s="509">
        <f>'Finanical Statment'!K68</f>
        <v>62455.57</v>
      </c>
      <c r="F40" s="509">
        <f t="shared" ref="F40:O40" si="7">E43</f>
        <v>69155.26</v>
      </c>
      <c r="G40" s="509">
        <f t="shared" si="7"/>
        <v>72554.4776</v>
      </c>
      <c r="H40" s="509">
        <f t="shared" si="7"/>
        <v>76463.57784</v>
      </c>
      <c r="I40" s="509">
        <f t="shared" si="7"/>
        <v>80959.04311</v>
      </c>
      <c r="J40" s="509">
        <f t="shared" si="7"/>
        <v>86128.82817</v>
      </c>
      <c r="K40" s="509">
        <f t="shared" si="7"/>
        <v>92074.081</v>
      </c>
      <c r="L40" s="509">
        <f t="shared" si="7"/>
        <v>98911.12174</v>
      </c>
      <c r="M40" s="509">
        <f t="shared" si="7"/>
        <v>106773.7186</v>
      </c>
      <c r="N40" s="509">
        <f t="shared" si="7"/>
        <v>115815.705</v>
      </c>
      <c r="O40" s="510">
        <f t="shared" si="7"/>
        <v>126213.9893</v>
      </c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 outlineLevel="1">
      <c r="A41" s="451" t="s">
        <v>409</v>
      </c>
      <c r="B41" s="452">
        <v>0.15</v>
      </c>
      <c r="C41" s="44"/>
      <c r="D41" s="212" t="s">
        <v>410</v>
      </c>
      <c r="E41" s="511">
        <f>'Finanical Statment'!L34</f>
        <v>19476.72</v>
      </c>
      <c r="F41" s="511">
        <f t="shared" ref="F41:O41" si="8">E41*(1+$B$41)</f>
        <v>22398.228</v>
      </c>
      <c r="G41" s="511">
        <f t="shared" si="8"/>
        <v>25757.9622</v>
      </c>
      <c r="H41" s="511">
        <f t="shared" si="8"/>
        <v>29621.65653</v>
      </c>
      <c r="I41" s="511">
        <f t="shared" si="8"/>
        <v>34064.90501</v>
      </c>
      <c r="J41" s="511">
        <f t="shared" si="8"/>
        <v>39174.64076</v>
      </c>
      <c r="K41" s="511">
        <f t="shared" si="8"/>
        <v>45050.83688</v>
      </c>
      <c r="L41" s="511">
        <f t="shared" si="8"/>
        <v>51808.46241</v>
      </c>
      <c r="M41" s="511">
        <f t="shared" si="8"/>
        <v>59579.73177</v>
      </c>
      <c r="N41" s="511">
        <f t="shared" si="8"/>
        <v>68516.69153</v>
      </c>
      <c r="O41" s="512">
        <f t="shared" si="8"/>
        <v>78794.19526</v>
      </c>
      <c r="P41" s="44"/>
      <c r="Q41" s="109"/>
      <c r="R41" s="109"/>
      <c r="S41" s="109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 outlineLevel="1">
      <c r="A42" s="212" t="s">
        <v>411</v>
      </c>
      <c r="B42" s="456">
        <v>0.12</v>
      </c>
      <c r="C42" s="44"/>
      <c r="D42" s="212" t="s">
        <v>92</v>
      </c>
      <c r="E42" s="511">
        <f>'Finanical Statment'!L38</f>
        <v>19263.4</v>
      </c>
      <c r="F42" s="511">
        <f t="shared" ref="F42:O42" si="9">F41*$B$44</f>
        <v>18999.0104</v>
      </c>
      <c r="G42" s="511">
        <f t="shared" si="9"/>
        <v>21848.86196</v>
      </c>
      <c r="H42" s="511">
        <f t="shared" si="9"/>
        <v>25126.19126</v>
      </c>
      <c r="I42" s="511">
        <f t="shared" si="9"/>
        <v>28895.11995</v>
      </c>
      <c r="J42" s="511">
        <f t="shared" si="9"/>
        <v>33229.38794</v>
      </c>
      <c r="K42" s="511">
        <f t="shared" si="9"/>
        <v>38213.79613</v>
      </c>
      <c r="L42" s="511">
        <f t="shared" si="9"/>
        <v>43945.86555</v>
      </c>
      <c r="M42" s="511">
        <f t="shared" si="9"/>
        <v>50537.74538</v>
      </c>
      <c r="N42" s="511">
        <f t="shared" si="9"/>
        <v>58118.40719</v>
      </c>
      <c r="O42" s="512">
        <f t="shared" si="9"/>
        <v>66836.16826</v>
      </c>
      <c r="P42" s="44"/>
      <c r="Q42" s="109"/>
      <c r="R42" s="109"/>
      <c r="S42" s="109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 outlineLevel="1">
      <c r="A43" s="212" t="s">
        <v>412</v>
      </c>
      <c r="B43" s="513">
        <v>1.0</v>
      </c>
      <c r="C43" s="44"/>
      <c r="D43" s="212" t="s">
        <v>413</v>
      </c>
      <c r="E43" s="511">
        <f>'Finanical Statment'!L68</f>
        <v>69155.26</v>
      </c>
      <c r="F43" s="511">
        <f t="shared" ref="F43:O43" si="10">F40+F41-F42</f>
        <v>72554.4776</v>
      </c>
      <c r="G43" s="511">
        <f t="shared" si="10"/>
        <v>76463.57784</v>
      </c>
      <c r="H43" s="511">
        <f t="shared" si="10"/>
        <v>80959.04311</v>
      </c>
      <c r="I43" s="511">
        <f t="shared" si="10"/>
        <v>86128.82817</v>
      </c>
      <c r="J43" s="511">
        <f t="shared" si="10"/>
        <v>92074.081</v>
      </c>
      <c r="K43" s="511">
        <f t="shared" si="10"/>
        <v>98911.12174</v>
      </c>
      <c r="L43" s="511">
        <f t="shared" si="10"/>
        <v>106773.7186</v>
      </c>
      <c r="M43" s="511">
        <f t="shared" si="10"/>
        <v>115815.705</v>
      </c>
      <c r="N43" s="511">
        <f t="shared" si="10"/>
        <v>126213.9893</v>
      </c>
      <c r="O43" s="512">
        <f t="shared" si="10"/>
        <v>138172.0163</v>
      </c>
      <c r="P43" s="44"/>
      <c r="Q43" s="109"/>
      <c r="R43" s="109"/>
      <c r="S43" s="109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outlineLevel="1">
      <c r="A44" s="227" t="s">
        <v>414</v>
      </c>
      <c r="B44" s="514">
        <f>AVERAGE('Finanical Statment'!H40:L40)</f>
        <v>0.8482372089</v>
      </c>
      <c r="C44" s="44"/>
      <c r="D44" s="212" t="s">
        <v>415</v>
      </c>
      <c r="E44" s="511">
        <f t="shared" ref="E44:O44" si="11">E40*$B$42</f>
        <v>7494.6684</v>
      </c>
      <c r="F44" s="511">
        <f t="shared" si="11"/>
        <v>8298.6312</v>
      </c>
      <c r="G44" s="511">
        <f t="shared" si="11"/>
        <v>8706.537312</v>
      </c>
      <c r="H44" s="511">
        <f t="shared" si="11"/>
        <v>9175.62934</v>
      </c>
      <c r="I44" s="511">
        <f t="shared" si="11"/>
        <v>9715.085173</v>
      </c>
      <c r="J44" s="511">
        <f t="shared" si="11"/>
        <v>10335.45938</v>
      </c>
      <c r="K44" s="511">
        <f t="shared" si="11"/>
        <v>11048.88972</v>
      </c>
      <c r="L44" s="511">
        <f t="shared" si="11"/>
        <v>11869.33461</v>
      </c>
      <c r="M44" s="511">
        <f t="shared" si="11"/>
        <v>12812.84623</v>
      </c>
      <c r="N44" s="511">
        <f t="shared" si="11"/>
        <v>13897.8846</v>
      </c>
      <c r="O44" s="512">
        <f t="shared" si="11"/>
        <v>15145.67872</v>
      </c>
      <c r="P44" s="44"/>
      <c r="Q44" s="109"/>
      <c r="R44" s="109"/>
      <c r="S44" s="109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outlineLevel="1">
      <c r="A45" s="44"/>
      <c r="B45" s="44"/>
      <c r="C45" s="44"/>
      <c r="D45" s="212"/>
      <c r="E45" s="511"/>
      <c r="F45" s="511"/>
      <c r="G45" s="511"/>
      <c r="H45" s="511"/>
      <c r="I45" s="511"/>
      <c r="J45" s="511"/>
      <c r="K45" s="511"/>
      <c r="L45" s="511"/>
      <c r="M45" s="511"/>
      <c r="N45" s="511"/>
      <c r="O45" s="512"/>
      <c r="P45" s="44"/>
      <c r="Q45" s="109"/>
      <c r="R45" s="109"/>
      <c r="S45" s="109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outlineLevel="1">
      <c r="A46" s="44"/>
      <c r="B46" s="316"/>
      <c r="C46" s="44"/>
      <c r="D46" s="515" t="s">
        <v>416</v>
      </c>
      <c r="E46" s="516">
        <f t="shared" ref="E46:O46" si="12">E41-E44</f>
        <v>11982.0516</v>
      </c>
      <c r="F46" s="516">
        <f t="shared" si="12"/>
        <v>14099.5968</v>
      </c>
      <c r="G46" s="516">
        <f t="shared" si="12"/>
        <v>17051.42489</v>
      </c>
      <c r="H46" s="516">
        <f t="shared" si="12"/>
        <v>20446.02719</v>
      </c>
      <c r="I46" s="516">
        <f t="shared" si="12"/>
        <v>24349.81984</v>
      </c>
      <c r="J46" s="516">
        <f t="shared" si="12"/>
        <v>28839.18138</v>
      </c>
      <c r="K46" s="516">
        <f t="shared" si="12"/>
        <v>34001.94716</v>
      </c>
      <c r="L46" s="516">
        <f t="shared" si="12"/>
        <v>39939.1278</v>
      </c>
      <c r="M46" s="516">
        <f t="shared" si="12"/>
        <v>46766.88553</v>
      </c>
      <c r="N46" s="516">
        <f t="shared" si="12"/>
        <v>54618.80693</v>
      </c>
      <c r="O46" s="517">
        <f t="shared" si="12"/>
        <v>63648.51654</v>
      </c>
      <c r="P46" s="44"/>
      <c r="Q46" s="44"/>
      <c r="R46" s="44"/>
      <c r="S46" s="109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ht="18.0" customHeight="1" outlineLevel="1">
      <c r="A47" s="47" t="s">
        <v>384</v>
      </c>
      <c r="B47" s="44"/>
      <c r="C47" s="44"/>
      <c r="D47" s="518" t="s">
        <v>417</v>
      </c>
      <c r="E47" s="519">
        <f t="shared" ref="E47:O47" si="13">E46/$B$48</f>
        <v>9.608518498</v>
      </c>
      <c r="F47" s="519">
        <f t="shared" si="13"/>
        <v>11.30659767</v>
      </c>
      <c r="G47" s="519">
        <f t="shared" si="13"/>
        <v>13.67369604</v>
      </c>
      <c r="H47" s="519">
        <f t="shared" si="13"/>
        <v>16.39585916</v>
      </c>
      <c r="I47" s="519">
        <f t="shared" si="13"/>
        <v>19.52634675</v>
      </c>
      <c r="J47" s="519">
        <f t="shared" si="13"/>
        <v>23.12640748</v>
      </c>
      <c r="K47" s="519">
        <f t="shared" si="13"/>
        <v>27.26647732</v>
      </c>
      <c r="L47" s="519">
        <f t="shared" si="13"/>
        <v>32.02755764</v>
      </c>
      <c r="M47" s="519">
        <f t="shared" si="13"/>
        <v>37.5028</v>
      </c>
      <c r="N47" s="519">
        <f t="shared" si="13"/>
        <v>43.79932872</v>
      </c>
      <c r="O47" s="520">
        <f t="shared" si="13"/>
        <v>51.04033675</v>
      </c>
      <c r="P47" s="44"/>
      <c r="Q47" s="44"/>
      <c r="R47" s="44"/>
      <c r="S47" s="109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outlineLevel="1">
      <c r="A48" s="521" t="str">
        <f>'Finanical Statment'!A105</f>
        <v>Number of shares</v>
      </c>
      <c r="B48" s="522">
        <f>'Finanical Statment'!B105</f>
        <v>1247.023836</v>
      </c>
      <c r="C48" s="44"/>
      <c r="D48" s="515" t="s">
        <v>418</v>
      </c>
      <c r="E48" s="516"/>
      <c r="F48" s="516">
        <f t="shared" ref="F48:O48" si="14">-PV($B$42,F38-$E$38,0,F46)</f>
        <v>12588.92571</v>
      </c>
      <c r="G48" s="516">
        <f t="shared" si="14"/>
        <v>13593.29152</v>
      </c>
      <c r="H48" s="516">
        <f t="shared" si="14"/>
        <v>14553.0783</v>
      </c>
      <c r="I48" s="516">
        <f t="shared" si="14"/>
        <v>15474.75071</v>
      </c>
      <c r="J48" s="516">
        <f t="shared" si="14"/>
        <v>16364.12601</v>
      </c>
      <c r="K48" s="516">
        <f t="shared" si="14"/>
        <v>17226.44461</v>
      </c>
      <c r="L48" s="516">
        <f t="shared" si="14"/>
        <v>18066.43312</v>
      </c>
      <c r="M48" s="516">
        <f t="shared" si="14"/>
        <v>18888.36069</v>
      </c>
      <c r="N48" s="516">
        <f t="shared" si="14"/>
        <v>19696.08933</v>
      </c>
      <c r="O48" s="517">
        <f t="shared" si="14"/>
        <v>20493.11888</v>
      </c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outlineLevel="1">
      <c r="A49" s="523" t="str">
        <f>'Finanical Statment'!A106</f>
        <v>Face Value</v>
      </c>
      <c r="B49" s="524">
        <f>'Finanical Statment'!B106</f>
        <v>1</v>
      </c>
      <c r="C49" s="44"/>
      <c r="D49" s="525" t="s">
        <v>419</v>
      </c>
      <c r="E49" s="526"/>
      <c r="F49" s="526"/>
      <c r="G49" s="526"/>
      <c r="H49" s="526"/>
      <c r="I49" s="526"/>
      <c r="J49" s="526"/>
      <c r="K49" s="526"/>
      <c r="L49" s="526"/>
      <c r="M49" s="526"/>
      <c r="N49" s="526"/>
      <c r="O49" s="527">
        <f>O46/(1+B42-B43)</f>
        <v>530404.3045</v>
      </c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outlineLevel="1">
      <c r="A50" s="523" t="str">
        <f>'Finanical Statment'!A107</f>
        <v>Current Price</v>
      </c>
      <c r="B50" s="524">
        <f>'Finanical Statment'!B107</f>
        <v>442.6</v>
      </c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outlineLevel="1">
      <c r="A51" s="523" t="str">
        <f>'Finanical Statment'!A108</f>
        <v>Mcap</v>
      </c>
      <c r="B51" s="524">
        <f>'Finanical Statment'!B108</f>
        <v>551932.75</v>
      </c>
      <c r="C51" s="44"/>
      <c r="D51" s="331" t="s">
        <v>383</v>
      </c>
      <c r="E51" s="210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outlineLevel="1">
      <c r="A52" s="227"/>
      <c r="B52" s="528"/>
      <c r="C52" s="44"/>
      <c r="D52" s="212" t="s">
        <v>420</v>
      </c>
      <c r="E52" s="529">
        <f>SUM(F48:O48)</f>
        <v>166944.6189</v>
      </c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outlineLevel="1">
      <c r="A53" s="44"/>
      <c r="B53" s="44"/>
      <c r="C53" s="44"/>
      <c r="D53" s="212" t="s">
        <v>381</v>
      </c>
      <c r="E53" s="529">
        <f>-PV(B42,O38-E38,0,O49)</f>
        <v>170775.9906</v>
      </c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outlineLevel="1">
      <c r="A54" s="44"/>
      <c r="B54" s="44"/>
      <c r="C54" s="44"/>
      <c r="D54" s="215" t="s">
        <v>408</v>
      </c>
      <c r="E54" s="530">
        <f>E40</f>
        <v>62455.57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outlineLevel="1">
      <c r="A55" s="44"/>
      <c r="B55" s="44"/>
      <c r="C55" s="44"/>
      <c r="D55" s="240" t="s">
        <v>421</v>
      </c>
      <c r="E55" s="531">
        <f>SUM(E52:E54)</f>
        <v>400176.1795</v>
      </c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outlineLevel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outlineLevel="1">
      <c r="A57" s="44"/>
      <c r="B57" s="44"/>
      <c r="C57" s="44"/>
      <c r="D57" s="477" t="s">
        <v>388</v>
      </c>
      <c r="E57" s="478" t="s">
        <v>389</v>
      </c>
      <c r="F57" s="479" t="s">
        <v>422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outlineLevel="1">
      <c r="A58" s="44"/>
      <c r="B58" s="44"/>
      <c r="C58" s="44"/>
      <c r="D58" s="480" t="s">
        <v>123</v>
      </c>
      <c r="E58" s="481">
        <f>B51</f>
        <v>551932.75</v>
      </c>
      <c r="F58" s="470">
        <f>E55</f>
        <v>400176.1795</v>
      </c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outlineLevel="1">
      <c r="A59" s="44"/>
      <c r="B59" s="44"/>
      <c r="C59" s="44"/>
      <c r="D59" s="483" t="s">
        <v>392</v>
      </c>
      <c r="E59" s="484">
        <f>E58/B48</f>
        <v>442.6</v>
      </c>
      <c r="F59" s="476">
        <f>F58/B48</f>
        <v>320.9049962</v>
      </c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outlineLevel="1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outlineLevel="1">
      <c r="A61" s="44"/>
      <c r="B61" s="44"/>
      <c r="C61" s="44"/>
      <c r="D61" s="488" t="str">
        <f>IF(E59&gt;F59,"Overvalued By ","Undervalued By ")</f>
        <v>Overvalued By </v>
      </c>
      <c r="E61" s="489">
        <f>IF(E59&gt;F59,((E59/F59)-1),((F59/E59)-1))</f>
        <v>0.3792243973</v>
      </c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outlineLevel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>
      <c r="A64" s="508" t="s">
        <v>423</v>
      </c>
      <c r="B64" s="133"/>
      <c r="C64" s="450"/>
      <c r="D64" s="450"/>
      <c r="E64" s="203">
        <f>'Finanical Statment'!C3</f>
        <v>2014</v>
      </c>
      <c r="F64" s="203">
        <f>'Finanical Statment'!D3</f>
        <v>2015</v>
      </c>
      <c r="G64" s="203">
        <f>'Finanical Statment'!E3</f>
        <v>2016</v>
      </c>
      <c r="H64" s="203">
        <f>'Finanical Statment'!F3</f>
        <v>2017</v>
      </c>
      <c r="I64" s="203">
        <f>'Finanical Statment'!G3</f>
        <v>2018</v>
      </c>
      <c r="J64" s="203">
        <f>'Finanical Statment'!H3</f>
        <v>2019</v>
      </c>
      <c r="K64" s="203">
        <f>'Finanical Statment'!I3</f>
        <v>2020</v>
      </c>
      <c r="L64" s="203">
        <f>'Finanical Statment'!J3</f>
        <v>2021</v>
      </c>
      <c r="M64" s="203">
        <f>'Finanical Statment'!K3</f>
        <v>2022</v>
      </c>
      <c r="N64" s="203">
        <f>'Finanical Statment'!L3</f>
        <v>2023</v>
      </c>
      <c r="O64" s="205" t="str">
        <f>'Finanical Statment'!M3</f>
        <v>TTM</v>
      </c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outlineLevel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outlineLevel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outlineLevel="1">
      <c r="A67" s="525" t="s">
        <v>411</v>
      </c>
      <c r="B67" s="532">
        <v>0.12</v>
      </c>
      <c r="C67" s="44"/>
      <c r="D67" s="533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10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outlineLevel="1">
      <c r="A68" s="44"/>
      <c r="B68" s="157"/>
      <c r="C68" s="44"/>
      <c r="D68" s="212" t="s">
        <v>424</v>
      </c>
      <c r="E68" s="244">
        <f>'Finanical Statment'!C99</f>
        <v>1192.98</v>
      </c>
      <c r="F68" s="244">
        <f>'Finanical Statment'!D99</f>
        <v>1202.33</v>
      </c>
      <c r="G68" s="244">
        <f>'Finanical Statment'!E99</f>
        <v>1207.08</v>
      </c>
      <c r="H68" s="244">
        <f>'Finanical Statment'!F99</f>
        <v>1214.74</v>
      </c>
      <c r="I68" s="244">
        <f>'Finanical Statment'!G99</f>
        <v>1220.43</v>
      </c>
      <c r="J68" s="244">
        <f>'Finanical Statment'!H99</f>
        <v>1225.86</v>
      </c>
      <c r="K68" s="244">
        <f>'Finanical Statment'!I99</f>
        <v>1229.22</v>
      </c>
      <c r="L68" s="244">
        <f>'Finanical Statment'!J99</f>
        <v>1230.88</v>
      </c>
      <c r="M68" s="244">
        <f>'Finanical Statment'!K99</f>
        <v>1232.33</v>
      </c>
      <c r="N68" s="244">
        <f>'Finanical Statment'!L99</f>
        <v>1242.8</v>
      </c>
      <c r="O68" s="534">
        <f>'Finanical Statment'!B107</f>
        <v>442.6</v>
      </c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outlineLevel="1">
      <c r="A69" s="44"/>
      <c r="B69" s="157"/>
      <c r="C69" s="44"/>
      <c r="D69" s="212" t="s">
        <v>425</v>
      </c>
      <c r="E69" s="535">
        <f>'Finanical Statment'!C39</f>
        <v>4</v>
      </c>
      <c r="F69" s="535">
        <f>'Finanical Statment'!D39</f>
        <v>4.166651418</v>
      </c>
      <c r="G69" s="535">
        <f>'Finanical Statment'!E39</f>
        <v>5.666666667</v>
      </c>
      <c r="H69" s="535">
        <f>'Finanical Statment'!F39</f>
        <v>4.750004116</v>
      </c>
      <c r="I69" s="535">
        <f>'Finanical Statment'!G39</f>
        <v>5.149996313</v>
      </c>
      <c r="J69" s="535">
        <f>'Finanical Statment'!H39</f>
        <v>5.750004079</v>
      </c>
      <c r="K69" s="535">
        <f>'Finanical Statment'!I39</f>
        <v>10.14999756</v>
      </c>
      <c r="L69" s="535">
        <f>'Finanical Statment'!J39</f>
        <v>10.75</v>
      </c>
      <c r="M69" s="535">
        <f>'Finanical Statment'!K39</f>
        <v>11.50000406</v>
      </c>
      <c r="N69" s="535">
        <f>'Finanical Statment'!L39</f>
        <v>15.5</v>
      </c>
      <c r="O69" s="23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outlineLevel="1">
      <c r="A70" s="44"/>
      <c r="B70" s="157"/>
      <c r="C70" s="44"/>
      <c r="D70" s="518" t="s">
        <v>426</v>
      </c>
      <c r="E70" s="404"/>
      <c r="F70" s="58">
        <f t="shared" ref="F70:N70" si="15">IF(E69=0,0,(F69/E69)-1)</f>
        <v>0.04166285462</v>
      </c>
      <c r="G70" s="58">
        <f t="shared" si="15"/>
        <v>0.360004977</v>
      </c>
      <c r="H70" s="58">
        <f t="shared" si="15"/>
        <v>-0.1617639795</v>
      </c>
      <c r="I70" s="58">
        <f t="shared" si="15"/>
        <v>0.08420881054</v>
      </c>
      <c r="J70" s="58">
        <f t="shared" si="15"/>
        <v>0.1165064457</v>
      </c>
      <c r="K70" s="58">
        <f t="shared" si="15"/>
        <v>0.7652157147</v>
      </c>
      <c r="L70" s="58">
        <f t="shared" si="15"/>
        <v>0.05911355516</v>
      </c>
      <c r="M70" s="58">
        <f t="shared" si="15"/>
        <v>0.06976781929</v>
      </c>
      <c r="N70" s="58">
        <f t="shared" si="15"/>
        <v>0.3478256114</v>
      </c>
      <c r="O70" s="23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outlineLevel="1">
      <c r="A71" s="44"/>
      <c r="B71" s="44"/>
      <c r="C71" s="44"/>
      <c r="D71" s="212" t="s">
        <v>97</v>
      </c>
      <c r="E71" s="536">
        <f>'Finanical Statment'!C43</f>
        <v>7.536270516</v>
      </c>
      <c r="F71" s="536">
        <f>'Finanical Statment'!D43</f>
        <v>8.12225429</v>
      </c>
      <c r="G71" s="536">
        <f>'Finanical Statment'!E43</f>
        <v>7.870944759</v>
      </c>
      <c r="H71" s="536">
        <f>'Finanical Statment'!F43</f>
        <v>8.625080264</v>
      </c>
      <c r="I71" s="536">
        <f>'Finanical Statment'!G43</f>
        <v>9.416910433</v>
      </c>
      <c r="J71" s="536">
        <f>'Finanical Statment'!H43</f>
        <v>10.47093469</v>
      </c>
      <c r="K71" s="536">
        <f>'Finanical Statment'!I43</f>
        <v>12.68510112</v>
      </c>
      <c r="L71" s="536">
        <f>'Finanical Statment'!J43</f>
        <v>10.87261146</v>
      </c>
      <c r="M71" s="536">
        <f>'Finanical Statment'!K43</f>
        <v>12.58033968</v>
      </c>
      <c r="N71" s="536">
        <f>'Finanical Statment'!L43</f>
        <v>15.67164467</v>
      </c>
      <c r="O71" s="534">
        <f>'Finanical Statment'!M43</f>
        <v>18.12353488</v>
      </c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outlineLevel="1">
      <c r="A72" s="44"/>
      <c r="B72" s="44"/>
      <c r="C72" s="44"/>
      <c r="D72" s="212" t="s">
        <v>427</v>
      </c>
      <c r="E72" s="536"/>
      <c r="F72" s="536"/>
      <c r="G72" s="536"/>
      <c r="H72" s="536"/>
      <c r="I72" s="536"/>
      <c r="J72" s="536"/>
      <c r="K72" s="536"/>
      <c r="L72" s="536"/>
      <c r="M72" s="536"/>
      <c r="N72" s="536"/>
      <c r="O72" s="53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outlineLevel="1">
      <c r="A73" s="44"/>
      <c r="B73" s="44"/>
      <c r="C73" s="44"/>
      <c r="D73" s="212" t="s">
        <v>428</v>
      </c>
      <c r="E73" s="244">
        <f>'Finanical Statment'!C98</f>
        <v>235.23</v>
      </c>
      <c r="F73" s="244">
        <f>'Finanical Statment'!D98</f>
        <v>217.23</v>
      </c>
      <c r="G73" s="244">
        <f>'Finanical Statment'!E98</f>
        <v>218.83</v>
      </c>
      <c r="H73" s="244">
        <f>'Finanical Statment'!F98</f>
        <v>280.3</v>
      </c>
      <c r="I73" s="244">
        <f>'Finanical Statment'!G98</f>
        <v>255.5</v>
      </c>
      <c r="J73" s="244">
        <f>'Finanical Statment'!H98</f>
        <v>297.25</v>
      </c>
      <c r="K73" s="244">
        <f>'Finanical Statment'!I98</f>
        <v>171.7</v>
      </c>
      <c r="L73" s="244">
        <f>'Finanical Statment'!J98</f>
        <v>218.5</v>
      </c>
      <c r="M73" s="244">
        <f>'Finanical Statment'!K98</f>
        <v>250.65</v>
      </c>
      <c r="N73" s="244">
        <f>'Finanical Statment'!L98</f>
        <v>383.5</v>
      </c>
      <c r="O73" s="534">
        <f>'Finanical Statment'!B107</f>
        <v>442.6</v>
      </c>
      <c r="P73" s="537" t="s">
        <v>315</v>
      </c>
      <c r="Q73" s="537" t="s">
        <v>296</v>
      </c>
      <c r="R73" s="537" t="s">
        <v>146</v>
      </c>
      <c r="S73" s="537" t="s">
        <v>147</v>
      </c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outlineLevel="1">
      <c r="A74" s="44"/>
      <c r="B74" s="44"/>
      <c r="C74" s="44"/>
      <c r="D74" s="515" t="s">
        <v>429</v>
      </c>
      <c r="E74" s="538">
        <f t="shared" ref="E74:O74" si="16">IF(E73=0,0,E73/E71)</f>
        <v>31.21305154</v>
      </c>
      <c r="F74" s="538">
        <f t="shared" si="16"/>
        <v>26.74503805</v>
      </c>
      <c r="G74" s="538">
        <f t="shared" si="16"/>
        <v>27.80225331</v>
      </c>
      <c r="H74" s="538">
        <f t="shared" si="16"/>
        <v>32.4982483</v>
      </c>
      <c r="I74" s="538">
        <f t="shared" si="16"/>
        <v>27.132041</v>
      </c>
      <c r="J74" s="538">
        <f t="shared" si="16"/>
        <v>28.38810563</v>
      </c>
      <c r="K74" s="538">
        <f t="shared" si="16"/>
        <v>13.53556415</v>
      </c>
      <c r="L74" s="538">
        <f t="shared" si="16"/>
        <v>20.0963679</v>
      </c>
      <c r="M74" s="538">
        <f t="shared" si="16"/>
        <v>19.92394533</v>
      </c>
      <c r="N74" s="538">
        <f t="shared" si="16"/>
        <v>24.47094788</v>
      </c>
      <c r="O74" s="539">
        <f t="shared" si="16"/>
        <v>24.42128442</v>
      </c>
      <c r="P74" s="328">
        <f>AVERAGE(E74:O74)</f>
        <v>25.11153159</v>
      </c>
      <c r="Q74" s="328">
        <f>MEDIAN(E74:O74)</f>
        <v>26.74503805</v>
      </c>
      <c r="R74" s="328">
        <f>MAX(E74:O74)</f>
        <v>32.4982483</v>
      </c>
      <c r="S74" s="329">
        <f>MIN(E74:O74)</f>
        <v>13.53556415</v>
      </c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 outlineLevel="1">
      <c r="A75" s="44"/>
      <c r="B75" s="44"/>
      <c r="C75" s="44"/>
      <c r="D75" s="518" t="s">
        <v>430</v>
      </c>
      <c r="E75" s="540"/>
      <c r="F75" s="540"/>
      <c r="G75" s="540">
        <f t="shared" ref="G75:O75" si="17">IF(E74=0,0,AVERAGE(E74:G74))</f>
        <v>28.58678096</v>
      </c>
      <c r="H75" s="540">
        <f t="shared" si="17"/>
        <v>29.01517989</v>
      </c>
      <c r="I75" s="540">
        <f t="shared" si="17"/>
        <v>29.14418087</v>
      </c>
      <c r="J75" s="540">
        <f t="shared" si="17"/>
        <v>29.33946498</v>
      </c>
      <c r="K75" s="540">
        <f t="shared" si="17"/>
        <v>23.01857026</v>
      </c>
      <c r="L75" s="540">
        <f t="shared" si="17"/>
        <v>20.67334589</v>
      </c>
      <c r="M75" s="540">
        <f t="shared" si="17"/>
        <v>17.85195912</v>
      </c>
      <c r="N75" s="540">
        <f t="shared" si="17"/>
        <v>21.49708703</v>
      </c>
      <c r="O75" s="541">
        <f t="shared" si="17"/>
        <v>22.93872587</v>
      </c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 outlineLevel="1">
      <c r="A76" s="44"/>
      <c r="B76" s="44"/>
      <c r="C76" s="44"/>
      <c r="D76" s="518" t="s">
        <v>431</v>
      </c>
      <c r="E76" s="540"/>
      <c r="F76" s="540"/>
      <c r="G76" s="540"/>
      <c r="H76" s="540"/>
      <c r="I76" s="540">
        <f t="shared" ref="I76:O76" si="18">IF(E74=0,0,AVERAGE(E74:I74))</f>
        <v>29.07812644</v>
      </c>
      <c r="J76" s="540">
        <f t="shared" si="18"/>
        <v>28.51313726</v>
      </c>
      <c r="K76" s="540">
        <f t="shared" si="18"/>
        <v>25.87124248</v>
      </c>
      <c r="L76" s="540">
        <f t="shared" si="18"/>
        <v>24.33006539</v>
      </c>
      <c r="M76" s="540">
        <f t="shared" si="18"/>
        <v>21.8152048</v>
      </c>
      <c r="N76" s="540">
        <f t="shared" si="18"/>
        <v>21.28298618</v>
      </c>
      <c r="O76" s="541">
        <f t="shared" si="18"/>
        <v>20.48962193</v>
      </c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outlineLevel="1">
      <c r="A77" s="44"/>
      <c r="B77" s="44"/>
      <c r="C77" s="44"/>
      <c r="D77" s="518" t="s">
        <v>432</v>
      </c>
      <c r="E77" s="49"/>
      <c r="F77" s="49"/>
      <c r="G77" s="49"/>
      <c r="H77" s="49"/>
      <c r="I77" s="49"/>
      <c r="J77" s="49"/>
      <c r="K77" s="49"/>
      <c r="L77" s="49"/>
      <c r="M77" s="49"/>
      <c r="N77" s="540">
        <f>AVERAGE(E74:N74)</f>
        <v>25.18055631</v>
      </c>
      <c r="O77" s="23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outlineLevel="1">
      <c r="A78" s="44"/>
      <c r="B78" s="44"/>
      <c r="C78" s="44"/>
      <c r="D78" s="212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542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outlineLevel="1">
      <c r="A79" s="44"/>
      <c r="B79" s="44"/>
      <c r="C79" s="44"/>
      <c r="D79" s="515" t="s">
        <v>433</v>
      </c>
      <c r="E79" s="538">
        <f t="shared" ref="E79:N79" si="19">IF(E73=0,0,E73/F71)</f>
        <v>28.96117157</v>
      </c>
      <c r="F79" s="538">
        <f t="shared" si="19"/>
        <v>27.59897403</v>
      </c>
      <c r="G79" s="538">
        <f t="shared" si="19"/>
        <v>25.3713581</v>
      </c>
      <c r="H79" s="538">
        <f t="shared" si="19"/>
        <v>29.76560115</v>
      </c>
      <c r="I79" s="538">
        <f t="shared" si="19"/>
        <v>24.40087801</v>
      </c>
      <c r="J79" s="538">
        <f t="shared" si="19"/>
        <v>23.433002</v>
      </c>
      <c r="K79" s="538">
        <f t="shared" si="19"/>
        <v>15.79197422</v>
      </c>
      <c r="L79" s="538">
        <f t="shared" si="19"/>
        <v>17.36837045</v>
      </c>
      <c r="M79" s="538">
        <f t="shared" si="19"/>
        <v>15.9938542</v>
      </c>
      <c r="N79" s="538">
        <f t="shared" si="19"/>
        <v>21.16033116</v>
      </c>
      <c r="O79" s="543"/>
      <c r="P79" s="328">
        <f>AVERAGE(E79:O79)</f>
        <v>22.98455149</v>
      </c>
      <c r="Q79" s="328">
        <f>MEDIAN(E79:O79)</f>
        <v>23.91694001</v>
      </c>
      <c r="R79" s="328">
        <f>MAX(E79:O79)</f>
        <v>29.76560115</v>
      </c>
      <c r="S79" s="329">
        <f>MIN(E79:O79)</f>
        <v>15.79197422</v>
      </c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outlineLevel="1">
      <c r="A80" s="44"/>
      <c r="B80" s="44"/>
      <c r="C80" s="44"/>
      <c r="D80" s="518" t="s">
        <v>430</v>
      </c>
      <c r="E80" s="200"/>
      <c r="F80" s="200"/>
      <c r="G80" s="540">
        <f t="shared" ref="G80:N80" si="20">IF(E79=0,0,AVERAGE(E79:G79))</f>
        <v>27.31050123</v>
      </c>
      <c r="H80" s="540">
        <f t="shared" si="20"/>
        <v>27.57864443</v>
      </c>
      <c r="I80" s="540">
        <f t="shared" si="20"/>
        <v>26.51261242</v>
      </c>
      <c r="J80" s="540">
        <f t="shared" si="20"/>
        <v>25.86649372</v>
      </c>
      <c r="K80" s="540">
        <f t="shared" si="20"/>
        <v>21.20861808</v>
      </c>
      <c r="L80" s="540">
        <f t="shared" si="20"/>
        <v>18.86444889</v>
      </c>
      <c r="M80" s="540">
        <f t="shared" si="20"/>
        <v>16.38473296</v>
      </c>
      <c r="N80" s="540">
        <f t="shared" si="20"/>
        <v>18.17418527</v>
      </c>
      <c r="O80" s="542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outlineLevel="1">
      <c r="A81" s="44"/>
      <c r="B81" s="44"/>
      <c r="C81" s="44"/>
      <c r="D81" s="518" t="s">
        <v>431</v>
      </c>
      <c r="E81" s="200"/>
      <c r="F81" s="200"/>
      <c r="G81" s="200"/>
      <c r="H81" s="200"/>
      <c r="I81" s="540">
        <f t="shared" ref="I81:N81" si="21">IF(E79=0,0,AVERAGE(E79:I79))</f>
        <v>27.21959657</v>
      </c>
      <c r="J81" s="540">
        <f t="shared" si="21"/>
        <v>26.11396266</v>
      </c>
      <c r="K81" s="540">
        <f t="shared" si="21"/>
        <v>23.7525627</v>
      </c>
      <c r="L81" s="540">
        <f t="shared" si="21"/>
        <v>22.15196517</v>
      </c>
      <c r="M81" s="540">
        <f t="shared" si="21"/>
        <v>19.39761578</v>
      </c>
      <c r="N81" s="540">
        <f t="shared" si="21"/>
        <v>18.74950641</v>
      </c>
      <c r="O81" s="542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outlineLevel="1">
      <c r="A82" s="44"/>
      <c r="B82" s="44"/>
      <c r="C82" s="44"/>
      <c r="D82" s="518" t="s">
        <v>432</v>
      </c>
      <c r="E82" s="200"/>
      <c r="F82" s="200"/>
      <c r="G82" s="200"/>
      <c r="H82" s="200"/>
      <c r="I82" s="200"/>
      <c r="J82" s="200"/>
      <c r="K82" s="200"/>
      <c r="L82" s="200"/>
      <c r="M82" s="200"/>
      <c r="N82" s="540">
        <f>AVERAGE(E79:N79)</f>
        <v>22.98455149</v>
      </c>
      <c r="O82" s="542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outlineLevel="1">
      <c r="A83" s="44"/>
      <c r="B83" s="44"/>
      <c r="C83" s="44"/>
      <c r="D83" s="518"/>
      <c r="E83" s="200"/>
      <c r="F83" s="200"/>
      <c r="G83" s="200"/>
      <c r="H83" s="200"/>
      <c r="I83" s="200"/>
      <c r="J83" s="200"/>
      <c r="K83" s="200"/>
      <c r="L83" s="200"/>
      <c r="M83" s="200"/>
      <c r="N83" s="540"/>
      <c r="O83" s="542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outlineLevel="1">
      <c r="A84" s="44"/>
      <c r="B84" s="44"/>
      <c r="C84" s="44"/>
      <c r="D84" s="515" t="s">
        <v>434</v>
      </c>
      <c r="E84" s="538">
        <f t="shared" ref="E84:N84" si="22">IF(E73=0,0,E73-(F71/$B$67))</f>
        <v>167.5445476</v>
      </c>
      <c r="F84" s="538">
        <f t="shared" si="22"/>
        <v>151.6387937</v>
      </c>
      <c r="G84" s="538">
        <f t="shared" si="22"/>
        <v>146.9543311</v>
      </c>
      <c r="H84" s="538">
        <f t="shared" si="22"/>
        <v>201.8257464</v>
      </c>
      <c r="I84" s="538">
        <f t="shared" si="22"/>
        <v>168.2422109</v>
      </c>
      <c r="J84" s="538">
        <f t="shared" si="22"/>
        <v>191.540824</v>
      </c>
      <c r="K84" s="538">
        <f t="shared" si="22"/>
        <v>81.09490446</v>
      </c>
      <c r="L84" s="538">
        <f t="shared" si="22"/>
        <v>113.663836</v>
      </c>
      <c r="M84" s="538">
        <f t="shared" si="22"/>
        <v>120.0529611</v>
      </c>
      <c r="N84" s="538">
        <f t="shared" si="22"/>
        <v>232.4705426</v>
      </c>
      <c r="O84" s="543"/>
      <c r="P84" s="328">
        <f>AVERAGE(E84:O84)</f>
        <v>157.5028698</v>
      </c>
      <c r="Q84" s="328">
        <f>MEDIAN(E84:O84)</f>
        <v>159.5916706</v>
      </c>
      <c r="R84" s="328">
        <f>MAX(E84:O84)</f>
        <v>232.4705426</v>
      </c>
      <c r="S84" s="329">
        <f>MIN(E84:O84)</f>
        <v>81.09490446</v>
      </c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outlineLevel="1">
      <c r="A85" s="44"/>
      <c r="B85" s="44"/>
      <c r="C85" s="44"/>
      <c r="D85" s="518" t="s">
        <v>435</v>
      </c>
      <c r="E85" s="540">
        <f t="shared" ref="E85:N85" si="23">IF(F71=0,0,E84/F71)</f>
        <v>20.62783823</v>
      </c>
      <c r="F85" s="540">
        <f t="shared" si="23"/>
        <v>19.2656407</v>
      </c>
      <c r="G85" s="540">
        <f t="shared" si="23"/>
        <v>17.03802476</v>
      </c>
      <c r="H85" s="540">
        <f t="shared" si="23"/>
        <v>21.43226781</v>
      </c>
      <c r="I85" s="540">
        <f t="shared" si="23"/>
        <v>16.06754467</v>
      </c>
      <c r="J85" s="540">
        <f t="shared" si="23"/>
        <v>15.09966867</v>
      </c>
      <c r="K85" s="540">
        <f t="shared" si="23"/>
        <v>7.45864089</v>
      </c>
      <c r="L85" s="540">
        <f t="shared" si="23"/>
        <v>9.035037118</v>
      </c>
      <c r="M85" s="540">
        <f t="shared" si="23"/>
        <v>7.660520868</v>
      </c>
      <c r="N85" s="540">
        <f t="shared" si="23"/>
        <v>12.82699783</v>
      </c>
      <c r="O85" s="23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outlineLevel="1">
      <c r="A86" s="44"/>
      <c r="B86" s="44"/>
      <c r="C86" s="44"/>
      <c r="D86" s="518" t="s">
        <v>436</v>
      </c>
      <c r="E86" s="58">
        <f t="shared" ref="E86:N86" si="24">IF(E74=0,0,E85/E74)</f>
        <v>0.6608722063</v>
      </c>
      <c r="F86" s="58">
        <f t="shared" si="24"/>
        <v>0.7203444864</v>
      </c>
      <c r="G86" s="58">
        <f t="shared" si="24"/>
        <v>0.6128289162</v>
      </c>
      <c r="H86" s="58">
        <f t="shared" si="24"/>
        <v>0.6594899399</v>
      </c>
      <c r="I86" s="58">
        <f t="shared" si="24"/>
        <v>0.5921981568</v>
      </c>
      <c r="J86" s="58">
        <f t="shared" si="24"/>
        <v>0.5319012431</v>
      </c>
      <c r="K86" s="58">
        <f t="shared" si="24"/>
        <v>0.5510402674</v>
      </c>
      <c r="L86" s="58">
        <f t="shared" si="24"/>
        <v>0.4495855751</v>
      </c>
      <c r="M86" s="58">
        <f t="shared" si="24"/>
        <v>0.3844881494</v>
      </c>
      <c r="N86" s="58">
        <f t="shared" si="24"/>
        <v>0.524172496</v>
      </c>
      <c r="O86" s="235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outlineLevel="1">
      <c r="A87" s="44"/>
      <c r="B87" s="44"/>
      <c r="C87" s="44"/>
      <c r="D87" s="212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542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outlineLevel="1">
      <c r="A88" s="44"/>
      <c r="B88" s="44"/>
      <c r="C88" s="44"/>
      <c r="D88" s="212" t="s">
        <v>189</v>
      </c>
      <c r="E88" s="199">
        <f>'Key ratios'!B54</f>
        <v>22.83102818</v>
      </c>
      <c r="F88" s="199">
        <f>'Key ratios'!C54</f>
        <v>26.39499139</v>
      </c>
      <c r="G88" s="199">
        <f>'Key ratios'!D54</f>
        <v>35.35765649</v>
      </c>
      <c r="H88" s="199">
        <f>'Key ratios'!E54</f>
        <v>38.20811861</v>
      </c>
      <c r="I88" s="199">
        <f>'Key ratios'!F54</f>
        <v>43.0259089</v>
      </c>
      <c r="J88" s="199">
        <f>'Key ratios'!G54</f>
        <v>48.24439169</v>
      </c>
      <c r="K88" s="199">
        <f>'Key ratios'!H54</f>
        <v>53.10136509</v>
      </c>
      <c r="L88" s="199">
        <f>'Key ratios'!I54</f>
        <v>49.02780125</v>
      </c>
      <c r="M88" s="199">
        <f>'Key ratios'!J54</f>
        <v>50.68088093</v>
      </c>
      <c r="N88" s="199">
        <f>'Key ratios'!K54</f>
        <v>55.6447216</v>
      </c>
      <c r="O88" s="542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outlineLevel="1">
      <c r="A89" s="44"/>
      <c r="B89" s="44"/>
      <c r="C89" s="44"/>
      <c r="D89" s="515" t="s">
        <v>437</v>
      </c>
      <c r="E89" s="544">
        <f t="shared" ref="E89:N89" si="25">IF(E73=0,0,E73/E88)</f>
        <v>10.30308395</v>
      </c>
      <c r="F89" s="544">
        <f t="shared" si="25"/>
        <v>8.229970481</v>
      </c>
      <c r="G89" s="544">
        <f t="shared" si="25"/>
        <v>6.189041404</v>
      </c>
      <c r="H89" s="544">
        <f t="shared" si="25"/>
        <v>7.336137193</v>
      </c>
      <c r="I89" s="544">
        <f t="shared" si="25"/>
        <v>5.938282456</v>
      </c>
      <c r="J89" s="544">
        <f t="shared" si="25"/>
        <v>6.161337921</v>
      </c>
      <c r="K89" s="544">
        <f t="shared" si="25"/>
        <v>3.233438532</v>
      </c>
      <c r="L89" s="544">
        <f t="shared" si="25"/>
        <v>4.45665509</v>
      </c>
      <c r="M89" s="544">
        <f t="shared" si="25"/>
        <v>4.945651997</v>
      </c>
      <c r="N89" s="544">
        <f t="shared" si="25"/>
        <v>6.891938516</v>
      </c>
      <c r="O89" s="545"/>
      <c r="P89" s="328">
        <f>AVERAGE(E89:O89)</f>
        <v>6.368553754</v>
      </c>
      <c r="Q89" s="328">
        <f>MEDIAN(E89:O89)</f>
        <v>6.175189663</v>
      </c>
      <c r="R89" s="328">
        <f>MAX(E89:O89)</f>
        <v>10.30308395</v>
      </c>
      <c r="S89" s="329">
        <f>MIN(E89:O89)</f>
        <v>3.233438532</v>
      </c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outlineLevel="1">
      <c r="A90" s="44"/>
      <c r="B90" s="44"/>
      <c r="C90" s="44"/>
      <c r="D90" s="212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23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outlineLevel="1">
      <c r="A91" s="44"/>
      <c r="B91" s="44"/>
      <c r="C91" s="44"/>
      <c r="D91" s="212" t="str">
        <f>'Finanical Statment'!A101</f>
        <v>Enterprise Value (EV)</v>
      </c>
      <c r="E91" s="244">
        <f>'Finanical Statment'!C101</f>
        <v>283872.4654</v>
      </c>
      <c r="F91" s="244">
        <f>'Finanical Statment'!D101</f>
        <v>268809.5659</v>
      </c>
      <c r="G91" s="244">
        <f>'Finanical Statment'!E101</f>
        <v>270124.8364</v>
      </c>
      <c r="H91" s="244">
        <f>'Finanical Statment'!F101</f>
        <v>343413.302</v>
      </c>
      <c r="I91" s="244">
        <f>'Finanical Statment'!G101</f>
        <v>314683.545</v>
      </c>
      <c r="J91" s="244">
        <f>'Finanical Statment'!H101</f>
        <v>368525.475</v>
      </c>
      <c r="K91" s="244">
        <f>'Finanical Statment'!I101</f>
        <v>218056.964</v>
      </c>
      <c r="L91" s="244">
        <f>'Finanical Statment'!J101</f>
        <v>273335.47</v>
      </c>
      <c r="M91" s="244">
        <f>'Finanical Statment'!K101</f>
        <v>313288.4945</v>
      </c>
      <c r="N91" s="244">
        <f>'Finanical Statment'!L101</f>
        <v>481187.95</v>
      </c>
      <c r="O91" s="546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outlineLevel="1">
      <c r="A92" s="44"/>
      <c r="B92" s="44"/>
      <c r="C92" s="44"/>
      <c r="D92" s="212" t="s">
        <v>84</v>
      </c>
      <c r="E92" s="244">
        <f>'Finanical Statment'!C23</f>
        <v>13080.72</v>
      </c>
      <c r="F92" s="244">
        <f>'Finanical Statment'!D23</f>
        <v>14453.01</v>
      </c>
      <c r="G92" s="244">
        <f>'Finanical Statment'!E23</f>
        <v>14937.2</v>
      </c>
      <c r="H92" s="244">
        <f>'Finanical Statment'!F23</f>
        <v>16075.35</v>
      </c>
      <c r="I92" s="244">
        <f>'Finanical Statment'!G23</f>
        <v>17524.12</v>
      </c>
      <c r="J92" s="244">
        <f>'Finanical Statment'!H23</f>
        <v>19221.22</v>
      </c>
      <c r="K92" s="244">
        <f>'Finanical Statment'!I23</f>
        <v>20115.95</v>
      </c>
      <c r="L92" s="244">
        <f>'Finanical Statment'!J23</f>
        <v>17996.14</v>
      </c>
      <c r="M92" s="244">
        <f>'Finanical Statment'!K23</f>
        <v>20800.46</v>
      </c>
      <c r="N92" s="244">
        <f>'Finanical Statment'!L23</f>
        <v>25992.89</v>
      </c>
      <c r="O92" s="546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outlineLevel="1">
      <c r="A93" s="44"/>
      <c r="B93" s="44"/>
      <c r="C93" s="44"/>
      <c r="D93" s="515" t="s">
        <v>438</v>
      </c>
      <c r="E93" s="544">
        <f t="shared" ref="E93:N93" si="26">IF(E92=0,0,E91/E92)</f>
        <v>21.70159329</v>
      </c>
      <c r="F93" s="544">
        <f t="shared" si="26"/>
        <v>18.5988639</v>
      </c>
      <c r="G93" s="544">
        <f t="shared" si="26"/>
        <v>18.08403425</v>
      </c>
      <c r="H93" s="544">
        <f t="shared" si="26"/>
        <v>21.36272629</v>
      </c>
      <c r="I93" s="544">
        <f t="shared" si="26"/>
        <v>17.95716675</v>
      </c>
      <c r="J93" s="544">
        <f t="shared" si="26"/>
        <v>19.17284517</v>
      </c>
      <c r="K93" s="544">
        <f t="shared" si="26"/>
        <v>10.84000328</v>
      </c>
      <c r="L93" s="544">
        <f t="shared" si="26"/>
        <v>15.18856099</v>
      </c>
      <c r="M93" s="544">
        <f t="shared" si="26"/>
        <v>15.06161376</v>
      </c>
      <c r="N93" s="544">
        <f t="shared" si="26"/>
        <v>18.51229125</v>
      </c>
      <c r="O93" s="395"/>
      <c r="P93" s="328">
        <f>AVERAGE(E93:O93)</f>
        <v>17.64796989</v>
      </c>
      <c r="Q93" s="328">
        <f>MEDIAN(E93:O93)</f>
        <v>18.29816275</v>
      </c>
      <c r="R93" s="328">
        <f>MAX(E93:O93)</f>
        <v>21.70159329</v>
      </c>
      <c r="S93" s="329">
        <f>MIN(E93:O93)</f>
        <v>10.84000328</v>
      </c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outlineLevel="1">
      <c r="A94" s="44"/>
      <c r="B94" s="44"/>
      <c r="C94" s="44"/>
      <c r="D94" s="212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23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outlineLevel="1">
      <c r="A95" s="44"/>
      <c r="B95" s="44"/>
      <c r="C95" s="44"/>
      <c r="D95" s="212" t="s">
        <v>80</v>
      </c>
      <c r="E95" s="200">
        <f>'Finanical Statment'!C16</f>
        <v>13079.9</v>
      </c>
      <c r="F95" s="200">
        <f>'Finanical Statment'!D16</f>
        <v>14251.62</v>
      </c>
      <c r="G95" s="200">
        <f>'Finanical Statment'!E16</f>
        <v>14531.49</v>
      </c>
      <c r="H95" s="200">
        <f>'Finanical Statment'!F16</f>
        <v>15469.51</v>
      </c>
      <c r="I95" s="200">
        <f>'Finanical Statment'!G16</f>
        <v>16520.59</v>
      </c>
      <c r="J95" s="200">
        <f>'Finanical Statment'!H16</f>
        <v>18537.39</v>
      </c>
      <c r="K95" s="200">
        <f>'Finanical Statment'!I16</f>
        <v>19343.54</v>
      </c>
      <c r="L95" s="200">
        <f>'Finanical Statment'!J16</f>
        <v>17064.78</v>
      </c>
      <c r="M95" s="200">
        <f>'Finanical Statment'!K16</f>
        <v>20623.15</v>
      </c>
      <c r="N95" s="200">
        <f>'Finanical Statment'!L16</f>
        <v>25704.26</v>
      </c>
      <c r="O95" s="542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outlineLevel="1">
      <c r="A96" s="44"/>
      <c r="B96" s="44"/>
      <c r="C96" s="44"/>
      <c r="D96" s="515" t="s">
        <v>439</v>
      </c>
      <c r="E96" s="544">
        <f t="shared" ref="E96:N96" si="27">IF(E95=0,0,E91/E95)</f>
        <v>21.7029538</v>
      </c>
      <c r="F96" s="544">
        <f t="shared" si="27"/>
        <v>18.86168491</v>
      </c>
      <c r="G96" s="544">
        <f t="shared" si="27"/>
        <v>18.58892904</v>
      </c>
      <c r="H96" s="544">
        <f t="shared" si="27"/>
        <v>22.1993652</v>
      </c>
      <c r="I96" s="544">
        <f t="shared" si="27"/>
        <v>19.04796045</v>
      </c>
      <c r="J96" s="544">
        <f t="shared" si="27"/>
        <v>19.88011662</v>
      </c>
      <c r="K96" s="544">
        <f t="shared" si="27"/>
        <v>11.27285719</v>
      </c>
      <c r="L96" s="544">
        <f t="shared" si="27"/>
        <v>16.01752088</v>
      </c>
      <c r="M96" s="544">
        <f t="shared" si="27"/>
        <v>15.19110778</v>
      </c>
      <c r="N96" s="544">
        <f t="shared" si="27"/>
        <v>18.72016351</v>
      </c>
      <c r="O96" s="395"/>
      <c r="P96" s="328">
        <f>AVERAGE(E96:O96)</f>
        <v>18.14826594</v>
      </c>
      <c r="Q96" s="328">
        <f>MEDIAN(E96:O96)</f>
        <v>18.79092421</v>
      </c>
      <c r="R96" s="328">
        <f>MAX(E96:O96)</f>
        <v>22.1993652</v>
      </c>
      <c r="S96" s="329">
        <f>MIN(E96:O96)</f>
        <v>11.27285719</v>
      </c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 outlineLevel="1">
      <c r="A97" s="44"/>
      <c r="B97" s="44"/>
      <c r="C97" s="44"/>
      <c r="D97" s="212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3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 outlineLevel="1">
      <c r="A98" s="44"/>
      <c r="B98" s="44"/>
      <c r="C98" s="44"/>
      <c r="D98" s="515" t="s">
        <v>440</v>
      </c>
      <c r="E98" s="544">
        <f>IF('Finanical Statment'!C7=0,0,E91/'Finanical Statment'!C7)</f>
        <v>8.040248346</v>
      </c>
      <c r="F98" s="544">
        <f>IF('Finanical Statment'!D7=0,0,F91/'Finanical Statment'!D7)</f>
        <v>6.925020665</v>
      </c>
      <c r="G98" s="544">
        <f>IF('Finanical Statment'!E7=0,0,G91/'Finanical Statment'!E7)</f>
        <v>6.892328719</v>
      </c>
      <c r="H98" s="544">
        <f>IF('Finanical Statment'!F7=0,0,H91/'Finanical Statment'!F7)</f>
        <v>8.029753879</v>
      </c>
      <c r="I98" s="544">
        <f>IF('Finanical Statment'!G7=0,0,I91/'Finanical Statment'!G7)</f>
        <v>7.242605804</v>
      </c>
      <c r="J98" s="544">
        <f>IF('Finanical Statment'!H7=0,0,J91/'Finanical Statment'!H7)</f>
        <v>7.623679705</v>
      </c>
      <c r="K98" s="544">
        <f>IF('Finanical Statment'!I7=0,0,K91/'Finanical Statment'!I7)</f>
        <v>4.415207916</v>
      </c>
      <c r="L98" s="544">
        <f>IF('Finanical Statment'!J7=0,0,L91/'Finanical Statment'!J7)</f>
        <v>5.549119372</v>
      </c>
      <c r="M98" s="544">
        <f>IF('Finanical Statment'!K7=0,0,M91/'Finanical Statment'!K7)</f>
        <v>5.165980227</v>
      </c>
      <c r="N98" s="544">
        <f>IF('Finanical Statment'!L7=0,0,N91/'Finanical Statment'!L7)</f>
        <v>6.785032875</v>
      </c>
      <c r="O98" s="395"/>
      <c r="P98" s="328">
        <f>AVERAGE(E98:O98)</f>
        <v>6.666897751</v>
      </c>
      <c r="Q98" s="328">
        <f>MEDIAN(E98:O98)</f>
        <v>6.908674692</v>
      </c>
      <c r="R98" s="328">
        <f>MAX(E98:O98)</f>
        <v>8.040248346</v>
      </c>
      <c r="S98" s="329">
        <f>MIN(E98:O98)</f>
        <v>4.415207916</v>
      </c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 outlineLevel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>
      <c r="A105" s="44"/>
      <c r="B105" s="44"/>
      <c r="C105" s="44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>
      <c r="A106" s="44"/>
      <c r="B106" s="44"/>
      <c r="C106" s="44"/>
      <c r="D106" s="157"/>
      <c r="E106" s="157"/>
      <c r="F106" s="157"/>
      <c r="G106" s="157"/>
      <c r="H106" s="157"/>
      <c r="I106" s="157"/>
      <c r="J106" s="157"/>
      <c r="K106" s="157"/>
      <c r="L106" s="157"/>
      <c r="M106" s="213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>
      <c r="A107" s="44"/>
      <c r="B107" s="44"/>
      <c r="C107" s="44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>
      <c r="A108" s="44"/>
      <c r="B108" s="44"/>
      <c r="C108" s="49"/>
      <c r="D108" s="547"/>
      <c r="E108" s="547"/>
      <c r="F108" s="547"/>
      <c r="G108" s="547"/>
      <c r="H108" s="547"/>
      <c r="I108" s="547"/>
      <c r="J108" s="547"/>
      <c r="K108" s="547"/>
      <c r="L108" s="547"/>
      <c r="M108" s="547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>
      <c r="A109" s="44"/>
      <c r="B109" s="44"/>
      <c r="C109" s="44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>
      <c r="A110" s="44"/>
      <c r="B110" s="44"/>
      <c r="C110" s="49"/>
      <c r="D110" s="547"/>
      <c r="E110" s="547"/>
      <c r="F110" s="547"/>
      <c r="G110" s="547"/>
      <c r="H110" s="547"/>
      <c r="I110" s="547"/>
      <c r="J110" s="547"/>
      <c r="K110" s="547"/>
      <c r="L110" s="547"/>
      <c r="M110" s="547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>
      <c r="A113" s="44"/>
      <c r="B113" s="44"/>
      <c r="C113" s="44"/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11">
    <mergeCell ref="A38:B38"/>
    <mergeCell ref="D51:E51"/>
    <mergeCell ref="A64:B64"/>
    <mergeCell ref="D67:O67"/>
    <mergeCell ref="A1:B1"/>
    <mergeCell ref="C1:F1"/>
    <mergeCell ref="A2:B2"/>
    <mergeCell ref="C2:N2"/>
    <mergeCell ref="A4:B4"/>
    <mergeCell ref="D12:E12"/>
    <mergeCell ref="A25:B25"/>
  </mergeCells>
  <hyperlinks>
    <hyperlink r:id="rId2" ref="G1"/>
    <hyperlink r:id="rId3" ref="H1"/>
  </hyperlinks>
  <printOptions horizontalCentered="1" verticalCentered="1"/>
  <pageMargins bottom="0.5511811023622047" footer="0.0" header="0.0" left="0.7086614173228347" right="0.11811023622047245" top="0.5511811023622047"/>
  <pageSetup orientation="landscape"/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28.57"/>
    <col customWidth="1" min="2" max="2" width="10.71"/>
    <col customWidth="1" min="3" max="5" width="7.86"/>
    <col customWidth="1" min="6" max="6" width="8.14"/>
    <col customWidth="1" min="7" max="7" width="11.29"/>
    <col customWidth="1" min="8" max="8" width="13.71"/>
    <col customWidth="1" min="9" max="9" width="18.43"/>
    <col customWidth="1" min="10" max="10" width="19.29"/>
    <col customWidth="1" min="11" max="11" width="17.29"/>
    <col customWidth="1" min="12" max="15" width="13.71"/>
    <col customWidth="1" min="16" max="33" width="8.86"/>
  </cols>
  <sheetData>
    <row r="1" ht="14.25" customHeight="1">
      <c r="A1" s="132" t="s">
        <v>66</v>
      </c>
      <c r="B1" s="135"/>
      <c r="C1" s="133"/>
      <c r="D1" s="18" t="s">
        <v>67</v>
      </c>
      <c r="E1" s="5"/>
      <c r="F1" s="5"/>
      <c r="G1" s="5"/>
      <c r="H1" s="6"/>
      <c r="I1" s="136" t="s">
        <v>68</v>
      </c>
      <c r="J1" s="137" t="s">
        <v>69</v>
      </c>
      <c r="K1" s="21"/>
      <c r="L1" s="21"/>
      <c r="M1" s="254"/>
      <c r="N1" s="548"/>
      <c r="O1" s="548"/>
      <c r="P1" s="255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23"/>
      <c r="AB1" s="23"/>
      <c r="AC1" s="23"/>
      <c r="AD1" s="23"/>
      <c r="AE1" s="23"/>
      <c r="AF1" s="23"/>
      <c r="AG1" s="23"/>
    </row>
    <row r="2" ht="14.25" customHeight="1">
      <c r="A2" s="549" t="s">
        <v>441</v>
      </c>
      <c r="B2" s="284"/>
      <c r="C2" s="550"/>
      <c r="D2" s="551"/>
      <c r="E2" s="551"/>
      <c r="F2" s="26" t="str">
        <f>'Data Sheet'!B1</f>
        <v>ITC LTD</v>
      </c>
      <c r="G2" s="5"/>
      <c r="H2" s="5"/>
      <c r="I2" s="5"/>
      <c r="J2" s="5"/>
      <c r="K2" s="5"/>
      <c r="L2" s="5"/>
      <c r="M2" s="5"/>
      <c r="N2" s="5"/>
      <c r="O2" s="5"/>
      <c r="P2" s="187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</row>
    <row r="3" ht="14.25" customHeight="1">
      <c r="A3" s="552"/>
      <c r="B3" s="290"/>
      <c r="C3" s="553"/>
      <c r="D3" s="554"/>
      <c r="E3" s="554"/>
      <c r="F3" s="555">
        <f>'Finanical Statment'!L3</f>
        <v>2023</v>
      </c>
      <c r="G3" s="555">
        <f t="shared" ref="G3:P3" si="1">F3+1</f>
        <v>2024</v>
      </c>
      <c r="H3" s="555">
        <f t="shared" si="1"/>
        <v>2025</v>
      </c>
      <c r="I3" s="555">
        <f t="shared" si="1"/>
        <v>2026</v>
      </c>
      <c r="J3" s="555">
        <f t="shared" si="1"/>
        <v>2027</v>
      </c>
      <c r="K3" s="555">
        <f t="shared" si="1"/>
        <v>2028</v>
      </c>
      <c r="L3" s="555">
        <f t="shared" si="1"/>
        <v>2029</v>
      </c>
      <c r="M3" s="555">
        <f t="shared" si="1"/>
        <v>2030</v>
      </c>
      <c r="N3" s="555">
        <f t="shared" si="1"/>
        <v>2031</v>
      </c>
      <c r="O3" s="556">
        <f t="shared" si="1"/>
        <v>2032</v>
      </c>
      <c r="P3" s="556">
        <f t="shared" si="1"/>
        <v>2033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</row>
    <row r="4" ht="14.2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</row>
    <row r="5" ht="14.25" customHeight="1">
      <c r="A5" s="557" t="s">
        <v>126</v>
      </c>
      <c r="B5" s="109"/>
      <c r="C5" s="109"/>
      <c r="D5" s="109"/>
      <c r="E5" s="558" t="s">
        <v>442</v>
      </c>
      <c r="F5" s="135"/>
      <c r="G5" s="135"/>
      <c r="H5" s="135"/>
      <c r="I5" s="135"/>
      <c r="J5" s="135"/>
      <c r="K5" s="135"/>
      <c r="L5" s="135"/>
      <c r="M5" s="135"/>
      <c r="N5" s="135"/>
      <c r="O5" s="133"/>
      <c r="P5" s="55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</row>
    <row r="6" ht="14.25" customHeight="1">
      <c r="A6" s="560" t="s">
        <v>443</v>
      </c>
      <c r="B6" s="561">
        <f>'Finanical Statment'!B107</f>
        <v>442.6</v>
      </c>
      <c r="C6" s="109"/>
      <c r="D6" s="109"/>
      <c r="E6" s="562" t="s">
        <v>12</v>
      </c>
      <c r="F6" s="563">
        <f>'Finanical Statment'!L7</f>
        <v>70919.03</v>
      </c>
      <c r="G6" s="564">
        <f t="shared" ref="G6:P6" si="2">F6*(1+$B$17)</f>
        <v>81556.8845</v>
      </c>
      <c r="H6" s="564">
        <f t="shared" si="2"/>
        <v>93790.41718</v>
      </c>
      <c r="I6" s="564">
        <f t="shared" si="2"/>
        <v>107858.9798</v>
      </c>
      <c r="J6" s="564">
        <f t="shared" si="2"/>
        <v>124037.8267</v>
      </c>
      <c r="K6" s="564">
        <f t="shared" si="2"/>
        <v>142643.5007</v>
      </c>
      <c r="L6" s="564">
        <f t="shared" si="2"/>
        <v>164040.0258</v>
      </c>
      <c r="M6" s="564">
        <f t="shared" si="2"/>
        <v>188646.0297</v>
      </c>
      <c r="N6" s="564">
        <f t="shared" si="2"/>
        <v>216942.9342</v>
      </c>
      <c r="O6" s="564">
        <f t="shared" si="2"/>
        <v>249484.3743</v>
      </c>
      <c r="P6" s="565">
        <f t="shared" si="2"/>
        <v>286907.0304</v>
      </c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</row>
    <row r="7" ht="14.25" customHeight="1">
      <c r="A7" s="566" t="s">
        <v>97</v>
      </c>
      <c r="B7" s="567">
        <f>'Finanical Statment'!M43</f>
        <v>18.12353488</v>
      </c>
      <c r="C7" s="109"/>
      <c r="D7" s="109"/>
      <c r="E7" s="562" t="s">
        <v>97</v>
      </c>
      <c r="F7" s="568">
        <f t="shared" ref="F7:F8" si="4">B7</f>
        <v>18.12353488</v>
      </c>
      <c r="G7" s="3">
        <f t="shared" ref="G7:P7" si="3">F7*(1+$B$25)</f>
        <v>20.84206512</v>
      </c>
      <c r="H7" s="3">
        <f t="shared" si="3"/>
        <v>23.96837488</v>
      </c>
      <c r="I7" s="3">
        <f t="shared" si="3"/>
        <v>27.56363112</v>
      </c>
      <c r="J7" s="3">
        <f t="shared" si="3"/>
        <v>31.69817578</v>
      </c>
      <c r="K7" s="3">
        <f t="shared" si="3"/>
        <v>36.45290215</v>
      </c>
      <c r="L7" s="3">
        <f t="shared" si="3"/>
        <v>41.92083747</v>
      </c>
      <c r="M7" s="3">
        <f t="shared" si="3"/>
        <v>48.20896309</v>
      </c>
      <c r="N7" s="3">
        <f t="shared" si="3"/>
        <v>55.44030756</v>
      </c>
      <c r="O7" s="3">
        <f t="shared" si="3"/>
        <v>63.75635369</v>
      </c>
      <c r="P7" s="569">
        <f t="shared" si="3"/>
        <v>73.31980675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</row>
    <row r="8" ht="14.25" customHeight="1">
      <c r="A8" s="566" t="s">
        <v>93</v>
      </c>
      <c r="B8" s="570">
        <f>'Finanical Statment'!L39</f>
        <v>15.5</v>
      </c>
      <c r="C8" s="109"/>
      <c r="D8" s="109"/>
      <c r="E8" s="571" t="s">
        <v>93</v>
      </c>
      <c r="F8" s="572">
        <f t="shared" si="4"/>
        <v>15.5</v>
      </c>
      <c r="G8" s="573">
        <f t="shared" ref="G8:P8" si="5">G7*$B$42</f>
        <v>20.63364446</v>
      </c>
      <c r="H8" s="573">
        <f t="shared" si="5"/>
        <v>23.72869113</v>
      </c>
      <c r="I8" s="573">
        <f t="shared" si="5"/>
        <v>27.2879948</v>
      </c>
      <c r="J8" s="573">
        <f t="shared" si="5"/>
        <v>31.38119403</v>
      </c>
      <c r="K8" s="573">
        <f t="shared" si="5"/>
        <v>36.08837313</v>
      </c>
      <c r="L8" s="573">
        <f t="shared" si="5"/>
        <v>41.5016291</v>
      </c>
      <c r="M8" s="573">
        <f t="shared" si="5"/>
        <v>47.72687346</v>
      </c>
      <c r="N8" s="573">
        <f t="shared" si="5"/>
        <v>54.88590448</v>
      </c>
      <c r="O8" s="573">
        <f t="shared" si="5"/>
        <v>63.11879016</v>
      </c>
      <c r="P8" s="574">
        <f t="shared" si="5"/>
        <v>72.58660868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</row>
    <row r="9" ht="14.25" customHeight="1">
      <c r="A9" s="566" t="s">
        <v>189</v>
      </c>
      <c r="B9" s="575">
        <f>'Finanical Statment'!L68/'Finanical Statment'!B105</f>
        <v>55.45624549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</row>
    <row r="10" ht="14.25" customHeight="1">
      <c r="A10" s="566" t="s">
        <v>444</v>
      </c>
      <c r="B10" s="570">
        <f>'Finanical Statment'!B107/'Finanical Statment'!L43</f>
        <v>28.24209004</v>
      </c>
      <c r="C10" s="109"/>
      <c r="D10" s="109"/>
      <c r="E10" s="576" t="s">
        <v>445</v>
      </c>
      <c r="F10" s="577"/>
      <c r="G10" s="577"/>
      <c r="H10" s="578"/>
      <c r="I10" s="109"/>
      <c r="J10" s="57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</row>
    <row r="11" ht="14.25" customHeight="1">
      <c r="A11" s="566" t="s">
        <v>446</v>
      </c>
      <c r="B11" s="580">
        <f>1/B10</f>
        <v>0.03540814431</v>
      </c>
      <c r="C11" s="109"/>
      <c r="D11" s="109"/>
      <c r="E11" s="581" t="s">
        <v>447</v>
      </c>
      <c r="F11" s="284"/>
      <c r="G11" s="284"/>
      <c r="H11" s="569">
        <f>P7</f>
        <v>73.31980675</v>
      </c>
      <c r="I11" s="109"/>
      <c r="J11" s="477" t="s">
        <v>388</v>
      </c>
      <c r="K11" s="478" t="s">
        <v>389</v>
      </c>
      <c r="L11" s="479" t="s">
        <v>448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</row>
    <row r="12" ht="14.25" customHeight="1">
      <c r="A12" s="566" t="s">
        <v>449</v>
      </c>
      <c r="B12" s="580">
        <f>B8/B6</f>
        <v>0.03502033439</v>
      </c>
      <c r="C12" s="109"/>
      <c r="D12" s="109"/>
      <c r="E12" s="562" t="s">
        <v>450</v>
      </c>
      <c r="H12" s="569">
        <f>SUM(G8:P8)</f>
        <v>418.9397034</v>
      </c>
      <c r="I12" s="109"/>
      <c r="J12" s="480" t="s">
        <v>451</v>
      </c>
      <c r="K12" s="481">
        <f>'Finanical Statment'!$B$107</f>
        <v>442.6</v>
      </c>
      <c r="L12" s="470">
        <f>-PV($B$14,$P$3-$F$3,0,H14)</f>
        <v>472.1403097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</row>
    <row r="13" ht="14.25" customHeight="1">
      <c r="A13" s="566" t="s">
        <v>452</v>
      </c>
      <c r="B13" s="575">
        <f>B6/B9</f>
        <v>7.981066805</v>
      </c>
      <c r="C13" s="109"/>
      <c r="D13" s="109"/>
      <c r="E13" s="562"/>
      <c r="F13" s="109"/>
      <c r="G13" s="109"/>
      <c r="H13" s="582"/>
      <c r="I13" s="109"/>
      <c r="J13" s="483" t="s">
        <v>392</v>
      </c>
      <c r="K13" s="484">
        <f>$K$12*'Finanical Statment'!$B$105</f>
        <v>551932.75</v>
      </c>
      <c r="L13" s="476">
        <f>L12*'Finanical Statment'!B105</f>
        <v>588770.2203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</row>
    <row r="14" ht="14.25" customHeight="1">
      <c r="A14" s="583" t="s">
        <v>453</v>
      </c>
      <c r="B14" s="584">
        <v>0.12</v>
      </c>
      <c r="C14" s="109"/>
      <c r="D14" s="109"/>
      <c r="E14" s="585" t="s">
        <v>454</v>
      </c>
      <c r="H14" s="586">
        <f>B38*H11</f>
        <v>1466.396135</v>
      </c>
      <c r="I14" s="109"/>
      <c r="J14" s="44"/>
      <c r="K14" s="44"/>
      <c r="L14" s="316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ht="14.25" customHeight="1">
      <c r="A15" s="109"/>
      <c r="B15" s="109"/>
      <c r="C15" s="109"/>
      <c r="D15" s="109"/>
      <c r="E15" s="587"/>
      <c r="H15" s="588"/>
      <c r="I15" s="109"/>
      <c r="J15" s="44"/>
      <c r="K15" s="44"/>
      <c r="L15" s="44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</row>
    <row r="16" ht="14.25" customHeight="1">
      <c r="A16" s="557" t="s">
        <v>12</v>
      </c>
      <c r="B16" s="109"/>
      <c r="C16" s="109"/>
      <c r="D16" s="109"/>
      <c r="E16" s="589" t="s">
        <v>455</v>
      </c>
      <c r="H16" s="590">
        <f>H14+H12</f>
        <v>1885.335838</v>
      </c>
      <c r="I16" s="109"/>
      <c r="J16" s="488" t="str">
        <f>IF(K13&gt;L13,"Overvalued By ","Undervalued By ")</f>
        <v>Undervalued By </v>
      </c>
      <c r="K16" s="489">
        <f>IF(K13&gt;L13,((K13/L13)-1),((L13/K13)-1))</f>
        <v>0.06674267891</v>
      </c>
      <c r="L16" s="44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</row>
    <row r="17" ht="16.5" customHeight="1">
      <c r="A17" s="591" t="s">
        <v>456</v>
      </c>
      <c r="B17" s="584">
        <v>0.15</v>
      </c>
      <c r="C17" s="109"/>
      <c r="D17" s="109"/>
      <c r="E17" s="587"/>
      <c r="H17" s="588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</row>
    <row r="18" ht="14.25" customHeight="1">
      <c r="A18" s="566" t="s">
        <v>457</v>
      </c>
      <c r="B18" s="580">
        <f>IF('Finanical Statment'!C7=0,0,(('Finanical Statment'!L7/'Finanical Statment'!C7)^(1/9))-1)</f>
        <v>0.08057907517</v>
      </c>
      <c r="C18" s="109"/>
      <c r="D18" s="109"/>
      <c r="E18" s="592" t="s">
        <v>458</v>
      </c>
      <c r="F18" s="135"/>
      <c r="G18" s="135"/>
      <c r="H18" s="135"/>
      <c r="I18" s="133"/>
      <c r="J18" s="593">
        <f>((H16/B6)^(1/9)-1)</f>
        <v>0.1747103971</v>
      </c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</row>
    <row r="19" ht="14.25" customHeight="1">
      <c r="A19" s="566" t="s">
        <v>459</v>
      </c>
      <c r="B19" s="580">
        <f>(('Finanical Statment'!L7/'Finanical Statment'!H7)^(1/4))-1</f>
        <v>0.1005631785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</row>
    <row r="20" ht="14.25" customHeight="1">
      <c r="A20" s="566" t="s">
        <v>460</v>
      </c>
      <c r="B20" s="580">
        <f>(('Finanical Statment'!L7/'Finanical Statment'!I7)^(1/2))-1</f>
        <v>0.1983177511</v>
      </c>
      <c r="C20" s="109"/>
      <c r="D20" s="109"/>
      <c r="E20" s="558" t="s">
        <v>461</v>
      </c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66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</row>
    <row r="21" ht="14.25" customHeight="1">
      <c r="A21" s="566" t="s">
        <v>462</v>
      </c>
      <c r="B21" s="580">
        <f>'Finanical Statment'!L8</f>
        <v>0.1694215176</v>
      </c>
      <c r="C21" s="109"/>
      <c r="D21" s="109"/>
      <c r="E21" s="562" t="s">
        <v>189</v>
      </c>
      <c r="F21" s="594">
        <f>B9</f>
        <v>55.45624549</v>
      </c>
      <c r="G21" s="594">
        <f t="shared" ref="G21:P21" si="6">F21+F22-F23</f>
        <v>58.07978037</v>
      </c>
      <c r="H21" s="594">
        <f t="shared" si="6"/>
        <v>58.08116678</v>
      </c>
      <c r="I21" s="594">
        <f t="shared" si="6"/>
        <v>58.08261877</v>
      </c>
      <c r="J21" s="594">
        <f t="shared" si="6"/>
        <v>58.0840708</v>
      </c>
      <c r="K21" s="594">
        <f t="shared" si="6"/>
        <v>58.08552287</v>
      </c>
      <c r="L21" s="594">
        <f t="shared" si="6"/>
        <v>58.08697497</v>
      </c>
      <c r="M21" s="594">
        <f t="shared" si="6"/>
        <v>58.08842711</v>
      </c>
      <c r="N21" s="594">
        <f t="shared" si="6"/>
        <v>58.08987928</v>
      </c>
      <c r="O21" s="594">
        <f t="shared" si="6"/>
        <v>58.09133149</v>
      </c>
      <c r="P21" s="595">
        <f t="shared" si="6"/>
        <v>58.09278374</v>
      </c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</row>
    <row r="22" ht="14.25" customHeight="1">
      <c r="A22" s="583" t="s">
        <v>463</v>
      </c>
      <c r="B22" s="596">
        <f>'Finanical Statment'!M8</f>
        <v>-0.01843186518</v>
      </c>
      <c r="C22" s="109"/>
      <c r="D22" s="109"/>
      <c r="E22" s="562" t="s">
        <v>97</v>
      </c>
      <c r="F22" s="568">
        <f t="shared" ref="F22:F23" si="8">B7</f>
        <v>18.12353488</v>
      </c>
      <c r="G22" s="594">
        <f t="shared" ref="G22:P22" si="7">F21*$B$43</f>
        <v>0.1386406137</v>
      </c>
      <c r="H22" s="594">
        <f t="shared" si="7"/>
        <v>0.1451994509</v>
      </c>
      <c r="I22" s="594">
        <f t="shared" si="7"/>
        <v>0.1452029169</v>
      </c>
      <c r="J22" s="594">
        <f t="shared" si="7"/>
        <v>0.1452065469</v>
      </c>
      <c r="K22" s="594">
        <f t="shared" si="7"/>
        <v>0.145210177</v>
      </c>
      <c r="L22" s="594">
        <f t="shared" si="7"/>
        <v>0.1452138072</v>
      </c>
      <c r="M22" s="594">
        <f t="shared" si="7"/>
        <v>0.1452174374</v>
      </c>
      <c r="N22" s="594">
        <f t="shared" si="7"/>
        <v>0.1452210678</v>
      </c>
      <c r="O22" s="594">
        <f t="shared" si="7"/>
        <v>0.1452246982</v>
      </c>
      <c r="P22" s="595">
        <f t="shared" si="7"/>
        <v>0.1452283287</v>
      </c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</row>
    <row r="23" ht="14.25" customHeight="1">
      <c r="A23" s="109"/>
      <c r="B23" s="109"/>
      <c r="C23" s="109"/>
      <c r="D23" s="109"/>
      <c r="E23" s="571" t="s">
        <v>93</v>
      </c>
      <c r="F23" s="572">
        <f t="shared" si="8"/>
        <v>15.5</v>
      </c>
      <c r="G23" s="597">
        <f t="shared" ref="G23:P23" si="9">G22*$B$42</f>
        <v>0.1372542076</v>
      </c>
      <c r="H23" s="597">
        <f t="shared" si="9"/>
        <v>0.1437474564</v>
      </c>
      <c r="I23" s="597">
        <f t="shared" si="9"/>
        <v>0.1437508878</v>
      </c>
      <c r="J23" s="597">
        <f t="shared" si="9"/>
        <v>0.1437544815</v>
      </c>
      <c r="K23" s="597">
        <f t="shared" si="9"/>
        <v>0.1437580752</v>
      </c>
      <c r="L23" s="597">
        <f t="shared" si="9"/>
        <v>0.1437616691</v>
      </c>
      <c r="M23" s="597">
        <f t="shared" si="9"/>
        <v>0.143765263</v>
      </c>
      <c r="N23" s="597">
        <f t="shared" si="9"/>
        <v>0.1437688571</v>
      </c>
      <c r="O23" s="597">
        <f t="shared" si="9"/>
        <v>0.1437724512</v>
      </c>
      <c r="P23" s="598">
        <f t="shared" si="9"/>
        <v>0.1437760454</v>
      </c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</row>
    <row r="24" ht="14.25" customHeight="1">
      <c r="A24" s="557" t="s">
        <v>97</v>
      </c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</row>
    <row r="25" ht="14.25" customHeight="1">
      <c r="A25" s="591" t="s">
        <v>464</v>
      </c>
      <c r="B25" s="584">
        <v>0.15</v>
      </c>
      <c r="C25" s="109"/>
      <c r="D25" s="109"/>
      <c r="E25" s="599" t="s">
        <v>445</v>
      </c>
      <c r="F25" s="135"/>
      <c r="G25" s="135"/>
      <c r="H25" s="166"/>
      <c r="I25" s="109"/>
      <c r="J25" s="477" t="s">
        <v>388</v>
      </c>
      <c r="K25" s="478" t="s">
        <v>389</v>
      </c>
      <c r="L25" s="479" t="s">
        <v>448</v>
      </c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</row>
    <row r="26" ht="14.25" customHeight="1">
      <c r="A26" s="566" t="s">
        <v>465</v>
      </c>
      <c r="B26" s="580">
        <f>IF('Finanical Statment'!C7=0,0,POWER('Finanical Statment'!L43/'Finanical Statment'!C43,1/9)-1)</f>
        <v>0.08474754887</v>
      </c>
      <c r="C26" s="109"/>
      <c r="D26" s="109"/>
      <c r="E26" s="581" t="s">
        <v>447</v>
      </c>
      <c r="F26" s="284"/>
      <c r="G26" s="284"/>
      <c r="H26" s="600">
        <f>P22</f>
        <v>0.1452283287</v>
      </c>
      <c r="I26" s="109"/>
      <c r="J26" s="480" t="s">
        <v>451</v>
      </c>
      <c r="K26" s="481">
        <f>'Finanical Statment'!$B$107</f>
        <v>442.6</v>
      </c>
      <c r="L26" s="470">
        <f>-PV($B$14,$P$3-$F$3,0,H29)</f>
        <v>0.9351927009</v>
      </c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</row>
    <row r="27" ht="14.25" customHeight="1">
      <c r="A27" s="566" t="s">
        <v>466</v>
      </c>
      <c r="B27" s="580">
        <f>POWER('Finanical Statment'!L43/'Finanical Statment'!H43,1/4)-1</f>
        <v>0.1060691551</v>
      </c>
      <c r="C27" s="109"/>
      <c r="D27" s="109"/>
      <c r="E27" s="562" t="s">
        <v>450</v>
      </c>
      <c r="H27" s="595">
        <f>SUM(G23:P23)</f>
        <v>1.431109394</v>
      </c>
      <c r="I27" s="109"/>
      <c r="J27" s="483" t="s">
        <v>392</v>
      </c>
      <c r="K27" s="484">
        <f>$K$12*'Finanical Statment'!$B$105</f>
        <v>551932.75</v>
      </c>
      <c r="L27" s="476">
        <f>L26*'Finanical Statment'!B105</f>
        <v>1166.20759</v>
      </c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</row>
    <row r="28" ht="15.0" customHeight="1">
      <c r="A28" s="566" t="s">
        <v>467</v>
      </c>
      <c r="B28" s="580">
        <f>POWER('Finanical Statment'!L43/'Finanical Statment'!J43,1/2)-1</f>
        <v>0.2005779251</v>
      </c>
      <c r="C28" s="109"/>
      <c r="D28" s="109"/>
      <c r="E28" s="562"/>
      <c r="F28" s="109"/>
      <c r="G28" s="109"/>
      <c r="H28" s="582"/>
      <c r="I28" s="109"/>
      <c r="J28" s="44"/>
      <c r="K28" s="44"/>
      <c r="L28" s="316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</row>
    <row r="29" ht="14.25" customHeight="1">
      <c r="A29" s="566" t="s">
        <v>468</v>
      </c>
      <c r="B29" s="580">
        <f>'Finanical Statment'!L36</f>
        <v>0.2563088873</v>
      </c>
      <c r="C29" s="109"/>
      <c r="D29" s="109"/>
      <c r="E29" s="585" t="s">
        <v>469</v>
      </c>
      <c r="H29" s="601">
        <f>$B$38*H26</f>
        <v>2.904566575</v>
      </c>
      <c r="I29" s="109"/>
      <c r="J29" s="44"/>
      <c r="K29" s="44"/>
      <c r="L29" s="44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</row>
    <row r="30" ht="15.0" customHeight="1">
      <c r="A30" s="583" t="s">
        <v>470</v>
      </c>
      <c r="B30" s="602">
        <f>'Finanical Statment'!M36</f>
        <v>0.1603842947</v>
      </c>
      <c r="C30" s="109"/>
      <c r="D30" s="109"/>
      <c r="E30" s="587"/>
      <c r="H30" s="588"/>
      <c r="I30" s="109"/>
      <c r="J30" s="488" t="str">
        <f>IF(K27&gt;L27,"Overvalued By ","Undervalued By ")</f>
        <v>Overvalued By </v>
      </c>
      <c r="K30" s="489">
        <f>IF(K27&gt;L27,((K27/L27)-1),((L27/K27)-1))</f>
        <v>472.271444</v>
      </c>
      <c r="L30" s="44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</row>
    <row r="31" ht="14.25" customHeight="1">
      <c r="A31" s="109"/>
      <c r="B31" s="109"/>
      <c r="C31" s="109"/>
      <c r="D31" s="109"/>
      <c r="E31" s="589" t="s">
        <v>455</v>
      </c>
      <c r="H31" s="601">
        <f>((H29+H27))</f>
        <v>4.335675969</v>
      </c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ht="14.25" customHeight="1">
      <c r="A32" s="557" t="s">
        <v>431</v>
      </c>
      <c r="B32" s="109"/>
      <c r="C32" s="109"/>
      <c r="D32" s="109"/>
      <c r="E32" s="552"/>
      <c r="F32" s="290"/>
      <c r="G32" s="290"/>
      <c r="H32" s="292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</row>
    <row r="33" ht="14.25" customHeight="1">
      <c r="A33" s="560" t="s">
        <v>471</v>
      </c>
      <c r="B33" s="603">
        <f>AVERAGE('Key ratios'!G43:K43)</f>
        <v>0.241510479</v>
      </c>
      <c r="C33" s="109"/>
      <c r="D33" s="109"/>
      <c r="E33" s="592" t="s">
        <v>472</v>
      </c>
      <c r="F33" s="135"/>
      <c r="G33" s="135"/>
      <c r="H33" s="135"/>
      <c r="I33" s="133"/>
      <c r="J33" s="593">
        <f>((H31/B6)^(1/9)-1)</f>
        <v>-0.4018875768</v>
      </c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ht="14.25" customHeight="1">
      <c r="A34" s="566" t="s">
        <v>473</v>
      </c>
      <c r="B34" s="604">
        <f>AVERAGE('Finanical Statment'!H40:L40)</f>
        <v>0.8482372089</v>
      </c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</row>
    <row r="35" ht="14.25" customHeight="1">
      <c r="A35" s="566" t="s">
        <v>474</v>
      </c>
      <c r="B35" s="575">
        <f>MAX('Basic Valuation'!J74:N74)</f>
        <v>28.38810563</v>
      </c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</row>
    <row r="36" ht="14.25" customHeight="1">
      <c r="A36" s="566" t="s">
        <v>475</v>
      </c>
      <c r="B36" s="575">
        <f>MIN('Basic Valuation'!J74:N74)</f>
        <v>13.53556415</v>
      </c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</row>
    <row r="37" ht="14.25" customHeight="1">
      <c r="A37" s="566" t="s">
        <v>476</v>
      </c>
      <c r="B37" s="575">
        <f>IF('Finanical Statment'!C7=0,0,AVERAGE('Basic Valuation'!I76:N76))</f>
        <v>25.14846042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</row>
    <row r="38" ht="14.25" customHeight="1">
      <c r="A38" s="605" t="s">
        <v>477</v>
      </c>
      <c r="B38" s="606">
        <v>20.0</v>
      </c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</row>
    <row r="39" ht="14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</row>
    <row r="40" ht="14.25" customHeight="1">
      <c r="A40" s="557" t="s">
        <v>478</v>
      </c>
      <c r="B40" s="109"/>
      <c r="C40" s="109" t="s">
        <v>431</v>
      </c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</row>
    <row r="41" ht="14.25" customHeight="1">
      <c r="A41" s="560" t="s">
        <v>479</v>
      </c>
      <c r="B41" s="607">
        <v>0.25</v>
      </c>
      <c r="C41" s="603">
        <f>AVERAGE('Key ratios'!G43:K43)</f>
        <v>0.241510479</v>
      </c>
      <c r="D41" s="158"/>
      <c r="E41" s="158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</row>
    <row r="42" ht="14.25" customHeight="1">
      <c r="A42" s="566" t="s">
        <v>480</v>
      </c>
      <c r="B42" s="608">
        <v>0.99</v>
      </c>
      <c r="C42" s="604">
        <f>AVERAGE('Finanical Statment'!H40:L40)</f>
        <v>0.8482372089</v>
      </c>
      <c r="D42" s="158"/>
      <c r="E42" s="158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</row>
    <row r="43" ht="14.25" customHeight="1">
      <c r="A43" s="609" t="s">
        <v>481</v>
      </c>
      <c r="B43" s="610">
        <f t="shared" ref="B43:C43" si="10">B41*(1-B42)</f>
        <v>0.0025</v>
      </c>
      <c r="C43" s="611">
        <f t="shared" si="10"/>
        <v>0.03665230439</v>
      </c>
      <c r="D43" s="612"/>
      <c r="E43" s="612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</row>
    <row r="44" ht="14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</row>
    <row r="45" ht="14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</row>
    <row r="46" ht="14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</row>
    <row r="47" ht="14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</row>
    <row r="48" ht="14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</row>
    <row r="49" ht="14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</row>
    <row r="50" ht="14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</row>
    <row r="51" ht="14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</row>
    <row r="52" ht="14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</row>
    <row r="53" ht="14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</row>
    <row r="54" ht="14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</row>
    <row r="55" ht="14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</row>
    <row r="56" ht="14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</row>
    <row r="57" ht="14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</row>
    <row r="58" ht="14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</row>
    <row r="59" ht="14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</row>
    <row r="60" ht="14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</row>
    <row r="61" ht="14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</row>
    <row r="62" ht="14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</row>
    <row r="63" ht="14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</row>
    <row r="64" ht="14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</row>
    <row r="65" ht="14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</row>
    <row r="66" ht="14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</row>
    <row r="67" ht="14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</row>
    <row r="68" ht="14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</row>
    <row r="69" ht="14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</row>
    <row r="70" ht="14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</row>
    <row r="71" ht="14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</row>
    <row r="72" ht="14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</row>
    <row r="73" ht="14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</row>
    <row r="74" ht="14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</row>
    <row r="75" ht="14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</row>
    <row r="76" ht="14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</row>
    <row r="77" ht="14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</row>
    <row r="78" ht="14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</row>
    <row r="79" ht="14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</row>
    <row r="80" ht="14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</row>
    <row r="81" ht="14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</row>
    <row r="82" ht="14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</row>
    <row r="83" ht="14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</row>
    <row r="84" ht="14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</row>
    <row r="85" ht="14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</row>
    <row r="86" ht="14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</row>
    <row r="87" ht="14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</row>
    <row r="88" ht="14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</row>
    <row r="89" ht="14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</row>
    <row r="90" ht="14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</row>
    <row r="91" ht="14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</row>
    <row r="92" ht="14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</row>
    <row r="93" ht="14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</row>
    <row r="94" ht="14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</row>
    <row r="95" ht="14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</row>
    <row r="96" ht="14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</row>
    <row r="97" ht="14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</row>
    <row r="98" ht="14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</row>
    <row r="99" ht="14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</row>
    <row r="100" ht="14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</row>
    <row r="101" ht="14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</row>
    <row r="102" ht="14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</row>
    <row r="103" ht="14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</row>
    <row r="104" ht="14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</row>
    <row r="105" ht="14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</row>
    <row r="106" ht="14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</row>
    <row r="107" ht="14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</row>
    <row r="108" ht="14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</row>
    <row r="109" ht="14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</row>
    <row r="110" ht="14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</row>
    <row r="111" ht="14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</row>
    <row r="112" ht="14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</row>
    <row r="113" ht="14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</row>
    <row r="114" ht="14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</row>
    <row r="115" ht="14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</row>
    <row r="116" ht="14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</row>
    <row r="117" ht="14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</row>
    <row r="118" ht="14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</row>
    <row r="119" ht="14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</row>
    <row r="120" ht="14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</row>
    <row r="121" ht="14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</row>
    <row r="122" ht="14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</row>
    <row r="123" ht="14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</row>
    <row r="124" ht="14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</row>
    <row r="125" ht="14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</row>
    <row r="126" ht="14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</row>
    <row r="127" ht="14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</row>
    <row r="128" ht="14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</row>
    <row r="129" ht="14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</row>
    <row r="130" ht="14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</row>
    <row r="131" ht="14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</row>
    <row r="132" ht="14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</row>
    <row r="133" ht="14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</row>
    <row r="134" ht="14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</row>
    <row r="135" ht="14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</row>
    <row r="136" ht="14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</row>
    <row r="137" ht="14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</row>
    <row r="138" ht="14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</row>
    <row r="139" ht="14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</row>
    <row r="140" ht="14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</row>
    <row r="141" ht="14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</row>
    <row r="142" ht="14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</row>
    <row r="143" ht="14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</row>
    <row r="144" ht="14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</row>
    <row r="145" ht="14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</row>
    <row r="146" ht="14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</row>
    <row r="147" ht="14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</row>
    <row r="148" ht="14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</row>
    <row r="149" ht="14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</row>
    <row r="150" ht="14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</row>
    <row r="151" ht="14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</row>
    <row r="152" ht="14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</row>
    <row r="153" ht="14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</row>
    <row r="154" ht="14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</row>
    <row r="155" ht="14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</row>
    <row r="156" ht="14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</row>
    <row r="157" ht="14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</row>
    <row r="158" ht="14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</row>
    <row r="159" ht="14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</row>
    <row r="160" ht="14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</row>
    <row r="161" ht="14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</row>
    <row r="162" ht="14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</row>
    <row r="163" ht="14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</row>
    <row r="164" ht="14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</row>
    <row r="165" ht="14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</row>
    <row r="166" ht="14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</row>
    <row r="167" ht="14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</row>
    <row r="168" ht="14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</row>
    <row r="169" ht="14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</row>
    <row r="170" ht="14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</row>
    <row r="171" ht="14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</row>
    <row r="172" ht="14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</row>
    <row r="173" ht="14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</row>
    <row r="174" ht="14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</row>
    <row r="175" ht="14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</row>
    <row r="176" ht="14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</row>
    <row r="177" ht="14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</row>
    <row r="178" ht="14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</row>
    <row r="179" ht="14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</row>
    <row r="180" ht="14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</row>
    <row r="181" ht="14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</row>
    <row r="182" ht="14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</row>
    <row r="183" ht="14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</row>
    <row r="184" ht="14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</row>
    <row r="185" ht="14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</row>
    <row r="186" ht="14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</row>
    <row r="187" ht="14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</row>
    <row r="188" ht="14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</row>
    <row r="189" ht="14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</row>
    <row r="190" ht="14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</row>
    <row r="191" ht="14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</row>
    <row r="192" ht="14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</row>
    <row r="193" ht="14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</row>
    <row r="194" ht="14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</row>
    <row r="195" ht="14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</row>
    <row r="196" ht="14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</row>
    <row r="197" ht="14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</row>
    <row r="198" ht="14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</row>
    <row r="199" ht="14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</row>
    <row r="200" ht="14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</row>
    <row r="201" ht="14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</row>
    <row r="202" ht="14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</row>
    <row r="203" ht="14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</row>
    <row r="204" ht="14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</row>
    <row r="205" ht="14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</row>
    <row r="206" ht="14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</row>
    <row r="207" ht="14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</row>
    <row r="208" ht="14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</row>
    <row r="209" ht="14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</row>
    <row r="210" ht="14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</row>
    <row r="211" ht="14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</row>
    <row r="212" ht="14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</row>
    <row r="213" ht="14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</row>
    <row r="214" ht="14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</row>
    <row r="215" ht="14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</row>
    <row r="216" ht="14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</row>
    <row r="217" ht="14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</row>
    <row r="218" ht="14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</row>
    <row r="219" ht="14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</row>
    <row r="220" ht="14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</row>
    <row r="221" ht="14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</row>
    <row r="222" ht="14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</row>
    <row r="223" ht="14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</row>
    <row r="224" ht="14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</row>
    <row r="225" ht="14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</row>
    <row r="226" ht="14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</row>
    <row r="227" ht="14.2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</row>
    <row r="228" ht="14.2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</row>
    <row r="229" ht="14.2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</row>
    <row r="230" ht="14.2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</row>
    <row r="231" ht="14.2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</row>
    <row r="232" ht="14.2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</row>
    <row r="233" ht="14.2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</row>
    <row r="234" ht="14.2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</row>
    <row r="235" ht="14.2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</row>
    <row r="236" ht="14.2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</row>
    <row r="237" ht="14.2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</row>
    <row r="238" ht="14.2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</row>
    <row r="239" ht="14.2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</row>
    <row r="240" ht="14.2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</row>
    <row r="241" ht="14.2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</row>
    <row r="242" ht="14.2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</row>
    <row r="243" ht="14.2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</row>
    <row r="244" ht="14.2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</row>
    <row r="245" ht="14.2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</row>
    <row r="246" ht="14.2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</row>
    <row r="247" ht="14.2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</row>
    <row r="248" ht="14.2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</row>
    <row r="249" ht="14.2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</row>
    <row r="250" ht="14.2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</row>
    <row r="251" ht="14.2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</row>
    <row r="252" ht="14.2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</row>
    <row r="253" ht="14.2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</row>
    <row r="254" ht="14.2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</row>
    <row r="255" ht="14.2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</row>
    <row r="256" ht="14.2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</row>
    <row r="257" ht="14.2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</row>
    <row r="258" ht="14.2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</row>
    <row r="259" ht="14.2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</row>
    <row r="260" ht="14.2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</row>
    <row r="261" ht="14.2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</row>
    <row r="262" ht="14.2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</row>
    <row r="263" ht="14.2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</row>
    <row r="264" ht="14.2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</row>
    <row r="265" ht="14.2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</row>
    <row r="266" ht="14.2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</row>
    <row r="267" ht="14.2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</row>
    <row r="268" ht="14.2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</row>
    <row r="269" ht="14.2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</row>
    <row r="270" ht="14.2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</row>
    <row r="271" ht="14.2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</row>
    <row r="272" ht="14.2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</row>
    <row r="273" ht="14.2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</row>
    <row r="274" ht="14.2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</row>
    <row r="275" ht="14.2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</row>
    <row r="276" ht="14.2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</row>
    <row r="277" ht="14.2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</row>
    <row r="278" ht="14.2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</row>
    <row r="279" ht="14.2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</row>
    <row r="280" ht="14.2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</row>
    <row r="281" ht="14.2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</row>
    <row r="282" ht="14.2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</row>
    <row r="283" ht="14.2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</row>
    <row r="284" ht="14.2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</row>
    <row r="285" ht="14.2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</row>
    <row r="286" ht="14.2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</row>
    <row r="287" ht="14.2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</row>
    <row r="288" ht="14.2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</row>
    <row r="289" ht="14.2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</row>
    <row r="290" ht="14.2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</row>
    <row r="291" ht="14.2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</row>
    <row r="292" ht="14.2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</row>
    <row r="293" ht="14.2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</row>
    <row r="294" ht="14.2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</row>
    <row r="295" ht="14.2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</row>
    <row r="296" ht="14.2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</row>
    <row r="297" ht="14.2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</row>
    <row r="298" ht="14.2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</row>
    <row r="299" ht="14.2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</row>
    <row r="300" ht="14.2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</row>
    <row r="301" ht="14.2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</row>
    <row r="302" ht="14.2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</row>
    <row r="303" ht="14.2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</row>
    <row r="304" ht="14.2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</row>
    <row r="305" ht="14.2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</row>
    <row r="306" ht="14.2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</row>
    <row r="307" ht="14.2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</row>
    <row r="308" ht="14.2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</row>
    <row r="309" ht="14.2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</row>
    <row r="310" ht="14.2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</row>
    <row r="311" ht="14.2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</row>
    <row r="312" ht="14.2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</row>
    <row r="313" ht="14.2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</row>
    <row r="314" ht="14.2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</row>
    <row r="315" ht="14.2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</row>
    <row r="316" ht="14.2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</row>
    <row r="317" ht="14.2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</row>
    <row r="318" ht="14.2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</row>
    <row r="319" ht="14.2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</row>
    <row r="320" ht="14.2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</row>
    <row r="321" ht="14.2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</row>
    <row r="322" ht="14.2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</row>
    <row r="323" ht="14.2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</row>
    <row r="324" ht="14.2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</row>
    <row r="325" ht="14.2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</row>
    <row r="326" ht="14.2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</row>
    <row r="327" ht="14.2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</row>
    <row r="328" ht="14.2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</row>
    <row r="329" ht="14.2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</row>
    <row r="330" ht="14.2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</row>
    <row r="331" ht="14.2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</row>
    <row r="332" ht="14.2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</row>
    <row r="333" ht="14.2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</row>
    <row r="334" ht="14.2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</row>
    <row r="335" ht="14.2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</row>
    <row r="336" ht="14.2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</row>
    <row r="337" ht="14.2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</row>
    <row r="338" ht="14.2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</row>
    <row r="339" ht="14.2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</row>
    <row r="340" ht="14.2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</row>
    <row r="341" ht="14.2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</row>
    <row r="342" ht="14.2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</row>
    <row r="343" ht="14.2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</row>
    <row r="344" ht="14.2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</row>
    <row r="345" ht="14.2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</row>
    <row r="346" ht="14.2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</row>
    <row r="347" ht="14.2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</row>
    <row r="348" ht="14.2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</row>
    <row r="349" ht="14.2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</row>
    <row r="350" ht="14.2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</row>
    <row r="351" ht="14.2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</row>
    <row r="352" ht="14.2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</row>
    <row r="353" ht="14.2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</row>
    <row r="354" ht="14.2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</row>
    <row r="355" ht="14.2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</row>
    <row r="356" ht="14.2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</row>
    <row r="357" ht="14.2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</row>
    <row r="358" ht="14.2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</row>
    <row r="359" ht="14.2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</row>
    <row r="360" ht="14.2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</row>
    <row r="361" ht="14.2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</row>
    <row r="362" ht="14.2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</row>
    <row r="363" ht="14.2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</row>
    <row r="364" ht="14.2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</row>
    <row r="365" ht="14.2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</row>
    <row r="366" ht="14.2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</row>
    <row r="367" ht="14.2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</row>
    <row r="368" ht="14.2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</row>
    <row r="369" ht="14.2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</row>
    <row r="370" ht="14.2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</row>
    <row r="371" ht="14.2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</row>
    <row r="372" ht="14.2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</row>
    <row r="373" ht="14.2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</row>
    <row r="374" ht="14.2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</row>
    <row r="375" ht="14.2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</row>
    <row r="376" ht="14.2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</row>
    <row r="377" ht="14.2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</row>
    <row r="378" ht="14.2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</row>
    <row r="379" ht="14.2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</row>
    <row r="380" ht="14.2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</row>
    <row r="381" ht="14.2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</row>
    <row r="382" ht="14.2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</row>
    <row r="383" ht="14.2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</row>
    <row r="384" ht="14.2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</row>
    <row r="385" ht="14.2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</row>
    <row r="386" ht="14.2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</row>
    <row r="387" ht="14.2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</row>
    <row r="388" ht="14.2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</row>
    <row r="389" ht="14.2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</row>
    <row r="390" ht="14.2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</row>
    <row r="391" ht="14.2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</row>
    <row r="392" ht="14.2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</row>
    <row r="393" ht="14.2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</row>
    <row r="394" ht="14.2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</row>
    <row r="395" ht="14.2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</row>
    <row r="396" ht="14.2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</row>
    <row r="397" ht="14.2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</row>
    <row r="398" ht="14.2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</row>
    <row r="399" ht="14.2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</row>
    <row r="400" ht="14.2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</row>
    <row r="401" ht="14.2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</row>
    <row r="402" ht="14.2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</row>
    <row r="403" ht="14.2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</row>
    <row r="404" ht="14.2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</row>
    <row r="405" ht="14.2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</row>
    <row r="406" ht="14.2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</row>
    <row r="407" ht="14.2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</row>
    <row r="408" ht="14.2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</row>
    <row r="409" ht="14.2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</row>
    <row r="410" ht="14.2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</row>
    <row r="411" ht="14.2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</row>
    <row r="412" ht="14.2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</row>
    <row r="413" ht="14.2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</row>
    <row r="414" ht="14.2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</row>
    <row r="415" ht="14.2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</row>
    <row r="416" ht="14.2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</row>
    <row r="417" ht="14.2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</row>
    <row r="418" ht="14.2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</row>
    <row r="419" ht="14.2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</row>
    <row r="420" ht="14.2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</row>
    <row r="421" ht="14.2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</row>
    <row r="422" ht="14.2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</row>
    <row r="423" ht="14.2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</row>
    <row r="424" ht="14.2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</row>
    <row r="425" ht="14.2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</row>
    <row r="426" ht="14.2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</row>
    <row r="427" ht="14.2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</row>
    <row r="428" ht="14.2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</row>
    <row r="429" ht="14.2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</row>
    <row r="430" ht="14.2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</row>
    <row r="431" ht="14.2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</row>
    <row r="432" ht="14.2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</row>
    <row r="433" ht="14.2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</row>
    <row r="434" ht="14.2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</row>
    <row r="435" ht="14.2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</row>
    <row r="436" ht="14.2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</row>
    <row r="437" ht="14.2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</row>
    <row r="438" ht="14.2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</row>
    <row r="439" ht="14.2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</row>
    <row r="440" ht="14.2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</row>
    <row r="441" ht="14.2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</row>
    <row r="442" ht="14.2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</row>
    <row r="443" ht="14.2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</row>
    <row r="444" ht="14.2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</row>
    <row r="445" ht="14.2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</row>
    <row r="446" ht="14.2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</row>
    <row r="447" ht="14.2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</row>
    <row r="448" ht="14.2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</row>
    <row r="449" ht="14.2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</row>
    <row r="450" ht="14.2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</row>
    <row r="451" ht="14.2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</row>
    <row r="452" ht="14.2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</row>
    <row r="453" ht="14.2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</row>
    <row r="454" ht="14.2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</row>
    <row r="455" ht="14.2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</row>
    <row r="456" ht="14.2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</row>
    <row r="457" ht="14.2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</row>
    <row r="458" ht="14.2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</row>
    <row r="459" ht="14.2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</row>
    <row r="460" ht="14.2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</row>
    <row r="461" ht="14.2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</row>
    <row r="462" ht="14.2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</row>
    <row r="463" ht="14.2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</row>
    <row r="464" ht="14.2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</row>
    <row r="465" ht="14.2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</row>
    <row r="466" ht="14.2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</row>
    <row r="467" ht="14.2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</row>
    <row r="468" ht="14.2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</row>
    <row r="469" ht="14.2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</row>
    <row r="470" ht="14.2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</row>
    <row r="471" ht="14.2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</row>
    <row r="472" ht="14.2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</row>
    <row r="473" ht="14.2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</row>
    <row r="474" ht="14.2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</row>
    <row r="475" ht="14.2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</row>
    <row r="476" ht="14.2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</row>
    <row r="477" ht="14.2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</row>
    <row r="478" ht="14.2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</row>
    <row r="479" ht="14.2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</row>
    <row r="480" ht="14.2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</row>
    <row r="481" ht="14.2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</row>
    <row r="482" ht="14.2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</row>
    <row r="483" ht="14.2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</row>
    <row r="484" ht="14.2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</row>
    <row r="485" ht="14.2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</row>
    <row r="486" ht="14.2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</row>
    <row r="487" ht="14.2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</row>
    <row r="488" ht="14.2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</row>
    <row r="489" ht="14.2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</row>
    <row r="490" ht="14.2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</row>
    <row r="491" ht="14.2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</row>
    <row r="492" ht="14.2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</row>
    <row r="493" ht="14.2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</row>
    <row r="494" ht="14.2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</row>
    <row r="495" ht="14.2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</row>
    <row r="496" ht="14.2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</row>
    <row r="497" ht="14.2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</row>
    <row r="498" ht="14.2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</row>
    <row r="499" ht="14.2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</row>
    <row r="500" ht="14.2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</row>
    <row r="501" ht="14.2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</row>
    <row r="502" ht="14.2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</row>
    <row r="503" ht="14.2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</row>
    <row r="504" ht="14.2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</row>
    <row r="505" ht="14.2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</row>
    <row r="506" ht="14.2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</row>
    <row r="507" ht="14.2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</row>
    <row r="508" ht="14.2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</row>
    <row r="509" ht="14.2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</row>
    <row r="510" ht="14.2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</row>
    <row r="511" ht="14.2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</row>
    <row r="512" ht="14.2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</row>
    <row r="513" ht="14.2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</row>
    <row r="514" ht="14.2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</row>
    <row r="515" ht="14.2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</row>
    <row r="516" ht="14.2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</row>
    <row r="517" ht="14.2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</row>
    <row r="518" ht="14.2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</row>
    <row r="519" ht="14.2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</row>
    <row r="520" ht="14.2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</row>
    <row r="521" ht="14.2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</row>
    <row r="522" ht="14.2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</row>
    <row r="523" ht="14.2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</row>
    <row r="524" ht="14.2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</row>
    <row r="525" ht="14.2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</row>
    <row r="526" ht="14.2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</row>
    <row r="527" ht="14.2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</row>
    <row r="528" ht="14.2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</row>
    <row r="529" ht="14.2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</row>
    <row r="530" ht="14.2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</row>
    <row r="531" ht="14.2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</row>
    <row r="532" ht="14.2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</row>
    <row r="533" ht="14.2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</row>
    <row r="534" ht="14.2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</row>
    <row r="535" ht="14.2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</row>
    <row r="536" ht="14.2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</row>
    <row r="537" ht="14.2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</row>
    <row r="538" ht="14.2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</row>
    <row r="539" ht="14.2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</row>
    <row r="540" ht="14.2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</row>
    <row r="541" ht="14.2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</row>
    <row r="542" ht="14.2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</row>
    <row r="543" ht="14.2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</row>
    <row r="544" ht="14.2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</row>
    <row r="545" ht="14.2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</row>
    <row r="546" ht="14.2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</row>
    <row r="547" ht="14.2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</row>
    <row r="548" ht="14.2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</row>
    <row r="549" ht="14.2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</row>
    <row r="550" ht="14.2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</row>
    <row r="551" ht="14.2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</row>
    <row r="552" ht="14.2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</row>
    <row r="553" ht="14.2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</row>
    <row r="554" ht="14.2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</row>
    <row r="555" ht="14.2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</row>
    <row r="556" ht="14.2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</row>
    <row r="557" ht="14.2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</row>
    <row r="558" ht="14.2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</row>
    <row r="559" ht="14.2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</row>
    <row r="560" ht="14.2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</row>
    <row r="561" ht="14.2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</row>
    <row r="562" ht="14.2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</row>
    <row r="563" ht="14.2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</row>
    <row r="564" ht="14.2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</row>
    <row r="565" ht="14.2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</row>
    <row r="566" ht="14.2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</row>
    <row r="567" ht="14.2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</row>
    <row r="568" ht="14.2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</row>
    <row r="569" ht="14.2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</row>
    <row r="570" ht="14.2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</row>
    <row r="571" ht="14.2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</row>
    <row r="572" ht="14.2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</row>
    <row r="573" ht="14.2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</row>
    <row r="574" ht="14.2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</row>
    <row r="575" ht="14.2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</row>
    <row r="576" ht="14.2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</row>
    <row r="577" ht="14.2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</row>
    <row r="578" ht="14.2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</row>
    <row r="579" ht="14.2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</row>
    <row r="580" ht="14.2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</row>
    <row r="581" ht="14.2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</row>
    <row r="582" ht="14.2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</row>
    <row r="583" ht="14.2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</row>
    <row r="584" ht="14.2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</row>
    <row r="585" ht="14.2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</row>
    <row r="586" ht="14.2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</row>
    <row r="587" ht="14.2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</row>
    <row r="588" ht="14.2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</row>
    <row r="589" ht="14.2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</row>
    <row r="590" ht="14.2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</row>
    <row r="591" ht="14.2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</row>
    <row r="592" ht="14.2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</row>
    <row r="593" ht="14.2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</row>
    <row r="594" ht="14.2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</row>
    <row r="595" ht="14.2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</row>
    <row r="596" ht="14.2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</row>
    <row r="597" ht="14.2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</row>
    <row r="598" ht="14.2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</row>
    <row r="599" ht="14.2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</row>
    <row r="600" ht="14.2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</row>
    <row r="601" ht="14.2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</row>
    <row r="602" ht="14.2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</row>
    <row r="603" ht="14.2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</row>
    <row r="604" ht="14.2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</row>
    <row r="605" ht="14.2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</row>
    <row r="606" ht="14.2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</row>
    <row r="607" ht="14.2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</row>
    <row r="608" ht="14.2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</row>
    <row r="609" ht="14.2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</row>
    <row r="610" ht="14.2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</row>
    <row r="611" ht="14.2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</row>
    <row r="612" ht="14.2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</row>
    <row r="613" ht="14.2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</row>
    <row r="614" ht="14.2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</row>
    <row r="615" ht="14.2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</row>
    <row r="616" ht="14.2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</row>
    <row r="617" ht="14.2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</row>
    <row r="618" ht="14.2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</row>
    <row r="619" ht="14.2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</row>
    <row r="620" ht="14.2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</row>
    <row r="621" ht="14.2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</row>
    <row r="622" ht="14.2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</row>
    <row r="623" ht="14.2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</row>
    <row r="624" ht="14.2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</row>
    <row r="625" ht="14.2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</row>
    <row r="626" ht="14.2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</row>
    <row r="627" ht="14.2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</row>
    <row r="628" ht="14.2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</row>
    <row r="629" ht="14.2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</row>
    <row r="630" ht="14.2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</row>
    <row r="631" ht="14.2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</row>
    <row r="632" ht="14.2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</row>
    <row r="633" ht="14.2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</row>
    <row r="634" ht="14.2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</row>
    <row r="635" ht="14.2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</row>
    <row r="636" ht="14.2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</row>
    <row r="637" ht="14.2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</row>
    <row r="638" ht="14.2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</row>
    <row r="639" ht="14.2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</row>
    <row r="640" ht="14.2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</row>
    <row r="641" ht="14.2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</row>
    <row r="642" ht="14.2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</row>
    <row r="643" ht="14.2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</row>
    <row r="644" ht="14.2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</row>
    <row r="645" ht="14.2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</row>
    <row r="646" ht="14.2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</row>
    <row r="647" ht="14.2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</row>
    <row r="648" ht="14.2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</row>
    <row r="649" ht="14.2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</row>
    <row r="650" ht="14.2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</row>
    <row r="651" ht="14.2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</row>
    <row r="652" ht="14.2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</row>
    <row r="653" ht="14.2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</row>
    <row r="654" ht="14.2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</row>
    <row r="655" ht="14.2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</row>
    <row r="656" ht="14.2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</row>
    <row r="657" ht="14.2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</row>
    <row r="658" ht="14.2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</row>
    <row r="659" ht="14.2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</row>
    <row r="660" ht="14.2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</row>
    <row r="661" ht="14.2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</row>
    <row r="662" ht="14.2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</row>
    <row r="663" ht="14.2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</row>
    <row r="664" ht="14.2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</row>
    <row r="665" ht="14.2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</row>
    <row r="666" ht="14.2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</row>
    <row r="667" ht="14.2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</row>
    <row r="668" ht="14.2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</row>
    <row r="669" ht="14.2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</row>
    <row r="670" ht="14.2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</row>
    <row r="671" ht="14.2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</row>
    <row r="672" ht="14.2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</row>
    <row r="673" ht="14.2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</row>
    <row r="674" ht="14.2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</row>
    <row r="675" ht="14.2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</row>
    <row r="676" ht="14.2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</row>
    <row r="677" ht="14.2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</row>
    <row r="678" ht="14.2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</row>
    <row r="679" ht="14.2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</row>
    <row r="680" ht="14.2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</row>
    <row r="681" ht="14.2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</row>
    <row r="682" ht="14.2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</row>
    <row r="683" ht="14.2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</row>
    <row r="684" ht="14.2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</row>
    <row r="685" ht="14.2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</row>
    <row r="686" ht="14.2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</row>
    <row r="687" ht="14.2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</row>
    <row r="688" ht="14.2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</row>
    <row r="689" ht="14.2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</row>
    <row r="690" ht="14.2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</row>
    <row r="691" ht="14.2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</row>
    <row r="692" ht="14.2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</row>
    <row r="693" ht="14.2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</row>
    <row r="694" ht="14.2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</row>
    <row r="695" ht="14.2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</row>
    <row r="696" ht="14.2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</row>
    <row r="697" ht="14.2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</row>
    <row r="698" ht="14.2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</row>
    <row r="699" ht="14.2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</row>
    <row r="700" ht="14.2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</row>
    <row r="701" ht="14.2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</row>
    <row r="702" ht="14.2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</row>
    <row r="703" ht="14.2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</row>
    <row r="704" ht="14.2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</row>
    <row r="705" ht="14.2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</row>
    <row r="706" ht="14.2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</row>
    <row r="707" ht="14.2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</row>
    <row r="708" ht="14.2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</row>
    <row r="709" ht="14.2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</row>
    <row r="710" ht="14.2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</row>
    <row r="711" ht="14.2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</row>
    <row r="712" ht="14.2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</row>
    <row r="713" ht="14.2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</row>
    <row r="714" ht="14.2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</row>
    <row r="715" ht="14.2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</row>
    <row r="716" ht="14.2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</row>
    <row r="717" ht="14.2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</row>
    <row r="718" ht="14.2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</row>
    <row r="719" ht="14.2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</row>
    <row r="720" ht="14.2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</row>
    <row r="721" ht="14.2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</row>
    <row r="722" ht="14.2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</row>
    <row r="723" ht="14.2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</row>
    <row r="724" ht="14.2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</row>
    <row r="725" ht="14.2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</row>
    <row r="726" ht="14.2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</row>
    <row r="727" ht="14.2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</row>
    <row r="728" ht="14.2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</row>
    <row r="729" ht="14.2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</row>
    <row r="730" ht="14.2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</row>
    <row r="731" ht="14.2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</row>
    <row r="732" ht="14.2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</row>
    <row r="733" ht="14.2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</row>
    <row r="734" ht="14.2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</row>
    <row r="735" ht="14.2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</row>
    <row r="736" ht="14.2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</row>
    <row r="737" ht="14.2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</row>
    <row r="738" ht="14.2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</row>
    <row r="739" ht="14.2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</row>
    <row r="740" ht="14.2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</row>
    <row r="741" ht="14.2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</row>
    <row r="742" ht="14.2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</row>
    <row r="743" ht="14.2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</row>
    <row r="744" ht="14.2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</row>
    <row r="745" ht="14.2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</row>
    <row r="746" ht="14.2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</row>
    <row r="747" ht="14.2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</row>
    <row r="748" ht="14.2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</row>
    <row r="749" ht="14.2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</row>
    <row r="750" ht="14.2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</row>
    <row r="751" ht="14.2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</row>
    <row r="752" ht="14.2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</row>
    <row r="753" ht="14.2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</row>
    <row r="754" ht="14.2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</row>
    <row r="755" ht="14.2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</row>
    <row r="756" ht="14.2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</row>
    <row r="757" ht="14.2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</row>
    <row r="758" ht="14.2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</row>
    <row r="759" ht="14.2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</row>
    <row r="760" ht="14.2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</row>
    <row r="761" ht="14.2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</row>
    <row r="762" ht="14.2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</row>
    <row r="763" ht="14.2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</row>
    <row r="764" ht="14.2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</row>
    <row r="765" ht="14.2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</row>
    <row r="766" ht="14.2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</row>
    <row r="767" ht="14.2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</row>
    <row r="768" ht="14.2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</row>
    <row r="769" ht="14.2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</row>
    <row r="770" ht="14.2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</row>
    <row r="771" ht="14.2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</row>
    <row r="772" ht="14.2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</row>
    <row r="773" ht="14.2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</row>
    <row r="774" ht="14.2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</row>
    <row r="775" ht="14.2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</row>
    <row r="776" ht="14.2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</row>
    <row r="777" ht="14.2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</row>
    <row r="778" ht="14.2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</row>
    <row r="779" ht="14.2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</row>
    <row r="780" ht="14.2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</row>
    <row r="781" ht="14.2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</row>
    <row r="782" ht="14.2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</row>
    <row r="783" ht="14.2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</row>
    <row r="784" ht="14.2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</row>
    <row r="785" ht="14.2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</row>
    <row r="786" ht="14.2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</row>
    <row r="787" ht="14.2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</row>
    <row r="788" ht="14.2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</row>
    <row r="789" ht="14.2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</row>
    <row r="790" ht="14.2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</row>
    <row r="791" ht="14.2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</row>
    <row r="792" ht="14.2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</row>
    <row r="793" ht="14.2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</row>
    <row r="794" ht="14.2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</row>
    <row r="795" ht="14.2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</row>
    <row r="796" ht="14.2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</row>
    <row r="797" ht="14.2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</row>
    <row r="798" ht="14.2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</row>
    <row r="799" ht="14.2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</row>
    <row r="800" ht="14.2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</row>
    <row r="801" ht="14.2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</row>
    <row r="802" ht="14.2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</row>
    <row r="803" ht="14.2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</row>
    <row r="804" ht="14.2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</row>
    <row r="805" ht="14.2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</row>
    <row r="806" ht="14.2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</row>
    <row r="807" ht="14.2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</row>
    <row r="808" ht="14.2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</row>
    <row r="809" ht="14.2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</row>
    <row r="810" ht="14.2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</row>
    <row r="811" ht="14.2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</row>
    <row r="812" ht="14.2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</row>
    <row r="813" ht="14.2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</row>
    <row r="814" ht="14.2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</row>
    <row r="815" ht="14.2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</row>
    <row r="816" ht="14.2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</row>
    <row r="817" ht="14.2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</row>
    <row r="818" ht="14.2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</row>
    <row r="819" ht="14.2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</row>
    <row r="820" ht="14.2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</row>
    <row r="821" ht="14.2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</row>
    <row r="822" ht="14.2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</row>
    <row r="823" ht="14.2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</row>
    <row r="824" ht="14.2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</row>
    <row r="825" ht="14.2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</row>
    <row r="826" ht="14.2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</row>
    <row r="827" ht="14.2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</row>
    <row r="828" ht="14.2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</row>
    <row r="829" ht="14.2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</row>
    <row r="830" ht="14.2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</row>
    <row r="831" ht="14.2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</row>
    <row r="832" ht="14.2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</row>
    <row r="833" ht="14.2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</row>
    <row r="834" ht="14.2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</row>
    <row r="835" ht="14.2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</row>
    <row r="836" ht="14.2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</row>
    <row r="837" ht="14.2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</row>
    <row r="838" ht="14.2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</row>
    <row r="839" ht="14.2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</row>
    <row r="840" ht="14.2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</row>
    <row r="841" ht="14.2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</row>
    <row r="842" ht="14.2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</row>
    <row r="843" ht="14.2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</row>
    <row r="844" ht="14.2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</row>
    <row r="845" ht="14.2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</row>
    <row r="846" ht="14.2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</row>
    <row r="847" ht="14.2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</row>
    <row r="848" ht="14.2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</row>
    <row r="849" ht="14.2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</row>
    <row r="850" ht="14.2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</row>
    <row r="851" ht="14.2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</row>
    <row r="852" ht="14.2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</row>
    <row r="853" ht="14.2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</row>
    <row r="854" ht="14.2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</row>
    <row r="855" ht="14.2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</row>
    <row r="856" ht="14.2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</row>
    <row r="857" ht="14.2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</row>
    <row r="858" ht="14.2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</row>
    <row r="859" ht="14.2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</row>
    <row r="860" ht="14.2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</row>
    <row r="861" ht="14.2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</row>
    <row r="862" ht="14.2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</row>
    <row r="863" ht="14.2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</row>
    <row r="864" ht="14.2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</row>
    <row r="865" ht="14.2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</row>
    <row r="866" ht="14.2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</row>
    <row r="867" ht="14.2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</row>
    <row r="868" ht="14.2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</row>
    <row r="869" ht="14.2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</row>
    <row r="870" ht="14.2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</row>
    <row r="871" ht="14.2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</row>
    <row r="872" ht="14.2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</row>
    <row r="873" ht="14.2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</row>
    <row r="874" ht="14.2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</row>
    <row r="875" ht="14.2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</row>
    <row r="876" ht="14.2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</row>
    <row r="877" ht="14.2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</row>
    <row r="878" ht="14.2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</row>
    <row r="879" ht="14.2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</row>
    <row r="880" ht="14.2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</row>
    <row r="881" ht="14.2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</row>
    <row r="882" ht="14.2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</row>
    <row r="883" ht="14.2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</row>
    <row r="884" ht="14.2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</row>
    <row r="885" ht="14.2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</row>
    <row r="886" ht="14.2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</row>
    <row r="887" ht="14.2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</row>
    <row r="888" ht="14.2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</row>
    <row r="889" ht="14.2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</row>
    <row r="890" ht="14.2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</row>
    <row r="891" ht="14.2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</row>
    <row r="892" ht="14.2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</row>
    <row r="893" ht="14.2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</row>
    <row r="894" ht="14.2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</row>
    <row r="895" ht="14.2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</row>
    <row r="896" ht="14.2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</row>
    <row r="897" ht="14.2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</row>
    <row r="898" ht="14.2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</row>
    <row r="899" ht="14.2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</row>
    <row r="900" ht="14.2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</row>
    <row r="901" ht="14.2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</row>
    <row r="902" ht="14.2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</row>
    <row r="903" ht="14.2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</row>
    <row r="904" ht="14.2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</row>
    <row r="905" ht="14.2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</row>
    <row r="906" ht="14.2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</row>
    <row r="907" ht="14.2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</row>
    <row r="908" ht="14.2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</row>
    <row r="909" ht="14.2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</row>
    <row r="910" ht="14.2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</row>
    <row r="911" ht="14.2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</row>
    <row r="912" ht="14.2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</row>
    <row r="913" ht="14.2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</row>
    <row r="914" ht="14.2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</row>
    <row r="915" ht="14.2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</row>
    <row r="916" ht="14.2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</row>
    <row r="917" ht="14.2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</row>
    <row r="918" ht="14.2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</row>
    <row r="919" ht="14.2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</row>
    <row r="920" ht="14.2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</row>
    <row r="921" ht="14.2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</row>
    <row r="922" ht="14.2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</row>
    <row r="923" ht="14.2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</row>
    <row r="924" ht="14.2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</row>
    <row r="925" ht="14.2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</row>
    <row r="926" ht="14.2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</row>
    <row r="927" ht="14.2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</row>
    <row r="928" ht="14.2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</row>
    <row r="929" ht="14.2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</row>
    <row r="930" ht="14.2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</row>
    <row r="931" ht="14.2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</row>
    <row r="932" ht="14.2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</row>
    <row r="933" ht="14.2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</row>
    <row r="934" ht="14.2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</row>
    <row r="935" ht="14.2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</row>
    <row r="936" ht="14.2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</row>
    <row r="937" ht="14.2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</row>
    <row r="938" ht="14.2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</row>
    <row r="939" ht="14.2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</row>
    <row r="940" ht="14.2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</row>
    <row r="941" ht="14.2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</row>
    <row r="942" ht="14.2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</row>
    <row r="943" ht="14.2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</row>
    <row r="944" ht="14.2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</row>
    <row r="945" ht="14.2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</row>
    <row r="946" ht="14.2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</row>
    <row r="947" ht="14.2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</row>
    <row r="948" ht="14.2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</row>
    <row r="949" ht="14.2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</row>
    <row r="950" ht="14.2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</row>
    <row r="951" ht="14.2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</row>
    <row r="952" ht="14.2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</row>
    <row r="953" ht="14.2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</row>
    <row r="954" ht="14.2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</row>
    <row r="955" ht="14.2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</row>
    <row r="956" ht="14.2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</row>
    <row r="957" ht="14.2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</row>
    <row r="958" ht="14.2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</row>
    <row r="959" ht="14.2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</row>
    <row r="960" ht="14.2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</row>
    <row r="961" ht="14.2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</row>
    <row r="962" ht="14.2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</row>
    <row r="963" ht="14.2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</row>
    <row r="964" ht="14.2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</row>
    <row r="965" ht="14.2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</row>
    <row r="966" ht="14.2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</row>
    <row r="967" ht="14.2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</row>
    <row r="968" ht="14.2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</row>
    <row r="969" ht="14.2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</row>
    <row r="970" ht="14.2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</row>
    <row r="971" ht="14.2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</row>
    <row r="972" ht="14.2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</row>
    <row r="973" ht="14.2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</row>
    <row r="974" ht="14.2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</row>
    <row r="975" ht="14.2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</row>
    <row r="976" ht="14.2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</row>
    <row r="977" ht="14.2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</row>
    <row r="978" ht="14.2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</row>
    <row r="979" ht="14.2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</row>
    <row r="980" ht="14.2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</row>
    <row r="981" ht="14.2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</row>
    <row r="982" ht="14.2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</row>
    <row r="983" ht="14.2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</row>
    <row r="984" ht="14.2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</row>
    <row r="985" ht="14.2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</row>
    <row r="986" ht="14.2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</row>
    <row r="987" ht="14.2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</row>
    <row r="988" ht="14.2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</row>
    <row r="989" ht="14.2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</row>
    <row r="990" ht="14.2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</row>
    <row r="991" ht="14.2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</row>
    <row r="992" ht="14.2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</row>
    <row r="993" ht="14.2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</row>
    <row r="994" ht="14.2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</row>
    <row r="995" ht="14.2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</row>
    <row r="996" ht="14.2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</row>
    <row r="997" ht="14.2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</row>
    <row r="998" ht="14.25" customHeight="1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</row>
    <row r="999" ht="14.25" customHeight="1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</row>
    <row r="1000" ht="14.25" customHeight="1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</row>
  </sheetData>
  <mergeCells count="21">
    <mergeCell ref="A1:C1"/>
    <mergeCell ref="D1:H1"/>
    <mergeCell ref="A2:C3"/>
    <mergeCell ref="F2:P2"/>
    <mergeCell ref="E5:O5"/>
    <mergeCell ref="E11:G11"/>
    <mergeCell ref="E12:G12"/>
    <mergeCell ref="E26:G26"/>
    <mergeCell ref="E27:G27"/>
    <mergeCell ref="E29:G30"/>
    <mergeCell ref="H29:H30"/>
    <mergeCell ref="E31:G32"/>
    <mergeCell ref="H31:H32"/>
    <mergeCell ref="E33:I33"/>
    <mergeCell ref="E14:G15"/>
    <mergeCell ref="H14:H15"/>
    <mergeCell ref="E16:G17"/>
    <mergeCell ref="H16:H17"/>
    <mergeCell ref="E18:I18"/>
    <mergeCell ref="E20:P20"/>
    <mergeCell ref="E25:H25"/>
  </mergeCells>
  <hyperlinks>
    <hyperlink r:id="rId1" ref="I1"/>
    <hyperlink r:id="rId2" ref="J1"/>
  </hyperlinks>
  <printOptions horizontalCentered="1" verticalCentered="1"/>
  <pageMargins bottom="0.9448818897637796" footer="0.0" header="0.0" left="0.7086614173228347" right="0.11811023622047245" top="0.9448818897637796"/>
  <pageSetup fitToWidth="0" paperSize="3" orientation="landscape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0"/>
  <cols>
    <col customWidth="1" min="1" max="1" width="23.57"/>
    <col customWidth="1" min="2" max="2" width="14.86"/>
    <col customWidth="1" min="3" max="3" width="11.57"/>
    <col customWidth="1" min="4" max="5" width="7.14"/>
    <col customWidth="1" min="6" max="6" width="32.14"/>
    <col customWidth="1" min="7" max="7" width="13.71"/>
    <col customWidth="1" min="8" max="8" width="14.86"/>
    <col customWidth="1" min="9" max="21" width="13.71"/>
    <col customWidth="1" min="22" max="22" width="11.43"/>
    <col customWidth="1" min="23" max="26" width="9.14"/>
  </cols>
  <sheetData>
    <row r="1">
      <c r="A1" s="132" t="s">
        <v>66</v>
      </c>
      <c r="B1" s="135"/>
      <c r="C1" s="133"/>
      <c r="D1" s="18" t="s">
        <v>67</v>
      </c>
      <c r="E1" s="5"/>
      <c r="F1" s="5"/>
      <c r="G1" s="5"/>
      <c r="H1" s="6"/>
      <c r="I1" s="136" t="s">
        <v>68</v>
      </c>
      <c r="J1" s="137" t="s">
        <v>69</v>
      </c>
      <c r="K1" s="21"/>
      <c r="L1" s="21"/>
      <c r="M1" s="254"/>
      <c r="N1" s="548"/>
      <c r="O1" s="548"/>
      <c r="P1" s="255"/>
      <c r="Q1" s="21"/>
      <c r="R1" s="21"/>
      <c r="S1" s="21"/>
      <c r="T1" s="21"/>
      <c r="U1" s="21"/>
      <c r="V1" s="21"/>
      <c r="W1" s="44"/>
      <c r="X1" s="44"/>
      <c r="Y1" s="44"/>
      <c r="Z1" s="44"/>
    </row>
    <row r="2">
      <c r="A2" s="613" t="s">
        <v>482</v>
      </c>
      <c r="B2" s="257"/>
      <c r="C2" s="257"/>
      <c r="D2" s="25"/>
      <c r="E2" s="190"/>
      <c r="F2" s="190"/>
      <c r="G2" s="26" t="str">
        <f>'Data Sheet'!B1</f>
        <v>ITC LTD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35"/>
      <c r="W2" s="44"/>
      <c r="X2" s="44"/>
      <c r="Y2" s="44"/>
      <c r="Z2" s="44"/>
    </row>
    <row r="3">
      <c r="A3" s="30"/>
      <c r="B3" s="260"/>
      <c r="C3" s="260"/>
      <c r="D3" s="31"/>
      <c r="E3" s="190"/>
      <c r="F3" s="190"/>
      <c r="G3" s="190">
        <f>'Finanical Statment'!L3</f>
        <v>2023</v>
      </c>
      <c r="H3" s="190">
        <f t="shared" ref="H3:V3" si="1">G3+1</f>
        <v>2024</v>
      </c>
      <c r="I3" s="190">
        <f t="shared" si="1"/>
        <v>2025</v>
      </c>
      <c r="J3" s="190">
        <f t="shared" si="1"/>
        <v>2026</v>
      </c>
      <c r="K3" s="190">
        <f t="shared" si="1"/>
        <v>2027</v>
      </c>
      <c r="L3" s="190">
        <f t="shared" si="1"/>
        <v>2028</v>
      </c>
      <c r="M3" s="190">
        <f t="shared" si="1"/>
        <v>2029</v>
      </c>
      <c r="N3" s="190">
        <f t="shared" si="1"/>
        <v>2030</v>
      </c>
      <c r="O3" s="190">
        <f t="shared" si="1"/>
        <v>2031</v>
      </c>
      <c r="P3" s="190">
        <f t="shared" si="1"/>
        <v>2032</v>
      </c>
      <c r="Q3" s="190">
        <f t="shared" si="1"/>
        <v>2033</v>
      </c>
      <c r="R3" s="190">
        <f t="shared" si="1"/>
        <v>2034</v>
      </c>
      <c r="S3" s="190">
        <f t="shared" si="1"/>
        <v>2035</v>
      </c>
      <c r="T3" s="190">
        <f t="shared" si="1"/>
        <v>2036</v>
      </c>
      <c r="U3" s="190">
        <f t="shared" si="1"/>
        <v>2037</v>
      </c>
      <c r="V3" s="190">
        <f t="shared" si="1"/>
        <v>2038</v>
      </c>
      <c r="W3" s="44"/>
      <c r="X3" s="44"/>
      <c r="Y3" s="44"/>
      <c r="Z3" s="44"/>
    </row>
    <row r="4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>
      <c r="A5" s="614" t="s">
        <v>483</v>
      </c>
      <c r="B5" s="615" t="s">
        <v>431</v>
      </c>
      <c r="C5" s="616" t="s">
        <v>484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>
      <c r="A6" s="617" t="s">
        <v>485</v>
      </c>
      <c r="B6" s="618">
        <f>AVERAGE('Finanical Statment'!H8:L8)</f>
        <v>0.1064404537</v>
      </c>
      <c r="C6" s="619">
        <v>0.11</v>
      </c>
      <c r="D6" s="44"/>
      <c r="E6" s="44"/>
      <c r="F6" s="44" t="s">
        <v>12</v>
      </c>
      <c r="G6" s="45">
        <f>'Finanical Statment'!L7</f>
        <v>70919.03</v>
      </c>
      <c r="H6" s="45">
        <f t="shared" ref="H6:V6" si="2">G6*(1+$C$6)</f>
        <v>78720.1233</v>
      </c>
      <c r="I6" s="45">
        <f t="shared" si="2"/>
        <v>87379.33686</v>
      </c>
      <c r="J6" s="45">
        <f t="shared" si="2"/>
        <v>96991.06392</v>
      </c>
      <c r="K6" s="45">
        <f t="shared" si="2"/>
        <v>107660.0809</v>
      </c>
      <c r="L6" s="45">
        <f t="shared" si="2"/>
        <v>119502.6899</v>
      </c>
      <c r="M6" s="45">
        <f t="shared" si="2"/>
        <v>132647.9857</v>
      </c>
      <c r="N6" s="45">
        <f t="shared" si="2"/>
        <v>147239.2642</v>
      </c>
      <c r="O6" s="45">
        <f t="shared" si="2"/>
        <v>163435.5832</v>
      </c>
      <c r="P6" s="45">
        <f t="shared" si="2"/>
        <v>181413.4974</v>
      </c>
      <c r="Q6" s="45">
        <f t="shared" si="2"/>
        <v>201368.9821</v>
      </c>
      <c r="R6" s="45">
        <f t="shared" si="2"/>
        <v>223519.5701</v>
      </c>
      <c r="S6" s="45">
        <f t="shared" si="2"/>
        <v>248106.7228</v>
      </c>
      <c r="T6" s="45">
        <f t="shared" si="2"/>
        <v>275398.4623</v>
      </c>
      <c r="U6" s="45">
        <f t="shared" si="2"/>
        <v>305692.2932</v>
      </c>
      <c r="V6" s="45">
        <f t="shared" si="2"/>
        <v>339318.4455</v>
      </c>
      <c r="W6" s="44"/>
      <c r="X6" s="44"/>
      <c r="Y6" s="44"/>
      <c r="Z6" s="44"/>
    </row>
    <row r="7">
      <c r="A7" s="266" t="s">
        <v>85</v>
      </c>
      <c r="B7" s="171">
        <f>AVERAGE('Finanical Statment'!H24:M24)</f>
        <v>0.3835793032</v>
      </c>
      <c r="C7" s="620">
        <v>0.38</v>
      </c>
      <c r="D7" s="44"/>
      <c r="E7" s="44"/>
      <c r="F7" s="44" t="s">
        <v>84</v>
      </c>
      <c r="G7" s="45">
        <f>'Finanical Statment'!M23</f>
        <v>29354.38</v>
      </c>
      <c r="H7" s="45">
        <f t="shared" ref="H7:V7" si="3">H6*$C$7</f>
        <v>29913.64685</v>
      </c>
      <c r="I7" s="45">
        <f t="shared" si="3"/>
        <v>33204.14801</v>
      </c>
      <c r="J7" s="45">
        <f t="shared" si="3"/>
        <v>36856.60429</v>
      </c>
      <c r="K7" s="45">
        <f t="shared" si="3"/>
        <v>40910.83076</v>
      </c>
      <c r="L7" s="45">
        <f t="shared" si="3"/>
        <v>45411.02214</v>
      </c>
      <c r="M7" s="45">
        <f t="shared" si="3"/>
        <v>50406.23458</v>
      </c>
      <c r="N7" s="45">
        <f t="shared" si="3"/>
        <v>55950.92038</v>
      </c>
      <c r="O7" s="45">
        <f t="shared" si="3"/>
        <v>62105.52163</v>
      </c>
      <c r="P7" s="45">
        <f t="shared" si="3"/>
        <v>68937.12901</v>
      </c>
      <c r="Q7" s="45">
        <f t="shared" si="3"/>
        <v>76520.2132</v>
      </c>
      <c r="R7" s="45">
        <f t="shared" si="3"/>
        <v>84937.43665</v>
      </c>
      <c r="S7" s="45">
        <f t="shared" si="3"/>
        <v>94280.55468</v>
      </c>
      <c r="T7" s="45">
        <f t="shared" si="3"/>
        <v>104651.4157</v>
      </c>
      <c r="U7" s="45">
        <f t="shared" si="3"/>
        <v>116163.0714</v>
      </c>
      <c r="V7" s="45">
        <f t="shared" si="3"/>
        <v>128941.0093</v>
      </c>
      <c r="W7" s="44"/>
      <c r="X7" s="44"/>
      <c r="Y7" s="44"/>
      <c r="Z7" s="44"/>
    </row>
    <row r="8">
      <c r="A8" s="266" t="s">
        <v>88</v>
      </c>
      <c r="B8" s="171">
        <f>AVERAGE('Finanical Statment'!H33:M33)</f>
        <v>0.2558752285</v>
      </c>
      <c r="C8" s="620">
        <v>0.25</v>
      </c>
      <c r="D8" s="44"/>
      <c r="E8" s="44"/>
      <c r="F8" s="44" t="s">
        <v>299</v>
      </c>
      <c r="G8" s="45">
        <f>'Capital Allocation'!Q30</f>
        <v>17958.67021</v>
      </c>
      <c r="H8" s="45">
        <f t="shared" ref="H8:V8" si="4">H7*(1-$C$8)</f>
        <v>22435.23514</v>
      </c>
      <c r="I8" s="45">
        <f t="shared" si="4"/>
        <v>24903.11101</v>
      </c>
      <c r="J8" s="45">
        <f t="shared" si="4"/>
        <v>27642.45322</v>
      </c>
      <c r="K8" s="45">
        <f t="shared" si="4"/>
        <v>30683.12307</v>
      </c>
      <c r="L8" s="45">
        <f t="shared" si="4"/>
        <v>34058.26661</v>
      </c>
      <c r="M8" s="45">
        <f t="shared" si="4"/>
        <v>37804.67594</v>
      </c>
      <c r="N8" s="45">
        <f t="shared" si="4"/>
        <v>41963.19029</v>
      </c>
      <c r="O8" s="45">
        <f t="shared" si="4"/>
        <v>46579.14122</v>
      </c>
      <c r="P8" s="45">
        <f t="shared" si="4"/>
        <v>51702.84675</v>
      </c>
      <c r="Q8" s="45">
        <f t="shared" si="4"/>
        <v>57390.1599</v>
      </c>
      <c r="R8" s="45">
        <f t="shared" si="4"/>
        <v>63703.07749</v>
      </c>
      <c r="S8" s="45">
        <f t="shared" si="4"/>
        <v>70710.41601</v>
      </c>
      <c r="T8" s="45">
        <f t="shared" si="4"/>
        <v>78488.56177</v>
      </c>
      <c r="U8" s="45">
        <f t="shared" si="4"/>
        <v>87122.30356</v>
      </c>
      <c r="V8" s="45">
        <f t="shared" si="4"/>
        <v>96705.75696</v>
      </c>
      <c r="W8" s="44"/>
      <c r="X8" s="44"/>
      <c r="Y8" s="44"/>
      <c r="Z8" s="44"/>
    </row>
    <row r="9">
      <c r="A9" s="266" t="s">
        <v>486</v>
      </c>
      <c r="B9" s="621">
        <f>AVERAGE(M34:Q34)</f>
        <v>0.5761994316</v>
      </c>
      <c r="C9" s="620">
        <v>0.4</v>
      </c>
      <c r="D9" s="44"/>
      <c r="E9" s="44"/>
      <c r="F9" s="44" t="s">
        <v>487</v>
      </c>
      <c r="G9" s="44"/>
      <c r="H9" s="45">
        <f t="shared" ref="H9:V9" si="5">(H6-G6)*$C$9</f>
        <v>3120.43732</v>
      </c>
      <c r="I9" s="45">
        <f t="shared" si="5"/>
        <v>3463.685425</v>
      </c>
      <c r="J9" s="45">
        <f t="shared" si="5"/>
        <v>3844.690822</v>
      </c>
      <c r="K9" s="45">
        <f t="shared" si="5"/>
        <v>4267.606812</v>
      </c>
      <c r="L9" s="45">
        <f t="shared" si="5"/>
        <v>4737.043562</v>
      </c>
      <c r="M9" s="45">
        <f t="shared" si="5"/>
        <v>5258.118354</v>
      </c>
      <c r="N9" s="45">
        <f t="shared" si="5"/>
        <v>5836.511372</v>
      </c>
      <c r="O9" s="45">
        <f t="shared" si="5"/>
        <v>6478.527623</v>
      </c>
      <c r="P9" s="45">
        <f t="shared" si="5"/>
        <v>7191.165662</v>
      </c>
      <c r="Q9" s="45">
        <f t="shared" si="5"/>
        <v>7982.193885</v>
      </c>
      <c r="R9" s="45">
        <f t="shared" si="5"/>
        <v>8860.235212</v>
      </c>
      <c r="S9" s="45">
        <f t="shared" si="5"/>
        <v>9834.861085</v>
      </c>
      <c r="T9" s="45">
        <f t="shared" si="5"/>
        <v>10916.6958</v>
      </c>
      <c r="U9" s="45">
        <f t="shared" si="5"/>
        <v>12117.53234</v>
      </c>
      <c r="V9" s="45">
        <f t="shared" si="5"/>
        <v>13450.4609</v>
      </c>
      <c r="W9" s="44"/>
      <c r="X9" s="44"/>
      <c r="Y9" s="44"/>
      <c r="Z9" s="44"/>
    </row>
    <row r="10">
      <c r="A10" s="266" t="s">
        <v>488</v>
      </c>
      <c r="B10" s="621">
        <f>AVERAGE(M40:Q40)</f>
        <v>0.2454911057</v>
      </c>
      <c r="C10" s="620">
        <v>0.15</v>
      </c>
      <c r="D10" s="44"/>
      <c r="E10" s="44"/>
      <c r="F10" s="44" t="s">
        <v>489</v>
      </c>
      <c r="G10" s="44"/>
      <c r="H10" s="45">
        <f t="shared" ref="H10:V10" si="6">(H6-G6)*$C$10</f>
        <v>1170.163995</v>
      </c>
      <c r="I10" s="45">
        <f t="shared" si="6"/>
        <v>1298.882034</v>
      </c>
      <c r="J10" s="45">
        <f t="shared" si="6"/>
        <v>1441.759058</v>
      </c>
      <c r="K10" s="45">
        <f t="shared" si="6"/>
        <v>1600.352555</v>
      </c>
      <c r="L10" s="45">
        <f t="shared" si="6"/>
        <v>1776.391336</v>
      </c>
      <c r="M10" s="45">
        <f t="shared" si="6"/>
        <v>1971.794383</v>
      </c>
      <c r="N10" s="45">
        <f t="shared" si="6"/>
        <v>2188.691765</v>
      </c>
      <c r="O10" s="45">
        <f t="shared" si="6"/>
        <v>2429.447859</v>
      </c>
      <c r="P10" s="45">
        <f t="shared" si="6"/>
        <v>2696.687123</v>
      </c>
      <c r="Q10" s="45">
        <f t="shared" si="6"/>
        <v>2993.322707</v>
      </c>
      <c r="R10" s="45">
        <f t="shared" si="6"/>
        <v>3322.588205</v>
      </c>
      <c r="S10" s="45">
        <f t="shared" si="6"/>
        <v>3688.072907</v>
      </c>
      <c r="T10" s="45">
        <f t="shared" si="6"/>
        <v>4093.760927</v>
      </c>
      <c r="U10" s="45">
        <f t="shared" si="6"/>
        <v>4544.074629</v>
      </c>
      <c r="V10" s="45">
        <f t="shared" si="6"/>
        <v>5043.922838</v>
      </c>
      <c r="W10" s="44"/>
      <c r="X10" s="44"/>
      <c r="Y10" s="44"/>
      <c r="Z10" s="44"/>
    </row>
    <row r="11">
      <c r="A11" s="266" t="s">
        <v>268</v>
      </c>
      <c r="B11" s="316"/>
      <c r="C11" s="620">
        <v>0.12</v>
      </c>
      <c r="D11" s="44"/>
      <c r="E11" s="44"/>
      <c r="F11" s="44" t="s">
        <v>490</v>
      </c>
      <c r="G11" s="44"/>
      <c r="H11" s="45">
        <f t="shared" ref="H11:V11" si="7">H8-(H9+H10)</f>
        <v>18144.63383</v>
      </c>
      <c r="I11" s="45">
        <f t="shared" si="7"/>
        <v>20140.54355</v>
      </c>
      <c r="J11" s="45">
        <f t="shared" si="7"/>
        <v>22356.00334</v>
      </c>
      <c r="K11" s="45">
        <f t="shared" si="7"/>
        <v>24815.1637</v>
      </c>
      <c r="L11" s="45">
        <f t="shared" si="7"/>
        <v>27544.83171</v>
      </c>
      <c r="M11" s="45">
        <f t="shared" si="7"/>
        <v>30574.7632</v>
      </c>
      <c r="N11" s="45">
        <f t="shared" si="7"/>
        <v>33937.98715</v>
      </c>
      <c r="O11" s="45">
        <f t="shared" si="7"/>
        <v>37671.16574</v>
      </c>
      <c r="P11" s="45">
        <f t="shared" si="7"/>
        <v>41814.99397</v>
      </c>
      <c r="Q11" s="45">
        <f t="shared" si="7"/>
        <v>46414.64331</v>
      </c>
      <c r="R11" s="45">
        <f t="shared" si="7"/>
        <v>51520.25407</v>
      </c>
      <c r="S11" s="45">
        <f t="shared" si="7"/>
        <v>57187.48202</v>
      </c>
      <c r="T11" s="45">
        <f t="shared" si="7"/>
        <v>63478.10504</v>
      </c>
      <c r="U11" s="45">
        <f t="shared" si="7"/>
        <v>70460.69659</v>
      </c>
      <c r="V11" s="45">
        <f t="shared" si="7"/>
        <v>78211.37322</v>
      </c>
      <c r="W11" s="44"/>
      <c r="X11" s="44"/>
      <c r="Y11" s="44"/>
      <c r="Z11" s="44"/>
    </row>
    <row r="12">
      <c r="A12" s="622" t="s">
        <v>491</v>
      </c>
      <c r="B12" s="623"/>
      <c r="C12" s="624">
        <v>0.08</v>
      </c>
      <c r="D12" s="44"/>
      <c r="E12" s="44"/>
      <c r="F12" s="44" t="s">
        <v>492</v>
      </c>
      <c r="G12" s="44"/>
      <c r="H12" s="45">
        <f t="shared" ref="H12:V12" si="8">-PV($C$11,(H3-$G$3),0,H11)</f>
        <v>16200.56592</v>
      </c>
      <c r="I12" s="45">
        <f t="shared" si="8"/>
        <v>16055.91801</v>
      </c>
      <c r="J12" s="45">
        <f t="shared" si="8"/>
        <v>15912.56159</v>
      </c>
      <c r="K12" s="45">
        <f t="shared" si="8"/>
        <v>15770.48515</v>
      </c>
      <c r="L12" s="45">
        <f t="shared" si="8"/>
        <v>15629.67725</v>
      </c>
      <c r="M12" s="45">
        <f t="shared" si="8"/>
        <v>15490.12656</v>
      </c>
      <c r="N12" s="45">
        <f t="shared" si="8"/>
        <v>15351.82186</v>
      </c>
      <c r="O12" s="45">
        <f t="shared" si="8"/>
        <v>15214.75202</v>
      </c>
      <c r="P12" s="45">
        <f t="shared" si="8"/>
        <v>15078.90602</v>
      </c>
      <c r="Q12" s="45">
        <f t="shared" si="8"/>
        <v>14944.27293</v>
      </c>
      <c r="R12" s="45">
        <f t="shared" si="8"/>
        <v>14810.84192</v>
      </c>
      <c r="S12" s="45">
        <f t="shared" si="8"/>
        <v>14678.60226</v>
      </c>
      <c r="T12" s="45">
        <f t="shared" si="8"/>
        <v>14547.54331</v>
      </c>
      <c r="U12" s="45">
        <f t="shared" si="8"/>
        <v>14417.65453</v>
      </c>
      <c r="V12" s="45">
        <f t="shared" si="8"/>
        <v>14288.92548</v>
      </c>
      <c r="W12" s="44"/>
      <c r="X12" s="44"/>
      <c r="Y12" s="44"/>
      <c r="Z12" s="44"/>
    </row>
    <row r="13">
      <c r="A13" s="44"/>
      <c r="B13" s="44"/>
      <c r="C13" s="44"/>
      <c r="D13" s="44"/>
      <c r="E13" s="44"/>
      <c r="F13" s="63" t="s">
        <v>493</v>
      </c>
      <c r="G13" s="63"/>
      <c r="H13" s="625">
        <f t="shared" ref="H13:V13" si="9">H12+G13</f>
        <v>16200.56592</v>
      </c>
      <c r="I13" s="625">
        <f t="shared" si="9"/>
        <v>32256.48392</v>
      </c>
      <c r="J13" s="625">
        <f t="shared" si="9"/>
        <v>48169.04552</v>
      </c>
      <c r="K13" s="625">
        <f t="shared" si="9"/>
        <v>63939.53067</v>
      </c>
      <c r="L13" s="625">
        <f t="shared" si="9"/>
        <v>79569.20792</v>
      </c>
      <c r="M13" s="625">
        <f t="shared" si="9"/>
        <v>95059.33448</v>
      </c>
      <c r="N13" s="625">
        <f t="shared" si="9"/>
        <v>110411.1563</v>
      </c>
      <c r="O13" s="625">
        <f t="shared" si="9"/>
        <v>125625.9084</v>
      </c>
      <c r="P13" s="625">
        <f t="shared" si="9"/>
        <v>140704.8144</v>
      </c>
      <c r="Q13" s="625">
        <f t="shared" si="9"/>
        <v>155649.0873</v>
      </c>
      <c r="R13" s="625">
        <f t="shared" si="9"/>
        <v>170459.9292</v>
      </c>
      <c r="S13" s="625">
        <f t="shared" si="9"/>
        <v>185138.5315</v>
      </c>
      <c r="T13" s="625">
        <f t="shared" si="9"/>
        <v>199686.0748</v>
      </c>
      <c r="U13" s="625">
        <f t="shared" si="9"/>
        <v>214103.7293</v>
      </c>
      <c r="V13" s="625">
        <f t="shared" si="9"/>
        <v>228392.6548</v>
      </c>
      <c r="W13" s="44"/>
      <c r="X13" s="44"/>
      <c r="Y13" s="44"/>
      <c r="Z13" s="44"/>
    </row>
    <row r="14">
      <c r="A14" s="44"/>
      <c r="B14" s="44"/>
      <c r="C14" s="537" t="s">
        <v>431</v>
      </c>
      <c r="D14" s="44"/>
      <c r="E14" s="44"/>
      <c r="F14" s="150"/>
      <c r="G14" s="150"/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44"/>
      <c r="X14" s="44"/>
      <c r="Y14" s="44"/>
      <c r="Z14" s="44"/>
    </row>
    <row r="15">
      <c r="A15" s="627" t="s">
        <v>494</v>
      </c>
      <c r="B15" s="628"/>
      <c r="C15" s="629">
        <f>IF(M28=0,0,AVERAGE(M46:Q46))</f>
        <v>0.08712617368</v>
      </c>
      <c r="D15" s="44"/>
      <c r="E15" s="44"/>
      <c r="F15" s="44" t="s">
        <v>495</v>
      </c>
      <c r="G15" s="44"/>
      <c r="H15" s="45">
        <f t="shared" ref="H15:V15" si="10">(H8*(1+$C$12))/($C$11-$C$12)</f>
        <v>605751.3488</v>
      </c>
      <c r="I15" s="45">
        <f t="shared" si="10"/>
        <v>672383.9972</v>
      </c>
      <c r="J15" s="45">
        <f t="shared" si="10"/>
        <v>746346.2368</v>
      </c>
      <c r="K15" s="45">
        <f t="shared" si="10"/>
        <v>828444.3229</v>
      </c>
      <c r="L15" s="45">
        <f t="shared" si="10"/>
        <v>919573.1984</v>
      </c>
      <c r="M15" s="45">
        <f t="shared" si="10"/>
        <v>1020726.25</v>
      </c>
      <c r="N15" s="45">
        <f t="shared" si="10"/>
        <v>1133006.138</v>
      </c>
      <c r="O15" s="45">
        <f t="shared" si="10"/>
        <v>1257636.813</v>
      </c>
      <c r="P15" s="45">
        <f t="shared" si="10"/>
        <v>1395976.862</v>
      </c>
      <c r="Q15" s="45">
        <f t="shared" si="10"/>
        <v>1549534.317</v>
      </c>
      <c r="R15" s="45">
        <f t="shared" si="10"/>
        <v>1719983.092</v>
      </c>
      <c r="S15" s="45">
        <f t="shared" si="10"/>
        <v>1909181.232</v>
      </c>
      <c r="T15" s="45">
        <f t="shared" si="10"/>
        <v>2119191.168</v>
      </c>
      <c r="U15" s="45">
        <f t="shared" si="10"/>
        <v>2352302.196</v>
      </c>
      <c r="V15" s="45">
        <f t="shared" si="10"/>
        <v>2611055.438</v>
      </c>
      <c r="W15" s="44"/>
      <c r="X15" s="44"/>
      <c r="Y15" s="44"/>
      <c r="Z15" s="44"/>
    </row>
    <row r="16">
      <c r="A16" s="266" t="s">
        <v>496</v>
      </c>
      <c r="B16" s="44"/>
      <c r="C16" s="630">
        <f>IF(M28=0,0,AVERAGE(M51:Q51))</f>
        <v>0.0515593056</v>
      </c>
      <c r="D16" s="44"/>
      <c r="E16" s="44"/>
      <c r="F16" s="63" t="s">
        <v>497</v>
      </c>
      <c r="G16" s="63"/>
      <c r="H16" s="625">
        <f t="shared" ref="H16:V16" si="11">-PV($C$11,(H3-$G$3),0,H15)</f>
        <v>540849.4186</v>
      </c>
      <c r="I16" s="625">
        <f t="shared" si="11"/>
        <v>536020.4059</v>
      </c>
      <c r="J16" s="625">
        <f t="shared" si="11"/>
        <v>531234.5094</v>
      </c>
      <c r="K16" s="625">
        <f t="shared" si="11"/>
        <v>526491.3442</v>
      </c>
      <c r="L16" s="625">
        <f t="shared" si="11"/>
        <v>521790.5286</v>
      </c>
      <c r="M16" s="625">
        <f t="shared" si="11"/>
        <v>517131.6846</v>
      </c>
      <c r="N16" s="625">
        <f t="shared" si="11"/>
        <v>512514.4374</v>
      </c>
      <c r="O16" s="625">
        <f t="shared" si="11"/>
        <v>507938.4156</v>
      </c>
      <c r="P16" s="625">
        <f t="shared" si="11"/>
        <v>503403.2512</v>
      </c>
      <c r="Q16" s="625">
        <f t="shared" si="11"/>
        <v>498908.5793</v>
      </c>
      <c r="R16" s="625">
        <f t="shared" si="11"/>
        <v>494454.0384</v>
      </c>
      <c r="S16" s="625">
        <f t="shared" si="11"/>
        <v>490039.2702</v>
      </c>
      <c r="T16" s="625">
        <f t="shared" si="11"/>
        <v>485663.9196</v>
      </c>
      <c r="U16" s="625">
        <f t="shared" si="11"/>
        <v>481327.6346</v>
      </c>
      <c r="V16" s="625">
        <f t="shared" si="11"/>
        <v>477030.0664</v>
      </c>
      <c r="W16" s="44"/>
      <c r="X16" s="44"/>
      <c r="Y16" s="44"/>
      <c r="Z16" s="44"/>
    </row>
    <row r="17">
      <c r="A17" s="266" t="str">
        <f>F43</f>
        <v>Non-Operative Assets/Total Asset</v>
      </c>
      <c r="B17" s="44"/>
      <c r="C17" s="631">
        <f>IF(M28=0,0,AVERAGE(M44:Q44))</f>
        <v>0.3971301947</v>
      </c>
      <c r="D17" s="44"/>
      <c r="E17" s="44"/>
      <c r="F17" s="44"/>
      <c r="G17" s="44"/>
      <c r="H17" s="44"/>
      <c r="I17" s="45"/>
      <c r="J17" s="45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>
      <c r="A18" s="266" t="str">
        <f>F48</f>
        <v>Debt/Total Liability</v>
      </c>
      <c r="B18" s="44"/>
      <c r="C18" s="631">
        <f>IF(M28=0,0,AVERAGE(M49:Q49))</f>
        <v>0.01098363541</v>
      </c>
      <c r="D18" s="44"/>
      <c r="E18" s="44"/>
      <c r="F18" s="44" t="s">
        <v>498</v>
      </c>
      <c r="G18" s="45">
        <f>'Finanical Statment'!L56</f>
        <v>85830.96</v>
      </c>
      <c r="H18" s="45">
        <f t="shared" ref="H18:V18" si="12">IF($C$15=0,0,G18*(1+$C$15))</f>
        <v>93309.08313</v>
      </c>
      <c r="I18" s="45">
        <f t="shared" si="12"/>
        <v>101438.7465</v>
      </c>
      <c r="J18" s="45">
        <f t="shared" si="12"/>
        <v>110276.7164</v>
      </c>
      <c r="K18" s="45">
        <f t="shared" si="12"/>
        <v>119884.7047</v>
      </c>
      <c r="L18" s="45">
        <f t="shared" si="12"/>
        <v>130329.8003</v>
      </c>
      <c r="M18" s="45">
        <f t="shared" si="12"/>
        <v>141684.9371</v>
      </c>
      <c r="N18" s="45">
        <f t="shared" si="12"/>
        <v>154029.4036</v>
      </c>
      <c r="O18" s="45">
        <f t="shared" si="12"/>
        <v>167449.3961</v>
      </c>
      <c r="P18" s="45">
        <f t="shared" si="12"/>
        <v>182038.6213</v>
      </c>
      <c r="Q18" s="45">
        <f t="shared" si="12"/>
        <v>197898.9498</v>
      </c>
      <c r="R18" s="45">
        <f t="shared" si="12"/>
        <v>215141.1281</v>
      </c>
      <c r="S18" s="45">
        <f t="shared" si="12"/>
        <v>233885.5514</v>
      </c>
      <c r="T18" s="45">
        <f t="shared" si="12"/>
        <v>254263.1046</v>
      </c>
      <c r="U18" s="45">
        <f t="shared" si="12"/>
        <v>276416.076</v>
      </c>
      <c r="V18" s="45">
        <f t="shared" si="12"/>
        <v>300499.151</v>
      </c>
      <c r="W18" s="44"/>
      <c r="X18" s="44"/>
      <c r="Y18" s="44"/>
      <c r="Z18" s="44"/>
    </row>
    <row r="19">
      <c r="A19" s="266" t="s">
        <v>499</v>
      </c>
      <c r="B19" s="44"/>
      <c r="C19" s="632">
        <f>'Finanical Statment'!B105</f>
        <v>1247.023836</v>
      </c>
      <c r="D19" s="44"/>
      <c r="E19" s="44"/>
      <c r="F19" s="44" t="s">
        <v>500</v>
      </c>
      <c r="G19" s="45">
        <f>'Finanical Statment'!L62</f>
        <v>16675.7</v>
      </c>
      <c r="H19" s="45">
        <f t="shared" ref="H19:V19" si="13">IF($C$16=0,0,G19*(1+$C$16))</f>
        <v>17535.48751</v>
      </c>
      <c r="I19" s="45">
        <f t="shared" si="13"/>
        <v>18439.60507</v>
      </c>
      <c r="J19" s="45">
        <f t="shared" si="13"/>
        <v>19390.3383</v>
      </c>
      <c r="K19" s="45">
        <f t="shared" si="13"/>
        <v>20390.09068</v>
      </c>
      <c r="L19" s="45">
        <f t="shared" si="13"/>
        <v>21441.3896</v>
      </c>
      <c r="M19" s="45">
        <f t="shared" si="13"/>
        <v>22546.89276</v>
      </c>
      <c r="N19" s="45">
        <f t="shared" si="13"/>
        <v>23709.39489</v>
      </c>
      <c r="O19" s="45">
        <f t="shared" si="13"/>
        <v>24931.83483</v>
      </c>
      <c r="P19" s="45">
        <f t="shared" si="13"/>
        <v>26217.30292</v>
      </c>
      <c r="Q19" s="45">
        <f t="shared" si="13"/>
        <v>27569.04885</v>
      </c>
      <c r="R19" s="45">
        <f t="shared" si="13"/>
        <v>28990.48987</v>
      </c>
      <c r="S19" s="45">
        <f t="shared" si="13"/>
        <v>30485.21939</v>
      </c>
      <c r="T19" s="45">
        <f t="shared" si="13"/>
        <v>32057.01614</v>
      </c>
      <c r="U19" s="45">
        <f t="shared" si="13"/>
        <v>33709.85363</v>
      </c>
      <c r="V19" s="45">
        <f t="shared" si="13"/>
        <v>35447.91027</v>
      </c>
      <c r="W19" s="44"/>
      <c r="X19" s="44"/>
      <c r="Y19" s="44"/>
      <c r="Z19" s="44"/>
    </row>
    <row r="20">
      <c r="A20" s="266" t="s">
        <v>501</v>
      </c>
      <c r="B20" s="44"/>
      <c r="C20" s="632">
        <f>'Finanical Statment'!B107</f>
        <v>442.6</v>
      </c>
      <c r="D20" s="44"/>
      <c r="E20" s="44"/>
      <c r="F20" s="44"/>
      <c r="G20" s="44"/>
      <c r="H20" s="44"/>
      <c r="I20" s="45"/>
      <c r="J20" s="45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>
      <c r="A21" s="269" t="s">
        <v>502</v>
      </c>
      <c r="B21" s="622"/>
      <c r="C21" s="633">
        <v>15.0</v>
      </c>
      <c r="D21" s="44"/>
      <c r="E21" s="44"/>
      <c r="F21" s="44" t="s">
        <v>503</v>
      </c>
      <c r="G21" s="44"/>
      <c r="H21" s="45">
        <f t="shared" ref="H21:V21" si="14">+H16+H13</f>
        <v>557049.9845</v>
      </c>
      <c r="I21" s="45">
        <f t="shared" si="14"/>
        <v>568276.8898</v>
      </c>
      <c r="J21" s="45">
        <f t="shared" si="14"/>
        <v>579403.5549</v>
      </c>
      <c r="K21" s="45">
        <f t="shared" si="14"/>
        <v>590430.8748</v>
      </c>
      <c r="L21" s="45">
        <f t="shared" si="14"/>
        <v>601359.7365</v>
      </c>
      <c r="M21" s="45">
        <f t="shared" si="14"/>
        <v>612191.0191</v>
      </c>
      <c r="N21" s="45">
        <f t="shared" si="14"/>
        <v>622925.5937</v>
      </c>
      <c r="O21" s="45">
        <f t="shared" si="14"/>
        <v>633564.324</v>
      </c>
      <c r="P21" s="45">
        <f t="shared" si="14"/>
        <v>644108.0656</v>
      </c>
      <c r="Q21" s="45">
        <f t="shared" si="14"/>
        <v>654557.6666</v>
      </c>
      <c r="R21" s="45">
        <f t="shared" si="14"/>
        <v>664913.9677</v>
      </c>
      <c r="S21" s="45">
        <f t="shared" si="14"/>
        <v>675177.8017</v>
      </c>
      <c r="T21" s="45">
        <f t="shared" si="14"/>
        <v>685349.9944</v>
      </c>
      <c r="U21" s="45">
        <f t="shared" si="14"/>
        <v>695431.3639</v>
      </c>
      <c r="V21" s="45">
        <f t="shared" si="14"/>
        <v>705422.7213</v>
      </c>
      <c r="W21" s="44"/>
      <c r="X21" s="44"/>
      <c r="Y21" s="44"/>
      <c r="Z21" s="44"/>
    </row>
    <row r="22">
      <c r="A22" s="44"/>
      <c r="B22" s="44"/>
      <c r="C22" s="44"/>
      <c r="D22" s="44"/>
      <c r="E22" s="44"/>
      <c r="F22" s="44" t="s">
        <v>504</v>
      </c>
      <c r="G22" s="44"/>
      <c r="H22" s="45">
        <f t="shared" ref="H22:V22" si="15">H18*$C$17</f>
        <v>37055.85435</v>
      </c>
      <c r="I22" s="45">
        <f t="shared" si="15"/>
        <v>40284.38916</v>
      </c>
      <c r="J22" s="45">
        <f t="shared" si="15"/>
        <v>43794.21384</v>
      </c>
      <c r="K22" s="45">
        <f t="shared" si="15"/>
        <v>47609.83612</v>
      </c>
      <c r="L22" s="45">
        <f t="shared" si="15"/>
        <v>51757.89898</v>
      </c>
      <c r="M22" s="45">
        <f t="shared" si="15"/>
        <v>56267.36667</v>
      </c>
      <c r="N22" s="45">
        <f t="shared" si="15"/>
        <v>61169.72703</v>
      </c>
      <c r="O22" s="45">
        <f t="shared" si="15"/>
        <v>66499.21129</v>
      </c>
      <c r="P22" s="45">
        <f t="shared" si="15"/>
        <v>72293.03313</v>
      </c>
      <c r="Q22" s="45">
        <f t="shared" si="15"/>
        <v>78591.64849</v>
      </c>
      <c r="R22" s="45">
        <f t="shared" si="15"/>
        <v>85439.0381</v>
      </c>
      <c r="S22" s="45">
        <f t="shared" si="15"/>
        <v>92883.01458</v>
      </c>
      <c r="T22" s="45">
        <f t="shared" si="15"/>
        <v>100975.5562</v>
      </c>
      <c r="U22" s="45">
        <f t="shared" si="15"/>
        <v>109773.1701</v>
      </c>
      <c r="V22" s="45">
        <f t="shared" si="15"/>
        <v>119337.2864</v>
      </c>
      <c r="W22" s="44"/>
      <c r="X22" s="44"/>
      <c r="Y22" s="44"/>
      <c r="Z22" s="44"/>
    </row>
    <row r="23">
      <c r="A23" s="44"/>
      <c r="B23" s="44"/>
      <c r="C23" s="44"/>
      <c r="D23" s="44"/>
      <c r="E23" s="44"/>
      <c r="F23" s="44" t="s">
        <v>505</v>
      </c>
      <c r="G23" s="44"/>
      <c r="H23" s="45">
        <f t="shared" ref="H23:V23" si="16">H19*$C$18</f>
        <v>192.6034015</v>
      </c>
      <c r="I23" s="45">
        <f t="shared" si="16"/>
        <v>202.5338992</v>
      </c>
      <c r="J23" s="45">
        <f t="shared" si="16"/>
        <v>212.9764064</v>
      </c>
      <c r="K23" s="45">
        <f t="shared" si="16"/>
        <v>223.957322</v>
      </c>
      <c r="L23" s="45">
        <f t="shared" si="16"/>
        <v>235.504406</v>
      </c>
      <c r="M23" s="45">
        <f t="shared" si="16"/>
        <v>247.6468496</v>
      </c>
      <c r="N23" s="45">
        <f t="shared" si="16"/>
        <v>260.4153492</v>
      </c>
      <c r="O23" s="45">
        <f t="shared" si="16"/>
        <v>273.8421838</v>
      </c>
      <c r="P23" s="45">
        <f t="shared" si="16"/>
        <v>287.9612966</v>
      </c>
      <c r="Q23" s="45">
        <f t="shared" si="16"/>
        <v>302.8083811</v>
      </c>
      <c r="R23" s="45">
        <f t="shared" si="16"/>
        <v>318.420971</v>
      </c>
      <c r="S23" s="45">
        <f t="shared" si="16"/>
        <v>334.8385351</v>
      </c>
      <c r="T23" s="45">
        <f t="shared" si="16"/>
        <v>352.1025775</v>
      </c>
      <c r="U23" s="45">
        <f t="shared" si="16"/>
        <v>370.2567419</v>
      </c>
      <c r="V23" s="45">
        <f t="shared" si="16"/>
        <v>389.3469224</v>
      </c>
      <c r="W23" s="44"/>
      <c r="X23" s="44"/>
      <c r="Y23" s="44"/>
      <c r="Z23" s="44"/>
    </row>
    <row r="24">
      <c r="A24" s="44"/>
      <c r="B24" s="537" t="s">
        <v>506</v>
      </c>
      <c r="C24" s="634" t="s">
        <v>507</v>
      </c>
      <c r="D24" s="44"/>
      <c r="E24" s="44"/>
      <c r="F24" s="323" t="s">
        <v>508</v>
      </c>
      <c r="G24" s="323"/>
      <c r="H24" s="635">
        <f t="shared" ref="H24:V24" si="17">H21+H22-H23</f>
        <v>593913.2354</v>
      </c>
      <c r="I24" s="635">
        <f t="shared" si="17"/>
        <v>608358.7451</v>
      </c>
      <c r="J24" s="635">
        <f t="shared" si="17"/>
        <v>622984.7924</v>
      </c>
      <c r="K24" s="635">
        <f t="shared" si="17"/>
        <v>637816.7536</v>
      </c>
      <c r="L24" s="635">
        <f t="shared" si="17"/>
        <v>652882.1311</v>
      </c>
      <c r="M24" s="635">
        <f t="shared" si="17"/>
        <v>668210.7389</v>
      </c>
      <c r="N24" s="635">
        <f t="shared" si="17"/>
        <v>683834.9054</v>
      </c>
      <c r="O24" s="635">
        <f t="shared" si="17"/>
        <v>699789.6931</v>
      </c>
      <c r="P24" s="635">
        <f t="shared" si="17"/>
        <v>716113.1374</v>
      </c>
      <c r="Q24" s="635">
        <f t="shared" si="17"/>
        <v>732846.5067</v>
      </c>
      <c r="R24" s="635">
        <f t="shared" si="17"/>
        <v>750034.5848</v>
      </c>
      <c r="S24" s="635">
        <f t="shared" si="17"/>
        <v>767725.9778</v>
      </c>
      <c r="T24" s="635">
        <f t="shared" si="17"/>
        <v>785973.4481</v>
      </c>
      <c r="U24" s="635">
        <f t="shared" si="17"/>
        <v>804834.2773</v>
      </c>
      <c r="V24" s="635">
        <f t="shared" si="17"/>
        <v>824370.6607</v>
      </c>
      <c r="W24" s="44"/>
      <c r="X24" s="44"/>
      <c r="Y24" s="44"/>
      <c r="Z24" s="44"/>
    </row>
    <row r="25">
      <c r="A25" s="636" t="s">
        <v>121</v>
      </c>
      <c r="B25" s="637">
        <f>'Finanical Statment'!B107</f>
        <v>442.6</v>
      </c>
      <c r="C25" s="638">
        <f>H25</f>
        <v>476.2645413</v>
      </c>
      <c r="D25" s="639"/>
      <c r="E25" s="44"/>
      <c r="F25" s="640" t="s">
        <v>509</v>
      </c>
      <c r="G25" s="640"/>
      <c r="H25" s="641">
        <f t="shared" ref="H25:V25" si="18">H24/$C$19</f>
        <v>476.2645413</v>
      </c>
      <c r="I25" s="641">
        <f t="shared" si="18"/>
        <v>487.8485297</v>
      </c>
      <c r="J25" s="641">
        <f t="shared" si="18"/>
        <v>499.5772929</v>
      </c>
      <c r="K25" s="641">
        <f t="shared" si="18"/>
        <v>511.4711804</v>
      </c>
      <c r="L25" s="641">
        <f t="shared" si="18"/>
        <v>523.5522466</v>
      </c>
      <c r="M25" s="641">
        <f t="shared" si="18"/>
        <v>535.8443996</v>
      </c>
      <c r="N25" s="641">
        <f t="shared" si="18"/>
        <v>548.3735639</v>
      </c>
      <c r="O25" s="641">
        <f t="shared" si="18"/>
        <v>561.1678563</v>
      </c>
      <c r="P25" s="641">
        <f t="shared" si="18"/>
        <v>574.257778</v>
      </c>
      <c r="Q25" s="641">
        <f t="shared" si="18"/>
        <v>587.6764223</v>
      </c>
      <c r="R25" s="641">
        <f t="shared" si="18"/>
        <v>601.4597018</v>
      </c>
      <c r="S25" s="641">
        <f t="shared" si="18"/>
        <v>615.6465942</v>
      </c>
      <c r="T25" s="641">
        <f t="shared" si="18"/>
        <v>630.2794102</v>
      </c>
      <c r="U25" s="641">
        <f t="shared" si="18"/>
        <v>645.4040843</v>
      </c>
      <c r="V25" s="641">
        <f t="shared" si="18"/>
        <v>661.0704917</v>
      </c>
      <c r="W25" s="44"/>
      <c r="X25" s="44"/>
      <c r="Y25" s="44"/>
      <c r="Z25" s="44"/>
    </row>
    <row r="26">
      <c r="A26" s="642" t="str">
        <f>'Finanical Statment'!A108</f>
        <v>Mcap</v>
      </c>
      <c r="B26" s="643">
        <f>'Finanical Statment'!B108</f>
        <v>551932.75</v>
      </c>
      <c r="C26" s="643">
        <f>H24</f>
        <v>593913.2354</v>
      </c>
      <c r="D26" s="6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>
      <c r="A27" s="645" t="s">
        <v>510</v>
      </c>
      <c r="B27" s="646">
        <f>B25/'Finanical Statment'!$L$43</f>
        <v>28.24209004</v>
      </c>
      <c r="C27" s="646">
        <f>C25/'Finanical Statment'!$L$43</f>
        <v>30.390208</v>
      </c>
      <c r="D27" s="647"/>
      <c r="E27" s="44"/>
      <c r="F27" s="277" t="s">
        <v>274</v>
      </c>
      <c r="G27" s="648"/>
      <c r="H27" s="648">
        <f>'Finanical Statment'!C3</f>
        <v>2014</v>
      </c>
      <c r="I27" s="648">
        <f>'Finanical Statment'!D3</f>
        <v>2015</v>
      </c>
      <c r="J27" s="648">
        <f>'Finanical Statment'!E3</f>
        <v>2016</v>
      </c>
      <c r="K27" s="648">
        <f>'Finanical Statment'!F3</f>
        <v>2017</v>
      </c>
      <c r="L27" s="648">
        <f>'Finanical Statment'!G3</f>
        <v>2018</v>
      </c>
      <c r="M27" s="648">
        <f>'Finanical Statment'!H3</f>
        <v>2019</v>
      </c>
      <c r="N27" s="648">
        <f>'Finanical Statment'!I3</f>
        <v>2020</v>
      </c>
      <c r="O27" s="648">
        <f>'Finanical Statment'!J3</f>
        <v>2021</v>
      </c>
      <c r="P27" s="648">
        <f>'Finanical Statment'!K3</f>
        <v>2022</v>
      </c>
      <c r="Q27" s="649">
        <f>'Finanical Statment'!L3</f>
        <v>2023</v>
      </c>
      <c r="R27" s="44"/>
      <c r="S27" s="44"/>
      <c r="T27" s="44"/>
      <c r="U27" s="44"/>
      <c r="V27" s="47"/>
      <c r="W27" s="44"/>
      <c r="X27" s="44"/>
      <c r="Y27" s="44"/>
      <c r="Z27" s="44"/>
    </row>
    <row r="28">
      <c r="A28" s="44"/>
      <c r="B28" s="44"/>
      <c r="C28" s="44"/>
      <c r="D28" s="44"/>
      <c r="E28" s="44"/>
      <c r="F28" s="451" t="s">
        <v>12</v>
      </c>
      <c r="G28" s="650"/>
      <c r="H28" s="651">
        <f>IF('Finanical Statment'!C7=0,0,'Finanical Statment'!C7)</f>
        <v>35306.43</v>
      </c>
      <c r="I28" s="651">
        <f>IF('Finanical Statment'!D7=0,0,'Finanical Statment'!D7)</f>
        <v>38817.15</v>
      </c>
      <c r="J28" s="651">
        <f>IF('Finanical Statment'!E7=0,0,'Finanical Statment'!E7)</f>
        <v>39192.1</v>
      </c>
      <c r="K28" s="651">
        <f>IF('Finanical Statment'!F7=0,0,'Finanical Statment'!F7)</f>
        <v>42767.6</v>
      </c>
      <c r="L28" s="651">
        <f>IF('Finanical Statment'!G7=0,0,'Finanical Statment'!G7)</f>
        <v>43448.94</v>
      </c>
      <c r="M28" s="651">
        <f>IF('Finanical Statment'!H7=0,0,'Finanical Statment'!H7)</f>
        <v>48339.58</v>
      </c>
      <c r="N28" s="651">
        <f>IF('Finanical Statment'!I7=0,0,'Finanical Statment'!I7)</f>
        <v>49387.7</v>
      </c>
      <c r="O28" s="651">
        <f>IF('Finanical Statment'!J7=0,0,'Finanical Statment'!J7)</f>
        <v>49257.45</v>
      </c>
      <c r="P28" s="651">
        <f>IF('Finanical Statment'!K7=0,0,'Finanical Statment'!K7)</f>
        <v>60644.54</v>
      </c>
      <c r="Q28" s="522">
        <f>IF('Finanical Statment'!L7=0,0,'Finanical Statment'!L7)</f>
        <v>70919.03</v>
      </c>
      <c r="R28" s="44"/>
      <c r="S28" s="44"/>
      <c r="T28" s="44"/>
      <c r="U28" s="44"/>
      <c r="V28" s="44"/>
      <c r="W28" s="44"/>
      <c r="X28" s="44"/>
      <c r="Y28" s="44"/>
      <c r="Z28" s="44"/>
    </row>
    <row r="29">
      <c r="A29" s="44"/>
      <c r="B29" s="44"/>
      <c r="C29" s="44"/>
      <c r="D29" s="44"/>
      <c r="E29" s="44"/>
      <c r="F29" s="212" t="s">
        <v>511</v>
      </c>
      <c r="G29" s="44"/>
      <c r="H29" s="316"/>
      <c r="I29" s="45">
        <f t="shared" ref="I29:Q29" si="19">I28-H28</f>
        <v>3510.72</v>
      </c>
      <c r="J29" s="45">
        <f t="shared" si="19"/>
        <v>374.95</v>
      </c>
      <c r="K29" s="45">
        <f t="shared" si="19"/>
        <v>3575.5</v>
      </c>
      <c r="L29" s="45">
        <f t="shared" si="19"/>
        <v>681.34</v>
      </c>
      <c r="M29" s="45">
        <f t="shared" si="19"/>
        <v>4890.64</v>
      </c>
      <c r="N29" s="45">
        <f t="shared" si="19"/>
        <v>1048.12</v>
      </c>
      <c r="O29" s="45">
        <f t="shared" si="19"/>
        <v>-130.25</v>
      </c>
      <c r="P29" s="45">
        <f t="shared" si="19"/>
        <v>11387.09</v>
      </c>
      <c r="Q29" s="524">
        <f t="shared" si="19"/>
        <v>10274.49</v>
      </c>
      <c r="R29" s="44"/>
      <c r="S29" s="44"/>
      <c r="T29" s="44"/>
      <c r="U29" s="44"/>
      <c r="V29" s="44"/>
      <c r="W29" s="44"/>
      <c r="X29" s="44"/>
      <c r="Y29" s="44"/>
      <c r="Z29" s="44"/>
    </row>
    <row r="30">
      <c r="A30" s="44"/>
      <c r="B30" s="44"/>
      <c r="C30" s="44"/>
      <c r="D30" s="44"/>
      <c r="E30" s="44"/>
      <c r="F30" s="212" t="s">
        <v>269</v>
      </c>
      <c r="G30" s="44"/>
      <c r="H30" s="316"/>
      <c r="I30" s="45">
        <f>'Finanical Statment'!D84</f>
        <v>2993</v>
      </c>
      <c r="J30" s="45">
        <f>'Finanical Statment'!E84</f>
        <v>740</v>
      </c>
      <c r="K30" s="45">
        <f>'Finanical Statment'!F84</f>
        <v>3110</v>
      </c>
      <c r="L30" s="45">
        <f>'Finanical Statment'!G84</f>
        <v>3645</v>
      </c>
      <c r="M30" s="45">
        <f>'Finanical Statment'!H84</f>
        <v>2875</v>
      </c>
      <c r="N30" s="45">
        <f>'Finanical Statment'!I84</f>
        <v>3104</v>
      </c>
      <c r="O30" s="45">
        <f>'Finanical Statment'!J84</f>
        <v>3986</v>
      </c>
      <c r="P30" s="45">
        <f>'Finanical Statment'!K84</f>
        <v>1890</v>
      </c>
      <c r="Q30" s="524">
        <f>'Finanical Statment'!L84</f>
        <v>3290</v>
      </c>
      <c r="R30" s="44"/>
      <c r="S30" s="44"/>
      <c r="T30" s="44"/>
      <c r="U30" s="44"/>
      <c r="V30" s="44"/>
      <c r="W30" s="44"/>
      <c r="X30" s="44"/>
      <c r="Y30" s="44"/>
      <c r="Z30" s="44"/>
    </row>
    <row r="31">
      <c r="A31" s="44"/>
      <c r="B31" s="44"/>
      <c r="C31" s="44"/>
      <c r="D31" s="44"/>
      <c r="E31" s="44"/>
      <c r="F31" s="212" t="s">
        <v>21</v>
      </c>
      <c r="G31" s="44"/>
      <c r="H31" s="316"/>
      <c r="I31" s="45">
        <f>'Finanical Statment'!D22</f>
        <v>1027.96</v>
      </c>
      <c r="J31" s="45">
        <f>'Finanical Statment'!E22</f>
        <v>1077.4</v>
      </c>
      <c r="K31" s="45">
        <f>'Finanical Statment'!F22</f>
        <v>1152.79</v>
      </c>
      <c r="L31" s="45">
        <f>'Finanical Statment'!G22</f>
        <v>1236.28</v>
      </c>
      <c r="M31" s="45">
        <f>'Finanical Statment'!H22</f>
        <v>1396.61</v>
      </c>
      <c r="N31" s="45">
        <f>'Finanical Statment'!I22</f>
        <v>1644.91</v>
      </c>
      <c r="O31" s="45">
        <f>'Finanical Statment'!J22</f>
        <v>1645.59</v>
      </c>
      <c r="P31" s="45">
        <f>'Finanical Statment'!K22</f>
        <v>1732.41</v>
      </c>
      <c r="Q31" s="524">
        <f>'Finanical Statment'!L22</f>
        <v>1809.01</v>
      </c>
      <c r="R31" s="44"/>
      <c r="S31" s="44"/>
      <c r="T31" s="44"/>
      <c r="U31" s="44"/>
      <c r="V31" s="44"/>
      <c r="W31" s="44"/>
      <c r="X31" s="44"/>
      <c r="Y31" s="44"/>
      <c r="Z31" s="44"/>
    </row>
    <row r="32">
      <c r="A32" s="44"/>
      <c r="B32" s="44"/>
      <c r="C32" s="44"/>
      <c r="D32" s="44"/>
      <c r="E32" s="44"/>
      <c r="F32" s="212" t="s">
        <v>512</v>
      </c>
      <c r="G32" s="44"/>
      <c r="H32" s="316"/>
      <c r="I32" s="45">
        <f t="shared" ref="I32:Q32" si="20">I30-I31</f>
        <v>1965.04</v>
      </c>
      <c r="J32" s="45">
        <f t="shared" si="20"/>
        <v>-337.4</v>
      </c>
      <c r="K32" s="45">
        <f t="shared" si="20"/>
        <v>1957.21</v>
      </c>
      <c r="L32" s="45">
        <f t="shared" si="20"/>
        <v>2408.72</v>
      </c>
      <c r="M32" s="45">
        <f t="shared" si="20"/>
        <v>1478.39</v>
      </c>
      <c r="N32" s="45">
        <f t="shared" si="20"/>
        <v>1459.09</v>
      </c>
      <c r="O32" s="45">
        <f t="shared" si="20"/>
        <v>2340.41</v>
      </c>
      <c r="P32" s="45">
        <f t="shared" si="20"/>
        <v>157.59</v>
      </c>
      <c r="Q32" s="524">
        <f t="shared" si="20"/>
        <v>1480.99</v>
      </c>
      <c r="R32" s="44"/>
      <c r="S32" s="44"/>
      <c r="T32" s="44"/>
      <c r="U32" s="44"/>
      <c r="V32" s="44"/>
      <c r="W32" s="44"/>
      <c r="X32" s="44"/>
      <c r="Y32" s="44"/>
      <c r="Z32" s="44"/>
    </row>
    <row r="33">
      <c r="A33" s="44"/>
      <c r="B33" s="44"/>
      <c r="C33" s="44"/>
      <c r="D33" s="44"/>
      <c r="E33" s="44"/>
      <c r="F33" s="652" t="s">
        <v>513</v>
      </c>
      <c r="G33" s="63"/>
      <c r="H33" s="653"/>
      <c r="I33" s="336">
        <f t="shared" ref="I33:Q33" si="21">IF(I29=0,0,I32/I29)</f>
        <v>0.5597256403</v>
      </c>
      <c r="J33" s="336">
        <f t="shared" si="21"/>
        <v>-0.8998533138</v>
      </c>
      <c r="K33" s="336">
        <f t="shared" si="21"/>
        <v>0.54739477</v>
      </c>
      <c r="L33" s="336">
        <f t="shared" si="21"/>
        <v>3.535268735</v>
      </c>
      <c r="M33" s="336">
        <f t="shared" si="21"/>
        <v>0.3022896799</v>
      </c>
      <c r="N33" s="336">
        <f t="shared" si="21"/>
        <v>1.392102049</v>
      </c>
      <c r="O33" s="336">
        <f t="shared" si="21"/>
        <v>-17.96859885</v>
      </c>
      <c r="P33" s="336">
        <f t="shared" si="21"/>
        <v>0.01383935667</v>
      </c>
      <c r="Q33" s="654">
        <f t="shared" si="21"/>
        <v>0.1441424343</v>
      </c>
      <c r="R33" s="44"/>
      <c r="S33" s="44"/>
      <c r="T33" s="44"/>
      <c r="U33" s="44"/>
      <c r="V33" s="44"/>
      <c r="W33" s="44"/>
      <c r="X33" s="44"/>
      <c r="Y33" s="44"/>
      <c r="Z33" s="44"/>
    </row>
    <row r="34">
      <c r="A34" s="44"/>
      <c r="B34" s="44"/>
      <c r="C34" s="44"/>
      <c r="D34" s="44"/>
      <c r="E34" s="44"/>
      <c r="F34" s="655" t="s">
        <v>431</v>
      </c>
      <c r="G34" s="44"/>
      <c r="H34" s="44"/>
      <c r="I34" s="49"/>
      <c r="J34" s="49"/>
      <c r="K34" s="49"/>
      <c r="L34" s="49"/>
      <c r="M34" s="656">
        <f t="shared" ref="M34:Q34" si="22">(AVERAGE(I32:M32)/AVERAGE(I29:M29))</f>
        <v>0.5733042281</v>
      </c>
      <c r="N34" s="656">
        <f t="shared" si="22"/>
        <v>0.6590016603</v>
      </c>
      <c r="O34" s="656">
        <f t="shared" si="22"/>
        <v>0.9581206813</v>
      </c>
      <c r="P34" s="656">
        <f t="shared" si="22"/>
        <v>0.4387887412</v>
      </c>
      <c r="Q34" s="657">
        <f t="shared" si="22"/>
        <v>0.2517818471</v>
      </c>
      <c r="R34" s="44"/>
      <c r="S34" s="44"/>
      <c r="T34" s="44"/>
      <c r="U34" s="44"/>
      <c r="V34" s="44"/>
      <c r="W34" s="44"/>
      <c r="X34" s="44"/>
      <c r="Y34" s="44"/>
      <c r="Z34" s="44"/>
    </row>
    <row r="35">
      <c r="A35" s="44"/>
      <c r="B35" s="44"/>
      <c r="C35" s="44"/>
      <c r="D35" s="44"/>
      <c r="E35" s="44"/>
      <c r="F35" s="655" t="s">
        <v>514</v>
      </c>
      <c r="G35" s="44"/>
      <c r="H35" s="44"/>
      <c r="I35" s="49"/>
      <c r="J35" s="49"/>
      <c r="K35" s="49"/>
      <c r="L35" s="49"/>
      <c r="M35" s="49"/>
      <c r="N35" s="49"/>
      <c r="O35" s="49"/>
      <c r="P35" s="49"/>
      <c r="Q35" s="657">
        <f>AVERAGE((I32:Q32)/AVERAGE(I29:Q29))</f>
        <v>0.3742751161</v>
      </c>
      <c r="R35" s="44"/>
      <c r="S35" s="44"/>
      <c r="T35" s="44"/>
      <c r="U35" s="44"/>
      <c r="V35" s="44"/>
      <c r="W35" s="44"/>
      <c r="X35" s="44"/>
      <c r="Y35" s="44"/>
      <c r="Z35" s="44"/>
    </row>
    <row r="36">
      <c r="A36" s="44"/>
      <c r="B36" s="44"/>
      <c r="C36" s="44"/>
      <c r="D36" s="44"/>
      <c r="E36" s="44"/>
      <c r="F36" s="212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234"/>
      <c r="R36" s="44"/>
      <c r="S36" s="44"/>
      <c r="T36" s="44"/>
      <c r="U36" s="44"/>
      <c r="V36" s="44"/>
      <c r="W36" s="44"/>
      <c r="X36" s="44"/>
      <c r="Y36" s="44"/>
      <c r="Z36" s="44"/>
    </row>
    <row r="37">
      <c r="A37" s="44"/>
      <c r="B37" s="44"/>
      <c r="C37" s="44"/>
      <c r="D37" s="44"/>
      <c r="E37" s="44"/>
      <c r="F37" s="212" t="s">
        <v>108</v>
      </c>
      <c r="G37" s="44"/>
      <c r="H37" s="45">
        <f>IF('Finanical Statment'!C7=0,0,(SUM('Finanical Statment'!C52:C55))-'Finanical Statment'!C61)</f>
        <v>6262.68</v>
      </c>
      <c r="I37" s="45">
        <f>IF('Finanical Statment'!D7=0,0,(SUM('Finanical Statment'!D52:D55))-'Finanical Statment'!D61)</f>
        <v>9078.04</v>
      </c>
      <c r="J37" s="45">
        <f>IF('Finanical Statment'!E7=0,0,(SUM('Finanical Statment'!E52:E55))-'Finanical Statment'!E61)</f>
        <v>15688.36</v>
      </c>
      <c r="K37" s="45">
        <f>IF('Finanical Statment'!F7=0,0,(SUM('Finanical Statment'!F52:F55))-'Finanical Statment'!F61)</f>
        <v>11912.9</v>
      </c>
      <c r="L37" s="45">
        <f>IF('Finanical Statment'!G7=0,0,(SUM('Finanical Statment'!G52:G55))-'Finanical Statment'!G61)</f>
        <v>11956.88</v>
      </c>
      <c r="M37" s="45">
        <f>IF('Finanical Statment'!H7=0,0,(SUM('Finanical Statment'!H52:H55))-'Finanical Statment'!H61)</f>
        <v>14110.21</v>
      </c>
      <c r="N37" s="45">
        <f>IF('Finanical Statment'!I7=0,0,(SUM('Finanical Statment'!I52:I55))-'Finanical Statment'!I61)</f>
        <v>15547.56</v>
      </c>
      <c r="O37" s="45">
        <f>IF('Finanical Statment'!J7=0,0,(SUM('Finanical Statment'!J52:J55))-'Finanical Statment'!J61)</f>
        <v>12756.53</v>
      </c>
      <c r="P37" s="45">
        <f>IF('Finanical Statment'!K7=0,0,(SUM('Finanical Statment'!K52:K55))-'Finanical Statment'!K61)</f>
        <v>14823.87</v>
      </c>
      <c r="Q37" s="524">
        <f>IF('Finanical Statment'!L7=0,0,(SUM('Finanical Statment'!L52:L55))-'Finanical Statment'!L61)</f>
        <v>15850.71</v>
      </c>
      <c r="R37" s="44"/>
      <c r="S37" s="44"/>
      <c r="T37" s="44"/>
      <c r="U37" s="44"/>
      <c r="V37" s="44"/>
      <c r="W37" s="44"/>
      <c r="X37" s="44"/>
      <c r="Y37" s="44"/>
      <c r="Z37" s="44"/>
    </row>
    <row r="38">
      <c r="A38" s="44"/>
      <c r="B38" s="44"/>
      <c r="C38" s="44"/>
      <c r="D38" s="44"/>
      <c r="E38" s="44"/>
      <c r="F38" s="212" t="s">
        <v>515</v>
      </c>
      <c r="G38" s="44"/>
      <c r="H38" s="44"/>
      <c r="I38" s="45">
        <f t="shared" ref="I38:Q38" si="23">IF(H37=0,0,I37-H37)</f>
        <v>2815.36</v>
      </c>
      <c r="J38" s="45">
        <f t="shared" si="23"/>
        <v>6610.32</v>
      </c>
      <c r="K38" s="45">
        <f t="shared" si="23"/>
        <v>-3775.46</v>
      </c>
      <c r="L38" s="45">
        <f t="shared" si="23"/>
        <v>43.98</v>
      </c>
      <c r="M38" s="45">
        <f t="shared" si="23"/>
        <v>2153.33</v>
      </c>
      <c r="N38" s="45">
        <f t="shared" si="23"/>
        <v>1437.35</v>
      </c>
      <c r="O38" s="45">
        <f t="shared" si="23"/>
        <v>-2791.03</v>
      </c>
      <c r="P38" s="45">
        <f t="shared" si="23"/>
        <v>2067.34</v>
      </c>
      <c r="Q38" s="524">
        <f t="shared" si="23"/>
        <v>1026.84</v>
      </c>
      <c r="R38" s="44"/>
      <c r="S38" s="44"/>
      <c r="T38" s="44"/>
      <c r="U38" s="44"/>
      <c r="V38" s="44"/>
      <c r="W38" s="44"/>
      <c r="X38" s="44"/>
      <c r="Y38" s="44"/>
      <c r="Z38" s="44"/>
    </row>
    <row r="39">
      <c r="A39" s="44"/>
      <c r="B39" s="44"/>
      <c r="C39" s="44"/>
      <c r="D39" s="44"/>
      <c r="E39" s="44"/>
      <c r="F39" s="652" t="s">
        <v>516</v>
      </c>
      <c r="G39" s="63"/>
      <c r="H39" s="653"/>
      <c r="I39" s="336">
        <f t="shared" ref="I39:Q39" si="24">IF(I38=0,0,I38/I29)</f>
        <v>0.8019323671</v>
      </c>
      <c r="J39" s="336">
        <f t="shared" si="24"/>
        <v>17.62987065</v>
      </c>
      <c r="K39" s="336">
        <f t="shared" si="24"/>
        <v>-1.055925045</v>
      </c>
      <c r="L39" s="336">
        <f t="shared" si="24"/>
        <v>0.06454927056</v>
      </c>
      <c r="M39" s="336">
        <f t="shared" si="24"/>
        <v>0.4402961576</v>
      </c>
      <c r="N39" s="336">
        <f t="shared" si="24"/>
        <v>1.37136015</v>
      </c>
      <c r="O39" s="336">
        <f t="shared" si="24"/>
        <v>21.42825336</v>
      </c>
      <c r="P39" s="336">
        <f t="shared" si="24"/>
        <v>0.1815512128</v>
      </c>
      <c r="Q39" s="654">
        <f t="shared" si="24"/>
        <v>0.09994072698</v>
      </c>
      <c r="R39" s="44"/>
      <c r="S39" s="44"/>
      <c r="T39" s="44"/>
      <c r="U39" s="44"/>
      <c r="V39" s="44"/>
      <c r="W39" s="44"/>
      <c r="X39" s="44"/>
      <c r="Y39" s="44"/>
      <c r="Z39" s="44"/>
    </row>
    <row r="40">
      <c r="A40" s="44"/>
      <c r="B40" s="44"/>
      <c r="C40" s="44"/>
      <c r="D40" s="44"/>
      <c r="E40" s="44"/>
      <c r="F40" s="518" t="s">
        <v>431</v>
      </c>
      <c r="G40" s="49"/>
      <c r="H40" s="49"/>
      <c r="I40" s="49"/>
      <c r="J40" s="49"/>
      <c r="K40" s="49"/>
      <c r="L40" s="49"/>
      <c r="M40" s="656">
        <f t="shared" ref="M40:Q40" si="25">IF(I38=0,0,(AVERAGE(I38:M38)/AVERAGE(I29:M29)))</f>
        <v>0.6021207459</v>
      </c>
      <c r="N40" s="656">
        <f t="shared" si="25"/>
        <v>0.6120324865</v>
      </c>
      <c r="O40" s="656">
        <f t="shared" si="25"/>
        <v>-0.2912794885</v>
      </c>
      <c r="P40" s="656">
        <f t="shared" si="25"/>
        <v>0.1628337959</v>
      </c>
      <c r="Q40" s="657">
        <f t="shared" si="25"/>
        <v>0.1417479884</v>
      </c>
      <c r="R40" s="44"/>
      <c r="S40" s="44"/>
      <c r="T40" s="44"/>
      <c r="U40" s="44"/>
      <c r="V40" s="44"/>
      <c r="W40" s="44"/>
      <c r="X40" s="44"/>
      <c r="Y40" s="44"/>
      <c r="Z40" s="44"/>
    </row>
    <row r="41">
      <c r="A41" s="44"/>
      <c r="B41" s="44"/>
      <c r="C41" s="44"/>
      <c r="D41" s="44"/>
      <c r="E41" s="44"/>
      <c r="F41" s="518" t="s">
        <v>514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657">
        <f>IF(I38=0,0,AVERAGE(I38:Q38)/AVERAGE(I29:Q29))</f>
        <v>0.2692313956</v>
      </c>
      <c r="R41" s="44"/>
      <c r="S41" s="44"/>
      <c r="T41" s="44"/>
      <c r="U41" s="44"/>
      <c r="V41" s="44"/>
      <c r="W41" s="44"/>
      <c r="X41" s="44"/>
      <c r="Y41" s="44"/>
      <c r="Z41" s="44"/>
    </row>
    <row r="42">
      <c r="A42" s="44"/>
      <c r="B42" s="44"/>
      <c r="C42" s="44"/>
      <c r="D42" s="44"/>
      <c r="E42" s="44"/>
      <c r="F42" s="658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44"/>
      <c r="S42" s="44"/>
      <c r="T42" s="44"/>
      <c r="U42" s="44"/>
      <c r="V42" s="44"/>
      <c r="W42" s="44"/>
      <c r="X42" s="44"/>
      <c r="Y42" s="44"/>
      <c r="Z42" s="44"/>
    </row>
    <row r="43">
      <c r="A43" s="44"/>
      <c r="B43" s="44"/>
      <c r="C43" s="44"/>
      <c r="D43" s="44"/>
      <c r="E43" s="44"/>
      <c r="F43" s="212" t="s">
        <v>517</v>
      </c>
      <c r="G43" s="44"/>
      <c r="H43" s="661">
        <f>IF('Finanical Statment'!C7=0,0,'Common Size Analysis '!B23+'Common Size Analysis '!B26)</f>
        <v>0.2637608171</v>
      </c>
      <c r="I43" s="661">
        <f>IF('Finanical Statment'!D7=0,0,'Common Size Analysis '!C23+'Common Size Analysis '!C26)</f>
        <v>0.322922157</v>
      </c>
      <c r="J43" s="661">
        <f>IF('Finanical Statment'!E7=0,0,'Common Size Analysis '!D23+'Common Size Analysis '!D26)</f>
        <v>0.3448291951</v>
      </c>
      <c r="K43" s="661">
        <f>IF('Finanical Statment'!F7=0,0,'Common Size Analysis '!E23+'Common Size Analysis '!E26)</f>
        <v>0.3676099747</v>
      </c>
      <c r="L43" s="661">
        <f>IF('Finanical Statment'!G7=0,0,'Common Size Analysis '!F23+'Common Size Analysis '!F26)</f>
        <v>0.3884202707</v>
      </c>
      <c r="M43" s="661">
        <f>IF('Finanical Statment'!H7=0,0,'Common Size Analysis '!G23+'Common Size Analysis '!G26)</f>
        <v>0.4069683676</v>
      </c>
      <c r="N43" s="661">
        <f>IF('Finanical Statment'!I7=0,0,'Common Size Analysis '!H23+'Common Size Analysis '!H26)</f>
        <v>0.4648860605</v>
      </c>
      <c r="O43" s="661">
        <f>IF('Finanical Statment'!J7=0,0,'Common Size Analysis '!I23+'Common Size Analysis '!I26)</f>
        <v>0.4003468782</v>
      </c>
      <c r="P43" s="661">
        <f>IF('Finanical Statment'!K7=0,0,'Common Size Analysis '!J23+'Common Size Analysis '!J26)</f>
        <v>0.3820848536</v>
      </c>
      <c r="Q43" s="662">
        <f>IF('Finanical Statment'!L7=0,0,'Common Size Analysis '!K23+'Common Size Analysis '!K26)</f>
        <v>0.3995668929</v>
      </c>
      <c r="R43" s="44"/>
      <c r="S43" s="44"/>
      <c r="T43" s="44"/>
      <c r="U43" s="44"/>
      <c r="V43" s="44"/>
      <c r="W43" s="44"/>
      <c r="X43" s="44"/>
      <c r="Y43" s="44"/>
      <c r="Z43" s="44"/>
    </row>
    <row r="44">
      <c r="A44" s="44"/>
      <c r="B44" s="44"/>
      <c r="C44" s="44"/>
      <c r="D44" s="44"/>
      <c r="E44" s="44"/>
      <c r="F44" s="518" t="s">
        <v>431</v>
      </c>
      <c r="G44" s="49"/>
      <c r="H44" s="663"/>
      <c r="I44" s="663"/>
      <c r="J44" s="663"/>
      <c r="K44" s="663"/>
      <c r="L44" s="663">
        <f t="shared" ref="L44:Q44" si="26">IF(H43=0,0,AVERAGE(H43:L43))</f>
        <v>0.3375084829</v>
      </c>
      <c r="M44" s="663">
        <f t="shared" si="26"/>
        <v>0.366149993</v>
      </c>
      <c r="N44" s="663">
        <f t="shared" si="26"/>
        <v>0.3945427737</v>
      </c>
      <c r="O44" s="663">
        <f t="shared" si="26"/>
        <v>0.4056463103</v>
      </c>
      <c r="P44" s="663">
        <f t="shared" si="26"/>
        <v>0.4085412861</v>
      </c>
      <c r="Q44" s="664">
        <f t="shared" si="26"/>
        <v>0.4107706105</v>
      </c>
      <c r="R44" s="44"/>
      <c r="S44" s="44"/>
      <c r="T44" s="44"/>
      <c r="U44" s="44"/>
      <c r="V44" s="44"/>
      <c r="W44" s="44"/>
      <c r="X44" s="44"/>
      <c r="Y44" s="44"/>
      <c r="Z44" s="44"/>
    </row>
    <row r="45">
      <c r="A45" s="44"/>
      <c r="B45" s="44"/>
      <c r="C45" s="44"/>
      <c r="D45" s="44"/>
      <c r="E45" s="44"/>
      <c r="F45" s="212" t="s">
        <v>518</v>
      </c>
      <c r="G45" s="44"/>
      <c r="H45" s="661"/>
      <c r="I45" s="661">
        <f>IF('Finanical Statment'!C56=0,0,('Finanical Statment'!D56/'Finanical Statment'!C56)-1)</f>
        <v>0.1249451325</v>
      </c>
      <c r="J45" s="661">
        <f>IF('Finanical Statment'!D56=0,0,('Finanical Statment'!E56/'Finanical Statment'!D56)-1)</f>
        <v>0.1240227349</v>
      </c>
      <c r="K45" s="661">
        <f>IF('Finanical Statment'!E56=0,0,('Finanical Statment'!F56/'Finanical Statment'!E56)-1)</f>
        <v>0.08222400426</v>
      </c>
      <c r="L45" s="661">
        <f>IF('Finanical Statment'!F56=0,0,('Finanical Statment'!G56/'Finanical Statment'!F56)-1)</f>
        <v>0.1492452725</v>
      </c>
      <c r="M45" s="661">
        <f>IF('Finanical Statment'!G56=0,0,('Finanical Statment'!H56/'Finanical Statment'!G56)-1)</f>
        <v>0.1167194472</v>
      </c>
      <c r="N45" s="661">
        <f>IF('Finanical Statment'!H56=0,0,('Finanical Statment'!I56/'Finanical Statment'!H56)-1)</f>
        <v>0.07766635851</v>
      </c>
      <c r="O45" s="661">
        <f>IF('Finanical Statment'!I56=0,0,('Finanical Statment'!J56/'Finanical Statment'!I56)-1)</f>
        <v>-0.04591845248</v>
      </c>
      <c r="P45" s="661">
        <f>IF('Finanical Statment'!J56=0,0,('Finanical Statment'!K56/'Finanical Statment'!J56)-1)</f>
        <v>0.04657300169</v>
      </c>
      <c r="Q45" s="662">
        <f>IF('Finanical Statment'!K56=0,0,('Finanical Statment'!L56/'Finanical Statment'!K56)-1)</f>
        <v>0.1118573211</v>
      </c>
      <c r="R45" s="44"/>
      <c r="S45" s="44"/>
      <c r="T45" s="44"/>
      <c r="U45" s="44"/>
      <c r="V45" s="44"/>
      <c r="W45" s="44"/>
      <c r="X45" s="44"/>
      <c r="Y45" s="44"/>
      <c r="Z45" s="44"/>
    </row>
    <row r="46">
      <c r="A46" s="44"/>
      <c r="B46" s="44"/>
      <c r="C46" s="44"/>
      <c r="D46" s="44"/>
      <c r="E46" s="44"/>
      <c r="F46" s="518" t="s">
        <v>431</v>
      </c>
      <c r="G46" s="49"/>
      <c r="H46" s="663"/>
      <c r="I46" s="663"/>
      <c r="J46" s="663"/>
      <c r="K46" s="663"/>
      <c r="L46" s="663"/>
      <c r="M46" s="663">
        <f t="shared" ref="M46:Q46" si="27">IF(I45=0,0,AVERAGE(I45:M45))</f>
        <v>0.1194313183</v>
      </c>
      <c r="N46" s="663">
        <f t="shared" si="27"/>
        <v>0.1099755635</v>
      </c>
      <c r="O46" s="663">
        <f t="shared" si="27"/>
        <v>0.07598732599</v>
      </c>
      <c r="P46" s="663">
        <f t="shared" si="27"/>
        <v>0.06885712548</v>
      </c>
      <c r="Q46" s="664">
        <f t="shared" si="27"/>
        <v>0.06137953521</v>
      </c>
      <c r="R46" s="44"/>
      <c r="S46" s="44"/>
      <c r="T46" s="44"/>
      <c r="U46" s="44"/>
      <c r="V46" s="44"/>
      <c r="W46" s="44"/>
      <c r="X46" s="44"/>
      <c r="Y46" s="44"/>
      <c r="Z46" s="44"/>
    </row>
    <row r="47">
      <c r="A47" s="44"/>
      <c r="B47" s="44"/>
      <c r="C47" s="44"/>
      <c r="D47" s="44"/>
      <c r="E47" s="44"/>
      <c r="F47" s="212"/>
      <c r="G47" s="44"/>
      <c r="H47" s="661"/>
      <c r="I47" s="661"/>
      <c r="J47" s="661"/>
      <c r="K47" s="661"/>
      <c r="L47" s="661"/>
      <c r="M47" s="661"/>
      <c r="N47" s="661"/>
      <c r="O47" s="661"/>
      <c r="P47" s="661"/>
      <c r="Q47" s="662"/>
      <c r="R47" s="44"/>
      <c r="S47" s="44"/>
      <c r="T47" s="44"/>
      <c r="U47" s="44"/>
      <c r="V47" s="44"/>
      <c r="W47" s="44"/>
      <c r="X47" s="44"/>
      <c r="Y47" s="44"/>
      <c r="Z47" s="44"/>
    </row>
    <row r="48">
      <c r="A48" s="44"/>
      <c r="B48" s="44"/>
      <c r="C48" s="44"/>
      <c r="D48" s="44"/>
      <c r="E48" s="44"/>
      <c r="F48" s="212" t="s">
        <v>519</v>
      </c>
      <c r="G48" s="44"/>
      <c r="H48" s="661">
        <f>'Common Size Analysis '!B30</f>
        <v>0.01780927087</v>
      </c>
      <c r="I48" s="661">
        <f>'Common Size Analysis '!C30</f>
        <v>0.01890730147</v>
      </c>
      <c r="J48" s="661">
        <f>'Common Size Analysis '!D30</f>
        <v>0.009338127604</v>
      </c>
      <c r="K48" s="661">
        <f>'Common Size Analysis '!E30</f>
        <v>0.0048200443</v>
      </c>
      <c r="L48" s="661">
        <f>'Common Size Analysis '!F30</f>
        <v>0.003062032586</v>
      </c>
      <c r="M48" s="661">
        <f>'Common Size Analysis '!G30</f>
        <v>0.00106682161</v>
      </c>
      <c r="N48" s="661">
        <f>'Common Size Analysis '!H30</f>
        <v>0.02304882496</v>
      </c>
      <c r="O48" s="661">
        <f>'Common Size Analysis '!I30</f>
        <v>0.02019097292</v>
      </c>
      <c r="P48" s="661">
        <f>'Common Size Analysis '!J30</f>
        <v>0.01692214281</v>
      </c>
      <c r="Q48" s="662">
        <f>'Common Size Analysis '!K30</f>
        <v>0.01835245297</v>
      </c>
      <c r="R48" s="44"/>
      <c r="S48" s="44"/>
      <c r="T48" s="44"/>
      <c r="U48" s="44"/>
      <c r="V48" s="44"/>
      <c r="W48" s="44"/>
      <c r="X48" s="44"/>
      <c r="Y48" s="44"/>
      <c r="Z48" s="44"/>
    </row>
    <row r="49">
      <c r="A49" s="44"/>
      <c r="B49" s="44"/>
      <c r="C49" s="44"/>
      <c r="D49" s="44"/>
      <c r="E49" s="44"/>
      <c r="F49" s="518" t="s">
        <v>431</v>
      </c>
      <c r="G49" s="49"/>
      <c r="H49" s="49"/>
      <c r="I49" s="49"/>
      <c r="J49" s="49"/>
      <c r="K49" s="49"/>
      <c r="L49" s="663">
        <f t="shared" ref="L49:Q49" si="28">IF(H48=0,0,AVERAGE(H48:L48))</f>
        <v>0.01078735537</v>
      </c>
      <c r="M49" s="663">
        <f t="shared" si="28"/>
        <v>0.007438865514</v>
      </c>
      <c r="N49" s="663">
        <f t="shared" si="28"/>
        <v>0.008267170212</v>
      </c>
      <c r="O49" s="663">
        <f t="shared" si="28"/>
        <v>0.01043773928</v>
      </c>
      <c r="P49" s="663">
        <f t="shared" si="28"/>
        <v>0.01285815898</v>
      </c>
      <c r="Q49" s="664">
        <f t="shared" si="28"/>
        <v>0.01591624306</v>
      </c>
      <c r="R49" s="44"/>
      <c r="S49" s="44"/>
      <c r="T49" s="44"/>
      <c r="U49" s="44"/>
      <c r="V49" s="44"/>
      <c r="W49" s="44"/>
      <c r="X49" s="44"/>
      <c r="Y49" s="44"/>
      <c r="Z49" s="44"/>
    </row>
    <row r="50">
      <c r="A50" s="44"/>
      <c r="B50" s="44"/>
      <c r="C50" s="44"/>
      <c r="D50" s="44"/>
      <c r="E50" s="44"/>
      <c r="F50" s="212" t="s">
        <v>520</v>
      </c>
      <c r="G50" s="44"/>
      <c r="H50" s="44"/>
      <c r="I50" s="171">
        <f>IF('Finanical Statment'!C62=0,0,('Finanical Statment'!D62/'Finanical Statment'!C62)-1)</f>
        <v>0.04446844385</v>
      </c>
      <c r="J50" s="171">
        <f>IF('Finanical Statment'!D62=0,0,('Finanical Statment'!E62/'Finanical Statment'!D62)-1)</f>
        <v>-0.3689252029</v>
      </c>
      <c r="K50" s="171">
        <f>IF('Finanical Statment'!E62=0,0,('Finanical Statment'!F62/'Finanical Statment'!E62)-1)</f>
        <v>0.05724256617</v>
      </c>
      <c r="L50" s="171">
        <f>IF('Finanical Statment'!F62=0,0,('Finanical Statment'!G62/'Finanical Statment'!F62)-1)</f>
        <v>0.2367198397</v>
      </c>
      <c r="M50" s="171">
        <f>IF('Finanical Statment'!G62=0,0,('Finanical Statment'!H62/'Finanical Statment'!G62)-1)</f>
        <v>0.07394229023</v>
      </c>
      <c r="N50" s="171">
        <f>IF('Finanical Statment'!H62=0,0,('Finanical Statment'!I62/'Finanical Statment'!H62)-1)</f>
        <v>-0.0445048765</v>
      </c>
      <c r="O50" s="171">
        <f>IF('Finanical Statment'!I62=0,0,('Finanical Statment'!J62/'Finanical Statment'!I62)-1)</f>
        <v>0.1143037294</v>
      </c>
      <c r="P50" s="171">
        <f>IF('Finanical Statment'!J62=0,0,('Finanical Statment'!K62/'Finanical Statment'!J62)-1)</f>
        <v>0.09893300888</v>
      </c>
      <c r="Q50" s="358">
        <f>IF('Finanical Statment'!K62=0,0,('Finanical Statment'!L62/'Finanical Statment'!K62)-1)</f>
        <v>0.1312883935</v>
      </c>
      <c r="R50" s="44"/>
      <c r="S50" s="44"/>
      <c r="T50" s="44"/>
      <c r="U50" s="44"/>
      <c r="V50" s="44"/>
      <c r="W50" s="44"/>
      <c r="X50" s="44"/>
      <c r="Y50" s="44"/>
      <c r="Z50" s="44"/>
    </row>
    <row r="51">
      <c r="A51" s="44"/>
      <c r="B51" s="44"/>
      <c r="C51" s="44"/>
      <c r="D51" s="44"/>
      <c r="E51" s="44"/>
      <c r="F51" s="665" t="s">
        <v>431</v>
      </c>
      <c r="G51" s="666"/>
      <c r="H51" s="666"/>
      <c r="I51" s="666"/>
      <c r="J51" s="666"/>
      <c r="K51" s="666"/>
      <c r="L51" s="666"/>
      <c r="M51" s="667">
        <f t="shared" ref="M51:Q51" si="29">IF(I50=0,0,AVERAGE(I50:M50))</f>
        <v>0.008689587401</v>
      </c>
      <c r="N51" s="667">
        <f t="shared" si="29"/>
        <v>-0.009105076669</v>
      </c>
      <c r="O51" s="667">
        <f t="shared" si="29"/>
        <v>0.0875407098</v>
      </c>
      <c r="P51" s="667">
        <f t="shared" si="29"/>
        <v>0.09587879834</v>
      </c>
      <c r="Q51" s="668">
        <f t="shared" si="29"/>
        <v>0.07479250911</v>
      </c>
      <c r="R51" s="44"/>
      <c r="S51" s="44"/>
      <c r="T51" s="44"/>
      <c r="U51" s="44"/>
      <c r="V51" s="44"/>
      <c r="W51" s="44"/>
      <c r="X51" s="44"/>
      <c r="Y51" s="44"/>
      <c r="Z51" s="44"/>
    </row>
    <row r="5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4">
    <mergeCell ref="A1:C1"/>
    <mergeCell ref="D1:H1"/>
    <mergeCell ref="A2:D3"/>
    <mergeCell ref="G2:U2"/>
  </mergeCells>
  <hyperlinks>
    <hyperlink r:id="rId1" ref="I1"/>
    <hyperlink r:id="rId2" ref="J1"/>
  </hyperlinks>
  <printOptions horizontalCentered="1" verticalCentered="1"/>
  <pageMargins bottom="0.0" footer="0.0" header="0.0" left="0.7086614173228347" right="0.7086614173228347" top="0.0"/>
  <pageSetup paperSize="9" orientation="landscape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10.43"/>
    <col customWidth="1" min="3" max="3" width="13.29"/>
    <col customWidth="1" min="4" max="5" width="8.86"/>
    <col customWidth="1" min="6" max="6" width="6.86"/>
    <col customWidth="1" min="7" max="26" width="8.86"/>
  </cols>
  <sheetData>
    <row r="1" ht="24.0" customHeight="1">
      <c r="A1" s="12" t="s">
        <v>54</v>
      </c>
      <c r="B1" s="13"/>
      <c r="C1" s="14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24.0" customHeight="1">
      <c r="A2" s="12"/>
      <c r="B2" s="13"/>
      <c r="C2" s="14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24.0" customHeight="1">
      <c r="A3" s="12" t="s">
        <v>55</v>
      </c>
      <c r="B3" s="13"/>
      <c r="C3" s="14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24.0" customHeight="1">
      <c r="A4" s="12"/>
      <c r="B4" s="13" t="s">
        <v>56</v>
      </c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24.0" customHeight="1">
      <c r="A5" s="12"/>
      <c r="B5" s="13" t="s">
        <v>57</v>
      </c>
      <c r="C5" s="1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24.0" customHeight="1">
      <c r="A6" s="12"/>
      <c r="B6" s="13"/>
      <c r="C6" s="14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ht="24.0" customHeight="1">
      <c r="A7" s="12" t="s">
        <v>58</v>
      </c>
      <c r="B7" s="13"/>
      <c r="C7" s="14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ht="24.0" customHeight="1">
      <c r="A8" s="12"/>
      <c r="B8" s="13" t="s">
        <v>59</v>
      </c>
      <c r="C8" s="15" t="s">
        <v>60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24.0" customHeight="1">
      <c r="A9" s="12"/>
      <c r="B9" s="13"/>
      <c r="C9" s="14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24.0" customHeight="1">
      <c r="A10" s="12" t="s">
        <v>61</v>
      </c>
      <c r="B10" s="13"/>
      <c r="C10" s="14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24.0" customHeight="1">
      <c r="A11" s="12"/>
      <c r="B11" s="13" t="s">
        <v>62</v>
      </c>
      <c r="C11" s="14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ht="24.0" customHeight="1">
      <c r="A12" s="12"/>
      <c r="B12" s="13"/>
      <c r="C12" s="14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ht="24.0" customHeight="1">
      <c r="A13" s="12"/>
      <c r="B13" s="13"/>
      <c r="C13" s="14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ht="24.0" customHeight="1">
      <c r="A14" s="12" t="s">
        <v>63</v>
      </c>
      <c r="B14" s="13"/>
      <c r="C14" s="14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ht="24.0" customHeight="1">
      <c r="A15" s="12"/>
      <c r="B15" s="13" t="s">
        <v>64</v>
      </c>
      <c r="C15" s="14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ht="24.0" customHeight="1">
      <c r="A16" s="12"/>
      <c r="B16" s="13" t="s">
        <v>65</v>
      </c>
      <c r="C16" s="14"/>
      <c r="D16" s="13"/>
      <c r="E16" s="13"/>
      <c r="F16" s="13"/>
      <c r="G16" s="16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ht="24.0" customHeight="1">
      <c r="A17" s="12"/>
      <c r="B17" s="13"/>
      <c r="C17" s="14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ht="24.0" customHeight="1">
      <c r="A18" s="12"/>
      <c r="B18" s="13"/>
      <c r="C18" s="14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ht="24.0" customHeight="1">
      <c r="A19" s="12"/>
      <c r="B19" s="13"/>
      <c r="C19" s="14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ht="24.0" customHeight="1">
      <c r="A20" s="12"/>
      <c r="B20" s="13"/>
      <c r="C20" s="14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24.0" customHeight="1">
      <c r="A21" s="12"/>
      <c r="B21" s="13"/>
      <c r="C21" s="14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ht="24.0" customHeight="1">
      <c r="A22" s="12"/>
      <c r="B22" s="13"/>
      <c r="C22" s="14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ht="24.0" customHeight="1">
      <c r="A23" s="12"/>
      <c r="B23" s="13"/>
      <c r="C23" s="14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ht="24.0" customHeight="1">
      <c r="A24" s="12"/>
      <c r="B24" s="13"/>
      <c r="C24" s="14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ht="24.0" customHeight="1">
      <c r="A25" s="12"/>
      <c r="B25" s="13"/>
      <c r="C25" s="14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ht="24.0" customHeight="1">
      <c r="A26" s="12"/>
      <c r="B26" s="13"/>
      <c r="C26" s="14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ht="24.0" customHeight="1">
      <c r="A27" s="12"/>
      <c r="B27" s="13"/>
      <c r="C27" s="14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ht="24.0" customHeight="1">
      <c r="A28" s="12"/>
      <c r="B28" s="13"/>
      <c r="C28" s="14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ht="24.0" customHeight="1">
      <c r="A29" s="12"/>
      <c r="B29" s="13"/>
      <c r="C29" s="14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ht="24.0" customHeight="1">
      <c r="A30" s="12"/>
      <c r="B30" s="13"/>
      <c r="C30" s="14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ht="24.0" customHeight="1">
      <c r="A31" s="12"/>
      <c r="B31" s="13"/>
      <c r="C31" s="14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ht="24.0" customHeight="1">
      <c r="A32" s="12"/>
      <c r="B32" s="13"/>
      <c r="C32" s="14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ht="24.0" customHeight="1">
      <c r="A33" s="12"/>
      <c r="B33" s="13"/>
      <c r="C33" s="14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ht="24.0" customHeight="1">
      <c r="A34" s="12"/>
      <c r="B34" s="13"/>
      <c r="C34" s="14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ht="24.0" customHeight="1">
      <c r="A35" s="12"/>
      <c r="B35" s="13"/>
      <c r="C35" s="14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ht="24.0" customHeight="1">
      <c r="A36" s="12"/>
      <c r="B36" s="13"/>
      <c r="C36" s="14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ht="24.0" customHeight="1">
      <c r="A37" s="12"/>
      <c r="B37" s="13"/>
      <c r="C37" s="14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ht="24.0" customHeight="1">
      <c r="A38" s="12"/>
      <c r="B38" s="13"/>
      <c r="C38" s="14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ht="24.0" customHeight="1">
      <c r="A39" s="12"/>
      <c r="B39" s="13"/>
      <c r="C39" s="14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ht="24.0" customHeight="1">
      <c r="A40" s="12"/>
      <c r="B40" s="13"/>
      <c r="C40" s="14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ht="24.0" customHeight="1">
      <c r="A41" s="12"/>
      <c r="B41" s="13"/>
      <c r="C41" s="14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ht="24.0" customHeight="1">
      <c r="A42" s="12"/>
      <c r="B42" s="13"/>
      <c r="C42" s="14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ht="24.0" customHeight="1">
      <c r="A43" s="12"/>
      <c r="B43" s="13"/>
      <c r="C43" s="14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ht="24.0" customHeight="1">
      <c r="A44" s="12"/>
      <c r="B44" s="13"/>
      <c r="C44" s="14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ht="24.0" customHeight="1">
      <c r="A45" s="12"/>
      <c r="B45" s="13"/>
      <c r="C45" s="14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ht="24.0" customHeight="1">
      <c r="A46" s="12"/>
      <c r="B46" s="13"/>
      <c r="C46" s="14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ht="24.0" customHeight="1">
      <c r="A47" s="12"/>
      <c r="B47" s="13"/>
      <c r="C47" s="14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ht="24.0" customHeight="1">
      <c r="A48" s="12"/>
      <c r="B48" s="13"/>
      <c r="C48" s="14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ht="24.0" customHeight="1">
      <c r="A49" s="12"/>
      <c r="B49" s="13"/>
      <c r="C49" s="14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ht="24.0" customHeight="1">
      <c r="A50" s="12"/>
      <c r="B50" s="13"/>
      <c r="C50" s="14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ht="24.0" customHeight="1">
      <c r="A51" s="12"/>
      <c r="B51" s="13"/>
      <c r="C51" s="14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ht="24.0" customHeight="1">
      <c r="A52" s="12"/>
      <c r="B52" s="13"/>
      <c r="C52" s="14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ht="24.0" customHeight="1">
      <c r="A53" s="12"/>
      <c r="B53" s="13"/>
      <c r="C53" s="14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ht="24.0" customHeight="1">
      <c r="A54" s="12"/>
      <c r="B54" s="13"/>
      <c r="C54" s="1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ht="24.0" customHeight="1">
      <c r="A55" s="12"/>
      <c r="B55" s="13"/>
      <c r="C55" s="14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ht="24.0" customHeight="1">
      <c r="A56" s="12"/>
      <c r="B56" s="13"/>
      <c r="C56" s="14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ht="24.0" customHeight="1">
      <c r="A57" s="12"/>
      <c r="B57" s="13"/>
      <c r="C57" s="14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ht="24.0" customHeight="1">
      <c r="A58" s="12"/>
      <c r="B58" s="13"/>
      <c r="C58" s="14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ht="24.0" customHeight="1">
      <c r="A59" s="12"/>
      <c r="B59" s="13"/>
      <c r="C59" s="14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ht="24.0" customHeight="1">
      <c r="A60" s="12"/>
      <c r="B60" s="13"/>
      <c r="C60" s="14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ht="24.0" customHeight="1">
      <c r="A61" s="12"/>
      <c r="B61" s="13"/>
      <c r="C61" s="14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ht="24.0" customHeight="1">
      <c r="A62" s="12"/>
      <c r="B62" s="13"/>
      <c r="C62" s="14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ht="24.0" customHeight="1">
      <c r="A63" s="12"/>
      <c r="B63" s="13"/>
      <c r="C63" s="14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ht="24.0" customHeight="1">
      <c r="A64" s="12"/>
      <c r="B64" s="13"/>
      <c r="C64" s="14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ht="24.0" customHeight="1">
      <c r="A65" s="12"/>
      <c r="B65" s="13"/>
      <c r="C65" s="14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ht="24.0" customHeight="1">
      <c r="A66" s="12"/>
      <c r="B66" s="13"/>
      <c r="C66" s="14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ht="24.0" customHeight="1">
      <c r="A67" s="12"/>
      <c r="B67" s="13"/>
      <c r="C67" s="14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ht="24.0" customHeight="1">
      <c r="A68" s="12"/>
      <c r="B68" s="13"/>
      <c r="C68" s="14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ht="24.0" customHeight="1">
      <c r="A69" s="12"/>
      <c r="B69" s="13"/>
      <c r="C69" s="14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ht="24.0" customHeight="1">
      <c r="A70" s="12"/>
      <c r="B70" s="13"/>
      <c r="C70" s="14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ht="24.0" customHeight="1">
      <c r="A71" s="12"/>
      <c r="B71" s="13"/>
      <c r="C71" s="14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ht="24.0" customHeight="1">
      <c r="A72" s="12"/>
      <c r="B72" s="13"/>
      <c r="C72" s="14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ht="24.0" customHeight="1">
      <c r="A73" s="12"/>
      <c r="B73" s="13"/>
      <c r="C73" s="14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ht="24.0" customHeight="1">
      <c r="A74" s="12"/>
      <c r="B74" s="13"/>
      <c r="C74" s="14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ht="24.0" customHeight="1">
      <c r="A75" s="12"/>
      <c r="B75" s="13"/>
      <c r="C75" s="14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ht="24.0" customHeight="1">
      <c r="A76" s="12"/>
      <c r="B76" s="13"/>
      <c r="C76" s="14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ht="24.0" customHeight="1">
      <c r="A77" s="12"/>
      <c r="B77" s="13"/>
      <c r="C77" s="14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ht="24.0" customHeight="1">
      <c r="A78" s="12"/>
      <c r="B78" s="13"/>
      <c r="C78" s="14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ht="24.0" customHeight="1">
      <c r="A79" s="12"/>
      <c r="B79" s="13"/>
      <c r="C79" s="14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ht="24.0" customHeight="1">
      <c r="A80" s="12"/>
      <c r="B80" s="13"/>
      <c r="C80" s="14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ht="24.0" customHeight="1">
      <c r="A81" s="12"/>
      <c r="B81" s="13"/>
      <c r="C81" s="14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ht="24.0" customHeight="1">
      <c r="A82" s="12"/>
      <c r="B82" s="13"/>
      <c r="C82" s="14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ht="24.0" customHeight="1">
      <c r="A83" s="12"/>
      <c r="B83" s="13"/>
      <c r="C83" s="14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ht="24.0" customHeight="1">
      <c r="A84" s="12"/>
      <c r="B84" s="13"/>
      <c r="C84" s="14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ht="24.0" customHeight="1">
      <c r="A85" s="12"/>
      <c r="B85" s="13"/>
      <c r="C85" s="14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ht="24.0" customHeight="1">
      <c r="A86" s="12"/>
      <c r="B86" s="13"/>
      <c r="C86" s="14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ht="24.0" customHeight="1">
      <c r="A87" s="12"/>
      <c r="B87" s="13"/>
      <c r="C87" s="14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ht="24.0" customHeight="1">
      <c r="A88" s="12"/>
      <c r="B88" s="13"/>
      <c r="C88" s="14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ht="24.0" customHeight="1">
      <c r="A89" s="12"/>
      <c r="B89" s="13"/>
      <c r="C89" s="14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ht="24.0" customHeight="1">
      <c r="A90" s="12"/>
      <c r="B90" s="13"/>
      <c r="C90" s="14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ht="24.0" customHeight="1">
      <c r="A91" s="12"/>
      <c r="B91" s="13"/>
      <c r="C91" s="14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ht="24.0" customHeight="1">
      <c r="A92" s="12"/>
      <c r="B92" s="13"/>
      <c r="C92" s="14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ht="24.0" customHeight="1">
      <c r="A93" s="12"/>
      <c r="B93" s="13"/>
      <c r="C93" s="14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24.0" customHeight="1">
      <c r="A94" s="12"/>
      <c r="B94" s="13"/>
      <c r="C94" s="14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ht="24.0" customHeight="1">
      <c r="A95" s="12"/>
      <c r="B95" s="13"/>
      <c r="C95" s="14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ht="24.0" customHeight="1">
      <c r="A96" s="12"/>
      <c r="B96" s="13"/>
      <c r="C96" s="14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24.0" customHeight="1">
      <c r="A97" s="12"/>
      <c r="B97" s="13"/>
      <c r="C97" s="14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24.0" customHeight="1">
      <c r="A98" s="12"/>
      <c r="B98" s="13"/>
      <c r="C98" s="14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24.0" customHeight="1">
      <c r="A99" s="12"/>
      <c r="B99" s="13"/>
      <c r="C99" s="14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24.0" customHeight="1">
      <c r="A100" s="12"/>
      <c r="B100" s="13"/>
      <c r="C100" s="14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24.0" customHeight="1">
      <c r="A101" s="12"/>
      <c r="B101" s="13"/>
      <c r="C101" s="14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24.0" customHeight="1">
      <c r="A102" s="12"/>
      <c r="B102" s="13"/>
      <c r="C102" s="14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24.0" customHeight="1">
      <c r="A103" s="12"/>
      <c r="B103" s="13"/>
      <c r="C103" s="14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24.0" customHeight="1">
      <c r="A104" s="12"/>
      <c r="B104" s="13"/>
      <c r="C104" s="14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24.0" customHeight="1">
      <c r="A105" s="12"/>
      <c r="B105" s="13"/>
      <c r="C105" s="14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24.0" customHeight="1">
      <c r="A106" s="12"/>
      <c r="B106" s="13"/>
      <c r="C106" s="14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24.0" customHeight="1">
      <c r="A107" s="12"/>
      <c r="B107" s="13"/>
      <c r="C107" s="14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24.0" customHeight="1">
      <c r="A108" s="12"/>
      <c r="B108" s="13"/>
      <c r="C108" s="14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24.0" customHeight="1">
      <c r="A109" s="12"/>
      <c r="B109" s="13"/>
      <c r="C109" s="14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24.0" customHeight="1">
      <c r="A110" s="12"/>
      <c r="B110" s="13"/>
      <c r="C110" s="14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24.0" customHeight="1">
      <c r="A111" s="12"/>
      <c r="B111" s="13"/>
      <c r="C111" s="14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24.0" customHeight="1">
      <c r="A112" s="12"/>
      <c r="B112" s="13"/>
      <c r="C112" s="14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24.0" customHeight="1">
      <c r="A113" s="12"/>
      <c r="B113" s="13"/>
      <c r="C113" s="14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24.0" customHeight="1">
      <c r="A114" s="12"/>
      <c r="B114" s="13"/>
      <c r="C114" s="14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24.0" customHeight="1">
      <c r="A115" s="12"/>
      <c r="B115" s="13"/>
      <c r="C115" s="14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24.0" customHeight="1">
      <c r="A116" s="12"/>
      <c r="B116" s="13"/>
      <c r="C116" s="14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24.0" customHeight="1">
      <c r="A117" s="12"/>
      <c r="B117" s="13"/>
      <c r="C117" s="14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24.0" customHeight="1">
      <c r="A118" s="12"/>
      <c r="B118" s="13"/>
      <c r="C118" s="14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24.0" customHeight="1">
      <c r="A119" s="12"/>
      <c r="B119" s="13"/>
      <c r="C119" s="14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24.0" customHeight="1">
      <c r="A120" s="12"/>
      <c r="B120" s="13"/>
      <c r="C120" s="14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24.0" customHeight="1">
      <c r="A121" s="12"/>
      <c r="B121" s="13"/>
      <c r="C121" s="14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24.0" customHeight="1">
      <c r="A122" s="12"/>
      <c r="B122" s="13"/>
      <c r="C122" s="14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24.0" customHeight="1">
      <c r="A123" s="12"/>
      <c r="B123" s="13"/>
      <c r="C123" s="14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24.0" customHeight="1">
      <c r="A124" s="12"/>
      <c r="B124" s="13"/>
      <c r="C124" s="14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24.0" customHeight="1">
      <c r="A125" s="12"/>
      <c r="B125" s="13"/>
      <c r="C125" s="14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24.0" customHeight="1">
      <c r="A126" s="12"/>
      <c r="B126" s="13"/>
      <c r="C126" s="14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24.0" customHeight="1">
      <c r="A127" s="12"/>
      <c r="B127" s="13"/>
      <c r="C127" s="14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24.0" customHeight="1">
      <c r="A128" s="12"/>
      <c r="B128" s="13"/>
      <c r="C128" s="14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24.0" customHeight="1">
      <c r="A129" s="12"/>
      <c r="B129" s="13"/>
      <c r="C129" s="14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24.0" customHeight="1">
      <c r="A130" s="12"/>
      <c r="B130" s="13"/>
      <c r="C130" s="14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24.0" customHeight="1">
      <c r="A131" s="12"/>
      <c r="B131" s="13"/>
      <c r="C131" s="14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24.0" customHeight="1">
      <c r="A132" s="12"/>
      <c r="B132" s="13"/>
      <c r="C132" s="14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24.0" customHeight="1">
      <c r="A133" s="12"/>
      <c r="B133" s="13"/>
      <c r="C133" s="14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24.0" customHeight="1">
      <c r="A134" s="12"/>
      <c r="B134" s="13"/>
      <c r="C134" s="14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24.0" customHeight="1">
      <c r="A135" s="12"/>
      <c r="B135" s="13"/>
      <c r="C135" s="14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24.0" customHeight="1">
      <c r="A136" s="12"/>
      <c r="B136" s="13"/>
      <c r="C136" s="14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24.0" customHeight="1">
      <c r="A137" s="12"/>
      <c r="B137" s="13"/>
      <c r="C137" s="14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24.0" customHeight="1">
      <c r="A138" s="12"/>
      <c r="B138" s="13"/>
      <c r="C138" s="14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24.0" customHeight="1">
      <c r="A139" s="12"/>
      <c r="B139" s="13"/>
      <c r="C139" s="14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24.0" customHeight="1">
      <c r="A140" s="12"/>
      <c r="B140" s="13"/>
      <c r="C140" s="14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24.0" customHeight="1">
      <c r="A141" s="12"/>
      <c r="B141" s="13"/>
      <c r="C141" s="14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24.0" customHeight="1">
      <c r="A142" s="12"/>
      <c r="B142" s="13"/>
      <c r="C142" s="14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24.0" customHeight="1">
      <c r="A143" s="12"/>
      <c r="B143" s="13"/>
      <c r="C143" s="14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24.0" customHeight="1">
      <c r="A144" s="12"/>
      <c r="B144" s="13"/>
      <c r="C144" s="14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24.0" customHeight="1">
      <c r="A145" s="12"/>
      <c r="B145" s="13"/>
      <c r="C145" s="14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24.0" customHeight="1">
      <c r="A146" s="12"/>
      <c r="B146" s="13"/>
      <c r="C146" s="14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24.0" customHeight="1">
      <c r="A147" s="12"/>
      <c r="B147" s="13"/>
      <c r="C147" s="14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24.0" customHeight="1">
      <c r="A148" s="12"/>
      <c r="B148" s="13"/>
      <c r="C148" s="14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24.0" customHeight="1">
      <c r="A149" s="12"/>
      <c r="B149" s="13"/>
      <c r="C149" s="14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24.0" customHeight="1">
      <c r="A150" s="12"/>
      <c r="B150" s="13"/>
      <c r="C150" s="14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24.0" customHeight="1">
      <c r="A151" s="12"/>
      <c r="B151" s="13"/>
      <c r="C151" s="14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24.0" customHeight="1">
      <c r="A152" s="12"/>
      <c r="B152" s="13"/>
      <c r="C152" s="14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24.0" customHeight="1">
      <c r="A153" s="12"/>
      <c r="B153" s="13"/>
      <c r="C153" s="14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24.0" customHeight="1">
      <c r="A154" s="12"/>
      <c r="B154" s="13"/>
      <c r="C154" s="14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24.0" customHeight="1">
      <c r="A155" s="12"/>
      <c r="B155" s="13"/>
      <c r="C155" s="14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24.0" customHeight="1">
      <c r="A156" s="12"/>
      <c r="B156" s="13"/>
      <c r="C156" s="14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ht="24.0" customHeight="1">
      <c r="A157" s="12"/>
      <c r="B157" s="13"/>
      <c r="C157" s="14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24.0" customHeight="1">
      <c r="A158" s="12"/>
      <c r="B158" s="13"/>
      <c r="C158" s="14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24.0" customHeight="1">
      <c r="A159" s="12"/>
      <c r="B159" s="13"/>
      <c r="C159" s="14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24.0" customHeight="1">
      <c r="A160" s="12"/>
      <c r="B160" s="13"/>
      <c r="C160" s="14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24.0" customHeight="1">
      <c r="A161" s="12"/>
      <c r="B161" s="13"/>
      <c r="C161" s="14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24.0" customHeight="1">
      <c r="A162" s="12"/>
      <c r="B162" s="13"/>
      <c r="C162" s="14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24.0" customHeight="1">
      <c r="A163" s="12"/>
      <c r="B163" s="13"/>
      <c r="C163" s="14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24.0" customHeight="1">
      <c r="A164" s="12"/>
      <c r="B164" s="13"/>
      <c r="C164" s="14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24.0" customHeight="1">
      <c r="A165" s="12"/>
      <c r="B165" s="13"/>
      <c r="C165" s="14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24.0" customHeight="1">
      <c r="A166" s="12"/>
      <c r="B166" s="13"/>
      <c r="C166" s="14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24.0" customHeight="1">
      <c r="A167" s="12"/>
      <c r="B167" s="13"/>
      <c r="C167" s="14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24.0" customHeight="1">
      <c r="A168" s="12"/>
      <c r="B168" s="13"/>
      <c r="C168" s="14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24.0" customHeight="1">
      <c r="A169" s="12"/>
      <c r="B169" s="13"/>
      <c r="C169" s="14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24.0" customHeight="1">
      <c r="A170" s="12"/>
      <c r="B170" s="13"/>
      <c r="C170" s="14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24.0" customHeight="1">
      <c r="A171" s="12"/>
      <c r="B171" s="13"/>
      <c r="C171" s="14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24.0" customHeight="1">
      <c r="A172" s="12"/>
      <c r="B172" s="13"/>
      <c r="C172" s="14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24.0" customHeight="1">
      <c r="A173" s="12"/>
      <c r="B173" s="13"/>
      <c r="C173" s="14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24.0" customHeight="1">
      <c r="A174" s="12"/>
      <c r="B174" s="13"/>
      <c r="C174" s="14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24.0" customHeight="1">
      <c r="A175" s="12"/>
      <c r="B175" s="13"/>
      <c r="C175" s="14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24.0" customHeight="1">
      <c r="A176" s="12"/>
      <c r="B176" s="13"/>
      <c r="C176" s="14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24.0" customHeight="1">
      <c r="A177" s="12"/>
      <c r="B177" s="13"/>
      <c r="C177" s="14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24.0" customHeight="1">
      <c r="A178" s="12"/>
      <c r="B178" s="13"/>
      <c r="C178" s="14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24.0" customHeight="1">
      <c r="A179" s="12"/>
      <c r="B179" s="13"/>
      <c r="C179" s="14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24.0" customHeight="1">
      <c r="A180" s="12"/>
      <c r="B180" s="13"/>
      <c r="C180" s="14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24.0" customHeight="1">
      <c r="A181" s="12"/>
      <c r="B181" s="13"/>
      <c r="C181" s="14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24.0" customHeight="1">
      <c r="A182" s="12"/>
      <c r="B182" s="13"/>
      <c r="C182" s="14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24.0" customHeight="1">
      <c r="A183" s="12"/>
      <c r="B183" s="13"/>
      <c r="C183" s="14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24.0" customHeight="1">
      <c r="A184" s="12"/>
      <c r="B184" s="13"/>
      <c r="C184" s="14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24.0" customHeight="1">
      <c r="A185" s="12"/>
      <c r="B185" s="13"/>
      <c r="C185" s="14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24.0" customHeight="1">
      <c r="A186" s="12"/>
      <c r="B186" s="13"/>
      <c r="C186" s="14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24.0" customHeight="1">
      <c r="A187" s="12"/>
      <c r="B187" s="13"/>
      <c r="C187" s="14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24.0" customHeight="1">
      <c r="A188" s="12"/>
      <c r="B188" s="13"/>
      <c r="C188" s="14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24.0" customHeight="1">
      <c r="A189" s="12"/>
      <c r="B189" s="13"/>
      <c r="C189" s="14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24.0" customHeight="1">
      <c r="A190" s="12"/>
      <c r="B190" s="13"/>
      <c r="C190" s="14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24.0" customHeight="1">
      <c r="A191" s="12"/>
      <c r="B191" s="13"/>
      <c r="C191" s="14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24.0" customHeight="1">
      <c r="A192" s="12"/>
      <c r="B192" s="13"/>
      <c r="C192" s="14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24.0" customHeight="1">
      <c r="A193" s="12"/>
      <c r="B193" s="13"/>
      <c r="C193" s="14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24.0" customHeight="1">
      <c r="A194" s="12"/>
      <c r="B194" s="13"/>
      <c r="C194" s="14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24.0" customHeight="1">
      <c r="A195" s="12"/>
      <c r="B195" s="13"/>
      <c r="C195" s="14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24.0" customHeight="1">
      <c r="A196" s="12"/>
      <c r="B196" s="13"/>
      <c r="C196" s="14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24.0" customHeight="1">
      <c r="A197" s="12"/>
      <c r="B197" s="13"/>
      <c r="C197" s="14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24.0" customHeight="1">
      <c r="A198" s="12"/>
      <c r="B198" s="13"/>
      <c r="C198" s="14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24.0" customHeight="1">
      <c r="A199" s="12"/>
      <c r="B199" s="13"/>
      <c r="C199" s="14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24.0" customHeight="1">
      <c r="A200" s="12"/>
      <c r="B200" s="13"/>
      <c r="C200" s="14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24.0" customHeight="1">
      <c r="A201" s="12"/>
      <c r="B201" s="13"/>
      <c r="C201" s="14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24.0" customHeight="1">
      <c r="A202" s="12"/>
      <c r="B202" s="13"/>
      <c r="C202" s="14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24.0" customHeight="1">
      <c r="A203" s="12"/>
      <c r="B203" s="13"/>
      <c r="C203" s="14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24.0" customHeight="1">
      <c r="A204" s="12"/>
      <c r="B204" s="13"/>
      <c r="C204" s="14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24.0" customHeight="1">
      <c r="A205" s="12"/>
      <c r="B205" s="13"/>
      <c r="C205" s="14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24.0" customHeight="1">
      <c r="A206" s="12"/>
      <c r="B206" s="13"/>
      <c r="C206" s="14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24.0" customHeight="1">
      <c r="A207" s="12"/>
      <c r="B207" s="13"/>
      <c r="C207" s="14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24.0" customHeight="1">
      <c r="A208" s="12"/>
      <c r="B208" s="13"/>
      <c r="C208" s="14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24.0" customHeight="1">
      <c r="A209" s="12"/>
      <c r="B209" s="13"/>
      <c r="C209" s="14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24.0" customHeight="1">
      <c r="A210" s="12"/>
      <c r="B210" s="13"/>
      <c r="C210" s="14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24.0" customHeight="1">
      <c r="A211" s="12"/>
      <c r="B211" s="13"/>
      <c r="C211" s="14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24.0" customHeight="1">
      <c r="A212" s="12"/>
      <c r="B212" s="13"/>
      <c r="C212" s="14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24.0" customHeight="1">
      <c r="A213" s="12"/>
      <c r="B213" s="13"/>
      <c r="C213" s="14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24.0" customHeight="1">
      <c r="A214" s="12"/>
      <c r="B214" s="13"/>
      <c r="C214" s="14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24.0" customHeight="1">
      <c r="A215" s="12"/>
      <c r="B215" s="13"/>
      <c r="C215" s="14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24.0" customHeight="1">
      <c r="A216" s="12"/>
      <c r="B216" s="13"/>
      <c r="C216" s="14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24.0" customHeight="1">
      <c r="A217" s="12"/>
      <c r="B217" s="13"/>
      <c r="C217" s="14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24.0" customHeight="1">
      <c r="A218" s="12"/>
      <c r="B218" s="13"/>
      <c r="C218" s="14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24.0" customHeight="1">
      <c r="A219" s="12"/>
      <c r="B219" s="13"/>
      <c r="C219" s="14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24.0" customHeight="1">
      <c r="A220" s="12"/>
      <c r="B220" s="13"/>
      <c r="C220" s="14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24.0" customHeight="1">
      <c r="A221" s="12"/>
      <c r="B221" s="13"/>
      <c r="C221" s="14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24.0" customHeight="1">
      <c r="A222" s="12"/>
      <c r="B222" s="13"/>
      <c r="C222" s="14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24.0" customHeight="1">
      <c r="A223" s="12"/>
      <c r="B223" s="13"/>
      <c r="C223" s="14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24.0" customHeight="1">
      <c r="A224" s="12"/>
      <c r="B224" s="13"/>
      <c r="C224" s="14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24.0" customHeight="1">
      <c r="A225" s="12"/>
      <c r="B225" s="13"/>
      <c r="C225" s="14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24.0" customHeight="1">
      <c r="A226" s="12"/>
      <c r="B226" s="13"/>
      <c r="C226" s="14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24.0" customHeight="1">
      <c r="A227" s="12"/>
      <c r="B227" s="13"/>
      <c r="C227" s="14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24.0" customHeight="1">
      <c r="A228" s="12"/>
      <c r="B228" s="13"/>
      <c r="C228" s="14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24.0" customHeight="1">
      <c r="A229" s="12"/>
      <c r="B229" s="13"/>
      <c r="C229" s="14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24.0" customHeight="1">
      <c r="A230" s="12"/>
      <c r="B230" s="13"/>
      <c r="C230" s="14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24.0" customHeight="1">
      <c r="A231" s="12"/>
      <c r="B231" s="13"/>
      <c r="C231" s="14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24.0" customHeight="1">
      <c r="A232" s="12"/>
      <c r="B232" s="13"/>
      <c r="C232" s="14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24.0" customHeight="1">
      <c r="A233" s="12"/>
      <c r="B233" s="13"/>
      <c r="C233" s="14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24.0" customHeight="1">
      <c r="A234" s="12"/>
      <c r="B234" s="13"/>
      <c r="C234" s="14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24.0" customHeight="1">
      <c r="A235" s="12"/>
      <c r="B235" s="13"/>
      <c r="C235" s="14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24.0" customHeight="1">
      <c r="A236" s="12"/>
      <c r="B236" s="13"/>
      <c r="C236" s="14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24.0" customHeight="1">
      <c r="A237" s="12"/>
      <c r="B237" s="13"/>
      <c r="C237" s="14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24.0" customHeight="1">
      <c r="A238" s="12"/>
      <c r="B238" s="13"/>
      <c r="C238" s="14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24.0" customHeight="1">
      <c r="A239" s="12"/>
      <c r="B239" s="13"/>
      <c r="C239" s="14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24.0" customHeight="1">
      <c r="A240" s="12"/>
      <c r="B240" s="13"/>
      <c r="C240" s="14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24.0" customHeight="1">
      <c r="A241" s="12"/>
      <c r="B241" s="13"/>
      <c r="C241" s="14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24.0" customHeight="1">
      <c r="A242" s="12"/>
      <c r="B242" s="13"/>
      <c r="C242" s="14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24.0" customHeight="1">
      <c r="A243" s="12"/>
      <c r="B243" s="13"/>
      <c r="C243" s="14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24.0" customHeight="1">
      <c r="A244" s="12"/>
      <c r="B244" s="13"/>
      <c r="C244" s="14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24.0" customHeight="1">
      <c r="A245" s="12"/>
      <c r="B245" s="13"/>
      <c r="C245" s="14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24.0" customHeight="1">
      <c r="A246" s="12"/>
      <c r="B246" s="13"/>
      <c r="C246" s="14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24.0" customHeight="1">
      <c r="A247" s="12"/>
      <c r="B247" s="13"/>
      <c r="C247" s="14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24.0" customHeight="1">
      <c r="A248" s="12"/>
      <c r="B248" s="13"/>
      <c r="C248" s="14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24.0" customHeight="1">
      <c r="A249" s="12"/>
      <c r="B249" s="13"/>
      <c r="C249" s="14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24.0" customHeight="1">
      <c r="A250" s="12"/>
      <c r="B250" s="13"/>
      <c r="C250" s="14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24.0" customHeight="1">
      <c r="A251" s="12"/>
      <c r="B251" s="13"/>
      <c r="C251" s="14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24.0" customHeight="1">
      <c r="A252" s="12"/>
      <c r="B252" s="13"/>
      <c r="C252" s="14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24.0" customHeight="1">
      <c r="A253" s="12"/>
      <c r="B253" s="13"/>
      <c r="C253" s="14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24.0" customHeight="1">
      <c r="A254" s="12"/>
      <c r="B254" s="13"/>
      <c r="C254" s="14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24.0" customHeight="1">
      <c r="A255" s="12"/>
      <c r="B255" s="13"/>
      <c r="C255" s="14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24.0" customHeight="1">
      <c r="A256" s="12"/>
      <c r="B256" s="13"/>
      <c r="C256" s="14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24.0" customHeight="1">
      <c r="A257" s="12"/>
      <c r="B257" s="13"/>
      <c r="C257" s="14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24.0" customHeight="1">
      <c r="A258" s="12"/>
      <c r="B258" s="13"/>
      <c r="C258" s="14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24.0" customHeight="1">
      <c r="A259" s="12"/>
      <c r="B259" s="13"/>
      <c r="C259" s="14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24.0" customHeight="1">
      <c r="A260" s="12"/>
      <c r="B260" s="13"/>
      <c r="C260" s="14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24.0" customHeight="1">
      <c r="A261" s="12"/>
      <c r="B261" s="13"/>
      <c r="C261" s="14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24.0" customHeight="1">
      <c r="A262" s="12"/>
      <c r="B262" s="13"/>
      <c r="C262" s="14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24.0" customHeight="1">
      <c r="A263" s="12"/>
      <c r="B263" s="13"/>
      <c r="C263" s="14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24.0" customHeight="1">
      <c r="A264" s="12"/>
      <c r="B264" s="13"/>
      <c r="C264" s="14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24.0" customHeight="1">
      <c r="A265" s="12"/>
      <c r="B265" s="13"/>
      <c r="C265" s="14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24.0" customHeight="1">
      <c r="A266" s="12"/>
      <c r="B266" s="13"/>
      <c r="C266" s="14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24.0" customHeight="1">
      <c r="A267" s="12"/>
      <c r="B267" s="13"/>
      <c r="C267" s="14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24.0" customHeight="1">
      <c r="A268" s="12"/>
      <c r="B268" s="13"/>
      <c r="C268" s="14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24.0" customHeight="1">
      <c r="A269" s="12"/>
      <c r="B269" s="13"/>
      <c r="C269" s="14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24.0" customHeight="1">
      <c r="A270" s="12"/>
      <c r="B270" s="13"/>
      <c r="C270" s="14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24.0" customHeight="1">
      <c r="A271" s="12"/>
      <c r="B271" s="13"/>
      <c r="C271" s="14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24.0" customHeight="1">
      <c r="A272" s="12"/>
      <c r="B272" s="13"/>
      <c r="C272" s="14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24.0" customHeight="1">
      <c r="A273" s="12"/>
      <c r="B273" s="13"/>
      <c r="C273" s="14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24.0" customHeight="1">
      <c r="A274" s="12"/>
      <c r="B274" s="13"/>
      <c r="C274" s="14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24.0" customHeight="1">
      <c r="A275" s="12"/>
      <c r="B275" s="13"/>
      <c r="C275" s="14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24.0" customHeight="1">
      <c r="A276" s="12"/>
      <c r="B276" s="13"/>
      <c r="C276" s="14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24.0" customHeight="1">
      <c r="A277" s="12"/>
      <c r="B277" s="13"/>
      <c r="C277" s="14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24.0" customHeight="1">
      <c r="A278" s="12"/>
      <c r="B278" s="13"/>
      <c r="C278" s="14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24.0" customHeight="1">
      <c r="A279" s="12"/>
      <c r="B279" s="13"/>
      <c r="C279" s="14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24.0" customHeight="1">
      <c r="A280" s="12"/>
      <c r="B280" s="13"/>
      <c r="C280" s="14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24.0" customHeight="1">
      <c r="A281" s="12"/>
      <c r="B281" s="13"/>
      <c r="C281" s="14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24.0" customHeight="1">
      <c r="A282" s="12"/>
      <c r="B282" s="13"/>
      <c r="C282" s="14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24.0" customHeight="1">
      <c r="A283" s="12"/>
      <c r="B283" s="13"/>
      <c r="C283" s="14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24.0" customHeight="1">
      <c r="A284" s="12"/>
      <c r="B284" s="13"/>
      <c r="C284" s="14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24.0" customHeight="1">
      <c r="A285" s="12"/>
      <c r="B285" s="13"/>
      <c r="C285" s="14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24.0" customHeight="1">
      <c r="A286" s="12"/>
      <c r="B286" s="13"/>
      <c r="C286" s="14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24.0" customHeight="1">
      <c r="A287" s="12"/>
      <c r="B287" s="13"/>
      <c r="C287" s="14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24.0" customHeight="1">
      <c r="A288" s="12"/>
      <c r="B288" s="13"/>
      <c r="C288" s="14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24.0" customHeight="1">
      <c r="A289" s="12"/>
      <c r="B289" s="13"/>
      <c r="C289" s="14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24.0" customHeight="1">
      <c r="A290" s="12"/>
      <c r="B290" s="13"/>
      <c r="C290" s="14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24.0" customHeight="1">
      <c r="A291" s="12"/>
      <c r="B291" s="13"/>
      <c r="C291" s="14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24.0" customHeight="1">
      <c r="A292" s="12"/>
      <c r="B292" s="13"/>
      <c r="C292" s="14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24.0" customHeight="1">
      <c r="A293" s="12"/>
      <c r="B293" s="13"/>
      <c r="C293" s="14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24.0" customHeight="1">
      <c r="A294" s="12"/>
      <c r="B294" s="13"/>
      <c r="C294" s="14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24.0" customHeight="1">
      <c r="A295" s="12"/>
      <c r="B295" s="13"/>
      <c r="C295" s="14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24.0" customHeight="1">
      <c r="A296" s="12"/>
      <c r="B296" s="13"/>
      <c r="C296" s="14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24.0" customHeight="1">
      <c r="A297" s="12"/>
      <c r="B297" s="13"/>
      <c r="C297" s="14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24.0" customHeight="1">
      <c r="A298" s="12"/>
      <c r="B298" s="13"/>
      <c r="C298" s="14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24.0" customHeight="1">
      <c r="A299" s="12"/>
      <c r="B299" s="13"/>
      <c r="C299" s="14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24.0" customHeight="1">
      <c r="A300" s="12"/>
      <c r="B300" s="13"/>
      <c r="C300" s="14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24.0" customHeight="1">
      <c r="A301" s="12"/>
      <c r="B301" s="13"/>
      <c r="C301" s="14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24.0" customHeight="1">
      <c r="A302" s="12"/>
      <c r="B302" s="13"/>
      <c r="C302" s="14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24.0" customHeight="1">
      <c r="A303" s="12"/>
      <c r="B303" s="13"/>
      <c r="C303" s="14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24.0" customHeight="1">
      <c r="A304" s="12"/>
      <c r="B304" s="13"/>
      <c r="C304" s="14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24.0" customHeight="1">
      <c r="A305" s="12"/>
      <c r="B305" s="13"/>
      <c r="C305" s="14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24.0" customHeight="1">
      <c r="A306" s="12"/>
      <c r="B306" s="13"/>
      <c r="C306" s="14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24.0" customHeight="1">
      <c r="A307" s="12"/>
      <c r="B307" s="13"/>
      <c r="C307" s="14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24.0" customHeight="1">
      <c r="A308" s="12"/>
      <c r="B308" s="13"/>
      <c r="C308" s="14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24.0" customHeight="1">
      <c r="A309" s="12"/>
      <c r="B309" s="13"/>
      <c r="C309" s="14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24.0" customHeight="1">
      <c r="A310" s="12"/>
      <c r="B310" s="13"/>
      <c r="C310" s="14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24.0" customHeight="1">
      <c r="A311" s="12"/>
      <c r="B311" s="13"/>
      <c r="C311" s="14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24.0" customHeight="1">
      <c r="A312" s="12"/>
      <c r="B312" s="13"/>
      <c r="C312" s="14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24.0" customHeight="1">
      <c r="A313" s="12"/>
      <c r="B313" s="13"/>
      <c r="C313" s="14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24.0" customHeight="1">
      <c r="A314" s="12"/>
      <c r="B314" s="13"/>
      <c r="C314" s="14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24.0" customHeight="1">
      <c r="A315" s="12"/>
      <c r="B315" s="13"/>
      <c r="C315" s="14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24.0" customHeight="1">
      <c r="A316" s="12"/>
      <c r="B316" s="13"/>
      <c r="C316" s="14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24.0" customHeight="1">
      <c r="A317" s="12"/>
      <c r="B317" s="13"/>
      <c r="C317" s="14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24.0" customHeight="1">
      <c r="A318" s="12"/>
      <c r="B318" s="13"/>
      <c r="C318" s="14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24.0" customHeight="1">
      <c r="A319" s="12"/>
      <c r="B319" s="13"/>
      <c r="C319" s="14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24.0" customHeight="1">
      <c r="A320" s="12"/>
      <c r="B320" s="13"/>
      <c r="C320" s="14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24.0" customHeight="1">
      <c r="A321" s="12"/>
      <c r="B321" s="13"/>
      <c r="C321" s="14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24.0" customHeight="1">
      <c r="A322" s="12"/>
      <c r="B322" s="13"/>
      <c r="C322" s="14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24.0" customHeight="1">
      <c r="A323" s="12"/>
      <c r="B323" s="13"/>
      <c r="C323" s="14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24.0" customHeight="1">
      <c r="A324" s="12"/>
      <c r="B324" s="13"/>
      <c r="C324" s="14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24.0" customHeight="1">
      <c r="A325" s="12"/>
      <c r="B325" s="13"/>
      <c r="C325" s="14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24.0" customHeight="1">
      <c r="A326" s="12"/>
      <c r="B326" s="13"/>
      <c r="C326" s="14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24.0" customHeight="1">
      <c r="A327" s="12"/>
      <c r="B327" s="13"/>
      <c r="C327" s="14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24.0" customHeight="1">
      <c r="A328" s="12"/>
      <c r="B328" s="13"/>
      <c r="C328" s="14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24.0" customHeight="1">
      <c r="A329" s="12"/>
      <c r="B329" s="13"/>
      <c r="C329" s="14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24.0" customHeight="1">
      <c r="A330" s="12"/>
      <c r="B330" s="13"/>
      <c r="C330" s="14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24.0" customHeight="1">
      <c r="A331" s="12"/>
      <c r="B331" s="13"/>
      <c r="C331" s="14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24.0" customHeight="1">
      <c r="A332" s="12"/>
      <c r="B332" s="13"/>
      <c r="C332" s="14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24.0" customHeight="1">
      <c r="A333" s="12"/>
      <c r="B333" s="13"/>
      <c r="C333" s="14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24.0" customHeight="1">
      <c r="A334" s="12"/>
      <c r="B334" s="13"/>
      <c r="C334" s="14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24.0" customHeight="1">
      <c r="A335" s="12"/>
      <c r="B335" s="13"/>
      <c r="C335" s="14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24.0" customHeight="1">
      <c r="A336" s="12"/>
      <c r="B336" s="13"/>
      <c r="C336" s="14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24.0" customHeight="1">
      <c r="A337" s="12"/>
      <c r="B337" s="13"/>
      <c r="C337" s="14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24.0" customHeight="1">
      <c r="A338" s="12"/>
      <c r="B338" s="13"/>
      <c r="C338" s="14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24.0" customHeight="1">
      <c r="A339" s="12"/>
      <c r="B339" s="13"/>
      <c r="C339" s="14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24.0" customHeight="1">
      <c r="A340" s="12"/>
      <c r="B340" s="13"/>
      <c r="C340" s="14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24.0" customHeight="1">
      <c r="A341" s="12"/>
      <c r="B341" s="13"/>
      <c r="C341" s="14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24.0" customHeight="1">
      <c r="A342" s="12"/>
      <c r="B342" s="13"/>
      <c r="C342" s="14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24.0" customHeight="1">
      <c r="A343" s="12"/>
      <c r="B343" s="13"/>
      <c r="C343" s="14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24.0" customHeight="1">
      <c r="A344" s="12"/>
      <c r="B344" s="13"/>
      <c r="C344" s="14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24.0" customHeight="1">
      <c r="A345" s="12"/>
      <c r="B345" s="13"/>
      <c r="C345" s="14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24.0" customHeight="1">
      <c r="A346" s="12"/>
      <c r="B346" s="13"/>
      <c r="C346" s="14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24.0" customHeight="1">
      <c r="A347" s="12"/>
      <c r="B347" s="13"/>
      <c r="C347" s="14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24.0" customHeight="1">
      <c r="A348" s="12"/>
      <c r="B348" s="13"/>
      <c r="C348" s="14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24.0" customHeight="1">
      <c r="A349" s="12"/>
      <c r="B349" s="13"/>
      <c r="C349" s="14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24.0" customHeight="1">
      <c r="A350" s="12"/>
      <c r="B350" s="13"/>
      <c r="C350" s="14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24.0" customHeight="1">
      <c r="A351" s="12"/>
      <c r="B351" s="13"/>
      <c r="C351" s="14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24.0" customHeight="1">
      <c r="A352" s="12"/>
      <c r="B352" s="13"/>
      <c r="C352" s="14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24.0" customHeight="1">
      <c r="A353" s="12"/>
      <c r="B353" s="13"/>
      <c r="C353" s="14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24.0" customHeight="1">
      <c r="A354" s="12"/>
      <c r="B354" s="13"/>
      <c r="C354" s="14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24.0" customHeight="1">
      <c r="A355" s="12"/>
      <c r="B355" s="13"/>
      <c r="C355" s="14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24.0" customHeight="1">
      <c r="A356" s="12"/>
      <c r="B356" s="13"/>
      <c r="C356" s="14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24.0" customHeight="1">
      <c r="A357" s="12"/>
      <c r="B357" s="13"/>
      <c r="C357" s="14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24.0" customHeight="1">
      <c r="A358" s="12"/>
      <c r="B358" s="13"/>
      <c r="C358" s="14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24.0" customHeight="1">
      <c r="A359" s="12"/>
      <c r="B359" s="13"/>
      <c r="C359" s="14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24.0" customHeight="1">
      <c r="A360" s="12"/>
      <c r="B360" s="13"/>
      <c r="C360" s="14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24.0" customHeight="1">
      <c r="A361" s="12"/>
      <c r="B361" s="13"/>
      <c r="C361" s="14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24.0" customHeight="1">
      <c r="A362" s="12"/>
      <c r="B362" s="13"/>
      <c r="C362" s="14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24.0" customHeight="1">
      <c r="A363" s="12"/>
      <c r="B363" s="13"/>
      <c r="C363" s="14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24.0" customHeight="1">
      <c r="A364" s="12"/>
      <c r="B364" s="13"/>
      <c r="C364" s="14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24.0" customHeight="1">
      <c r="A365" s="12"/>
      <c r="B365" s="13"/>
      <c r="C365" s="14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24.0" customHeight="1">
      <c r="A366" s="12"/>
      <c r="B366" s="13"/>
      <c r="C366" s="14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24.0" customHeight="1">
      <c r="A367" s="12"/>
      <c r="B367" s="13"/>
      <c r="C367" s="14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24.0" customHeight="1">
      <c r="A368" s="12"/>
      <c r="B368" s="13"/>
      <c r="C368" s="14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24.0" customHeight="1">
      <c r="A369" s="12"/>
      <c r="B369" s="13"/>
      <c r="C369" s="14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24.0" customHeight="1">
      <c r="A370" s="12"/>
      <c r="B370" s="13"/>
      <c r="C370" s="14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24.0" customHeight="1">
      <c r="A371" s="12"/>
      <c r="B371" s="13"/>
      <c r="C371" s="14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24.0" customHeight="1">
      <c r="A372" s="12"/>
      <c r="B372" s="13"/>
      <c r="C372" s="14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24.0" customHeight="1">
      <c r="A373" s="12"/>
      <c r="B373" s="13"/>
      <c r="C373" s="14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24.0" customHeight="1">
      <c r="A374" s="12"/>
      <c r="B374" s="13"/>
      <c r="C374" s="14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24.0" customHeight="1">
      <c r="A375" s="12"/>
      <c r="B375" s="13"/>
      <c r="C375" s="14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24.0" customHeight="1">
      <c r="A376" s="12"/>
      <c r="B376" s="13"/>
      <c r="C376" s="14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24.0" customHeight="1">
      <c r="A377" s="12"/>
      <c r="B377" s="13"/>
      <c r="C377" s="14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24.0" customHeight="1">
      <c r="A378" s="12"/>
      <c r="B378" s="13"/>
      <c r="C378" s="14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24.0" customHeight="1">
      <c r="A379" s="12"/>
      <c r="B379" s="13"/>
      <c r="C379" s="14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24.0" customHeight="1">
      <c r="A380" s="12"/>
      <c r="B380" s="13"/>
      <c r="C380" s="14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24.0" customHeight="1">
      <c r="A381" s="12"/>
      <c r="B381" s="13"/>
      <c r="C381" s="14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24.0" customHeight="1">
      <c r="A382" s="12"/>
      <c r="B382" s="13"/>
      <c r="C382" s="14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24.0" customHeight="1">
      <c r="A383" s="12"/>
      <c r="B383" s="13"/>
      <c r="C383" s="14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24.0" customHeight="1">
      <c r="A384" s="12"/>
      <c r="B384" s="13"/>
      <c r="C384" s="14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24.0" customHeight="1">
      <c r="A385" s="12"/>
      <c r="B385" s="13"/>
      <c r="C385" s="14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24.0" customHeight="1">
      <c r="A386" s="12"/>
      <c r="B386" s="13"/>
      <c r="C386" s="14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24.0" customHeight="1">
      <c r="A387" s="12"/>
      <c r="B387" s="13"/>
      <c r="C387" s="14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24.0" customHeight="1">
      <c r="A388" s="12"/>
      <c r="B388" s="13"/>
      <c r="C388" s="14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24.0" customHeight="1">
      <c r="A389" s="12"/>
      <c r="B389" s="13"/>
      <c r="C389" s="14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24.0" customHeight="1">
      <c r="A390" s="12"/>
      <c r="B390" s="13"/>
      <c r="C390" s="14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24.0" customHeight="1">
      <c r="A391" s="12"/>
      <c r="B391" s="13"/>
      <c r="C391" s="14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24.0" customHeight="1">
      <c r="A392" s="12"/>
      <c r="B392" s="13"/>
      <c r="C392" s="14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24.0" customHeight="1">
      <c r="A393" s="12"/>
      <c r="B393" s="13"/>
      <c r="C393" s="14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24.0" customHeight="1">
      <c r="A394" s="12"/>
      <c r="B394" s="13"/>
      <c r="C394" s="14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24.0" customHeight="1">
      <c r="A395" s="12"/>
      <c r="B395" s="13"/>
      <c r="C395" s="14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24.0" customHeight="1">
      <c r="A396" s="12"/>
      <c r="B396" s="13"/>
      <c r="C396" s="14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24.0" customHeight="1">
      <c r="A397" s="12"/>
      <c r="B397" s="13"/>
      <c r="C397" s="14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24.0" customHeight="1">
      <c r="A398" s="12"/>
      <c r="B398" s="13"/>
      <c r="C398" s="14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24.0" customHeight="1">
      <c r="A399" s="12"/>
      <c r="B399" s="13"/>
      <c r="C399" s="14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24.0" customHeight="1">
      <c r="A400" s="12"/>
      <c r="B400" s="13"/>
      <c r="C400" s="14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24.0" customHeight="1">
      <c r="A401" s="12"/>
      <c r="B401" s="13"/>
      <c r="C401" s="14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24.0" customHeight="1">
      <c r="A402" s="12"/>
      <c r="B402" s="13"/>
      <c r="C402" s="14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24.0" customHeight="1">
      <c r="A403" s="12"/>
      <c r="B403" s="13"/>
      <c r="C403" s="14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24.0" customHeight="1">
      <c r="A404" s="12"/>
      <c r="B404" s="13"/>
      <c r="C404" s="14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24.0" customHeight="1">
      <c r="A405" s="12"/>
      <c r="B405" s="13"/>
      <c r="C405" s="14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24.0" customHeight="1">
      <c r="A406" s="12"/>
      <c r="B406" s="13"/>
      <c r="C406" s="14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24.0" customHeight="1">
      <c r="A407" s="12"/>
      <c r="B407" s="13"/>
      <c r="C407" s="14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24.0" customHeight="1">
      <c r="A408" s="12"/>
      <c r="B408" s="13"/>
      <c r="C408" s="14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24.0" customHeight="1">
      <c r="A409" s="12"/>
      <c r="B409" s="13"/>
      <c r="C409" s="14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24.0" customHeight="1">
      <c r="A410" s="12"/>
      <c r="B410" s="13"/>
      <c r="C410" s="14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24.0" customHeight="1">
      <c r="A411" s="12"/>
      <c r="B411" s="13"/>
      <c r="C411" s="14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24.0" customHeight="1">
      <c r="A412" s="12"/>
      <c r="B412" s="13"/>
      <c r="C412" s="14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24.0" customHeight="1">
      <c r="A413" s="12"/>
      <c r="B413" s="13"/>
      <c r="C413" s="14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24.0" customHeight="1">
      <c r="A414" s="12"/>
      <c r="B414" s="13"/>
      <c r="C414" s="14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24.0" customHeight="1">
      <c r="A415" s="12"/>
      <c r="B415" s="13"/>
      <c r="C415" s="14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24.0" customHeight="1">
      <c r="A416" s="12"/>
      <c r="B416" s="13"/>
      <c r="C416" s="14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24.0" customHeight="1">
      <c r="A417" s="12"/>
      <c r="B417" s="13"/>
      <c r="C417" s="14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24.0" customHeight="1">
      <c r="A418" s="12"/>
      <c r="B418" s="13"/>
      <c r="C418" s="14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24.0" customHeight="1">
      <c r="A419" s="12"/>
      <c r="B419" s="13"/>
      <c r="C419" s="14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24.0" customHeight="1">
      <c r="A420" s="12"/>
      <c r="B420" s="13"/>
      <c r="C420" s="14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24.0" customHeight="1">
      <c r="A421" s="12"/>
      <c r="B421" s="13"/>
      <c r="C421" s="14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24.0" customHeight="1">
      <c r="A422" s="12"/>
      <c r="B422" s="13"/>
      <c r="C422" s="14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24.0" customHeight="1">
      <c r="A423" s="12"/>
      <c r="B423" s="13"/>
      <c r="C423" s="14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24.0" customHeight="1">
      <c r="A424" s="12"/>
      <c r="B424" s="13"/>
      <c r="C424" s="14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24.0" customHeight="1">
      <c r="A425" s="12"/>
      <c r="B425" s="13"/>
      <c r="C425" s="14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24.0" customHeight="1">
      <c r="A426" s="12"/>
      <c r="B426" s="13"/>
      <c r="C426" s="14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24.0" customHeight="1">
      <c r="A427" s="12"/>
      <c r="B427" s="13"/>
      <c r="C427" s="14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24.0" customHeight="1">
      <c r="A428" s="12"/>
      <c r="B428" s="13"/>
      <c r="C428" s="14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24.0" customHeight="1">
      <c r="A429" s="12"/>
      <c r="B429" s="13"/>
      <c r="C429" s="14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24.0" customHeight="1">
      <c r="A430" s="12"/>
      <c r="B430" s="13"/>
      <c r="C430" s="14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24.0" customHeight="1">
      <c r="A431" s="12"/>
      <c r="B431" s="13"/>
      <c r="C431" s="14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24.0" customHeight="1">
      <c r="A432" s="12"/>
      <c r="B432" s="13"/>
      <c r="C432" s="14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24.0" customHeight="1">
      <c r="A433" s="12"/>
      <c r="B433" s="13"/>
      <c r="C433" s="14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24.0" customHeight="1">
      <c r="A434" s="12"/>
      <c r="B434" s="13"/>
      <c r="C434" s="14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24.0" customHeight="1">
      <c r="A435" s="12"/>
      <c r="B435" s="13"/>
      <c r="C435" s="14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24.0" customHeight="1">
      <c r="A436" s="12"/>
      <c r="B436" s="13"/>
      <c r="C436" s="14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24.0" customHeight="1">
      <c r="A437" s="12"/>
      <c r="B437" s="13"/>
      <c r="C437" s="14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24.0" customHeight="1">
      <c r="A438" s="12"/>
      <c r="B438" s="13"/>
      <c r="C438" s="14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24.0" customHeight="1">
      <c r="A439" s="12"/>
      <c r="B439" s="13"/>
      <c r="C439" s="14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24.0" customHeight="1">
      <c r="A440" s="12"/>
      <c r="B440" s="13"/>
      <c r="C440" s="14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24.0" customHeight="1">
      <c r="A441" s="12"/>
      <c r="B441" s="13"/>
      <c r="C441" s="14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24.0" customHeight="1">
      <c r="A442" s="12"/>
      <c r="B442" s="13"/>
      <c r="C442" s="14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24.0" customHeight="1">
      <c r="A443" s="12"/>
      <c r="B443" s="13"/>
      <c r="C443" s="14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24.0" customHeight="1">
      <c r="A444" s="12"/>
      <c r="B444" s="13"/>
      <c r="C444" s="14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24.0" customHeight="1">
      <c r="A445" s="12"/>
      <c r="B445" s="13"/>
      <c r="C445" s="14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24.0" customHeight="1">
      <c r="A446" s="12"/>
      <c r="B446" s="13"/>
      <c r="C446" s="14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24.0" customHeight="1">
      <c r="A447" s="12"/>
      <c r="B447" s="13"/>
      <c r="C447" s="14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24.0" customHeight="1">
      <c r="A448" s="12"/>
      <c r="B448" s="13"/>
      <c r="C448" s="14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24.0" customHeight="1">
      <c r="A449" s="12"/>
      <c r="B449" s="13"/>
      <c r="C449" s="14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24.0" customHeight="1">
      <c r="A450" s="12"/>
      <c r="B450" s="13"/>
      <c r="C450" s="14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24.0" customHeight="1">
      <c r="A451" s="12"/>
      <c r="B451" s="13"/>
      <c r="C451" s="14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24.0" customHeight="1">
      <c r="A452" s="12"/>
      <c r="B452" s="13"/>
      <c r="C452" s="14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24.0" customHeight="1">
      <c r="A453" s="12"/>
      <c r="B453" s="13"/>
      <c r="C453" s="14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24.0" customHeight="1">
      <c r="A454" s="12"/>
      <c r="B454" s="13"/>
      <c r="C454" s="14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24.0" customHeight="1">
      <c r="A455" s="12"/>
      <c r="B455" s="13"/>
      <c r="C455" s="14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24.0" customHeight="1">
      <c r="A456" s="12"/>
      <c r="B456" s="13"/>
      <c r="C456" s="14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24.0" customHeight="1">
      <c r="A457" s="12"/>
      <c r="B457" s="13"/>
      <c r="C457" s="14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24.0" customHeight="1">
      <c r="A458" s="12"/>
      <c r="B458" s="13"/>
      <c r="C458" s="14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24.0" customHeight="1">
      <c r="A459" s="12"/>
      <c r="B459" s="13"/>
      <c r="C459" s="14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24.0" customHeight="1">
      <c r="A460" s="12"/>
      <c r="B460" s="13"/>
      <c r="C460" s="14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24.0" customHeight="1">
      <c r="A461" s="12"/>
      <c r="B461" s="13"/>
      <c r="C461" s="14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24.0" customHeight="1">
      <c r="A462" s="12"/>
      <c r="B462" s="13"/>
      <c r="C462" s="14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24.0" customHeight="1">
      <c r="A463" s="12"/>
      <c r="B463" s="13"/>
      <c r="C463" s="14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24.0" customHeight="1">
      <c r="A464" s="12"/>
      <c r="B464" s="13"/>
      <c r="C464" s="14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24.0" customHeight="1">
      <c r="A465" s="12"/>
      <c r="B465" s="13"/>
      <c r="C465" s="14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24.0" customHeight="1">
      <c r="A466" s="12"/>
      <c r="B466" s="13"/>
      <c r="C466" s="14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24.0" customHeight="1">
      <c r="A467" s="12"/>
      <c r="B467" s="13"/>
      <c r="C467" s="14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24.0" customHeight="1">
      <c r="A468" s="12"/>
      <c r="B468" s="13"/>
      <c r="C468" s="14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24.0" customHeight="1">
      <c r="A469" s="12"/>
      <c r="B469" s="13"/>
      <c r="C469" s="14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24.0" customHeight="1">
      <c r="A470" s="12"/>
      <c r="B470" s="13"/>
      <c r="C470" s="14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24.0" customHeight="1">
      <c r="A471" s="12"/>
      <c r="B471" s="13"/>
      <c r="C471" s="14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24.0" customHeight="1">
      <c r="A472" s="12"/>
      <c r="B472" s="13"/>
      <c r="C472" s="14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24.0" customHeight="1">
      <c r="A473" s="12"/>
      <c r="B473" s="13"/>
      <c r="C473" s="14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24.0" customHeight="1">
      <c r="A474" s="12"/>
      <c r="B474" s="13"/>
      <c r="C474" s="14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24.0" customHeight="1">
      <c r="A475" s="12"/>
      <c r="B475" s="13"/>
      <c r="C475" s="14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24.0" customHeight="1">
      <c r="A476" s="12"/>
      <c r="B476" s="13"/>
      <c r="C476" s="14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24.0" customHeight="1">
      <c r="A477" s="12"/>
      <c r="B477" s="13"/>
      <c r="C477" s="14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24.0" customHeight="1">
      <c r="A478" s="12"/>
      <c r="B478" s="13"/>
      <c r="C478" s="14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24.0" customHeight="1">
      <c r="A479" s="12"/>
      <c r="B479" s="13"/>
      <c r="C479" s="14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24.0" customHeight="1">
      <c r="A480" s="12"/>
      <c r="B480" s="13"/>
      <c r="C480" s="14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24.0" customHeight="1">
      <c r="A481" s="12"/>
      <c r="B481" s="13"/>
      <c r="C481" s="14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24.0" customHeight="1">
      <c r="A482" s="12"/>
      <c r="B482" s="13"/>
      <c r="C482" s="14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24.0" customHeight="1">
      <c r="A483" s="12"/>
      <c r="B483" s="13"/>
      <c r="C483" s="14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24.0" customHeight="1">
      <c r="A484" s="12"/>
      <c r="B484" s="13"/>
      <c r="C484" s="14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24.0" customHeight="1">
      <c r="A485" s="12"/>
      <c r="B485" s="13"/>
      <c r="C485" s="14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24.0" customHeight="1">
      <c r="A486" s="12"/>
      <c r="B486" s="13"/>
      <c r="C486" s="14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24.0" customHeight="1">
      <c r="A487" s="12"/>
      <c r="B487" s="13"/>
      <c r="C487" s="14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24.0" customHeight="1">
      <c r="A488" s="12"/>
      <c r="B488" s="13"/>
      <c r="C488" s="14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24.0" customHeight="1">
      <c r="A489" s="12"/>
      <c r="B489" s="13"/>
      <c r="C489" s="14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24.0" customHeight="1">
      <c r="A490" s="12"/>
      <c r="B490" s="13"/>
      <c r="C490" s="14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24.0" customHeight="1">
      <c r="A491" s="12"/>
      <c r="B491" s="13"/>
      <c r="C491" s="14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24.0" customHeight="1">
      <c r="A492" s="12"/>
      <c r="B492" s="13"/>
      <c r="C492" s="14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24.0" customHeight="1">
      <c r="A493" s="12"/>
      <c r="B493" s="13"/>
      <c r="C493" s="14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24.0" customHeight="1">
      <c r="A494" s="12"/>
      <c r="B494" s="13"/>
      <c r="C494" s="14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24.0" customHeight="1">
      <c r="A495" s="12"/>
      <c r="B495" s="13"/>
      <c r="C495" s="14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24.0" customHeight="1">
      <c r="A496" s="12"/>
      <c r="B496" s="13"/>
      <c r="C496" s="14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24.0" customHeight="1">
      <c r="A497" s="12"/>
      <c r="B497" s="13"/>
      <c r="C497" s="14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24.0" customHeight="1">
      <c r="A498" s="12"/>
      <c r="B498" s="13"/>
      <c r="C498" s="14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24.0" customHeight="1">
      <c r="A499" s="12"/>
      <c r="B499" s="13"/>
      <c r="C499" s="14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24.0" customHeight="1">
      <c r="A500" s="12"/>
      <c r="B500" s="13"/>
      <c r="C500" s="14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24.0" customHeight="1">
      <c r="A501" s="12"/>
      <c r="B501" s="13"/>
      <c r="C501" s="14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24.0" customHeight="1">
      <c r="A502" s="12"/>
      <c r="B502" s="13"/>
      <c r="C502" s="14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24.0" customHeight="1">
      <c r="A503" s="12"/>
      <c r="B503" s="13"/>
      <c r="C503" s="14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24.0" customHeight="1">
      <c r="A504" s="12"/>
      <c r="B504" s="13"/>
      <c r="C504" s="14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24.0" customHeight="1">
      <c r="A505" s="12"/>
      <c r="B505" s="13"/>
      <c r="C505" s="14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24.0" customHeight="1">
      <c r="A506" s="12"/>
      <c r="B506" s="13"/>
      <c r="C506" s="14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24.0" customHeight="1">
      <c r="A507" s="12"/>
      <c r="B507" s="13"/>
      <c r="C507" s="14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24.0" customHeight="1">
      <c r="A508" s="12"/>
      <c r="B508" s="13"/>
      <c r="C508" s="14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24.0" customHeight="1">
      <c r="A509" s="12"/>
      <c r="B509" s="13"/>
      <c r="C509" s="14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24.0" customHeight="1">
      <c r="A510" s="12"/>
      <c r="B510" s="13"/>
      <c r="C510" s="14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24.0" customHeight="1">
      <c r="A511" s="12"/>
      <c r="B511" s="13"/>
      <c r="C511" s="14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24.0" customHeight="1">
      <c r="A512" s="12"/>
      <c r="B512" s="13"/>
      <c r="C512" s="14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24.0" customHeight="1">
      <c r="A513" s="12"/>
      <c r="B513" s="13"/>
      <c r="C513" s="14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24.0" customHeight="1">
      <c r="A514" s="12"/>
      <c r="B514" s="13"/>
      <c r="C514" s="14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24.0" customHeight="1">
      <c r="A515" s="12"/>
      <c r="B515" s="13"/>
      <c r="C515" s="14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24.0" customHeight="1">
      <c r="A516" s="12"/>
      <c r="B516" s="13"/>
      <c r="C516" s="14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24.0" customHeight="1">
      <c r="A517" s="12"/>
      <c r="B517" s="13"/>
      <c r="C517" s="14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24.0" customHeight="1">
      <c r="A518" s="12"/>
      <c r="B518" s="13"/>
      <c r="C518" s="14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24.0" customHeight="1">
      <c r="A519" s="12"/>
      <c r="B519" s="13"/>
      <c r="C519" s="14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24.0" customHeight="1">
      <c r="A520" s="12"/>
      <c r="B520" s="13"/>
      <c r="C520" s="14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24.0" customHeight="1">
      <c r="A521" s="12"/>
      <c r="B521" s="13"/>
      <c r="C521" s="14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24.0" customHeight="1">
      <c r="A522" s="12"/>
      <c r="B522" s="13"/>
      <c r="C522" s="14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24.0" customHeight="1">
      <c r="A523" s="12"/>
      <c r="B523" s="13"/>
      <c r="C523" s="14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24.0" customHeight="1">
      <c r="A524" s="12"/>
      <c r="B524" s="13"/>
      <c r="C524" s="14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24.0" customHeight="1">
      <c r="A525" s="12"/>
      <c r="B525" s="13"/>
      <c r="C525" s="14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24.0" customHeight="1">
      <c r="A526" s="12"/>
      <c r="B526" s="13"/>
      <c r="C526" s="14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24.0" customHeight="1">
      <c r="A527" s="12"/>
      <c r="B527" s="13"/>
      <c r="C527" s="14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24.0" customHeight="1">
      <c r="A528" s="12"/>
      <c r="B528" s="13"/>
      <c r="C528" s="14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24.0" customHeight="1">
      <c r="A529" s="12"/>
      <c r="B529" s="13"/>
      <c r="C529" s="14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24.0" customHeight="1">
      <c r="A530" s="12"/>
      <c r="B530" s="13"/>
      <c r="C530" s="14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24.0" customHeight="1">
      <c r="A531" s="12"/>
      <c r="B531" s="13"/>
      <c r="C531" s="14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24.0" customHeight="1">
      <c r="A532" s="12"/>
      <c r="B532" s="13"/>
      <c r="C532" s="14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24.0" customHeight="1">
      <c r="A533" s="12"/>
      <c r="B533" s="13"/>
      <c r="C533" s="14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24.0" customHeight="1">
      <c r="A534" s="12"/>
      <c r="B534" s="13"/>
      <c r="C534" s="14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24.0" customHeight="1">
      <c r="A535" s="12"/>
      <c r="B535" s="13"/>
      <c r="C535" s="14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24.0" customHeight="1">
      <c r="A536" s="12"/>
      <c r="B536" s="13"/>
      <c r="C536" s="14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24.0" customHeight="1">
      <c r="A537" s="12"/>
      <c r="B537" s="13"/>
      <c r="C537" s="14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24.0" customHeight="1">
      <c r="A538" s="12"/>
      <c r="B538" s="13"/>
      <c r="C538" s="14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24.0" customHeight="1">
      <c r="A539" s="12"/>
      <c r="B539" s="13"/>
      <c r="C539" s="14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24.0" customHeight="1">
      <c r="A540" s="12"/>
      <c r="B540" s="13"/>
      <c r="C540" s="14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24.0" customHeight="1">
      <c r="A541" s="12"/>
      <c r="B541" s="13"/>
      <c r="C541" s="14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24.0" customHeight="1">
      <c r="A542" s="12"/>
      <c r="B542" s="13"/>
      <c r="C542" s="14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24.0" customHeight="1">
      <c r="A543" s="12"/>
      <c r="B543" s="13"/>
      <c r="C543" s="14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24.0" customHeight="1">
      <c r="A544" s="12"/>
      <c r="B544" s="13"/>
      <c r="C544" s="14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24.0" customHeight="1">
      <c r="A545" s="12"/>
      <c r="B545" s="13"/>
      <c r="C545" s="14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24.0" customHeight="1">
      <c r="A546" s="12"/>
      <c r="B546" s="13"/>
      <c r="C546" s="14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24.0" customHeight="1">
      <c r="A547" s="12"/>
      <c r="B547" s="13"/>
      <c r="C547" s="14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24.0" customHeight="1">
      <c r="A548" s="12"/>
      <c r="B548" s="13"/>
      <c r="C548" s="14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24.0" customHeight="1">
      <c r="A549" s="12"/>
      <c r="B549" s="13"/>
      <c r="C549" s="14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24.0" customHeight="1">
      <c r="A550" s="12"/>
      <c r="B550" s="13"/>
      <c r="C550" s="14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24.0" customHeight="1">
      <c r="A551" s="12"/>
      <c r="B551" s="13"/>
      <c r="C551" s="14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24.0" customHeight="1">
      <c r="A552" s="12"/>
      <c r="B552" s="13"/>
      <c r="C552" s="14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24.0" customHeight="1">
      <c r="A553" s="12"/>
      <c r="B553" s="13"/>
      <c r="C553" s="14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24.0" customHeight="1">
      <c r="A554" s="12"/>
      <c r="B554" s="13"/>
      <c r="C554" s="14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24.0" customHeight="1">
      <c r="A555" s="12"/>
      <c r="B555" s="13"/>
      <c r="C555" s="14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24.0" customHeight="1">
      <c r="A556" s="12"/>
      <c r="B556" s="13"/>
      <c r="C556" s="14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24.0" customHeight="1">
      <c r="A557" s="12"/>
      <c r="B557" s="13"/>
      <c r="C557" s="14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24.0" customHeight="1">
      <c r="A558" s="12"/>
      <c r="B558" s="13"/>
      <c r="C558" s="14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24.0" customHeight="1">
      <c r="A559" s="12"/>
      <c r="B559" s="13"/>
      <c r="C559" s="14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24.0" customHeight="1">
      <c r="A560" s="12"/>
      <c r="B560" s="13"/>
      <c r="C560" s="14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24.0" customHeight="1">
      <c r="A561" s="12"/>
      <c r="B561" s="13"/>
      <c r="C561" s="14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24.0" customHeight="1">
      <c r="A562" s="12"/>
      <c r="B562" s="13"/>
      <c r="C562" s="14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24.0" customHeight="1">
      <c r="A563" s="12"/>
      <c r="B563" s="13"/>
      <c r="C563" s="14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24.0" customHeight="1">
      <c r="A564" s="12"/>
      <c r="B564" s="13"/>
      <c r="C564" s="14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24.0" customHeight="1">
      <c r="A565" s="12"/>
      <c r="B565" s="13"/>
      <c r="C565" s="14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24.0" customHeight="1">
      <c r="A566" s="12"/>
      <c r="B566" s="13"/>
      <c r="C566" s="14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24.0" customHeight="1">
      <c r="A567" s="12"/>
      <c r="B567" s="13"/>
      <c r="C567" s="14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24.0" customHeight="1">
      <c r="A568" s="12"/>
      <c r="B568" s="13"/>
      <c r="C568" s="14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24.0" customHeight="1">
      <c r="A569" s="12"/>
      <c r="B569" s="13"/>
      <c r="C569" s="14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24.0" customHeight="1">
      <c r="A570" s="12"/>
      <c r="B570" s="13"/>
      <c r="C570" s="14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24.0" customHeight="1">
      <c r="A571" s="12"/>
      <c r="B571" s="13"/>
      <c r="C571" s="14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24.0" customHeight="1">
      <c r="A572" s="12"/>
      <c r="B572" s="13"/>
      <c r="C572" s="14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24.0" customHeight="1">
      <c r="A573" s="12"/>
      <c r="B573" s="13"/>
      <c r="C573" s="14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24.0" customHeight="1">
      <c r="A574" s="12"/>
      <c r="B574" s="13"/>
      <c r="C574" s="14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24.0" customHeight="1">
      <c r="A575" s="12"/>
      <c r="B575" s="13"/>
      <c r="C575" s="14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24.0" customHeight="1">
      <c r="A576" s="12"/>
      <c r="B576" s="13"/>
      <c r="C576" s="14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24.0" customHeight="1">
      <c r="A577" s="12"/>
      <c r="B577" s="13"/>
      <c r="C577" s="14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24.0" customHeight="1">
      <c r="A578" s="12"/>
      <c r="B578" s="13"/>
      <c r="C578" s="14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24.0" customHeight="1">
      <c r="A579" s="12"/>
      <c r="B579" s="13"/>
      <c r="C579" s="14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24.0" customHeight="1">
      <c r="A580" s="12"/>
      <c r="B580" s="13"/>
      <c r="C580" s="14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24.0" customHeight="1">
      <c r="A581" s="12"/>
      <c r="B581" s="13"/>
      <c r="C581" s="14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24.0" customHeight="1">
      <c r="A582" s="12"/>
      <c r="B582" s="13"/>
      <c r="C582" s="14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24.0" customHeight="1">
      <c r="A583" s="12"/>
      <c r="B583" s="13"/>
      <c r="C583" s="14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24.0" customHeight="1">
      <c r="A584" s="12"/>
      <c r="B584" s="13"/>
      <c r="C584" s="14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24.0" customHeight="1">
      <c r="A585" s="12"/>
      <c r="B585" s="13"/>
      <c r="C585" s="14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24.0" customHeight="1">
      <c r="A586" s="12"/>
      <c r="B586" s="13"/>
      <c r="C586" s="14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24.0" customHeight="1">
      <c r="A587" s="12"/>
      <c r="B587" s="13"/>
      <c r="C587" s="14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24.0" customHeight="1">
      <c r="A588" s="12"/>
      <c r="B588" s="13"/>
      <c r="C588" s="14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24.0" customHeight="1">
      <c r="A589" s="12"/>
      <c r="B589" s="13"/>
      <c r="C589" s="14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24.0" customHeight="1">
      <c r="A590" s="12"/>
      <c r="B590" s="13"/>
      <c r="C590" s="14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24.0" customHeight="1">
      <c r="A591" s="12"/>
      <c r="B591" s="13"/>
      <c r="C591" s="14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24.0" customHeight="1">
      <c r="A592" s="12"/>
      <c r="B592" s="13"/>
      <c r="C592" s="14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24.0" customHeight="1">
      <c r="A593" s="12"/>
      <c r="B593" s="13"/>
      <c r="C593" s="14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24.0" customHeight="1">
      <c r="A594" s="12"/>
      <c r="B594" s="13"/>
      <c r="C594" s="14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24.0" customHeight="1">
      <c r="A595" s="12"/>
      <c r="B595" s="13"/>
      <c r="C595" s="14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24.0" customHeight="1">
      <c r="A596" s="12"/>
      <c r="B596" s="13"/>
      <c r="C596" s="14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24.0" customHeight="1">
      <c r="A597" s="12"/>
      <c r="B597" s="13"/>
      <c r="C597" s="14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24.0" customHeight="1">
      <c r="A598" s="12"/>
      <c r="B598" s="13"/>
      <c r="C598" s="14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24.0" customHeight="1">
      <c r="A599" s="12"/>
      <c r="B599" s="13"/>
      <c r="C599" s="14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24.0" customHeight="1">
      <c r="A600" s="12"/>
      <c r="B600" s="13"/>
      <c r="C600" s="14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24.0" customHeight="1">
      <c r="A601" s="12"/>
      <c r="B601" s="13"/>
      <c r="C601" s="14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24.0" customHeight="1">
      <c r="A602" s="12"/>
      <c r="B602" s="13"/>
      <c r="C602" s="14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24.0" customHeight="1">
      <c r="A603" s="12"/>
      <c r="B603" s="13"/>
      <c r="C603" s="14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24.0" customHeight="1">
      <c r="A604" s="12"/>
      <c r="B604" s="13"/>
      <c r="C604" s="14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24.0" customHeight="1">
      <c r="A605" s="12"/>
      <c r="B605" s="13"/>
      <c r="C605" s="14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24.0" customHeight="1">
      <c r="A606" s="12"/>
      <c r="B606" s="13"/>
      <c r="C606" s="14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24.0" customHeight="1">
      <c r="A607" s="12"/>
      <c r="B607" s="13"/>
      <c r="C607" s="14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24.0" customHeight="1">
      <c r="A608" s="12"/>
      <c r="B608" s="13"/>
      <c r="C608" s="14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24.0" customHeight="1">
      <c r="A609" s="12"/>
      <c r="B609" s="13"/>
      <c r="C609" s="14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24.0" customHeight="1">
      <c r="A610" s="12"/>
      <c r="B610" s="13"/>
      <c r="C610" s="14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24.0" customHeight="1">
      <c r="A611" s="12"/>
      <c r="B611" s="13"/>
      <c r="C611" s="14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24.0" customHeight="1">
      <c r="A612" s="12"/>
      <c r="B612" s="13"/>
      <c r="C612" s="14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24.0" customHeight="1">
      <c r="A613" s="12"/>
      <c r="B613" s="13"/>
      <c r="C613" s="14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24.0" customHeight="1">
      <c r="A614" s="12"/>
      <c r="B614" s="13"/>
      <c r="C614" s="14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24.0" customHeight="1">
      <c r="A615" s="12"/>
      <c r="B615" s="13"/>
      <c r="C615" s="14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24.0" customHeight="1">
      <c r="A616" s="12"/>
      <c r="B616" s="13"/>
      <c r="C616" s="14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24.0" customHeight="1">
      <c r="A617" s="12"/>
      <c r="B617" s="13"/>
      <c r="C617" s="14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24.0" customHeight="1">
      <c r="A618" s="12"/>
      <c r="B618" s="13"/>
      <c r="C618" s="14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24.0" customHeight="1">
      <c r="A619" s="12"/>
      <c r="B619" s="13"/>
      <c r="C619" s="14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24.0" customHeight="1">
      <c r="A620" s="12"/>
      <c r="B620" s="13"/>
      <c r="C620" s="14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24.0" customHeight="1">
      <c r="A621" s="12"/>
      <c r="B621" s="13"/>
      <c r="C621" s="14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24.0" customHeight="1">
      <c r="A622" s="12"/>
      <c r="B622" s="13"/>
      <c r="C622" s="14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24.0" customHeight="1">
      <c r="A623" s="12"/>
      <c r="B623" s="13"/>
      <c r="C623" s="14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24.0" customHeight="1">
      <c r="A624" s="12"/>
      <c r="B624" s="13"/>
      <c r="C624" s="14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24.0" customHeight="1">
      <c r="A625" s="12"/>
      <c r="B625" s="13"/>
      <c r="C625" s="14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24.0" customHeight="1">
      <c r="A626" s="12"/>
      <c r="B626" s="13"/>
      <c r="C626" s="14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24.0" customHeight="1">
      <c r="A627" s="12"/>
      <c r="B627" s="13"/>
      <c r="C627" s="14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24.0" customHeight="1">
      <c r="A628" s="12"/>
      <c r="B628" s="13"/>
      <c r="C628" s="14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24.0" customHeight="1">
      <c r="A629" s="12"/>
      <c r="B629" s="13"/>
      <c r="C629" s="14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24.0" customHeight="1">
      <c r="A630" s="12"/>
      <c r="B630" s="13"/>
      <c r="C630" s="14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24.0" customHeight="1">
      <c r="A631" s="12"/>
      <c r="B631" s="13"/>
      <c r="C631" s="14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24.0" customHeight="1">
      <c r="A632" s="12"/>
      <c r="B632" s="13"/>
      <c r="C632" s="14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24.0" customHeight="1">
      <c r="A633" s="12"/>
      <c r="B633" s="13"/>
      <c r="C633" s="14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24.0" customHeight="1">
      <c r="A634" s="12"/>
      <c r="B634" s="13"/>
      <c r="C634" s="14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24.0" customHeight="1">
      <c r="A635" s="12"/>
      <c r="B635" s="13"/>
      <c r="C635" s="14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24.0" customHeight="1">
      <c r="A636" s="12"/>
      <c r="B636" s="13"/>
      <c r="C636" s="14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24.0" customHeight="1">
      <c r="A637" s="12"/>
      <c r="B637" s="13"/>
      <c r="C637" s="14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24.0" customHeight="1">
      <c r="A638" s="12"/>
      <c r="B638" s="13"/>
      <c r="C638" s="14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24.0" customHeight="1">
      <c r="A639" s="12"/>
      <c r="B639" s="13"/>
      <c r="C639" s="14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24.0" customHeight="1">
      <c r="A640" s="12"/>
      <c r="B640" s="13"/>
      <c r="C640" s="14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24.0" customHeight="1">
      <c r="A641" s="12"/>
      <c r="B641" s="13"/>
      <c r="C641" s="14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24.0" customHeight="1">
      <c r="A642" s="12"/>
      <c r="B642" s="13"/>
      <c r="C642" s="14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24.0" customHeight="1">
      <c r="A643" s="12"/>
      <c r="B643" s="13"/>
      <c r="C643" s="14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24.0" customHeight="1">
      <c r="A644" s="12"/>
      <c r="B644" s="13"/>
      <c r="C644" s="14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24.0" customHeight="1">
      <c r="A645" s="12"/>
      <c r="B645" s="13"/>
      <c r="C645" s="14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24.0" customHeight="1">
      <c r="A646" s="12"/>
      <c r="B646" s="13"/>
      <c r="C646" s="14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24.0" customHeight="1">
      <c r="A647" s="12"/>
      <c r="B647" s="13"/>
      <c r="C647" s="14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24.0" customHeight="1">
      <c r="A648" s="12"/>
      <c r="B648" s="13"/>
      <c r="C648" s="14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24.0" customHeight="1">
      <c r="A649" s="12"/>
      <c r="B649" s="13"/>
      <c r="C649" s="14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24.0" customHeight="1">
      <c r="A650" s="12"/>
      <c r="B650" s="13"/>
      <c r="C650" s="14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24.0" customHeight="1">
      <c r="A651" s="12"/>
      <c r="B651" s="13"/>
      <c r="C651" s="14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24.0" customHeight="1">
      <c r="A652" s="12"/>
      <c r="B652" s="13"/>
      <c r="C652" s="14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24.0" customHeight="1">
      <c r="A653" s="12"/>
      <c r="B653" s="13"/>
      <c r="C653" s="14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24.0" customHeight="1">
      <c r="A654" s="12"/>
      <c r="B654" s="13"/>
      <c r="C654" s="14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24.0" customHeight="1">
      <c r="A655" s="12"/>
      <c r="B655" s="13"/>
      <c r="C655" s="14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24.0" customHeight="1">
      <c r="A656" s="12"/>
      <c r="B656" s="13"/>
      <c r="C656" s="14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24.0" customHeight="1">
      <c r="A657" s="12"/>
      <c r="B657" s="13"/>
      <c r="C657" s="14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24.0" customHeight="1">
      <c r="A658" s="12"/>
      <c r="B658" s="13"/>
      <c r="C658" s="14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24.0" customHeight="1">
      <c r="A659" s="12"/>
      <c r="B659" s="13"/>
      <c r="C659" s="14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24.0" customHeight="1">
      <c r="A660" s="12"/>
      <c r="B660" s="13"/>
      <c r="C660" s="14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24.0" customHeight="1">
      <c r="A661" s="12"/>
      <c r="B661" s="13"/>
      <c r="C661" s="14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24.0" customHeight="1">
      <c r="A662" s="12"/>
      <c r="B662" s="13"/>
      <c r="C662" s="14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24.0" customHeight="1">
      <c r="A663" s="12"/>
      <c r="B663" s="13"/>
      <c r="C663" s="14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24.0" customHeight="1">
      <c r="A664" s="12"/>
      <c r="B664" s="13"/>
      <c r="C664" s="14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24.0" customHeight="1">
      <c r="A665" s="12"/>
      <c r="B665" s="13"/>
      <c r="C665" s="14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24.0" customHeight="1">
      <c r="A666" s="12"/>
      <c r="B666" s="13"/>
      <c r="C666" s="14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24.0" customHeight="1">
      <c r="A667" s="12"/>
      <c r="B667" s="13"/>
      <c r="C667" s="14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24.0" customHeight="1">
      <c r="A668" s="12"/>
      <c r="B668" s="13"/>
      <c r="C668" s="14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24.0" customHeight="1">
      <c r="A669" s="12"/>
      <c r="B669" s="13"/>
      <c r="C669" s="14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24.0" customHeight="1">
      <c r="A670" s="12"/>
      <c r="B670" s="13"/>
      <c r="C670" s="14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24.0" customHeight="1">
      <c r="A671" s="12"/>
      <c r="B671" s="13"/>
      <c r="C671" s="14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24.0" customHeight="1">
      <c r="A672" s="12"/>
      <c r="B672" s="13"/>
      <c r="C672" s="14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24.0" customHeight="1">
      <c r="A673" s="12"/>
      <c r="B673" s="13"/>
      <c r="C673" s="14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24.0" customHeight="1">
      <c r="A674" s="12"/>
      <c r="B674" s="13"/>
      <c r="C674" s="14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24.0" customHeight="1">
      <c r="A675" s="12"/>
      <c r="B675" s="13"/>
      <c r="C675" s="14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24.0" customHeight="1">
      <c r="A676" s="12"/>
      <c r="B676" s="13"/>
      <c r="C676" s="14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24.0" customHeight="1">
      <c r="A677" s="12"/>
      <c r="B677" s="13"/>
      <c r="C677" s="14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24.0" customHeight="1">
      <c r="A678" s="12"/>
      <c r="B678" s="13"/>
      <c r="C678" s="14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24.0" customHeight="1">
      <c r="A679" s="12"/>
      <c r="B679" s="13"/>
      <c r="C679" s="14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24.0" customHeight="1">
      <c r="A680" s="12"/>
      <c r="B680" s="13"/>
      <c r="C680" s="14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24.0" customHeight="1">
      <c r="A681" s="12"/>
      <c r="B681" s="13"/>
      <c r="C681" s="14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24.0" customHeight="1">
      <c r="A682" s="12"/>
      <c r="B682" s="13"/>
      <c r="C682" s="14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24.0" customHeight="1">
      <c r="A683" s="12"/>
      <c r="B683" s="13"/>
      <c r="C683" s="14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24.0" customHeight="1">
      <c r="A684" s="12"/>
      <c r="B684" s="13"/>
      <c r="C684" s="14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24.0" customHeight="1">
      <c r="A685" s="12"/>
      <c r="B685" s="13"/>
      <c r="C685" s="14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24.0" customHeight="1">
      <c r="A686" s="12"/>
      <c r="B686" s="13"/>
      <c r="C686" s="14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24.0" customHeight="1">
      <c r="A687" s="12"/>
      <c r="B687" s="13"/>
      <c r="C687" s="14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24.0" customHeight="1">
      <c r="A688" s="12"/>
      <c r="B688" s="13"/>
      <c r="C688" s="14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24.0" customHeight="1">
      <c r="A689" s="12"/>
      <c r="B689" s="13"/>
      <c r="C689" s="14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24.0" customHeight="1">
      <c r="A690" s="12"/>
      <c r="B690" s="13"/>
      <c r="C690" s="14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24.0" customHeight="1">
      <c r="A691" s="12"/>
      <c r="B691" s="13"/>
      <c r="C691" s="14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24.0" customHeight="1">
      <c r="A692" s="12"/>
      <c r="B692" s="13"/>
      <c r="C692" s="14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24.0" customHeight="1">
      <c r="A693" s="12"/>
      <c r="B693" s="13"/>
      <c r="C693" s="14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24.0" customHeight="1">
      <c r="A694" s="12"/>
      <c r="B694" s="13"/>
      <c r="C694" s="14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24.0" customHeight="1">
      <c r="A695" s="12"/>
      <c r="B695" s="13"/>
      <c r="C695" s="14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24.0" customHeight="1">
      <c r="A696" s="12"/>
      <c r="B696" s="13"/>
      <c r="C696" s="14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24.0" customHeight="1">
      <c r="A697" s="12"/>
      <c r="B697" s="13"/>
      <c r="C697" s="14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24.0" customHeight="1">
      <c r="A698" s="12"/>
      <c r="B698" s="13"/>
      <c r="C698" s="14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24.0" customHeight="1">
      <c r="A699" s="12"/>
      <c r="B699" s="13"/>
      <c r="C699" s="14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24.0" customHeight="1">
      <c r="A700" s="12"/>
      <c r="B700" s="13"/>
      <c r="C700" s="14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24.0" customHeight="1">
      <c r="A701" s="12"/>
      <c r="B701" s="13"/>
      <c r="C701" s="14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24.0" customHeight="1">
      <c r="A702" s="12"/>
      <c r="B702" s="13"/>
      <c r="C702" s="14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24.0" customHeight="1">
      <c r="A703" s="12"/>
      <c r="B703" s="13"/>
      <c r="C703" s="14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24.0" customHeight="1">
      <c r="A704" s="12"/>
      <c r="B704" s="13"/>
      <c r="C704" s="14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24.0" customHeight="1">
      <c r="A705" s="12"/>
      <c r="B705" s="13"/>
      <c r="C705" s="14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24.0" customHeight="1">
      <c r="A706" s="12"/>
      <c r="B706" s="13"/>
      <c r="C706" s="14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24.0" customHeight="1">
      <c r="A707" s="12"/>
      <c r="B707" s="13"/>
      <c r="C707" s="14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24.0" customHeight="1">
      <c r="A708" s="12"/>
      <c r="B708" s="13"/>
      <c r="C708" s="14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24.0" customHeight="1">
      <c r="A709" s="12"/>
      <c r="B709" s="13"/>
      <c r="C709" s="14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24.0" customHeight="1">
      <c r="A710" s="12"/>
      <c r="B710" s="13"/>
      <c r="C710" s="14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24.0" customHeight="1">
      <c r="A711" s="12"/>
      <c r="B711" s="13"/>
      <c r="C711" s="14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24.0" customHeight="1">
      <c r="A712" s="12"/>
      <c r="B712" s="13"/>
      <c r="C712" s="14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24.0" customHeight="1">
      <c r="A713" s="12"/>
      <c r="B713" s="13"/>
      <c r="C713" s="14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24.0" customHeight="1">
      <c r="A714" s="12"/>
      <c r="B714" s="13"/>
      <c r="C714" s="14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24.0" customHeight="1">
      <c r="A715" s="12"/>
      <c r="B715" s="13"/>
      <c r="C715" s="14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24.0" customHeight="1">
      <c r="A716" s="12"/>
      <c r="B716" s="13"/>
      <c r="C716" s="14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24.0" customHeight="1">
      <c r="A717" s="12"/>
      <c r="B717" s="13"/>
      <c r="C717" s="14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24.0" customHeight="1">
      <c r="A718" s="12"/>
      <c r="B718" s="13"/>
      <c r="C718" s="14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24.0" customHeight="1">
      <c r="A719" s="12"/>
      <c r="B719" s="13"/>
      <c r="C719" s="14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24.0" customHeight="1">
      <c r="A720" s="12"/>
      <c r="B720" s="13"/>
      <c r="C720" s="14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24.0" customHeight="1">
      <c r="A721" s="12"/>
      <c r="B721" s="13"/>
      <c r="C721" s="14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24.0" customHeight="1">
      <c r="A722" s="12"/>
      <c r="B722" s="13"/>
      <c r="C722" s="14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24.0" customHeight="1">
      <c r="A723" s="12"/>
      <c r="B723" s="13"/>
      <c r="C723" s="14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24.0" customHeight="1">
      <c r="A724" s="12"/>
      <c r="B724" s="13"/>
      <c r="C724" s="14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24.0" customHeight="1">
      <c r="A725" s="12"/>
      <c r="B725" s="13"/>
      <c r="C725" s="14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24.0" customHeight="1">
      <c r="A726" s="12"/>
      <c r="B726" s="13"/>
      <c r="C726" s="14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24.0" customHeight="1">
      <c r="A727" s="12"/>
      <c r="B727" s="13"/>
      <c r="C727" s="14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24.0" customHeight="1">
      <c r="A728" s="12"/>
      <c r="B728" s="13"/>
      <c r="C728" s="14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24.0" customHeight="1">
      <c r="A729" s="12"/>
      <c r="B729" s="13"/>
      <c r="C729" s="14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24.0" customHeight="1">
      <c r="A730" s="12"/>
      <c r="B730" s="13"/>
      <c r="C730" s="14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24.0" customHeight="1">
      <c r="A731" s="12"/>
      <c r="B731" s="13"/>
      <c r="C731" s="14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24.0" customHeight="1">
      <c r="A732" s="12"/>
      <c r="B732" s="13"/>
      <c r="C732" s="14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24.0" customHeight="1">
      <c r="A733" s="12"/>
      <c r="B733" s="13"/>
      <c r="C733" s="14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24.0" customHeight="1">
      <c r="A734" s="12"/>
      <c r="B734" s="13"/>
      <c r="C734" s="14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24.0" customHeight="1">
      <c r="A735" s="12"/>
      <c r="B735" s="13"/>
      <c r="C735" s="14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24.0" customHeight="1">
      <c r="A736" s="12"/>
      <c r="B736" s="13"/>
      <c r="C736" s="14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24.0" customHeight="1">
      <c r="A737" s="12"/>
      <c r="B737" s="13"/>
      <c r="C737" s="14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24.0" customHeight="1">
      <c r="A738" s="12"/>
      <c r="B738" s="13"/>
      <c r="C738" s="14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24.0" customHeight="1">
      <c r="A739" s="12"/>
      <c r="B739" s="13"/>
      <c r="C739" s="14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24.0" customHeight="1">
      <c r="A740" s="12"/>
      <c r="B740" s="13"/>
      <c r="C740" s="14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24.0" customHeight="1">
      <c r="A741" s="12"/>
      <c r="B741" s="13"/>
      <c r="C741" s="14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24.0" customHeight="1">
      <c r="A742" s="12"/>
      <c r="B742" s="13"/>
      <c r="C742" s="14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24.0" customHeight="1">
      <c r="A743" s="12"/>
      <c r="B743" s="13"/>
      <c r="C743" s="14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24.0" customHeight="1">
      <c r="A744" s="12"/>
      <c r="B744" s="13"/>
      <c r="C744" s="14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24.0" customHeight="1">
      <c r="A745" s="12"/>
      <c r="B745" s="13"/>
      <c r="C745" s="14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24.0" customHeight="1">
      <c r="A746" s="12"/>
      <c r="B746" s="13"/>
      <c r="C746" s="14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24.0" customHeight="1">
      <c r="A747" s="12"/>
      <c r="B747" s="13"/>
      <c r="C747" s="14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24.0" customHeight="1">
      <c r="A748" s="12"/>
      <c r="B748" s="13"/>
      <c r="C748" s="14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24.0" customHeight="1">
      <c r="A749" s="12"/>
      <c r="B749" s="13"/>
      <c r="C749" s="14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24.0" customHeight="1">
      <c r="A750" s="12"/>
      <c r="B750" s="13"/>
      <c r="C750" s="14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24.0" customHeight="1">
      <c r="A751" s="12"/>
      <c r="B751" s="13"/>
      <c r="C751" s="14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24.0" customHeight="1">
      <c r="A752" s="12"/>
      <c r="B752" s="13"/>
      <c r="C752" s="14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24.0" customHeight="1">
      <c r="A753" s="12"/>
      <c r="B753" s="13"/>
      <c r="C753" s="14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24.0" customHeight="1">
      <c r="A754" s="12"/>
      <c r="B754" s="13"/>
      <c r="C754" s="14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24.0" customHeight="1">
      <c r="A755" s="12"/>
      <c r="B755" s="13"/>
      <c r="C755" s="14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24.0" customHeight="1">
      <c r="A756" s="12"/>
      <c r="B756" s="13"/>
      <c r="C756" s="14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24.0" customHeight="1">
      <c r="A757" s="12"/>
      <c r="B757" s="13"/>
      <c r="C757" s="14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24.0" customHeight="1">
      <c r="A758" s="12"/>
      <c r="B758" s="13"/>
      <c r="C758" s="14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24.0" customHeight="1">
      <c r="A759" s="12"/>
      <c r="B759" s="13"/>
      <c r="C759" s="14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24.0" customHeight="1">
      <c r="A760" s="12"/>
      <c r="B760" s="13"/>
      <c r="C760" s="14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24.0" customHeight="1">
      <c r="A761" s="12"/>
      <c r="B761" s="13"/>
      <c r="C761" s="14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24.0" customHeight="1">
      <c r="A762" s="12"/>
      <c r="B762" s="13"/>
      <c r="C762" s="14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24.0" customHeight="1">
      <c r="A763" s="12"/>
      <c r="B763" s="13"/>
      <c r="C763" s="14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24.0" customHeight="1">
      <c r="A764" s="12"/>
      <c r="B764" s="13"/>
      <c r="C764" s="14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24.0" customHeight="1">
      <c r="A765" s="12"/>
      <c r="B765" s="13"/>
      <c r="C765" s="14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24.0" customHeight="1">
      <c r="A766" s="12"/>
      <c r="B766" s="13"/>
      <c r="C766" s="14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24.0" customHeight="1">
      <c r="A767" s="12"/>
      <c r="B767" s="13"/>
      <c r="C767" s="14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24.0" customHeight="1">
      <c r="A768" s="12"/>
      <c r="B768" s="13"/>
      <c r="C768" s="14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24.0" customHeight="1">
      <c r="A769" s="12"/>
      <c r="B769" s="13"/>
      <c r="C769" s="14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24.0" customHeight="1">
      <c r="A770" s="12"/>
      <c r="B770" s="13"/>
      <c r="C770" s="14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24.0" customHeight="1">
      <c r="A771" s="12"/>
      <c r="B771" s="13"/>
      <c r="C771" s="14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24.0" customHeight="1">
      <c r="A772" s="12"/>
      <c r="B772" s="13"/>
      <c r="C772" s="14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24.0" customHeight="1">
      <c r="A773" s="12"/>
      <c r="B773" s="13"/>
      <c r="C773" s="14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24.0" customHeight="1">
      <c r="A774" s="12"/>
      <c r="B774" s="13"/>
      <c r="C774" s="14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24.0" customHeight="1">
      <c r="A775" s="12"/>
      <c r="B775" s="13"/>
      <c r="C775" s="14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24.0" customHeight="1">
      <c r="A776" s="12"/>
      <c r="B776" s="13"/>
      <c r="C776" s="14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24.0" customHeight="1">
      <c r="A777" s="12"/>
      <c r="B777" s="13"/>
      <c r="C777" s="14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24.0" customHeight="1">
      <c r="A778" s="12"/>
      <c r="B778" s="13"/>
      <c r="C778" s="14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24.0" customHeight="1">
      <c r="A779" s="12"/>
      <c r="B779" s="13"/>
      <c r="C779" s="14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24.0" customHeight="1">
      <c r="A780" s="12"/>
      <c r="B780" s="13"/>
      <c r="C780" s="14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24.0" customHeight="1">
      <c r="A781" s="12"/>
      <c r="B781" s="13"/>
      <c r="C781" s="14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24.0" customHeight="1">
      <c r="A782" s="12"/>
      <c r="B782" s="13"/>
      <c r="C782" s="14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24.0" customHeight="1">
      <c r="A783" s="12"/>
      <c r="B783" s="13"/>
      <c r="C783" s="14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24.0" customHeight="1">
      <c r="A784" s="12"/>
      <c r="B784" s="13"/>
      <c r="C784" s="14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24.0" customHeight="1">
      <c r="A785" s="12"/>
      <c r="B785" s="13"/>
      <c r="C785" s="14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24.0" customHeight="1">
      <c r="A786" s="12"/>
      <c r="B786" s="13"/>
      <c r="C786" s="14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24.0" customHeight="1">
      <c r="A787" s="12"/>
      <c r="B787" s="13"/>
      <c r="C787" s="14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24.0" customHeight="1">
      <c r="A788" s="12"/>
      <c r="B788" s="13"/>
      <c r="C788" s="14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24.0" customHeight="1">
      <c r="A789" s="12"/>
      <c r="B789" s="13"/>
      <c r="C789" s="14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24.0" customHeight="1">
      <c r="A790" s="12"/>
      <c r="B790" s="13"/>
      <c r="C790" s="14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24.0" customHeight="1">
      <c r="A791" s="12"/>
      <c r="B791" s="13"/>
      <c r="C791" s="14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24.0" customHeight="1">
      <c r="A792" s="12"/>
      <c r="B792" s="13"/>
      <c r="C792" s="14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24.0" customHeight="1">
      <c r="A793" s="12"/>
      <c r="B793" s="13"/>
      <c r="C793" s="14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24.0" customHeight="1">
      <c r="A794" s="12"/>
      <c r="B794" s="13"/>
      <c r="C794" s="14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24.0" customHeight="1">
      <c r="A795" s="12"/>
      <c r="B795" s="13"/>
      <c r="C795" s="14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24.0" customHeight="1">
      <c r="A796" s="12"/>
      <c r="B796" s="13"/>
      <c r="C796" s="14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24.0" customHeight="1">
      <c r="A797" s="12"/>
      <c r="B797" s="13"/>
      <c r="C797" s="14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24.0" customHeight="1">
      <c r="A798" s="12"/>
      <c r="B798" s="13"/>
      <c r="C798" s="14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24.0" customHeight="1">
      <c r="A799" s="12"/>
      <c r="B799" s="13"/>
      <c r="C799" s="14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24.0" customHeight="1">
      <c r="A800" s="12"/>
      <c r="B800" s="13"/>
      <c r="C800" s="14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24.0" customHeight="1">
      <c r="A801" s="12"/>
      <c r="B801" s="13"/>
      <c r="C801" s="14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24.0" customHeight="1">
      <c r="A802" s="12"/>
      <c r="B802" s="13"/>
      <c r="C802" s="14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24.0" customHeight="1">
      <c r="A803" s="12"/>
      <c r="B803" s="13"/>
      <c r="C803" s="14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24.0" customHeight="1">
      <c r="A804" s="12"/>
      <c r="B804" s="13"/>
      <c r="C804" s="14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24.0" customHeight="1">
      <c r="A805" s="12"/>
      <c r="B805" s="13"/>
      <c r="C805" s="14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24.0" customHeight="1">
      <c r="A806" s="12"/>
      <c r="B806" s="13"/>
      <c r="C806" s="14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24.0" customHeight="1">
      <c r="A807" s="12"/>
      <c r="B807" s="13"/>
      <c r="C807" s="14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24.0" customHeight="1">
      <c r="A808" s="12"/>
      <c r="B808" s="13"/>
      <c r="C808" s="14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24.0" customHeight="1">
      <c r="A809" s="12"/>
      <c r="B809" s="13"/>
      <c r="C809" s="14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24.0" customHeight="1">
      <c r="A810" s="12"/>
      <c r="B810" s="13"/>
      <c r="C810" s="14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24.0" customHeight="1">
      <c r="A811" s="12"/>
      <c r="B811" s="13"/>
      <c r="C811" s="14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24.0" customHeight="1">
      <c r="A812" s="12"/>
      <c r="B812" s="13"/>
      <c r="C812" s="14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24.0" customHeight="1">
      <c r="A813" s="12"/>
      <c r="B813" s="13"/>
      <c r="C813" s="14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24.0" customHeight="1">
      <c r="A814" s="12"/>
      <c r="B814" s="13"/>
      <c r="C814" s="14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24.0" customHeight="1">
      <c r="A815" s="12"/>
      <c r="B815" s="13"/>
      <c r="C815" s="14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24.0" customHeight="1">
      <c r="A816" s="12"/>
      <c r="B816" s="13"/>
      <c r="C816" s="14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24.0" customHeight="1">
      <c r="A817" s="12"/>
      <c r="B817" s="13"/>
      <c r="C817" s="14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24.0" customHeight="1">
      <c r="A818" s="12"/>
      <c r="B818" s="13"/>
      <c r="C818" s="14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24.0" customHeight="1">
      <c r="A819" s="12"/>
      <c r="B819" s="13"/>
      <c r="C819" s="14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24.0" customHeight="1">
      <c r="A820" s="12"/>
      <c r="B820" s="13"/>
      <c r="C820" s="14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24.0" customHeight="1">
      <c r="A821" s="12"/>
      <c r="B821" s="13"/>
      <c r="C821" s="14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24.0" customHeight="1">
      <c r="A822" s="12"/>
      <c r="B822" s="13"/>
      <c r="C822" s="14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24.0" customHeight="1">
      <c r="A823" s="12"/>
      <c r="B823" s="13"/>
      <c r="C823" s="14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24.0" customHeight="1">
      <c r="A824" s="12"/>
      <c r="B824" s="13"/>
      <c r="C824" s="14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24.0" customHeight="1">
      <c r="A825" s="12"/>
      <c r="B825" s="13"/>
      <c r="C825" s="14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24.0" customHeight="1">
      <c r="A826" s="12"/>
      <c r="B826" s="13"/>
      <c r="C826" s="14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24.0" customHeight="1">
      <c r="A827" s="12"/>
      <c r="B827" s="13"/>
      <c r="C827" s="14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24.0" customHeight="1">
      <c r="A828" s="12"/>
      <c r="B828" s="13"/>
      <c r="C828" s="14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24.0" customHeight="1">
      <c r="A829" s="12"/>
      <c r="B829" s="13"/>
      <c r="C829" s="14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24.0" customHeight="1">
      <c r="A830" s="12"/>
      <c r="B830" s="13"/>
      <c r="C830" s="14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24.0" customHeight="1">
      <c r="A831" s="12"/>
      <c r="B831" s="13"/>
      <c r="C831" s="14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24.0" customHeight="1">
      <c r="A832" s="12"/>
      <c r="B832" s="13"/>
      <c r="C832" s="14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24.0" customHeight="1">
      <c r="A833" s="12"/>
      <c r="B833" s="13"/>
      <c r="C833" s="14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24.0" customHeight="1">
      <c r="A834" s="12"/>
      <c r="B834" s="13"/>
      <c r="C834" s="14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24.0" customHeight="1">
      <c r="A835" s="12"/>
      <c r="B835" s="13"/>
      <c r="C835" s="14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24.0" customHeight="1">
      <c r="A836" s="12"/>
      <c r="B836" s="13"/>
      <c r="C836" s="14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24.0" customHeight="1">
      <c r="A837" s="12"/>
      <c r="B837" s="13"/>
      <c r="C837" s="14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24.0" customHeight="1">
      <c r="A838" s="12"/>
      <c r="B838" s="13"/>
      <c r="C838" s="14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24.0" customHeight="1">
      <c r="A839" s="12"/>
      <c r="B839" s="13"/>
      <c r="C839" s="14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24.0" customHeight="1">
      <c r="A840" s="12"/>
      <c r="B840" s="13"/>
      <c r="C840" s="14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24.0" customHeight="1">
      <c r="A841" s="12"/>
      <c r="B841" s="13"/>
      <c r="C841" s="14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24.0" customHeight="1">
      <c r="A842" s="12"/>
      <c r="B842" s="13"/>
      <c r="C842" s="14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24.0" customHeight="1">
      <c r="A843" s="12"/>
      <c r="B843" s="13"/>
      <c r="C843" s="14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24.0" customHeight="1">
      <c r="A844" s="12"/>
      <c r="B844" s="13"/>
      <c r="C844" s="14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24.0" customHeight="1">
      <c r="A845" s="12"/>
      <c r="B845" s="13"/>
      <c r="C845" s="14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24.0" customHeight="1">
      <c r="A846" s="12"/>
      <c r="B846" s="13"/>
      <c r="C846" s="14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24.0" customHeight="1">
      <c r="A847" s="12"/>
      <c r="B847" s="13"/>
      <c r="C847" s="14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24.0" customHeight="1">
      <c r="A848" s="12"/>
      <c r="B848" s="13"/>
      <c r="C848" s="14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24.0" customHeight="1">
      <c r="A849" s="12"/>
      <c r="B849" s="13"/>
      <c r="C849" s="14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24.0" customHeight="1">
      <c r="A850" s="12"/>
      <c r="B850" s="13"/>
      <c r="C850" s="14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24.0" customHeight="1">
      <c r="A851" s="12"/>
      <c r="B851" s="13"/>
      <c r="C851" s="14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24.0" customHeight="1">
      <c r="A852" s="12"/>
      <c r="B852" s="13"/>
      <c r="C852" s="14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24.0" customHeight="1">
      <c r="A853" s="12"/>
      <c r="B853" s="13"/>
      <c r="C853" s="14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24.0" customHeight="1">
      <c r="A854" s="12"/>
      <c r="B854" s="13"/>
      <c r="C854" s="14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24.0" customHeight="1">
      <c r="A855" s="12"/>
      <c r="B855" s="13"/>
      <c r="C855" s="14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24.0" customHeight="1">
      <c r="A856" s="12"/>
      <c r="B856" s="13"/>
      <c r="C856" s="14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24.0" customHeight="1">
      <c r="A857" s="12"/>
      <c r="B857" s="13"/>
      <c r="C857" s="14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24.0" customHeight="1">
      <c r="A858" s="12"/>
      <c r="B858" s="13"/>
      <c r="C858" s="14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24.0" customHeight="1">
      <c r="A859" s="12"/>
      <c r="B859" s="13"/>
      <c r="C859" s="14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24.0" customHeight="1">
      <c r="A860" s="12"/>
      <c r="B860" s="13"/>
      <c r="C860" s="14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24.0" customHeight="1">
      <c r="A861" s="12"/>
      <c r="B861" s="13"/>
      <c r="C861" s="14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24.0" customHeight="1">
      <c r="A862" s="12"/>
      <c r="B862" s="13"/>
      <c r="C862" s="14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24.0" customHeight="1">
      <c r="A863" s="12"/>
      <c r="B863" s="13"/>
      <c r="C863" s="14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24.0" customHeight="1">
      <c r="A864" s="12"/>
      <c r="B864" s="13"/>
      <c r="C864" s="14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24.0" customHeight="1">
      <c r="A865" s="12"/>
      <c r="B865" s="13"/>
      <c r="C865" s="14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24.0" customHeight="1">
      <c r="A866" s="12"/>
      <c r="B866" s="13"/>
      <c r="C866" s="14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24.0" customHeight="1">
      <c r="A867" s="12"/>
      <c r="B867" s="13"/>
      <c r="C867" s="14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24.0" customHeight="1">
      <c r="A868" s="12"/>
      <c r="B868" s="13"/>
      <c r="C868" s="14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24.0" customHeight="1">
      <c r="A869" s="12"/>
      <c r="B869" s="13"/>
      <c r="C869" s="14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24.0" customHeight="1">
      <c r="A870" s="12"/>
      <c r="B870" s="13"/>
      <c r="C870" s="14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24.0" customHeight="1">
      <c r="A871" s="12"/>
      <c r="B871" s="13"/>
      <c r="C871" s="14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24.0" customHeight="1">
      <c r="A872" s="12"/>
      <c r="B872" s="13"/>
      <c r="C872" s="14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24.0" customHeight="1">
      <c r="A873" s="12"/>
      <c r="B873" s="13"/>
      <c r="C873" s="14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24.0" customHeight="1">
      <c r="A874" s="12"/>
      <c r="B874" s="13"/>
      <c r="C874" s="14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24.0" customHeight="1">
      <c r="A875" s="12"/>
      <c r="B875" s="13"/>
      <c r="C875" s="14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24.0" customHeight="1">
      <c r="A876" s="12"/>
      <c r="B876" s="13"/>
      <c r="C876" s="14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24.0" customHeight="1">
      <c r="A877" s="12"/>
      <c r="B877" s="13"/>
      <c r="C877" s="14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24.0" customHeight="1">
      <c r="A878" s="12"/>
      <c r="B878" s="13"/>
      <c r="C878" s="14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24.0" customHeight="1">
      <c r="A879" s="12"/>
      <c r="B879" s="13"/>
      <c r="C879" s="14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24.0" customHeight="1">
      <c r="A880" s="12"/>
      <c r="B880" s="13"/>
      <c r="C880" s="14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24.0" customHeight="1">
      <c r="A881" s="12"/>
      <c r="B881" s="13"/>
      <c r="C881" s="14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24.0" customHeight="1">
      <c r="A882" s="12"/>
      <c r="B882" s="13"/>
      <c r="C882" s="14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24.0" customHeight="1">
      <c r="A883" s="12"/>
      <c r="B883" s="13"/>
      <c r="C883" s="14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24.0" customHeight="1">
      <c r="A884" s="12"/>
      <c r="B884" s="13"/>
      <c r="C884" s="14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24.0" customHeight="1">
      <c r="A885" s="12"/>
      <c r="B885" s="13"/>
      <c r="C885" s="14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24.0" customHeight="1">
      <c r="A886" s="12"/>
      <c r="B886" s="13"/>
      <c r="C886" s="14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24.0" customHeight="1">
      <c r="A887" s="12"/>
      <c r="B887" s="13"/>
      <c r="C887" s="14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24.0" customHeight="1">
      <c r="A888" s="12"/>
      <c r="B888" s="13"/>
      <c r="C888" s="14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24.0" customHeight="1">
      <c r="A889" s="12"/>
      <c r="B889" s="13"/>
      <c r="C889" s="14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24.0" customHeight="1">
      <c r="A890" s="12"/>
      <c r="B890" s="13"/>
      <c r="C890" s="14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24.0" customHeight="1">
      <c r="A891" s="12"/>
      <c r="B891" s="13"/>
      <c r="C891" s="14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24.0" customHeight="1">
      <c r="A892" s="12"/>
      <c r="B892" s="13"/>
      <c r="C892" s="14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24.0" customHeight="1">
      <c r="A893" s="12"/>
      <c r="B893" s="13"/>
      <c r="C893" s="14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24.0" customHeight="1">
      <c r="A894" s="12"/>
      <c r="B894" s="13"/>
      <c r="C894" s="14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24.0" customHeight="1">
      <c r="A895" s="12"/>
      <c r="B895" s="13"/>
      <c r="C895" s="14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24.0" customHeight="1">
      <c r="A896" s="12"/>
      <c r="B896" s="13"/>
      <c r="C896" s="14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24.0" customHeight="1">
      <c r="A897" s="12"/>
      <c r="B897" s="13"/>
      <c r="C897" s="14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24.0" customHeight="1">
      <c r="A898" s="12"/>
      <c r="B898" s="13"/>
      <c r="C898" s="14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24.0" customHeight="1">
      <c r="A899" s="12"/>
      <c r="B899" s="13"/>
      <c r="C899" s="14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24.0" customHeight="1">
      <c r="A900" s="12"/>
      <c r="B900" s="13"/>
      <c r="C900" s="14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24.0" customHeight="1">
      <c r="A901" s="12"/>
      <c r="B901" s="13"/>
      <c r="C901" s="14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24.0" customHeight="1">
      <c r="A902" s="12"/>
      <c r="B902" s="13"/>
      <c r="C902" s="14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24.0" customHeight="1">
      <c r="A903" s="12"/>
      <c r="B903" s="13"/>
      <c r="C903" s="14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24.0" customHeight="1">
      <c r="A904" s="12"/>
      <c r="B904" s="13"/>
      <c r="C904" s="14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24.0" customHeight="1">
      <c r="A905" s="12"/>
      <c r="B905" s="13"/>
      <c r="C905" s="14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24.0" customHeight="1">
      <c r="A906" s="12"/>
      <c r="B906" s="13"/>
      <c r="C906" s="14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24.0" customHeight="1">
      <c r="A907" s="12"/>
      <c r="B907" s="13"/>
      <c r="C907" s="14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24.0" customHeight="1">
      <c r="A908" s="12"/>
      <c r="B908" s="13"/>
      <c r="C908" s="14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24.0" customHeight="1">
      <c r="A909" s="12"/>
      <c r="B909" s="13"/>
      <c r="C909" s="14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24.0" customHeight="1">
      <c r="A910" s="12"/>
      <c r="B910" s="13"/>
      <c r="C910" s="14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24.0" customHeight="1">
      <c r="A911" s="12"/>
      <c r="B911" s="13"/>
      <c r="C911" s="14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24.0" customHeight="1">
      <c r="A912" s="12"/>
      <c r="B912" s="13"/>
      <c r="C912" s="14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24.0" customHeight="1">
      <c r="A913" s="12"/>
      <c r="B913" s="13"/>
      <c r="C913" s="14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24.0" customHeight="1">
      <c r="A914" s="12"/>
      <c r="B914" s="13"/>
      <c r="C914" s="14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24.0" customHeight="1">
      <c r="A915" s="12"/>
      <c r="B915" s="13"/>
      <c r="C915" s="14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24.0" customHeight="1">
      <c r="A916" s="12"/>
      <c r="B916" s="13"/>
      <c r="C916" s="14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24.0" customHeight="1">
      <c r="A917" s="12"/>
      <c r="B917" s="13"/>
      <c r="C917" s="14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24.0" customHeight="1">
      <c r="A918" s="12"/>
      <c r="B918" s="13"/>
      <c r="C918" s="14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24.0" customHeight="1">
      <c r="A919" s="12"/>
      <c r="B919" s="13"/>
      <c r="C919" s="14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24.0" customHeight="1">
      <c r="A920" s="12"/>
      <c r="B920" s="13"/>
      <c r="C920" s="14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24.0" customHeight="1">
      <c r="A921" s="12"/>
      <c r="B921" s="13"/>
      <c r="C921" s="14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24.0" customHeight="1">
      <c r="A922" s="12"/>
      <c r="B922" s="13"/>
      <c r="C922" s="14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24.0" customHeight="1">
      <c r="A923" s="12"/>
      <c r="B923" s="13"/>
      <c r="C923" s="14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24.0" customHeight="1">
      <c r="A924" s="12"/>
      <c r="B924" s="13"/>
      <c r="C924" s="14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24.0" customHeight="1">
      <c r="A925" s="12"/>
      <c r="B925" s="13"/>
      <c r="C925" s="14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24.0" customHeight="1">
      <c r="A926" s="12"/>
      <c r="B926" s="13"/>
      <c r="C926" s="14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24.0" customHeight="1">
      <c r="A927" s="12"/>
      <c r="B927" s="13"/>
      <c r="C927" s="14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24.0" customHeight="1">
      <c r="A928" s="12"/>
      <c r="B928" s="13"/>
      <c r="C928" s="14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24.0" customHeight="1">
      <c r="A929" s="12"/>
      <c r="B929" s="13"/>
      <c r="C929" s="14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24.0" customHeight="1">
      <c r="A930" s="12"/>
      <c r="B930" s="13"/>
      <c r="C930" s="14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24.0" customHeight="1">
      <c r="A931" s="12"/>
      <c r="B931" s="13"/>
      <c r="C931" s="14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24.0" customHeight="1">
      <c r="A932" s="12"/>
      <c r="B932" s="13"/>
      <c r="C932" s="14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24.0" customHeight="1">
      <c r="A933" s="12"/>
      <c r="B933" s="13"/>
      <c r="C933" s="14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24.0" customHeight="1">
      <c r="A934" s="12"/>
      <c r="B934" s="13"/>
      <c r="C934" s="14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24.0" customHeight="1">
      <c r="A935" s="12"/>
      <c r="B935" s="13"/>
      <c r="C935" s="14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24.0" customHeight="1">
      <c r="A936" s="12"/>
      <c r="B936" s="13"/>
      <c r="C936" s="14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24.0" customHeight="1">
      <c r="A937" s="12"/>
      <c r="B937" s="13"/>
      <c r="C937" s="14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24.0" customHeight="1">
      <c r="A938" s="12"/>
      <c r="B938" s="13"/>
      <c r="C938" s="14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24.0" customHeight="1">
      <c r="A939" s="12"/>
      <c r="B939" s="13"/>
      <c r="C939" s="14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24.0" customHeight="1">
      <c r="A940" s="12"/>
      <c r="B940" s="13"/>
      <c r="C940" s="14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24.0" customHeight="1">
      <c r="A941" s="12"/>
      <c r="B941" s="13"/>
      <c r="C941" s="14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24.0" customHeight="1">
      <c r="A942" s="12"/>
      <c r="B942" s="13"/>
      <c r="C942" s="14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24.0" customHeight="1">
      <c r="A943" s="12"/>
      <c r="B943" s="13"/>
      <c r="C943" s="14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24.0" customHeight="1">
      <c r="A944" s="12"/>
      <c r="B944" s="13"/>
      <c r="C944" s="14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24.0" customHeight="1">
      <c r="A945" s="12"/>
      <c r="B945" s="13"/>
      <c r="C945" s="14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24.0" customHeight="1">
      <c r="A946" s="12"/>
      <c r="B946" s="13"/>
      <c r="C946" s="14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24.0" customHeight="1">
      <c r="A947" s="12"/>
      <c r="B947" s="13"/>
      <c r="C947" s="14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24.0" customHeight="1">
      <c r="A948" s="12"/>
      <c r="B948" s="13"/>
      <c r="C948" s="14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24.0" customHeight="1">
      <c r="A949" s="12"/>
      <c r="B949" s="13"/>
      <c r="C949" s="14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24.0" customHeight="1">
      <c r="A950" s="12"/>
      <c r="B950" s="13"/>
      <c r="C950" s="14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24.0" customHeight="1">
      <c r="A951" s="12"/>
      <c r="B951" s="13"/>
      <c r="C951" s="14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24.0" customHeight="1">
      <c r="A952" s="12"/>
      <c r="B952" s="13"/>
      <c r="C952" s="14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24.0" customHeight="1">
      <c r="A953" s="12"/>
      <c r="B953" s="13"/>
      <c r="C953" s="14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24.0" customHeight="1">
      <c r="A954" s="12"/>
      <c r="B954" s="13"/>
      <c r="C954" s="14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24.0" customHeight="1">
      <c r="A955" s="12"/>
      <c r="B955" s="13"/>
      <c r="C955" s="14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24.0" customHeight="1">
      <c r="A956" s="12"/>
      <c r="B956" s="13"/>
      <c r="C956" s="14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24.0" customHeight="1">
      <c r="A957" s="12"/>
      <c r="B957" s="13"/>
      <c r="C957" s="14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24.0" customHeight="1">
      <c r="A958" s="12"/>
      <c r="B958" s="13"/>
      <c r="C958" s="14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24.0" customHeight="1">
      <c r="A959" s="12"/>
      <c r="B959" s="13"/>
      <c r="C959" s="14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24.0" customHeight="1">
      <c r="A960" s="12"/>
      <c r="B960" s="13"/>
      <c r="C960" s="14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24.0" customHeight="1">
      <c r="A961" s="12"/>
      <c r="B961" s="13"/>
      <c r="C961" s="14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24.0" customHeight="1">
      <c r="A962" s="12"/>
      <c r="B962" s="13"/>
      <c r="C962" s="14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24.0" customHeight="1">
      <c r="A963" s="12"/>
      <c r="B963" s="13"/>
      <c r="C963" s="14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24.0" customHeight="1">
      <c r="A964" s="12"/>
      <c r="B964" s="13"/>
      <c r="C964" s="14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24.0" customHeight="1">
      <c r="A965" s="12"/>
      <c r="B965" s="13"/>
      <c r="C965" s="14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24.0" customHeight="1">
      <c r="A966" s="12"/>
      <c r="B966" s="13"/>
      <c r="C966" s="14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24.0" customHeight="1">
      <c r="A967" s="12"/>
      <c r="B967" s="13"/>
      <c r="C967" s="14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24.0" customHeight="1">
      <c r="A968" s="12"/>
      <c r="B968" s="13"/>
      <c r="C968" s="14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24.0" customHeight="1">
      <c r="A969" s="12"/>
      <c r="B969" s="13"/>
      <c r="C969" s="14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24.0" customHeight="1">
      <c r="A970" s="12"/>
      <c r="B970" s="13"/>
      <c r="C970" s="14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24.0" customHeight="1">
      <c r="A971" s="12"/>
      <c r="B971" s="13"/>
      <c r="C971" s="14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24.0" customHeight="1">
      <c r="A972" s="12"/>
      <c r="B972" s="13"/>
      <c r="C972" s="14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24.0" customHeight="1">
      <c r="A973" s="12"/>
      <c r="B973" s="13"/>
      <c r="C973" s="14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24.0" customHeight="1">
      <c r="A974" s="12"/>
      <c r="B974" s="13"/>
      <c r="C974" s="14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24.0" customHeight="1">
      <c r="A975" s="12"/>
      <c r="B975" s="13"/>
      <c r="C975" s="14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24.0" customHeight="1">
      <c r="A976" s="12"/>
      <c r="B976" s="13"/>
      <c r="C976" s="14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24.0" customHeight="1">
      <c r="A977" s="12"/>
      <c r="B977" s="13"/>
      <c r="C977" s="14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24.0" customHeight="1">
      <c r="A978" s="12"/>
      <c r="B978" s="13"/>
      <c r="C978" s="14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24.0" customHeight="1">
      <c r="A979" s="12"/>
      <c r="B979" s="13"/>
      <c r="C979" s="14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24.0" customHeight="1">
      <c r="A980" s="12"/>
      <c r="B980" s="13"/>
      <c r="C980" s="14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24.0" customHeight="1">
      <c r="A981" s="12"/>
      <c r="B981" s="13"/>
      <c r="C981" s="14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24.0" customHeight="1">
      <c r="A982" s="12"/>
      <c r="B982" s="13"/>
      <c r="C982" s="14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24.0" customHeight="1">
      <c r="A983" s="12"/>
      <c r="B983" s="13"/>
      <c r="C983" s="14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24.0" customHeight="1">
      <c r="A984" s="12"/>
      <c r="B984" s="13"/>
      <c r="C984" s="14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24.0" customHeight="1">
      <c r="A985" s="12"/>
      <c r="B985" s="13"/>
      <c r="C985" s="14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24.0" customHeight="1">
      <c r="A986" s="12"/>
      <c r="B986" s="13"/>
      <c r="C986" s="14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24.0" customHeight="1">
      <c r="A987" s="12"/>
      <c r="B987" s="13"/>
      <c r="C987" s="14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24.0" customHeight="1">
      <c r="A988" s="12"/>
      <c r="B988" s="13"/>
      <c r="C988" s="14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24.0" customHeight="1">
      <c r="A989" s="12"/>
      <c r="B989" s="13"/>
      <c r="C989" s="14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24.0" customHeight="1">
      <c r="A990" s="12"/>
      <c r="B990" s="13"/>
      <c r="C990" s="14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24.0" customHeight="1">
      <c r="A991" s="12"/>
      <c r="B991" s="13"/>
      <c r="C991" s="14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24.0" customHeight="1">
      <c r="A992" s="12"/>
      <c r="B992" s="13"/>
      <c r="C992" s="14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24.0" customHeight="1">
      <c r="A993" s="12"/>
      <c r="B993" s="13"/>
      <c r="C993" s="14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24.0" customHeight="1">
      <c r="A994" s="12"/>
      <c r="B994" s="13"/>
      <c r="C994" s="14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24.0" customHeight="1">
      <c r="A995" s="12"/>
      <c r="B995" s="13"/>
      <c r="C995" s="14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24.0" customHeight="1">
      <c r="A996" s="12"/>
      <c r="B996" s="13"/>
      <c r="C996" s="14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24.0" customHeight="1">
      <c r="A997" s="12"/>
      <c r="B997" s="13"/>
      <c r="C997" s="14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24.0" customHeight="1">
      <c r="A998" s="12"/>
      <c r="B998" s="13"/>
      <c r="C998" s="14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24.0" customHeight="1">
      <c r="A999" s="12"/>
      <c r="B999" s="13"/>
      <c r="C999" s="14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24.0" customHeight="1">
      <c r="A1000" s="12"/>
      <c r="B1000" s="13"/>
      <c r="C1000" s="14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hyperlinks>
    <hyperlink r:id="rId1" ref="C8"/>
  </hyperlinks>
  <printOptions/>
  <pageMargins bottom="0.75" footer="0.0" header="0.0" left="0.7" right="0.7" top="0.75"/>
  <pageSetup paperSize="9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4.43" defaultRowHeight="15.0" outlineLevelRow="1"/>
  <cols>
    <col customWidth="1" min="1" max="1" width="34.0"/>
    <col customWidth="1" min="2" max="2" width="11.71"/>
    <col customWidth="1" min="3" max="3" width="17.43"/>
    <col customWidth="1" min="4" max="13" width="12.57"/>
    <col customWidth="1" min="14" max="33" width="9.14"/>
  </cols>
  <sheetData>
    <row r="1">
      <c r="A1" s="17" t="s">
        <v>66</v>
      </c>
      <c r="B1" s="6"/>
      <c r="C1" s="18" t="s">
        <v>67</v>
      </c>
      <c r="D1" s="5"/>
      <c r="E1" s="5"/>
      <c r="F1" s="6"/>
      <c r="G1" s="19" t="s">
        <v>68</v>
      </c>
      <c r="H1" s="20" t="s">
        <v>69</v>
      </c>
      <c r="I1" s="21"/>
      <c r="J1" s="21"/>
      <c r="K1" s="21"/>
      <c r="L1" s="21"/>
      <c r="M1" s="22"/>
      <c r="N1" s="21"/>
      <c r="O1" s="21"/>
      <c r="P1" s="21"/>
      <c r="Q1" s="21"/>
      <c r="R1" s="21"/>
      <c r="S1" s="21"/>
      <c r="T1" s="21"/>
      <c r="U1" s="21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</row>
    <row r="2">
      <c r="A2" s="24" t="s">
        <v>70</v>
      </c>
      <c r="B2" s="25"/>
      <c r="C2" s="26" t="str">
        <f>'Data Sheet'!B1</f>
        <v>ITC LTD</v>
      </c>
      <c r="D2" s="5"/>
      <c r="E2" s="5"/>
      <c r="F2" s="5"/>
      <c r="G2" s="5"/>
      <c r="H2" s="5"/>
      <c r="I2" s="5"/>
      <c r="J2" s="5"/>
      <c r="K2" s="5"/>
      <c r="L2" s="6"/>
      <c r="M2" s="27"/>
      <c r="N2" s="28"/>
      <c r="O2" s="28"/>
      <c r="P2" s="28"/>
      <c r="Q2" s="28"/>
      <c r="R2" s="28"/>
      <c r="S2" s="28"/>
      <c r="T2" s="28"/>
      <c r="U2" s="28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>
      <c r="A3" s="30"/>
      <c r="B3" s="31"/>
      <c r="C3" s="32">
        <v>2014.0</v>
      </c>
      <c r="D3" s="32">
        <f t="shared" ref="D3:L3" si="1">C3+1</f>
        <v>2015</v>
      </c>
      <c r="E3" s="32">
        <f t="shared" si="1"/>
        <v>2016</v>
      </c>
      <c r="F3" s="32">
        <f t="shared" si="1"/>
        <v>2017</v>
      </c>
      <c r="G3" s="32">
        <f t="shared" si="1"/>
        <v>2018</v>
      </c>
      <c r="H3" s="32">
        <f t="shared" si="1"/>
        <v>2019</v>
      </c>
      <c r="I3" s="32">
        <f t="shared" si="1"/>
        <v>2020</v>
      </c>
      <c r="J3" s="32">
        <f t="shared" si="1"/>
        <v>2021</v>
      </c>
      <c r="K3" s="32">
        <f t="shared" si="1"/>
        <v>2022</v>
      </c>
      <c r="L3" s="32">
        <f t="shared" si="1"/>
        <v>2023</v>
      </c>
      <c r="M3" s="33" t="s">
        <v>71</v>
      </c>
      <c r="N3" s="34"/>
      <c r="O3" s="35"/>
      <c r="P3" s="35"/>
      <c r="Q3" s="35"/>
      <c r="R3" s="35"/>
      <c r="S3" s="35"/>
      <c r="T3" s="35"/>
      <c r="U3" s="35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</row>
    <row r="4" ht="21.75" customHeight="1">
      <c r="A4" s="36"/>
      <c r="B4" s="36"/>
      <c r="C4" s="37"/>
      <c r="D4" s="36"/>
      <c r="E4" s="36"/>
      <c r="F4" s="36"/>
      <c r="G4" s="36"/>
      <c r="H4" s="36"/>
      <c r="I4" s="36"/>
      <c r="J4" s="36"/>
      <c r="K4" s="36"/>
      <c r="L4" s="36"/>
      <c r="M4" s="38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</row>
    <row r="5">
      <c r="A5" s="39" t="s">
        <v>72</v>
      </c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3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outlineLevel="1">
      <c r="A6" s="44"/>
      <c r="B6" s="44"/>
      <c r="C6" s="45"/>
      <c r="D6" s="44"/>
      <c r="E6" s="44"/>
      <c r="F6" s="44"/>
      <c r="G6" s="44"/>
      <c r="H6" s="44"/>
      <c r="I6" s="44"/>
      <c r="J6" s="44"/>
      <c r="K6" s="44"/>
      <c r="L6" s="44"/>
      <c r="M6" s="46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outlineLevel="1">
      <c r="A7" s="47" t="s">
        <v>73</v>
      </c>
      <c r="B7" s="47"/>
      <c r="C7" s="48">
        <f>'Data Sheet'!B17</f>
        <v>35306.43</v>
      </c>
      <c r="D7" s="48">
        <f>'Data Sheet'!C17</f>
        <v>38817.15</v>
      </c>
      <c r="E7" s="48">
        <f>'Data Sheet'!D17</f>
        <v>39192.1</v>
      </c>
      <c r="F7" s="48">
        <f>'Data Sheet'!E17</f>
        <v>42767.6</v>
      </c>
      <c r="G7" s="48">
        <f>'Data Sheet'!F17</f>
        <v>43448.94</v>
      </c>
      <c r="H7" s="48">
        <f>'Data Sheet'!G17</f>
        <v>48339.58</v>
      </c>
      <c r="I7" s="48">
        <f>'Data Sheet'!H17</f>
        <v>49387.7</v>
      </c>
      <c r="J7" s="48">
        <f>'Data Sheet'!I17</f>
        <v>49257.45</v>
      </c>
      <c r="K7" s="48">
        <f>'Data Sheet'!J17</f>
        <v>60644.54</v>
      </c>
      <c r="L7" s="48">
        <f>'Data Sheet'!K17</f>
        <v>70919.03</v>
      </c>
      <c r="M7" s="48">
        <f>SUM('Data Sheet'!H42:K42)</f>
        <v>69611.86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outlineLevel="1">
      <c r="A8" s="49" t="s">
        <v>74</v>
      </c>
      <c r="B8" s="49"/>
      <c r="C8" s="50"/>
      <c r="D8" s="51">
        <f t="shared" ref="D8:M8" si="2">IF(C7=0,0,(D7/C7)-1)</f>
        <v>0.09943571185</v>
      </c>
      <c r="E8" s="51">
        <f t="shared" si="2"/>
        <v>0.009659390244</v>
      </c>
      <c r="F8" s="51">
        <f t="shared" si="2"/>
        <v>0.09123012036</v>
      </c>
      <c r="G8" s="51">
        <f t="shared" si="2"/>
        <v>0.01593121896</v>
      </c>
      <c r="H8" s="51">
        <f t="shared" si="2"/>
        <v>0.1125606286</v>
      </c>
      <c r="I8" s="51">
        <f t="shared" si="2"/>
        <v>0.02168243911</v>
      </c>
      <c r="J8" s="51">
        <f t="shared" si="2"/>
        <v>-0.002637296331</v>
      </c>
      <c r="K8" s="51">
        <f t="shared" si="2"/>
        <v>0.2311749796</v>
      </c>
      <c r="L8" s="51">
        <f t="shared" si="2"/>
        <v>0.1694215176</v>
      </c>
      <c r="M8" s="51">
        <f t="shared" si="2"/>
        <v>-0.01843186518</v>
      </c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outlineLevel="1">
      <c r="A9" s="52" t="s">
        <v>75</v>
      </c>
      <c r="B9" s="52"/>
      <c r="C9" s="53">
        <f>'Data Sheet'!B18+'Data Sheet'!B20+'Data Sheet'!B21-'Data Sheet'!B19</f>
        <v>15280.82</v>
      </c>
      <c r="D9" s="53">
        <f>'Data Sheet'!C18+'Data Sheet'!C20+'Data Sheet'!C21-'Data Sheet'!C19</f>
        <v>16916.1</v>
      </c>
      <c r="E9" s="53">
        <f>'Data Sheet'!D18+'Data Sheet'!D20+'Data Sheet'!D21-'Data Sheet'!D19</f>
        <v>15721.97</v>
      </c>
      <c r="F9" s="53">
        <f>'Data Sheet'!E18+'Data Sheet'!E20+'Data Sheet'!E21-'Data Sheet'!E19</f>
        <v>18317.39</v>
      </c>
      <c r="G9" s="53">
        <f>'Data Sheet'!F18+'Data Sheet'!F20+'Data Sheet'!F21-'Data Sheet'!F19</f>
        <v>18206.6</v>
      </c>
      <c r="H9" s="53">
        <f>'Data Sheet'!G18+'Data Sheet'!G20+'Data Sheet'!G21-'Data Sheet'!G19</f>
        <v>20038.07</v>
      </c>
      <c r="I9" s="53">
        <f>'Data Sheet'!H18+'Data Sheet'!H20+'Data Sheet'!H21-'Data Sheet'!H19</f>
        <v>20034.61</v>
      </c>
      <c r="J9" s="53">
        <f>'Data Sheet'!I18+'Data Sheet'!I20+'Data Sheet'!I21-'Data Sheet'!I19</f>
        <v>22418.18</v>
      </c>
      <c r="K9" s="53">
        <f>'Data Sheet'!J18+'Data Sheet'!J20+'Data Sheet'!J21-'Data Sheet'!J19</f>
        <v>29162.51</v>
      </c>
      <c r="L9" s="53">
        <f>'Data Sheet'!K18+'Data Sheet'!K20+'Data Sheet'!K21-'Data Sheet'!K19</f>
        <v>32565.91</v>
      </c>
      <c r="M9" s="54">
        <f>SUM('Data Sheet'!H43:K43)</f>
        <v>43353.99</v>
      </c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</row>
    <row r="10" outlineLevel="1">
      <c r="A10" s="55" t="s">
        <v>76</v>
      </c>
      <c r="B10" s="55"/>
      <c r="C10" s="56">
        <f t="shared" ref="C10:L10" si="3">C7-C9</f>
        <v>20025.61</v>
      </c>
      <c r="D10" s="56">
        <f t="shared" si="3"/>
        <v>21901.05</v>
      </c>
      <c r="E10" s="56">
        <f t="shared" si="3"/>
        <v>23470.13</v>
      </c>
      <c r="F10" s="56">
        <f t="shared" si="3"/>
        <v>24450.21</v>
      </c>
      <c r="G10" s="56">
        <f t="shared" si="3"/>
        <v>25242.34</v>
      </c>
      <c r="H10" s="56">
        <f t="shared" si="3"/>
        <v>28301.51</v>
      </c>
      <c r="I10" s="56">
        <f t="shared" si="3"/>
        <v>29353.09</v>
      </c>
      <c r="J10" s="56">
        <f t="shared" si="3"/>
        <v>26839.27</v>
      </c>
      <c r="K10" s="56">
        <f t="shared" si="3"/>
        <v>31482.03</v>
      </c>
      <c r="L10" s="56">
        <f t="shared" si="3"/>
        <v>38353.12</v>
      </c>
      <c r="M10" s="57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outlineLevel="1">
      <c r="A11" s="58" t="s">
        <v>77</v>
      </c>
      <c r="B11" s="58"/>
      <c r="C11" s="51">
        <f t="shared" ref="C11:L11" si="4">IF(C7=0,0,(C10/C7))</f>
        <v>0.5671944176</v>
      </c>
      <c r="D11" s="51">
        <f t="shared" si="4"/>
        <v>0.5642106646</v>
      </c>
      <c r="E11" s="51">
        <f t="shared" si="4"/>
        <v>0.5988484924</v>
      </c>
      <c r="F11" s="51">
        <f t="shared" si="4"/>
        <v>0.5716993706</v>
      </c>
      <c r="G11" s="51">
        <f t="shared" si="4"/>
        <v>0.5809656116</v>
      </c>
      <c r="H11" s="51">
        <f t="shared" si="4"/>
        <v>0.5854728154</v>
      </c>
      <c r="I11" s="51">
        <f t="shared" si="4"/>
        <v>0.5943400887</v>
      </c>
      <c r="J11" s="51">
        <f t="shared" si="4"/>
        <v>0.5448773739</v>
      </c>
      <c r="K11" s="51">
        <f t="shared" si="4"/>
        <v>0.519123898</v>
      </c>
      <c r="L11" s="51">
        <f t="shared" si="4"/>
        <v>0.540801531</v>
      </c>
      <c r="M11" s="51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outlineLevel="1">
      <c r="A12" s="59" t="s">
        <v>74</v>
      </c>
      <c r="B12" s="59"/>
      <c r="C12" s="60"/>
      <c r="D12" s="51">
        <f t="shared" ref="D12:L12" si="5">IF(C10=0,0,(D10/C10)-1)</f>
        <v>0.09365207851</v>
      </c>
      <c r="E12" s="51">
        <f t="shared" si="5"/>
        <v>0.0716440536</v>
      </c>
      <c r="F12" s="51">
        <f t="shared" si="5"/>
        <v>0.04175860977</v>
      </c>
      <c r="G12" s="51">
        <f t="shared" si="5"/>
        <v>0.03239767675</v>
      </c>
      <c r="H12" s="51">
        <f t="shared" si="5"/>
        <v>0.1211920131</v>
      </c>
      <c r="I12" s="51">
        <f t="shared" si="5"/>
        <v>0.03715632134</v>
      </c>
      <c r="J12" s="51">
        <f t="shared" si="5"/>
        <v>-0.08564072811</v>
      </c>
      <c r="K12" s="51">
        <f t="shared" si="5"/>
        <v>0.1729838405</v>
      </c>
      <c r="L12" s="51">
        <f t="shared" si="5"/>
        <v>0.2182543502</v>
      </c>
      <c r="M12" s="51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</row>
    <row r="13" outlineLevel="1">
      <c r="A13" s="47"/>
      <c r="B13" s="47"/>
      <c r="C13" s="48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</row>
    <row r="14" outlineLevel="1">
      <c r="A14" s="44" t="s">
        <v>78</v>
      </c>
      <c r="B14" s="44"/>
      <c r="C14" s="48">
        <f>SUM('Data Sheet'!B22:B23)</f>
        <v>5865.44</v>
      </c>
      <c r="D14" s="48">
        <f>SUM('Data Sheet'!C22:C23)</f>
        <v>6648.47</v>
      </c>
      <c r="E14" s="48">
        <f>SUM('Data Sheet'!D22:D23)</f>
        <v>7702.75</v>
      </c>
      <c r="F14" s="48">
        <f>SUM('Data Sheet'!E22:E23)</f>
        <v>7811.47</v>
      </c>
      <c r="G14" s="48">
        <f>SUM('Data Sheet'!F22:F23)</f>
        <v>7715.77</v>
      </c>
      <c r="H14" s="48">
        <f>SUM('Data Sheet'!G22:G23)</f>
        <v>8724.27</v>
      </c>
      <c r="I14" s="48">
        <f>SUM('Data Sheet'!H22:H23)</f>
        <v>8784.42</v>
      </c>
      <c r="J14" s="48">
        <f>SUM('Data Sheet'!I22:I23)</f>
        <v>8700.1</v>
      </c>
      <c r="K14" s="48">
        <f>SUM('Data Sheet'!J22:J23)</f>
        <v>9748.93</v>
      </c>
      <c r="L14" s="48">
        <f>SUM('Data Sheet'!K22:K23)</f>
        <v>11340.3</v>
      </c>
      <c r="M14" s="62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</row>
    <row r="15" outlineLevel="1">
      <c r="A15" s="52" t="s">
        <v>79</v>
      </c>
      <c r="B15" s="52"/>
      <c r="C15" s="53">
        <f>'Data Sheet'!B24</f>
        <v>1080.27</v>
      </c>
      <c r="D15" s="53">
        <f>'Data Sheet'!C24</f>
        <v>1000.96</v>
      </c>
      <c r="E15" s="53">
        <f>'Data Sheet'!D24</f>
        <v>1235.89</v>
      </c>
      <c r="F15" s="53">
        <f>'Data Sheet'!E24</f>
        <v>1169.23</v>
      </c>
      <c r="G15" s="53">
        <f>'Data Sheet'!F24</f>
        <v>1005.98</v>
      </c>
      <c r="H15" s="53">
        <f>'Data Sheet'!G24</f>
        <v>1039.85</v>
      </c>
      <c r="I15" s="53">
        <f>'Data Sheet'!H24</f>
        <v>1225.13</v>
      </c>
      <c r="J15" s="53">
        <f>'Data Sheet'!I24</f>
        <v>1074.39</v>
      </c>
      <c r="K15" s="53">
        <f>'Data Sheet'!J24</f>
        <v>1109.95</v>
      </c>
      <c r="L15" s="53">
        <f>'Data Sheet'!K24</f>
        <v>1308.56</v>
      </c>
      <c r="M15" s="62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</row>
    <row r="16" outlineLevel="1">
      <c r="A16" s="63" t="s">
        <v>80</v>
      </c>
      <c r="B16" s="63"/>
      <c r="C16" s="56">
        <f t="shared" ref="C16:L16" si="6">C10-C14-C15</f>
        <v>13079.9</v>
      </c>
      <c r="D16" s="56">
        <f t="shared" si="6"/>
        <v>14251.62</v>
      </c>
      <c r="E16" s="56">
        <f t="shared" si="6"/>
        <v>14531.49</v>
      </c>
      <c r="F16" s="56">
        <f t="shared" si="6"/>
        <v>15469.51</v>
      </c>
      <c r="G16" s="56">
        <f t="shared" si="6"/>
        <v>16520.59</v>
      </c>
      <c r="H16" s="56">
        <f t="shared" si="6"/>
        <v>18537.39</v>
      </c>
      <c r="I16" s="56">
        <f t="shared" si="6"/>
        <v>19343.54</v>
      </c>
      <c r="J16" s="56">
        <f t="shared" si="6"/>
        <v>17064.78</v>
      </c>
      <c r="K16" s="56">
        <f t="shared" si="6"/>
        <v>20623.15</v>
      </c>
      <c r="L16" s="56">
        <f t="shared" si="6"/>
        <v>25704.26</v>
      </c>
      <c r="M16" s="64">
        <f>M7+M20-M9</f>
        <v>28712.8</v>
      </c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</row>
    <row r="17" outlineLevel="1">
      <c r="A17" s="49" t="s">
        <v>81</v>
      </c>
      <c r="B17" s="49"/>
      <c r="C17" s="51">
        <f t="shared" ref="C17:M17" si="7">IF(C7=0,0,C16/C7)</f>
        <v>0.3704679289</v>
      </c>
      <c r="D17" s="51">
        <f t="shared" si="7"/>
        <v>0.3671475108</v>
      </c>
      <c r="E17" s="51">
        <f t="shared" si="7"/>
        <v>0.3707759982</v>
      </c>
      <c r="F17" s="51">
        <f t="shared" si="7"/>
        <v>0.3617109681</v>
      </c>
      <c r="G17" s="51">
        <f t="shared" si="7"/>
        <v>0.3802299895</v>
      </c>
      <c r="H17" s="51">
        <f t="shared" si="7"/>
        <v>0.3834826451</v>
      </c>
      <c r="I17" s="51">
        <f t="shared" si="7"/>
        <v>0.391667156</v>
      </c>
      <c r="J17" s="51">
        <f t="shared" si="7"/>
        <v>0.3464405892</v>
      </c>
      <c r="K17" s="51">
        <f t="shared" si="7"/>
        <v>0.3400660637</v>
      </c>
      <c r="L17" s="51">
        <f t="shared" si="7"/>
        <v>0.3624451716</v>
      </c>
      <c r="M17" s="51">
        <f t="shared" si="7"/>
        <v>0.4124699441</v>
      </c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</row>
    <row r="18" outlineLevel="1">
      <c r="A18" s="59" t="s">
        <v>82</v>
      </c>
      <c r="B18" s="59"/>
      <c r="C18" s="48"/>
      <c r="D18" s="50">
        <f t="shared" ref="D18:M18" si="8">IF(C16=0,0,(D16/C16)-1)</f>
        <v>0.08958172463</v>
      </c>
      <c r="E18" s="50">
        <f t="shared" si="8"/>
        <v>0.0196377675</v>
      </c>
      <c r="F18" s="50">
        <f t="shared" si="8"/>
        <v>0.06455084785</v>
      </c>
      <c r="G18" s="50">
        <f t="shared" si="8"/>
        <v>0.06794526782</v>
      </c>
      <c r="H18" s="50">
        <f t="shared" si="8"/>
        <v>0.1220779645</v>
      </c>
      <c r="I18" s="50">
        <f t="shared" si="8"/>
        <v>0.04348778334</v>
      </c>
      <c r="J18" s="50">
        <f t="shared" si="8"/>
        <v>-0.1178047038</v>
      </c>
      <c r="K18" s="50">
        <f t="shared" si="8"/>
        <v>0.2085212936</v>
      </c>
      <c r="L18" s="50">
        <f t="shared" si="8"/>
        <v>0.2463789479</v>
      </c>
      <c r="M18" s="50">
        <f t="shared" si="8"/>
        <v>0.1170444121</v>
      </c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</row>
    <row r="19" outlineLevel="1">
      <c r="A19" s="59"/>
      <c r="B19" s="5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</row>
    <row r="20" outlineLevel="1">
      <c r="A20" s="65" t="str">
        <f>'Data Sheet'!A25</f>
        <v>Other Income</v>
      </c>
      <c r="B20" s="44"/>
      <c r="C20" s="48">
        <f>'Data Sheet'!B25</f>
        <v>965.74</v>
      </c>
      <c r="D20" s="48">
        <f>'Data Sheet'!C25</f>
        <v>1229.35</v>
      </c>
      <c r="E20" s="48">
        <f>'Data Sheet'!D25</f>
        <v>1483.11</v>
      </c>
      <c r="F20" s="48">
        <f>'Data Sheet'!E25</f>
        <v>1758.63</v>
      </c>
      <c r="G20" s="48">
        <f>'Data Sheet'!F25</f>
        <v>2239.81</v>
      </c>
      <c r="H20" s="48">
        <f>'Data Sheet'!G25</f>
        <v>2080.44</v>
      </c>
      <c r="I20" s="48">
        <f>'Data Sheet'!H25</f>
        <v>2417.32</v>
      </c>
      <c r="J20" s="48">
        <f>'Data Sheet'!I25</f>
        <v>2576.95</v>
      </c>
      <c r="K20" s="48">
        <f>'Data Sheet'!J25</f>
        <v>1909.72</v>
      </c>
      <c r="L20" s="48">
        <f>'Data Sheet'!K25</f>
        <v>2097.64</v>
      </c>
      <c r="M20" s="66">
        <f>SUM('Data Sheet'!H44:K44)</f>
        <v>2454.93</v>
      </c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</row>
    <row r="21" outlineLevel="1">
      <c r="A21" s="49" t="s">
        <v>83</v>
      </c>
      <c r="B21" s="49"/>
      <c r="C21" s="51">
        <f t="shared" ref="C21:M21" si="9">IF(C7=0,0,C20/C7)</f>
        <v>0.02735309121</v>
      </c>
      <c r="D21" s="51">
        <f t="shared" si="9"/>
        <v>0.03167027976</v>
      </c>
      <c r="E21" s="51">
        <f t="shared" si="9"/>
        <v>0.03784206511</v>
      </c>
      <c r="F21" s="51">
        <f t="shared" si="9"/>
        <v>0.04112061467</v>
      </c>
      <c r="G21" s="51">
        <f t="shared" si="9"/>
        <v>0.05155039456</v>
      </c>
      <c r="H21" s="51">
        <f t="shared" si="9"/>
        <v>0.04303802391</v>
      </c>
      <c r="I21" s="51">
        <f t="shared" si="9"/>
        <v>0.04894579015</v>
      </c>
      <c r="J21" s="51">
        <f t="shared" si="9"/>
        <v>0.05231594409</v>
      </c>
      <c r="K21" s="51">
        <f t="shared" si="9"/>
        <v>0.03149038644</v>
      </c>
      <c r="L21" s="51">
        <f t="shared" si="9"/>
        <v>0.02957795672</v>
      </c>
      <c r="M21" s="51">
        <f t="shared" si="9"/>
        <v>0.03526597336</v>
      </c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</row>
    <row r="22" outlineLevel="1">
      <c r="A22" s="65" t="str">
        <f>'Data Sheet'!A26</f>
        <v>Depreciation</v>
      </c>
      <c r="B22" s="44"/>
      <c r="C22" s="48">
        <f>'Data Sheet'!B26</f>
        <v>964.92</v>
      </c>
      <c r="D22" s="48">
        <f>'Data Sheet'!C26</f>
        <v>1027.96</v>
      </c>
      <c r="E22" s="48">
        <f>'Data Sheet'!D26</f>
        <v>1077.4</v>
      </c>
      <c r="F22" s="48">
        <f>'Data Sheet'!E26</f>
        <v>1152.79</v>
      </c>
      <c r="G22" s="48">
        <f>'Data Sheet'!F26</f>
        <v>1236.28</v>
      </c>
      <c r="H22" s="48">
        <f>'Data Sheet'!G26</f>
        <v>1396.61</v>
      </c>
      <c r="I22" s="48">
        <f>'Data Sheet'!H26</f>
        <v>1644.91</v>
      </c>
      <c r="J22" s="48">
        <f>'Data Sheet'!I26</f>
        <v>1645.59</v>
      </c>
      <c r="K22" s="48">
        <f>'Data Sheet'!J26</f>
        <v>1732.41</v>
      </c>
      <c r="L22" s="48">
        <f>'Data Sheet'!K26</f>
        <v>1809.01</v>
      </c>
      <c r="M22" s="62">
        <f>SUM('Data Sheet'!H45:K45)</f>
        <v>1813.35</v>
      </c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</row>
    <row r="23" outlineLevel="1">
      <c r="A23" s="63" t="s">
        <v>84</v>
      </c>
      <c r="B23" s="63"/>
      <c r="C23" s="56">
        <f t="shared" ref="C23:M23" si="10">C16-C22+C20</f>
        <v>13080.72</v>
      </c>
      <c r="D23" s="56">
        <f t="shared" si="10"/>
        <v>14453.01</v>
      </c>
      <c r="E23" s="56">
        <f t="shared" si="10"/>
        <v>14937.2</v>
      </c>
      <c r="F23" s="56">
        <f t="shared" si="10"/>
        <v>16075.35</v>
      </c>
      <c r="G23" s="56">
        <f t="shared" si="10"/>
        <v>17524.12</v>
      </c>
      <c r="H23" s="56">
        <f t="shared" si="10"/>
        <v>19221.22</v>
      </c>
      <c r="I23" s="56">
        <f t="shared" si="10"/>
        <v>20115.95</v>
      </c>
      <c r="J23" s="56">
        <f t="shared" si="10"/>
        <v>17996.14</v>
      </c>
      <c r="K23" s="56">
        <f t="shared" si="10"/>
        <v>20800.46</v>
      </c>
      <c r="L23" s="56">
        <f t="shared" si="10"/>
        <v>25992.89</v>
      </c>
      <c r="M23" s="56">
        <f t="shared" si="10"/>
        <v>29354.38</v>
      </c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outlineLevel="1">
      <c r="A24" s="49" t="s">
        <v>85</v>
      </c>
      <c r="B24" s="49"/>
      <c r="C24" s="51">
        <f t="shared" ref="C24:M24" si="11">IF(C7=0,0,C23/C7)</f>
        <v>0.3704911542</v>
      </c>
      <c r="D24" s="51">
        <f t="shared" si="11"/>
        <v>0.3723356815</v>
      </c>
      <c r="E24" s="51">
        <f t="shared" si="11"/>
        <v>0.3811278293</v>
      </c>
      <c r="F24" s="51">
        <f t="shared" si="11"/>
        <v>0.375876832</v>
      </c>
      <c r="G24" s="51">
        <f t="shared" si="11"/>
        <v>0.4033267555</v>
      </c>
      <c r="H24" s="51">
        <f t="shared" si="11"/>
        <v>0.3976290237</v>
      </c>
      <c r="I24" s="51">
        <f t="shared" si="11"/>
        <v>0.4073068801</v>
      </c>
      <c r="J24" s="51">
        <f t="shared" si="11"/>
        <v>0.3653485919</v>
      </c>
      <c r="K24" s="51">
        <f t="shared" si="11"/>
        <v>0.3429898223</v>
      </c>
      <c r="L24" s="51">
        <f t="shared" si="11"/>
        <v>0.3665150242</v>
      </c>
      <c r="M24" s="51">
        <f t="shared" si="11"/>
        <v>0.421686477</v>
      </c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outlineLevel="1">
      <c r="A25" s="49" t="s">
        <v>74</v>
      </c>
      <c r="B25" s="49"/>
      <c r="C25" s="60"/>
      <c r="D25" s="51">
        <f t="shared" ref="D25:M25" si="12">IF(C23=0,0,(D23/C23)-1)</f>
        <v>0.1049093628</v>
      </c>
      <c r="E25" s="51">
        <f t="shared" si="12"/>
        <v>0.03350098007</v>
      </c>
      <c r="F25" s="51">
        <f t="shared" si="12"/>
        <v>0.07619567255</v>
      </c>
      <c r="G25" s="51">
        <f t="shared" si="12"/>
        <v>0.09012369871</v>
      </c>
      <c r="H25" s="51">
        <f t="shared" si="12"/>
        <v>0.09684366462</v>
      </c>
      <c r="I25" s="51">
        <f t="shared" si="12"/>
        <v>0.04654907441</v>
      </c>
      <c r="J25" s="51">
        <f t="shared" si="12"/>
        <v>-0.105379562</v>
      </c>
      <c r="K25" s="51">
        <f t="shared" si="12"/>
        <v>0.1558289722</v>
      </c>
      <c r="L25" s="51">
        <f t="shared" si="12"/>
        <v>0.249630537</v>
      </c>
      <c r="M25" s="51">
        <f t="shared" si="12"/>
        <v>0.1293234419</v>
      </c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</row>
    <row r="26" outlineLevel="1">
      <c r="A26" s="44"/>
      <c r="B26" s="44"/>
      <c r="C26" s="48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</row>
    <row r="27" outlineLevel="1">
      <c r="A27" s="67" t="str">
        <f>'Data Sheet'!A27</f>
        <v>Interest</v>
      </c>
      <c r="B27" s="52"/>
      <c r="C27" s="53">
        <f>'Data Sheet'!B27</f>
        <v>29.17</v>
      </c>
      <c r="D27" s="53">
        <f>'Data Sheet'!C27</f>
        <v>90.96</v>
      </c>
      <c r="E27" s="53">
        <f>'Data Sheet'!D27</f>
        <v>78.13</v>
      </c>
      <c r="F27" s="53">
        <f>'Data Sheet'!E27</f>
        <v>49.03</v>
      </c>
      <c r="G27" s="53">
        <f>'Data Sheet'!F27</f>
        <v>115.01</v>
      </c>
      <c r="H27" s="53">
        <f>'Data Sheet'!G27</f>
        <v>71.4</v>
      </c>
      <c r="I27" s="53">
        <f>'Data Sheet'!H27</f>
        <v>81.38</v>
      </c>
      <c r="J27" s="53">
        <f>'Data Sheet'!I27</f>
        <v>57.97</v>
      </c>
      <c r="K27" s="53">
        <f>'Data Sheet'!J27</f>
        <v>59.99</v>
      </c>
      <c r="L27" s="53">
        <f>'Data Sheet'!K27</f>
        <v>77.77</v>
      </c>
      <c r="M27" s="66">
        <f>SUM('Data Sheet'!H46:K46)</f>
        <v>43.85</v>
      </c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</row>
    <row r="28" outlineLevel="1">
      <c r="A28" s="63" t="s">
        <v>86</v>
      </c>
      <c r="B28" s="63"/>
      <c r="C28" s="56">
        <f t="shared" ref="C28:M28" si="13">C23-C27</f>
        <v>13051.55</v>
      </c>
      <c r="D28" s="56">
        <f t="shared" si="13"/>
        <v>14362.05</v>
      </c>
      <c r="E28" s="56">
        <f t="shared" si="13"/>
        <v>14859.07</v>
      </c>
      <c r="F28" s="56">
        <f t="shared" si="13"/>
        <v>16026.32</v>
      </c>
      <c r="G28" s="56">
        <f t="shared" si="13"/>
        <v>17409.11</v>
      </c>
      <c r="H28" s="56">
        <f t="shared" si="13"/>
        <v>19149.82</v>
      </c>
      <c r="I28" s="56">
        <f t="shared" si="13"/>
        <v>20034.57</v>
      </c>
      <c r="J28" s="56">
        <f t="shared" si="13"/>
        <v>17938.17</v>
      </c>
      <c r="K28" s="56">
        <f t="shared" si="13"/>
        <v>20740.47</v>
      </c>
      <c r="L28" s="56">
        <f t="shared" si="13"/>
        <v>25915.12</v>
      </c>
      <c r="M28" s="64">
        <f t="shared" si="13"/>
        <v>29310.53</v>
      </c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</row>
    <row r="29" outlineLevel="1">
      <c r="A29" s="59" t="s">
        <v>87</v>
      </c>
      <c r="B29" s="59"/>
      <c r="C29" s="68">
        <f t="shared" ref="C29:M29" si="14">IF(C7=0,0,C28/C7)</f>
        <v>0.369664959</v>
      </c>
      <c r="D29" s="68">
        <f t="shared" si="14"/>
        <v>0.3699923874</v>
      </c>
      <c r="E29" s="68">
        <f t="shared" si="14"/>
        <v>0.3791343153</v>
      </c>
      <c r="F29" s="68">
        <f t="shared" si="14"/>
        <v>0.3747304034</v>
      </c>
      <c r="G29" s="68">
        <f t="shared" si="14"/>
        <v>0.4006797404</v>
      </c>
      <c r="H29" s="68">
        <f t="shared" si="14"/>
        <v>0.3961519732</v>
      </c>
      <c r="I29" s="68">
        <f t="shared" si="14"/>
        <v>0.4056591014</v>
      </c>
      <c r="J29" s="68">
        <f t="shared" si="14"/>
        <v>0.3641717141</v>
      </c>
      <c r="K29" s="68">
        <f t="shared" si="14"/>
        <v>0.3420006154</v>
      </c>
      <c r="L29" s="68">
        <f t="shared" si="14"/>
        <v>0.3654184215</v>
      </c>
      <c r="M29" s="68">
        <f t="shared" si="14"/>
        <v>0.4210565556</v>
      </c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</row>
    <row r="30" outlineLevel="1">
      <c r="A30" s="59" t="s">
        <v>74</v>
      </c>
      <c r="B30" s="59"/>
      <c r="C30" s="69"/>
      <c r="D30" s="68">
        <f t="shared" ref="D30:M30" si="15">IF(C28=0,0,(D28/C28)-1)</f>
        <v>0.1004095299</v>
      </c>
      <c r="E30" s="68">
        <f t="shared" si="15"/>
        <v>0.03460648027</v>
      </c>
      <c r="F30" s="68">
        <f t="shared" si="15"/>
        <v>0.07855471439</v>
      </c>
      <c r="G30" s="68">
        <f t="shared" si="15"/>
        <v>0.08628244039</v>
      </c>
      <c r="H30" s="68">
        <f t="shared" si="15"/>
        <v>0.09998845432</v>
      </c>
      <c r="I30" s="68">
        <f t="shared" si="15"/>
        <v>0.04620147866</v>
      </c>
      <c r="J30" s="68">
        <f t="shared" si="15"/>
        <v>-0.1046391313</v>
      </c>
      <c r="K30" s="68">
        <f t="shared" si="15"/>
        <v>0.1562199489</v>
      </c>
      <c r="L30" s="68">
        <f t="shared" si="15"/>
        <v>0.2494953104</v>
      </c>
      <c r="M30" s="68">
        <f t="shared" si="15"/>
        <v>0.1310204236</v>
      </c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</row>
    <row r="31" outlineLevel="1">
      <c r="A31" s="59"/>
      <c r="B31" s="59"/>
      <c r="C31" s="69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</row>
    <row r="32" outlineLevel="1">
      <c r="A32" s="44" t="s">
        <v>24</v>
      </c>
      <c r="B32" s="44"/>
      <c r="C32" s="48">
        <f>'Data Sheet'!B29</f>
        <v>4060.93</v>
      </c>
      <c r="D32" s="48">
        <f>'Data Sheet'!C29</f>
        <v>4596.42</v>
      </c>
      <c r="E32" s="48">
        <f>'Data Sheet'!D29</f>
        <v>5358.21</v>
      </c>
      <c r="F32" s="48">
        <f>'Data Sheet'!E29</f>
        <v>5549.09</v>
      </c>
      <c r="G32" s="48">
        <f>'Data Sheet'!F29</f>
        <v>5916.43</v>
      </c>
      <c r="H32" s="48">
        <f>'Data Sheet'!G29</f>
        <v>6313.92</v>
      </c>
      <c r="I32" s="48">
        <f>'Data Sheet'!H29</f>
        <v>4441.79</v>
      </c>
      <c r="J32" s="48">
        <f>'Data Sheet'!I29</f>
        <v>4555.29</v>
      </c>
      <c r="K32" s="48">
        <f>'Data Sheet'!J29</f>
        <v>5237.34</v>
      </c>
      <c r="L32" s="48">
        <f>'Data Sheet'!K29</f>
        <v>6438.4</v>
      </c>
      <c r="M32" s="54">
        <f>SUM('Data Sheet'!H48:K48)</f>
        <v>6710.05</v>
      </c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outlineLevel="1">
      <c r="A33" s="70" t="s">
        <v>88</v>
      </c>
      <c r="B33" s="70"/>
      <c r="C33" s="71">
        <f t="shared" ref="C33:M33" si="16">IF(C28=0,0,C32/C28)</f>
        <v>0.3111454195</v>
      </c>
      <c r="D33" s="71">
        <f t="shared" si="16"/>
        <v>0.3200392702</v>
      </c>
      <c r="E33" s="71">
        <f t="shared" si="16"/>
        <v>0.3606019758</v>
      </c>
      <c r="F33" s="71">
        <f t="shared" si="16"/>
        <v>0.3462485461</v>
      </c>
      <c r="G33" s="71">
        <f t="shared" si="16"/>
        <v>0.3398467814</v>
      </c>
      <c r="H33" s="71">
        <f t="shared" si="16"/>
        <v>0.3297117153</v>
      </c>
      <c r="I33" s="71">
        <f t="shared" si="16"/>
        <v>0.2217062807</v>
      </c>
      <c r="J33" s="71">
        <f t="shared" si="16"/>
        <v>0.2539439642</v>
      </c>
      <c r="K33" s="71">
        <f t="shared" si="16"/>
        <v>0.2525179034</v>
      </c>
      <c r="L33" s="71">
        <f t="shared" si="16"/>
        <v>0.2484418363</v>
      </c>
      <c r="M33" s="71">
        <f t="shared" si="16"/>
        <v>0.2289296714</v>
      </c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</row>
    <row r="34" ht="18.0" customHeight="1" outlineLevel="1">
      <c r="A34" s="63" t="s">
        <v>89</v>
      </c>
      <c r="B34" s="63"/>
      <c r="C34" s="56">
        <f t="shared" ref="C34:M34" si="17">C28-C32</f>
        <v>8990.62</v>
      </c>
      <c r="D34" s="56">
        <f t="shared" si="17"/>
        <v>9765.63</v>
      </c>
      <c r="E34" s="56">
        <f t="shared" si="17"/>
        <v>9500.86</v>
      </c>
      <c r="F34" s="56">
        <f t="shared" si="17"/>
        <v>10477.23</v>
      </c>
      <c r="G34" s="56">
        <f t="shared" si="17"/>
        <v>11492.68</v>
      </c>
      <c r="H34" s="56">
        <f t="shared" si="17"/>
        <v>12835.9</v>
      </c>
      <c r="I34" s="56">
        <f t="shared" si="17"/>
        <v>15592.78</v>
      </c>
      <c r="J34" s="56">
        <f t="shared" si="17"/>
        <v>13382.88</v>
      </c>
      <c r="K34" s="56">
        <f t="shared" si="17"/>
        <v>15503.13</v>
      </c>
      <c r="L34" s="56">
        <f t="shared" si="17"/>
        <v>19476.72</v>
      </c>
      <c r="M34" s="64">
        <f t="shared" si="17"/>
        <v>22600.48</v>
      </c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 outlineLevel="1">
      <c r="A35" s="59" t="s">
        <v>90</v>
      </c>
      <c r="B35" s="59"/>
      <c r="C35" s="68">
        <f t="shared" ref="C35:M35" si="18">IF(C7=0,0,C34/C7)</f>
        <v>0.2546454003</v>
      </c>
      <c r="D35" s="68">
        <f t="shared" si="18"/>
        <v>0.2515802938</v>
      </c>
      <c r="E35" s="68">
        <f t="shared" si="18"/>
        <v>0.2424177321</v>
      </c>
      <c r="F35" s="68">
        <f t="shared" si="18"/>
        <v>0.244980546</v>
      </c>
      <c r="G35" s="68">
        <f t="shared" si="18"/>
        <v>0.2645100203</v>
      </c>
      <c r="H35" s="68">
        <f t="shared" si="18"/>
        <v>0.2655360266</v>
      </c>
      <c r="I35" s="68">
        <f t="shared" si="18"/>
        <v>0.3157219308</v>
      </c>
      <c r="J35" s="68">
        <f t="shared" si="18"/>
        <v>0.2716925054</v>
      </c>
      <c r="K35" s="68">
        <f t="shared" si="18"/>
        <v>0.255639337</v>
      </c>
      <c r="L35" s="68">
        <f t="shared" si="18"/>
        <v>0.2746331979</v>
      </c>
      <c r="M35" s="68">
        <f t="shared" si="18"/>
        <v>0.3246642167</v>
      </c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</row>
    <row r="36" outlineLevel="1">
      <c r="A36" s="59" t="s">
        <v>91</v>
      </c>
      <c r="B36" s="59"/>
      <c r="C36" s="69"/>
      <c r="D36" s="68">
        <f t="shared" ref="D36:M36" si="19">IF(C34=0,0,(D34/C34)-1)</f>
        <v>0.08620206393</v>
      </c>
      <c r="E36" s="68">
        <f t="shared" si="19"/>
        <v>-0.02711243412</v>
      </c>
      <c r="F36" s="68">
        <f t="shared" si="19"/>
        <v>0.1027664864</v>
      </c>
      <c r="G36" s="68">
        <f t="shared" si="19"/>
        <v>0.0969197011</v>
      </c>
      <c r="H36" s="68">
        <f t="shared" si="19"/>
        <v>0.1168761333</v>
      </c>
      <c r="I36" s="68">
        <f t="shared" si="19"/>
        <v>0.2147788624</v>
      </c>
      <c r="J36" s="68">
        <f t="shared" si="19"/>
        <v>-0.14172585</v>
      </c>
      <c r="K36" s="68">
        <f t="shared" si="19"/>
        <v>0.158430024</v>
      </c>
      <c r="L36" s="68">
        <f t="shared" si="19"/>
        <v>0.2563088873</v>
      </c>
      <c r="M36" s="68">
        <f t="shared" si="19"/>
        <v>0.1603842947</v>
      </c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 outlineLevel="1">
      <c r="A37" s="59"/>
      <c r="B37" s="59"/>
      <c r="C37" s="69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 outlineLevel="1">
      <c r="A38" s="44" t="s">
        <v>92</v>
      </c>
      <c r="B38" s="44"/>
      <c r="C38" s="48">
        <f>'Data Sheet'!B31</f>
        <v>4771.92</v>
      </c>
      <c r="D38" s="48">
        <f>'Data Sheet'!C31</f>
        <v>5009.69</v>
      </c>
      <c r="E38" s="48">
        <f>'Data Sheet'!D31</f>
        <v>6840.12</v>
      </c>
      <c r="F38" s="48">
        <f>'Data Sheet'!E31</f>
        <v>5770.02</v>
      </c>
      <c r="G38" s="48">
        <f>'Data Sheet'!F31</f>
        <v>6285.21</v>
      </c>
      <c r="H38" s="48">
        <f>'Data Sheet'!G31</f>
        <v>7048.7</v>
      </c>
      <c r="I38" s="48">
        <f>'Data Sheet'!H31</f>
        <v>12476.58</v>
      </c>
      <c r="J38" s="48">
        <f>'Data Sheet'!I31</f>
        <v>13231.96</v>
      </c>
      <c r="K38" s="48">
        <f>'Data Sheet'!J31</f>
        <v>14171.8</v>
      </c>
      <c r="L38" s="48">
        <f>'Data Sheet'!K31</f>
        <v>19263.4</v>
      </c>
      <c r="M38" s="62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 outlineLevel="1">
      <c r="A39" s="44" t="s">
        <v>93</v>
      </c>
      <c r="B39" s="44"/>
      <c r="C39" s="72">
        <f t="shared" ref="C39:L39" si="20">IF(C38=0,0,C38/C99)</f>
        <v>4</v>
      </c>
      <c r="D39" s="72">
        <f t="shared" si="20"/>
        <v>4.166651418</v>
      </c>
      <c r="E39" s="72">
        <f t="shared" si="20"/>
        <v>5.666666667</v>
      </c>
      <c r="F39" s="72">
        <f t="shared" si="20"/>
        <v>4.750004116</v>
      </c>
      <c r="G39" s="72">
        <f t="shared" si="20"/>
        <v>5.149996313</v>
      </c>
      <c r="H39" s="72">
        <f t="shared" si="20"/>
        <v>5.750004079</v>
      </c>
      <c r="I39" s="72">
        <f t="shared" si="20"/>
        <v>10.14999756</v>
      </c>
      <c r="J39" s="72">
        <f t="shared" si="20"/>
        <v>10.75</v>
      </c>
      <c r="K39" s="72">
        <f t="shared" si="20"/>
        <v>11.50000406</v>
      </c>
      <c r="L39" s="72">
        <f t="shared" si="20"/>
        <v>15.5</v>
      </c>
      <c r="M39" s="62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</row>
    <row r="40" outlineLevel="1">
      <c r="A40" s="49" t="s">
        <v>94</v>
      </c>
      <c r="B40" s="49"/>
      <c r="C40" s="51">
        <f t="shared" ref="C40:L40" si="21">IF(C34=0,0,C38/C34)</f>
        <v>0.53076651</v>
      </c>
      <c r="D40" s="51">
        <f t="shared" si="21"/>
        <v>0.5129919933</v>
      </c>
      <c r="E40" s="51">
        <f t="shared" si="21"/>
        <v>0.7199474574</v>
      </c>
      <c r="F40" s="51">
        <f t="shared" si="21"/>
        <v>0.5507199899</v>
      </c>
      <c r="G40" s="51">
        <f t="shared" si="21"/>
        <v>0.5468881062</v>
      </c>
      <c r="H40" s="51">
        <f t="shared" si="21"/>
        <v>0.5491395227</v>
      </c>
      <c r="I40" s="51">
        <f t="shared" si="21"/>
        <v>0.8001510956</v>
      </c>
      <c r="J40" s="51">
        <f t="shared" si="21"/>
        <v>0.9887229057</v>
      </c>
      <c r="K40" s="51">
        <f t="shared" si="21"/>
        <v>0.9141250831</v>
      </c>
      <c r="L40" s="51">
        <f t="shared" si="21"/>
        <v>0.9890474371</v>
      </c>
      <c r="M40" s="51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 outlineLevel="1">
      <c r="A41" s="44" t="s">
        <v>95</v>
      </c>
      <c r="B41" s="44"/>
      <c r="C41" s="48">
        <f>IF(C34=0,0,C34-C38)</f>
        <v>4218.7</v>
      </c>
      <c r="D41" s="48">
        <f t="shared" ref="D41:L41" si="22">D34-D38</f>
        <v>4755.94</v>
      </c>
      <c r="E41" s="48">
        <f t="shared" si="22"/>
        <v>2660.74</v>
      </c>
      <c r="F41" s="48">
        <f t="shared" si="22"/>
        <v>4707.21</v>
      </c>
      <c r="G41" s="48">
        <f t="shared" si="22"/>
        <v>5207.47</v>
      </c>
      <c r="H41" s="48">
        <f t="shared" si="22"/>
        <v>5787.2</v>
      </c>
      <c r="I41" s="48">
        <f t="shared" si="22"/>
        <v>3116.2</v>
      </c>
      <c r="J41" s="48">
        <f t="shared" si="22"/>
        <v>150.92</v>
      </c>
      <c r="K41" s="48">
        <f t="shared" si="22"/>
        <v>1331.33</v>
      </c>
      <c r="L41" s="48">
        <f t="shared" si="22"/>
        <v>213.32</v>
      </c>
      <c r="M41" s="62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 outlineLevel="1">
      <c r="A42" s="49" t="s">
        <v>96</v>
      </c>
      <c r="B42" s="49"/>
      <c r="C42" s="51">
        <f t="shared" ref="C42:L42" si="23">IF(C40=0,0,1-C40)</f>
        <v>0.46923349</v>
      </c>
      <c r="D42" s="51">
        <f t="shared" si="23"/>
        <v>0.4870080067</v>
      </c>
      <c r="E42" s="51">
        <f t="shared" si="23"/>
        <v>0.2800525426</v>
      </c>
      <c r="F42" s="51">
        <f t="shared" si="23"/>
        <v>0.4492800101</v>
      </c>
      <c r="G42" s="51">
        <f t="shared" si="23"/>
        <v>0.4531118938</v>
      </c>
      <c r="H42" s="51">
        <f t="shared" si="23"/>
        <v>0.4508604773</v>
      </c>
      <c r="I42" s="51">
        <f t="shared" si="23"/>
        <v>0.1998489044</v>
      </c>
      <c r="J42" s="51">
        <f t="shared" si="23"/>
        <v>0.01127709432</v>
      </c>
      <c r="K42" s="51">
        <f t="shared" si="23"/>
        <v>0.08587491687</v>
      </c>
      <c r="L42" s="51">
        <f t="shared" si="23"/>
        <v>0.01095256285</v>
      </c>
      <c r="M42" s="51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 outlineLevel="1">
      <c r="A43" s="44" t="s">
        <v>97</v>
      </c>
      <c r="B43" s="44"/>
      <c r="C43" s="73">
        <f t="shared" ref="C43:L43" si="24">IF(C34=0,0,C34/C99)</f>
        <v>7.536270516</v>
      </c>
      <c r="D43" s="73">
        <f t="shared" si="24"/>
        <v>8.12225429</v>
      </c>
      <c r="E43" s="73">
        <f t="shared" si="24"/>
        <v>7.870944759</v>
      </c>
      <c r="F43" s="73">
        <f t="shared" si="24"/>
        <v>8.625080264</v>
      </c>
      <c r="G43" s="73">
        <f t="shared" si="24"/>
        <v>9.416910433</v>
      </c>
      <c r="H43" s="73">
        <f t="shared" si="24"/>
        <v>10.47093469</v>
      </c>
      <c r="I43" s="73">
        <f t="shared" si="24"/>
        <v>12.68510112</v>
      </c>
      <c r="J43" s="73">
        <f t="shared" si="24"/>
        <v>10.87261146</v>
      </c>
      <c r="K43" s="73">
        <f t="shared" si="24"/>
        <v>12.58033968</v>
      </c>
      <c r="L43" s="73">
        <f t="shared" si="24"/>
        <v>15.67164467</v>
      </c>
      <c r="M43" s="74">
        <f>M$34/'Data Sheet'!$B$6</f>
        <v>18.12353488</v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outlineLevel="1">
      <c r="A44" s="49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>
      <c r="A45" s="49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>
      <c r="A46" s="75" t="s">
        <v>98</v>
      </c>
      <c r="B46" s="76"/>
      <c r="C46" s="77"/>
      <c r="D46" s="78"/>
      <c r="E46" s="78"/>
      <c r="F46" s="78"/>
      <c r="G46" s="78"/>
      <c r="H46" s="78"/>
      <c r="I46" s="78"/>
      <c r="J46" s="78"/>
      <c r="K46" s="78"/>
      <c r="L46" s="78"/>
      <c r="M46" s="43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outlineLevel="1">
      <c r="A47" s="44"/>
      <c r="B47" s="44"/>
      <c r="C47" s="48"/>
      <c r="D47" s="46"/>
      <c r="E47" s="46"/>
      <c r="F47" s="46"/>
      <c r="G47" s="46"/>
      <c r="H47" s="46"/>
      <c r="I47" s="46"/>
      <c r="J47" s="46"/>
      <c r="K47" s="46"/>
      <c r="L47" s="46"/>
      <c r="M47" s="79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outlineLevel="1">
      <c r="A48" s="47" t="s">
        <v>99</v>
      </c>
      <c r="B48" s="47"/>
      <c r="C48" s="48"/>
      <c r="D48" s="46"/>
      <c r="E48" s="46"/>
      <c r="F48" s="46"/>
      <c r="G48" s="46"/>
      <c r="H48" s="46"/>
      <c r="I48" s="46"/>
      <c r="J48" s="46"/>
      <c r="K48" s="46"/>
      <c r="L48" s="46"/>
      <c r="M48" s="79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outlineLevel="1">
      <c r="A49" s="65" t="str">
        <f>'Data Sheet'!A62</f>
        <v>Net Block</v>
      </c>
      <c r="B49" s="44"/>
      <c r="C49" s="48">
        <f>'Data Sheet'!B62</f>
        <v>12921.3</v>
      </c>
      <c r="D49" s="48">
        <f>'Data Sheet'!C62</f>
        <v>15303.28</v>
      </c>
      <c r="E49" s="48">
        <f>'Data Sheet'!D62</f>
        <v>15106.63</v>
      </c>
      <c r="F49" s="48">
        <f>'Data Sheet'!E62</f>
        <v>15893.48</v>
      </c>
      <c r="G49" s="48">
        <f>'Data Sheet'!F62</f>
        <v>16523.96</v>
      </c>
      <c r="H49" s="48">
        <f>'Data Sheet'!G62</f>
        <v>19374.19</v>
      </c>
      <c r="I49" s="48">
        <f>'Data Sheet'!H62</f>
        <v>21713.34</v>
      </c>
      <c r="J49" s="48">
        <f>'Data Sheet'!I62</f>
        <v>23298.48</v>
      </c>
      <c r="K49" s="48">
        <f>'Data Sheet'!J62</f>
        <v>24231.59</v>
      </c>
      <c r="L49" s="48">
        <f>'Data Sheet'!K62</f>
        <v>25851.27</v>
      </c>
      <c r="M49" s="80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outlineLevel="1">
      <c r="A50" s="65" t="str">
        <f>'Data Sheet'!A63</f>
        <v>Capital Work in Progress</v>
      </c>
      <c r="B50" s="44"/>
      <c r="C50" s="48">
        <f>'Data Sheet'!B63</f>
        <v>3117.37</v>
      </c>
      <c r="D50" s="48">
        <f>'Data Sheet'!C63</f>
        <v>2700.2</v>
      </c>
      <c r="E50" s="48">
        <f>'Data Sheet'!D63</f>
        <v>2559.72</v>
      </c>
      <c r="F50" s="48">
        <f>'Data Sheet'!E63</f>
        <v>3729.89</v>
      </c>
      <c r="G50" s="48">
        <f>'Data Sheet'!F63</f>
        <v>5508.33</v>
      </c>
      <c r="H50" s="48">
        <f>'Data Sheet'!G63</f>
        <v>4136.42</v>
      </c>
      <c r="I50" s="48">
        <f>'Data Sheet'!H63</f>
        <v>3256.46</v>
      </c>
      <c r="J50" s="48">
        <f>'Data Sheet'!I63</f>
        <v>4011.29</v>
      </c>
      <c r="K50" s="48">
        <f>'Data Sheet'!J63</f>
        <v>3225.54</v>
      </c>
      <c r="L50" s="48">
        <f>'Data Sheet'!K63</f>
        <v>3003.3</v>
      </c>
      <c r="M50" s="80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outlineLevel="1">
      <c r="A51" s="65" t="str">
        <f>'Data Sheet'!A64</f>
        <v>Investments</v>
      </c>
      <c r="B51" s="44"/>
      <c r="C51" s="48">
        <f>'Data Sheet'!B64</f>
        <v>7284.02</v>
      </c>
      <c r="D51" s="48">
        <f>'Data Sheet'!C64</f>
        <v>6942.77</v>
      </c>
      <c r="E51" s="48">
        <f>'Data Sheet'!D64</f>
        <v>11747.59</v>
      </c>
      <c r="F51" s="48">
        <f>'Data Sheet'!E64</f>
        <v>17581.38</v>
      </c>
      <c r="G51" s="48">
        <f>'Data Sheet'!F64</f>
        <v>22052.86</v>
      </c>
      <c r="H51" s="48">
        <f>'Data Sheet'!G64</f>
        <v>25043.49</v>
      </c>
      <c r="I51" s="48">
        <f>'Data Sheet'!H64</f>
        <v>28663.35</v>
      </c>
      <c r="J51" s="48">
        <f>'Data Sheet'!I64</f>
        <v>24870.87</v>
      </c>
      <c r="K51" s="48">
        <f>'Data Sheet'!J64</f>
        <v>24841.01</v>
      </c>
      <c r="L51" s="48">
        <f>'Data Sheet'!K64</f>
        <v>29415.02</v>
      </c>
      <c r="M51" s="80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outlineLevel="1">
      <c r="A52" s="65" t="str">
        <f>'Data Sheet'!A67</f>
        <v>Receivables</v>
      </c>
      <c r="B52" s="44"/>
      <c r="C52" s="48">
        <f>'Data Sheet'!B67</f>
        <v>2439.21</v>
      </c>
      <c r="D52" s="48">
        <f>'Data Sheet'!C67</f>
        <v>1982.07</v>
      </c>
      <c r="E52" s="48">
        <f>'Data Sheet'!D67</f>
        <v>1917.18</v>
      </c>
      <c r="F52" s="48">
        <f>'Data Sheet'!E67</f>
        <v>2474.29</v>
      </c>
      <c r="G52" s="48">
        <f>'Data Sheet'!F67</f>
        <v>2682.29</v>
      </c>
      <c r="H52" s="48">
        <f>'Data Sheet'!G67</f>
        <v>4035.28</v>
      </c>
      <c r="I52" s="48">
        <f>'Data Sheet'!H67</f>
        <v>2562.48</v>
      </c>
      <c r="J52" s="48">
        <f>'Data Sheet'!I67</f>
        <v>2501.7</v>
      </c>
      <c r="K52" s="48">
        <f>'Data Sheet'!J67</f>
        <v>2461.9</v>
      </c>
      <c r="L52" s="48">
        <f>'Data Sheet'!K67</f>
        <v>2956.17</v>
      </c>
      <c r="M52" s="80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outlineLevel="1">
      <c r="A53" s="65" t="str">
        <f>'Data Sheet'!A68</f>
        <v>Inventory</v>
      </c>
      <c r="B53" s="44"/>
      <c r="C53" s="48">
        <f>'Data Sheet'!B68</f>
        <v>8255.24</v>
      </c>
      <c r="D53" s="48">
        <f>'Data Sheet'!C68</f>
        <v>8586.87</v>
      </c>
      <c r="E53" s="48">
        <f>'Data Sheet'!D68</f>
        <v>9062.1</v>
      </c>
      <c r="F53" s="48">
        <f>'Data Sheet'!E68</f>
        <v>8116.1</v>
      </c>
      <c r="G53" s="48">
        <f>'Data Sheet'!F68</f>
        <v>7495.09</v>
      </c>
      <c r="H53" s="48">
        <f>'Data Sheet'!G68</f>
        <v>7859.56</v>
      </c>
      <c r="I53" s="48">
        <f>'Data Sheet'!H68</f>
        <v>8879.33</v>
      </c>
      <c r="J53" s="48">
        <f>'Data Sheet'!I68</f>
        <v>10397.16</v>
      </c>
      <c r="K53" s="48">
        <f>'Data Sheet'!J68</f>
        <v>10864.15</v>
      </c>
      <c r="L53" s="48">
        <f>'Data Sheet'!K68</f>
        <v>11771.16</v>
      </c>
      <c r="M53" s="80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outlineLevel="1">
      <c r="A54" s="65" t="str">
        <f>'Data Sheet'!A69</f>
        <v>Cash &amp; Bank</v>
      </c>
      <c r="B54" s="44"/>
      <c r="C54" s="48">
        <f>'Data Sheet'!B69</f>
        <v>3490.19</v>
      </c>
      <c r="D54" s="48">
        <f>'Data Sheet'!C69</f>
        <v>7896.22</v>
      </c>
      <c r="E54" s="48">
        <f>'Data Sheet'!D69</f>
        <v>6063.3</v>
      </c>
      <c r="F54" s="48">
        <f>'Data Sheet'!E69</f>
        <v>2967.4</v>
      </c>
      <c r="G54" s="48">
        <f>'Data Sheet'!F69</f>
        <v>2899.6</v>
      </c>
      <c r="H54" s="48">
        <f>'Data Sheet'!G69</f>
        <v>4152.03</v>
      </c>
      <c r="I54" s="48">
        <f>'Data Sheet'!H69</f>
        <v>7277.34</v>
      </c>
      <c r="J54" s="48">
        <f>'Data Sheet'!I69</f>
        <v>4659.02</v>
      </c>
      <c r="K54" s="48">
        <f>'Data Sheet'!J69</f>
        <v>4654.42</v>
      </c>
      <c r="L54" s="48">
        <f>'Data Sheet'!K69</f>
        <v>4880.19</v>
      </c>
      <c r="M54" s="80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outlineLevel="1">
      <c r="A55" s="67" t="str">
        <f>'Data Sheet'!A65</f>
        <v>Other Assets</v>
      </c>
      <c r="B55" s="52"/>
      <c r="C55" s="53">
        <f>'Data Sheet'!B65-SUM(C52:C54)</f>
        <v>3341.08</v>
      </c>
      <c r="D55" s="53">
        <f>'Data Sheet'!C65-SUM(D52:D54)</f>
        <v>2540.81</v>
      </c>
      <c r="E55" s="53">
        <f>'Data Sheet'!D65-SUM(E52:E54)</f>
        <v>5194.82</v>
      </c>
      <c r="F55" s="53">
        <f>'Data Sheet'!E65-SUM(F52:F54)</f>
        <v>5135.78</v>
      </c>
      <c r="G55" s="53">
        <f>'Data Sheet'!F65-SUM(G52:G54)</f>
        <v>7078.75</v>
      </c>
      <c r="H55" s="53">
        <f>'Data Sheet'!G65-SUM(H52:H54)</f>
        <v>7138.07</v>
      </c>
      <c r="I55" s="53">
        <f>'Data Sheet'!H65-SUM(I52:I54)</f>
        <v>4958.45</v>
      </c>
      <c r="J55" s="53">
        <f>'Data Sheet'!I65-SUM(J52:J54)</f>
        <v>4022.24</v>
      </c>
      <c r="K55" s="53">
        <f>'Data Sheet'!J65-SUM(K52:K54)</f>
        <v>6917.41</v>
      </c>
      <c r="L55" s="53">
        <f>'Data Sheet'!K65-SUM(L52:L54)</f>
        <v>7953.85</v>
      </c>
      <c r="M55" s="80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outlineLevel="1">
      <c r="A56" s="81" t="s">
        <v>100</v>
      </c>
      <c r="B56" s="81"/>
      <c r="C56" s="82">
        <f t="shared" ref="C56:L56" si="25">IF(C7=0,0,SUM(C49:C55))</f>
        <v>40848.41</v>
      </c>
      <c r="D56" s="82">
        <f t="shared" si="25"/>
        <v>45952.22</v>
      </c>
      <c r="E56" s="82">
        <f t="shared" si="25"/>
        <v>51651.34</v>
      </c>
      <c r="F56" s="82">
        <f t="shared" si="25"/>
        <v>55898.32</v>
      </c>
      <c r="G56" s="82">
        <f t="shared" si="25"/>
        <v>64240.88</v>
      </c>
      <c r="H56" s="82">
        <f t="shared" si="25"/>
        <v>71739.04</v>
      </c>
      <c r="I56" s="82">
        <f t="shared" si="25"/>
        <v>77310.75</v>
      </c>
      <c r="J56" s="82">
        <f t="shared" si="25"/>
        <v>73760.76</v>
      </c>
      <c r="K56" s="82">
        <f t="shared" si="25"/>
        <v>77196.02</v>
      </c>
      <c r="L56" s="82">
        <f t="shared" si="25"/>
        <v>85830.96</v>
      </c>
      <c r="M56" s="83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outlineLevel="1">
      <c r="A57" s="44"/>
      <c r="B57" s="44"/>
      <c r="C57" s="48"/>
      <c r="D57" s="46"/>
      <c r="E57" s="46"/>
      <c r="F57" s="46"/>
      <c r="G57" s="46"/>
      <c r="H57" s="46"/>
      <c r="I57" s="46"/>
      <c r="J57" s="46"/>
      <c r="K57" s="46"/>
      <c r="L57" s="46"/>
      <c r="M57" s="79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outlineLevel="1">
      <c r="A58" s="47" t="s">
        <v>101</v>
      </c>
      <c r="B58" s="47"/>
      <c r="C58" s="48"/>
      <c r="D58" s="46"/>
      <c r="E58" s="46"/>
      <c r="F58" s="46"/>
      <c r="G58" s="46"/>
      <c r="H58" s="46"/>
      <c r="I58" s="46"/>
      <c r="J58" s="46"/>
      <c r="K58" s="46"/>
      <c r="L58" s="46"/>
      <c r="M58" s="79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outlineLevel="1">
      <c r="A59" s="65" t="str">
        <f>'Data Sheet'!A59</f>
        <v>Borrowings</v>
      </c>
      <c r="B59" s="44"/>
      <c r="C59" s="48">
        <f>'Data Sheet'!B59</f>
        <v>242.41</v>
      </c>
      <c r="D59" s="48">
        <f>'Data Sheet'!C59</f>
        <v>268.8</v>
      </c>
      <c r="E59" s="48">
        <f>'Data Sheet'!D59</f>
        <v>83.78</v>
      </c>
      <c r="F59" s="48">
        <f>'Data Sheet'!E59</f>
        <v>45.72</v>
      </c>
      <c r="G59" s="48">
        <f>'Data Sheet'!F59</f>
        <v>35.92</v>
      </c>
      <c r="H59" s="48">
        <f>'Data Sheet'!G59</f>
        <v>13.44</v>
      </c>
      <c r="I59" s="48">
        <f>'Data Sheet'!H59</f>
        <v>277.45</v>
      </c>
      <c r="J59" s="48">
        <f>'Data Sheet'!I59</f>
        <v>270.83</v>
      </c>
      <c r="K59" s="48">
        <f>'Data Sheet'!J59</f>
        <v>249.44</v>
      </c>
      <c r="L59" s="48">
        <f>'Data Sheet'!K59</f>
        <v>306.04</v>
      </c>
      <c r="M59" s="80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outlineLevel="1">
      <c r="A60" s="84" t="s">
        <v>102</v>
      </c>
      <c r="B60" s="6"/>
      <c r="C60" s="85">
        <v>2106.0</v>
      </c>
      <c r="D60" s="85">
        <v>2020.0</v>
      </c>
      <c r="E60" s="85">
        <v>2339.0</v>
      </c>
      <c r="F60" s="85">
        <v>2659.0</v>
      </c>
      <c r="G60" s="85">
        <v>3496.0</v>
      </c>
      <c r="H60" s="85">
        <v>3510.0</v>
      </c>
      <c r="I60" s="85">
        <v>3630.0</v>
      </c>
      <c r="J60" s="85">
        <v>4319.0</v>
      </c>
      <c r="K60" s="85">
        <v>4417.0</v>
      </c>
      <c r="L60" s="85">
        <v>4659.0</v>
      </c>
      <c r="M60" s="80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outlineLevel="1">
      <c r="A61" s="67" t="str">
        <f>'Data Sheet'!A60</f>
        <v>Other Liabilities</v>
      </c>
      <c r="B61" s="52"/>
      <c r="C61" s="53">
        <f>IF(C7=0,0,'Data Sheet'!B60-C60)</f>
        <v>11263.04</v>
      </c>
      <c r="D61" s="53">
        <f>IF(D7=0,0,'Data Sheet'!C60-D60)</f>
        <v>11927.93</v>
      </c>
      <c r="E61" s="53">
        <f>IF(E7=0,0,'Data Sheet'!D60-E60)</f>
        <v>6549.04</v>
      </c>
      <c r="F61" s="53">
        <f>IF(F7=0,0,'Data Sheet'!E60-F60)</f>
        <v>6780.67</v>
      </c>
      <c r="G61" s="53">
        <f>IF(G7=0,0,'Data Sheet'!F60-G60)</f>
        <v>8198.85</v>
      </c>
      <c r="H61" s="53">
        <f>IF(H7=0,0,'Data Sheet'!G60-H60)</f>
        <v>9074.73</v>
      </c>
      <c r="I61" s="53">
        <f>IF(I7=0,0,'Data Sheet'!H60-I60)</f>
        <v>8130.04</v>
      </c>
      <c r="J61" s="53">
        <f>IF(J7=0,0,'Data Sheet'!I60-J60)</f>
        <v>8823.59</v>
      </c>
      <c r="K61" s="53">
        <f>IF(K7=0,0,'Data Sheet'!J60-K60)</f>
        <v>10074.01</v>
      </c>
      <c r="L61" s="53">
        <f>IF(L7=0,0,'Data Sheet'!K60-L60)</f>
        <v>11710.66</v>
      </c>
      <c r="M61" s="80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outlineLevel="1">
      <c r="A62" s="81" t="s">
        <v>103</v>
      </c>
      <c r="B62" s="81"/>
      <c r="C62" s="82">
        <f t="shared" ref="C62:L62" si="26">IF(C7=0,0,C61+C59+C60)</f>
        <v>13611.45</v>
      </c>
      <c r="D62" s="82">
        <f t="shared" si="26"/>
        <v>14216.73</v>
      </c>
      <c r="E62" s="82">
        <f t="shared" si="26"/>
        <v>8971.82</v>
      </c>
      <c r="F62" s="82">
        <f t="shared" si="26"/>
        <v>9485.39</v>
      </c>
      <c r="G62" s="82">
        <f t="shared" si="26"/>
        <v>11730.77</v>
      </c>
      <c r="H62" s="82">
        <f t="shared" si="26"/>
        <v>12598.17</v>
      </c>
      <c r="I62" s="82">
        <f t="shared" si="26"/>
        <v>12037.49</v>
      </c>
      <c r="J62" s="82">
        <f t="shared" si="26"/>
        <v>13413.42</v>
      </c>
      <c r="K62" s="82">
        <f t="shared" si="26"/>
        <v>14740.45</v>
      </c>
      <c r="L62" s="82">
        <f t="shared" si="26"/>
        <v>16675.7</v>
      </c>
      <c r="M62" s="83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 outlineLevel="1">
      <c r="A63" s="44"/>
      <c r="B63" s="44"/>
      <c r="C63" s="48"/>
      <c r="D63" s="46"/>
      <c r="E63" s="46"/>
      <c r="F63" s="46"/>
      <c r="G63" s="46"/>
      <c r="H63" s="46"/>
      <c r="I63" s="46"/>
      <c r="J63" s="46"/>
      <c r="K63" s="46"/>
      <c r="L63" s="46"/>
      <c r="M63" s="79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 outlineLevel="1">
      <c r="A64" s="44"/>
      <c r="B64" s="44"/>
      <c r="C64" s="48"/>
      <c r="D64" s="46"/>
      <c r="E64" s="46"/>
      <c r="F64" s="46"/>
      <c r="G64" s="46"/>
      <c r="H64" s="46"/>
      <c r="I64" s="46"/>
      <c r="J64" s="46"/>
      <c r="K64" s="46"/>
      <c r="L64" s="46"/>
      <c r="M64" s="79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outlineLevel="1">
      <c r="A65" s="47" t="s">
        <v>104</v>
      </c>
      <c r="B65" s="47"/>
      <c r="C65" s="48"/>
      <c r="D65" s="46"/>
      <c r="E65" s="46"/>
      <c r="F65" s="46"/>
      <c r="G65" s="46"/>
      <c r="H65" s="46"/>
      <c r="I65" s="46"/>
      <c r="J65" s="46"/>
      <c r="K65" s="46"/>
      <c r="L65" s="46"/>
      <c r="M65" s="79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outlineLevel="1">
      <c r="A66" s="65" t="str">
        <f>'Data Sheet'!A57</f>
        <v>Equity Share Capital</v>
      </c>
      <c r="B66" s="44"/>
      <c r="C66" s="48">
        <f>'Data Sheet'!B57</f>
        <v>795.32</v>
      </c>
      <c r="D66" s="62">
        <f>'Data Sheet'!C57</f>
        <v>801.55</v>
      </c>
      <c r="E66" s="62">
        <f>'Data Sheet'!D57</f>
        <v>804.72</v>
      </c>
      <c r="F66" s="62">
        <f>'Data Sheet'!E57</f>
        <v>1214.74</v>
      </c>
      <c r="G66" s="62">
        <f>'Data Sheet'!F57</f>
        <v>1220.43</v>
      </c>
      <c r="H66" s="62">
        <f>'Data Sheet'!G57</f>
        <v>1225.86</v>
      </c>
      <c r="I66" s="62">
        <f>'Data Sheet'!H57</f>
        <v>1229.22</v>
      </c>
      <c r="J66" s="62">
        <f>'Data Sheet'!I57</f>
        <v>1230.88</v>
      </c>
      <c r="K66" s="62">
        <f>'Data Sheet'!J57</f>
        <v>1232.33</v>
      </c>
      <c r="L66" s="62">
        <f>'Data Sheet'!K57</f>
        <v>1242.8</v>
      </c>
      <c r="M66" s="80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outlineLevel="1">
      <c r="A67" s="67" t="str">
        <f>'Data Sheet'!A58</f>
        <v>Reserves</v>
      </c>
      <c r="B67" s="52"/>
      <c r="C67" s="53">
        <f>'Data Sheet'!B58</f>
        <v>26441.64</v>
      </c>
      <c r="D67" s="86">
        <f>'Data Sheet'!C58</f>
        <v>30933.94</v>
      </c>
      <c r="E67" s="86">
        <f>'Data Sheet'!D58</f>
        <v>41874.8</v>
      </c>
      <c r="F67" s="86">
        <f>'Data Sheet'!E58</f>
        <v>45198.19</v>
      </c>
      <c r="G67" s="86">
        <f>'Data Sheet'!F58</f>
        <v>51289.68</v>
      </c>
      <c r="H67" s="86">
        <f>'Data Sheet'!G58</f>
        <v>57915.01</v>
      </c>
      <c r="I67" s="86">
        <f>'Data Sheet'!H58</f>
        <v>64044.04</v>
      </c>
      <c r="J67" s="86">
        <f>'Data Sheet'!I58</f>
        <v>59116.46</v>
      </c>
      <c r="K67" s="86">
        <f>'Data Sheet'!J58</f>
        <v>61223.24</v>
      </c>
      <c r="L67" s="86">
        <f>'Data Sheet'!K58</f>
        <v>67912.46</v>
      </c>
      <c r="M67" s="80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outlineLevel="1">
      <c r="A68" s="81" t="s">
        <v>105</v>
      </c>
      <c r="B68" s="81"/>
      <c r="C68" s="82">
        <f t="shared" ref="C68:L68" si="27">IF(C7=0,0,SUM(C66:C67))</f>
        <v>27236.96</v>
      </c>
      <c r="D68" s="82">
        <f t="shared" si="27"/>
        <v>31735.49</v>
      </c>
      <c r="E68" s="82">
        <f t="shared" si="27"/>
        <v>42679.52</v>
      </c>
      <c r="F68" s="82">
        <f t="shared" si="27"/>
        <v>46412.93</v>
      </c>
      <c r="G68" s="82">
        <f t="shared" si="27"/>
        <v>52510.11</v>
      </c>
      <c r="H68" s="82">
        <f t="shared" si="27"/>
        <v>59140.87</v>
      </c>
      <c r="I68" s="82">
        <f t="shared" si="27"/>
        <v>65273.26</v>
      </c>
      <c r="J68" s="82">
        <f t="shared" si="27"/>
        <v>60347.34</v>
      </c>
      <c r="K68" s="82">
        <f t="shared" si="27"/>
        <v>62455.57</v>
      </c>
      <c r="L68" s="82">
        <f t="shared" si="27"/>
        <v>69155.26</v>
      </c>
      <c r="M68" s="83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outlineLevel="1">
      <c r="A69" s="44"/>
      <c r="B69" s="44"/>
      <c r="C69" s="48"/>
      <c r="D69" s="46"/>
      <c r="E69" s="46"/>
      <c r="F69" s="46"/>
      <c r="G69" s="46"/>
      <c r="H69" s="46"/>
      <c r="I69" s="46"/>
      <c r="J69" s="46"/>
      <c r="K69" s="46"/>
      <c r="L69" s="46"/>
      <c r="M69" s="79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outlineLevel="1">
      <c r="A70" s="81" t="s">
        <v>106</v>
      </c>
      <c r="B70" s="81"/>
      <c r="C70" s="82">
        <f t="shared" ref="C70:L70" si="28">IF(C7=0,0,C62+C68)</f>
        <v>40848.41</v>
      </c>
      <c r="D70" s="82">
        <f t="shared" si="28"/>
        <v>45952.22</v>
      </c>
      <c r="E70" s="82">
        <f t="shared" si="28"/>
        <v>51651.34</v>
      </c>
      <c r="F70" s="82">
        <f t="shared" si="28"/>
        <v>55898.32</v>
      </c>
      <c r="G70" s="82">
        <f t="shared" si="28"/>
        <v>64240.88</v>
      </c>
      <c r="H70" s="82">
        <f t="shared" si="28"/>
        <v>71739.04</v>
      </c>
      <c r="I70" s="82">
        <f t="shared" si="28"/>
        <v>77310.75</v>
      </c>
      <c r="J70" s="82">
        <f t="shared" si="28"/>
        <v>73760.76</v>
      </c>
      <c r="K70" s="82">
        <f t="shared" si="28"/>
        <v>77196.02</v>
      </c>
      <c r="L70" s="82">
        <f t="shared" si="28"/>
        <v>85830.96</v>
      </c>
      <c r="M70" s="87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outlineLevel="1">
      <c r="A71" s="44"/>
      <c r="B71" s="44"/>
      <c r="C71" s="48"/>
      <c r="D71" s="46"/>
      <c r="E71" s="46"/>
      <c r="F71" s="46"/>
      <c r="G71" s="46"/>
      <c r="H71" s="46"/>
      <c r="I71" s="46"/>
      <c r="J71" s="46"/>
      <c r="K71" s="46"/>
      <c r="L71" s="46"/>
      <c r="M71" s="79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outlineLevel="1">
      <c r="A72" s="49" t="s">
        <v>107</v>
      </c>
      <c r="B72" s="49"/>
      <c r="C72" s="88" t="str">
        <f t="shared" ref="C72:L72" si="29">IF(ABS(C56-C70)&gt;1, "ERROR","OK")</f>
        <v>OK</v>
      </c>
      <c r="D72" s="89" t="str">
        <f t="shared" si="29"/>
        <v>OK</v>
      </c>
      <c r="E72" s="89" t="str">
        <f t="shared" si="29"/>
        <v>OK</v>
      </c>
      <c r="F72" s="89" t="str">
        <f t="shared" si="29"/>
        <v>OK</v>
      </c>
      <c r="G72" s="89" t="str">
        <f t="shared" si="29"/>
        <v>OK</v>
      </c>
      <c r="H72" s="89" t="str">
        <f t="shared" si="29"/>
        <v>OK</v>
      </c>
      <c r="I72" s="89" t="str">
        <f t="shared" si="29"/>
        <v>OK</v>
      </c>
      <c r="J72" s="89" t="str">
        <f t="shared" si="29"/>
        <v>OK</v>
      </c>
      <c r="K72" s="89" t="str">
        <f t="shared" si="29"/>
        <v>OK</v>
      </c>
      <c r="L72" s="89" t="str">
        <f t="shared" si="29"/>
        <v>OK</v>
      </c>
      <c r="M72" s="90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outlineLevel="1">
      <c r="A73" s="44" t="s">
        <v>108</v>
      </c>
      <c r="B73" s="44"/>
      <c r="C73" s="48">
        <f t="shared" ref="C73:L73" si="30">IF(C7=0,0,SUM(C52:C55)-C61)</f>
        <v>6262.68</v>
      </c>
      <c r="D73" s="48">
        <f t="shared" si="30"/>
        <v>9078.04</v>
      </c>
      <c r="E73" s="48">
        <f t="shared" si="30"/>
        <v>15688.36</v>
      </c>
      <c r="F73" s="48">
        <f t="shared" si="30"/>
        <v>11912.9</v>
      </c>
      <c r="G73" s="48">
        <f t="shared" si="30"/>
        <v>11956.88</v>
      </c>
      <c r="H73" s="48">
        <f t="shared" si="30"/>
        <v>14110.21</v>
      </c>
      <c r="I73" s="48">
        <f t="shared" si="30"/>
        <v>15547.56</v>
      </c>
      <c r="J73" s="48">
        <f t="shared" si="30"/>
        <v>12756.53</v>
      </c>
      <c r="K73" s="48">
        <f t="shared" si="30"/>
        <v>14823.87</v>
      </c>
      <c r="L73" s="48">
        <f t="shared" si="30"/>
        <v>15850.71</v>
      </c>
      <c r="M73" s="79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outlineLevel="1">
      <c r="A74" s="49" t="s">
        <v>74</v>
      </c>
      <c r="B74" s="49"/>
      <c r="C74" s="60"/>
      <c r="D74" s="51">
        <f t="shared" ref="D74:L74" si="31">IF(C73=0,0,(D73/C73)-1)</f>
        <v>0.449545562</v>
      </c>
      <c r="E74" s="51">
        <f t="shared" si="31"/>
        <v>0.7281659918</v>
      </c>
      <c r="F74" s="51">
        <f t="shared" si="31"/>
        <v>-0.2406535801</v>
      </c>
      <c r="G74" s="51">
        <f t="shared" si="31"/>
        <v>0.003691796288</v>
      </c>
      <c r="H74" s="51">
        <f t="shared" si="31"/>
        <v>0.1800912947</v>
      </c>
      <c r="I74" s="51">
        <f t="shared" si="31"/>
        <v>0.1018659538</v>
      </c>
      <c r="J74" s="51">
        <f t="shared" si="31"/>
        <v>-0.1795156282</v>
      </c>
      <c r="K74" s="51">
        <f t="shared" si="31"/>
        <v>0.1620613129</v>
      </c>
      <c r="L74" s="51">
        <f t="shared" si="31"/>
        <v>0.06926936083</v>
      </c>
      <c r="M74" s="80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>
      <c r="A75" s="44"/>
      <c r="B75" s="44"/>
      <c r="C75" s="48"/>
      <c r="D75" s="46"/>
      <c r="E75" s="46"/>
      <c r="F75" s="46"/>
      <c r="G75" s="46"/>
      <c r="H75" s="46"/>
      <c r="I75" s="46"/>
      <c r="J75" s="46"/>
      <c r="K75" s="46"/>
      <c r="L75" s="46"/>
      <c r="M75" s="79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>
      <c r="A76" s="75" t="s">
        <v>109</v>
      </c>
      <c r="B76" s="76"/>
      <c r="C76" s="91"/>
      <c r="D76" s="92"/>
      <c r="E76" s="92"/>
      <c r="F76" s="92"/>
      <c r="G76" s="92"/>
      <c r="H76" s="92"/>
      <c r="I76" s="92"/>
      <c r="J76" s="92"/>
      <c r="K76" s="92"/>
      <c r="L76" s="92"/>
      <c r="M76" s="93" t="s">
        <v>35</v>
      </c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outlineLevel="1">
      <c r="A77" s="44"/>
      <c r="B77" s="44"/>
      <c r="C77" s="48"/>
      <c r="D77" s="46"/>
      <c r="E77" s="46"/>
      <c r="F77" s="46"/>
      <c r="G77" s="46"/>
      <c r="H77" s="46"/>
      <c r="I77" s="46"/>
      <c r="J77" s="46"/>
      <c r="K77" s="46"/>
      <c r="L77" s="46"/>
      <c r="M77" s="79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outlineLevel="1">
      <c r="A78" s="65" t="str">
        <f>'Data Sheet'!A82</f>
        <v>Cash from Operating Activity</v>
      </c>
      <c r="B78" s="44"/>
      <c r="C78" s="48">
        <f>'Data Sheet'!B82</f>
        <v>7343.58</v>
      </c>
      <c r="D78" s="48">
        <f>'Data Sheet'!C82</f>
        <v>9843.2</v>
      </c>
      <c r="E78" s="48">
        <f>'Data Sheet'!D82</f>
        <v>9799.04</v>
      </c>
      <c r="F78" s="48">
        <f>'Data Sheet'!E82</f>
        <v>10627.31</v>
      </c>
      <c r="G78" s="48">
        <f>'Data Sheet'!F82</f>
        <v>13169.4</v>
      </c>
      <c r="H78" s="48">
        <f>'Data Sheet'!G82</f>
        <v>12583.41</v>
      </c>
      <c r="I78" s="48">
        <f>'Data Sheet'!H82</f>
        <v>14689.66</v>
      </c>
      <c r="J78" s="48">
        <f>'Data Sheet'!I82</f>
        <v>12526.97</v>
      </c>
      <c r="K78" s="48">
        <f>'Data Sheet'!J82</f>
        <v>15775.51</v>
      </c>
      <c r="L78" s="48">
        <f>'Data Sheet'!K82</f>
        <v>18877.55</v>
      </c>
      <c r="M78" s="80">
        <f t="shared" ref="M78:M81" si="32">SUM(C78:L78)</f>
        <v>125235.63</v>
      </c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outlineLevel="1">
      <c r="A79" s="65" t="str">
        <f>'Data Sheet'!A83</f>
        <v>Cash from Investing Activity</v>
      </c>
      <c r="B79" s="44"/>
      <c r="C79" s="48">
        <f>'Data Sheet'!B83</f>
        <v>-3254.08</v>
      </c>
      <c r="D79" s="48">
        <f>'Data Sheet'!C83</f>
        <v>-5275.43</v>
      </c>
      <c r="E79" s="48">
        <f>'Data Sheet'!D83</f>
        <v>-3920.73</v>
      </c>
      <c r="F79" s="48">
        <f>'Data Sheet'!E83</f>
        <v>-3250.93</v>
      </c>
      <c r="G79" s="48">
        <f>'Data Sheet'!F83</f>
        <v>-7113.89</v>
      </c>
      <c r="H79" s="48">
        <f>'Data Sheet'!G83</f>
        <v>-5545.68</v>
      </c>
      <c r="I79" s="48">
        <f>'Data Sheet'!H83</f>
        <v>-6174.02</v>
      </c>
      <c r="J79" s="48">
        <f>'Data Sheet'!I83</f>
        <v>5739.98</v>
      </c>
      <c r="K79" s="48">
        <f>'Data Sheet'!J83</f>
        <v>-2238.49</v>
      </c>
      <c r="L79" s="48">
        <f>'Data Sheet'!K83</f>
        <v>-5732.29</v>
      </c>
      <c r="M79" s="80">
        <f t="shared" si="32"/>
        <v>-36765.56</v>
      </c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outlineLevel="1">
      <c r="A80" s="67" t="str">
        <f>'Data Sheet'!A84</f>
        <v>Cash from Financing Activity</v>
      </c>
      <c r="B80" s="52"/>
      <c r="C80" s="53">
        <f>'Data Sheet'!B84</f>
        <v>-4121.54</v>
      </c>
      <c r="D80" s="53">
        <f>'Data Sheet'!C84</f>
        <v>-4661.03</v>
      </c>
      <c r="E80" s="53">
        <f>'Data Sheet'!D84</f>
        <v>-5612.52</v>
      </c>
      <c r="F80" s="53">
        <f>'Data Sheet'!E84</f>
        <v>-7301.03</v>
      </c>
      <c r="G80" s="53">
        <f>'Data Sheet'!F84</f>
        <v>-6221.13</v>
      </c>
      <c r="H80" s="53">
        <f>'Data Sheet'!G84</f>
        <v>-6868.64</v>
      </c>
      <c r="I80" s="53">
        <f>'Data Sheet'!H84</f>
        <v>-8181.48</v>
      </c>
      <c r="J80" s="53">
        <f>'Data Sheet'!I84</f>
        <v>-18633.83</v>
      </c>
      <c r="K80" s="53">
        <f>'Data Sheet'!J84</f>
        <v>-13580.5</v>
      </c>
      <c r="L80" s="48">
        <f>'Data Sheet'!K84</f>
        <v>-13006.03</v>
      </c>
      <c r="M80" s="80">
        <f t="shared" si="32"/>
        <v>-88187.73</v>
      </c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outlineLevel="1">
      <c r="A81" s="94" t="str">
        <f>'Data Sheet'!A85</f>
        <v>Net Cash Flow  </v>
      </c>
      <c r="B81" s="95"/>
      <c r="C81" s="96">
        <f>'Data Sheet'!B85</f>
        <v>-32.04</v>
      </c>
      <c r="D81" s="96">
        <f>'Data Sheet'!C85</f>
        <v>-93.26</v>
      </c>
      <c r="E81" s="96">
        <f>'Data Sheet'!D85</f>
        <v>265.79</v>
      </c>
      <c r="F81" s="96">
        <f>'Data Sheet'!E85</f>
        <v>75.35</v>
      </c>
      <c r="G81" s="96">
        <f>'Data Sheet'!F85</f>
        <v>-165.62</v>
      </c>
      <c r="H81" s="96">
        <f>'Data Sheet'!G85</f>
        <v>169.09</v>
      </c>
      <c r="I81" s="96">
        <f>'Data Sheet'!H85</f>
        <v>334.16</v>
      </c>
      <c r="J81" s="96">
        <f>'Data Sheet'!I85</f>
        <v>-366.88</v>
      </c>
      <c r="K81" s="96">
        <f>'Data Sheet'!J85</f>
        <v>-43.48</v>
      </c>
      <c r="L81" s="96">
        <f>'Data Sheet'!K85</f>
        <v>139.23</v>
      </c>
      <c r="M81" s="97">
        <f t="shared" si="32"/>
        <v>282.34</v>
      </c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outlineLevel="1">
      <c r="A82" s="49" t="s">
        <v>110</v>
      </c>
      <c r="B82" s="49"/>
      <c r="C82" s="60">
        <f t="shared" ref="C82:L82" si="33">C54</f>
        <v>3490.19</v>
      </c>
      <c r="D82" s="60">
        <f t="shared" si="33"/>
        <v>7896.22</v>
      </c>
      <c r="E82" s="60">
        <f t="shared" si="33"/>
        <v>6063.3</v>
      </c>
      <c r="F82" s="60">
        <f t="shared" si="33"/>
        <v>2967.4</v>
      </c>
      <c r="G82" s="60">
        <f t="shared" si="33"/>
        <v>2899.6</v>
      </c>
      <c r="H82" s="60">
        <f t="shared" si="33"/>
        <v>4152.03</v>
      </c>
      <c r="I82" s="60">
        <f t="shared" si="33"/>
        <v>7277.34</v>
      </c>
      <c r="J82" s="60">
        <f t="shared" si="33"/>
        <v>4659.02</v>
      </c>
      <c r="K82" s="60">
        <f t="shared" si="33"/>
        <v>4654.42</v>
      </c>
      <c r="L82" s="60">
        <f t="shared" si="33"/>
        <v>4880.19</v>
      </c>
      <c r="M82" s="98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outlineLevel="1">
      <c r="A83" s="44"/>
      <c r="B83" s="44"/>
      <c r="C83" s="48"/>
      <c r="D83" s="62"/>
      <c r="E83" s="62"/>
      <c r="F83" s="62"/>
      <c r="G83" s="62"/>
      <c r="H83" s="62"/>
      <c r="I83" s="62"/>
      <c r="J83" s="62"/>
      <c r="K83" s="62"/>
      <c r="L83" s="62"/>
      <c r="M83" s="80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outlineLevel="1">
      <c r="A84" s="99" t="s">
        <v>111</v>
      </c>
      <c r="B84" s="100"/>
      <c r="C84" s="101">
        <v>2500.0</v>
      </c>
      <c r="D84" s="101">
        <v>2993.0</v>
      </c>
      <c r="E84" s="101">
        <v>740.0</v>
      </c>
      <c r="F84" s="101">
        <v>3110.0</v>
      </c>
      <c r="G84" s="101">
        <v>3645.0</v>
      </c>
      <c r="H84" s="101">
        <v>2875.0</v>
      </c>
      <c r="I84" s="101">
        <v>3104.0</v>
      </c>
      <c r="J84" s="101">
        <v>3986.0</v>
      </c>
      <c r="K84" s="101">
        <v>1890.0</v>
      </c>
      <c r="L84" s="101">
        <v>3290.0</v>
      </c>
      <c r="M84" s="80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outlineLevel="1">
      <c r="A85" s="44" t="s">
        <v>112</v>
      </c>
      <c r="B85" s="44"/>
      <c r="C85" s="54">
        <f>C91</f>
        <v>9.076111887</v>
      </c>
      <c r="D85" s="48">
        <f t="shared" ref="D85:L85" si="34">IF(D91=0,0,D91)</f>
        <v>29.11077201</v>
      </c>
      <c r="E85" s="48">
        <f t="shared" si="34"/>
        <v>28.17383237</v>
      </c>
      <c r="F85" s="48">
        <f t="shared" si="34"/>
        <v>16.97656622</v>
      </c>
      <c r="G85" s="48">
        <f t="shared" si="34"/>
        <v>39.08577833</v>
      </c>
      <c r="H85" s="48">
        <f t="shared" si="34"/>
        <v>23.54141647</v>
      </c>
      <c r="I85" s="48">
        <f t="shared" si="34"/>
        <v>18.04245712</v>
      </c>
      <c r="J85" s="48">
        <f t="shared" si="34"/>
        <v>14.7211316</v>
      </c>
      <c r="K85" s="48">
        <f t="shared" si="34"/>
        <v>15.14854903</v>
      </c>
      <c r="L85" s="48">
        <f t="shared" si="34"/>
        <v>19.32132161</v>
      </c>
      <c r="M85" s="102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outlineLevel="1">
      <c r="A86" s="103" t="s">
        <v>113</v>
      </c>
      <c r="B86" s="104"/>
      <c r="C86" s="56">
        <f t="shared" ref="C86:L86" si="35">C78-C84-C85</f>
        <v>4834.503888</v>
      </c>
      <c r="D86" s="56">
        <f t="shared" si="35"/>
        <v>6821.089228</v>
      </c>
      <c r="E86" s="56">
        <f t="shared" si="35"/>
        <v>9030.866168</v>
      </c>
      <c r="F86" s="56">
        <f t="shared" si="35"/>
        <v>7500.333434</v>
      </c>
      <c r="G86" s="56">
        <f t="shared" si="35"/>
        <v>9485.314222</v>
      </c>
      <c r="H86" s="56">
        <f t="shared" si="35"/>
        <v>9684.868584</v>
      </c>
      <c r="I86" s="56">
        <f t="shared" si="35"/>
        <v>11567.61754</v>
      </c>
      <c r="J86" s="56">
        <f t="shared" si="35"/>
        <v>8526.248868</v>
      </c>
      <c r="K86" s="56">
        <f t="shared" si="35"/>
        <v>13870.36145</v>
      </c>
      <c r="L86" s="56">
        <f t="shared" si="35"/>
        <v>15568.22868</v>
      </c>
      <c r="M86" s="64">
        <f>SUM(D86:L86)</f>
        <v>92054.92818</v>
      </c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outlineLevel="1">
      <c r="A87" s="59" t="s">
        <v>114</v>
      </c>
      <c r="B87" s="59"/>
      <c r="C87" s="105"/>
      <c r="D87" s="106"/>
      <c r="E87" s="106"/>
      <c r="F87" s="106"/>
      <c r="G87" s="106"/>
      <c r="H87" s="106"/>
      <c r="I87" s="106"/>
      <c r="J87" s="106"/>
      <c r="K87" s="106"/>
      <c r="L87" s="107">
        <f>AVERAGE(J86:L86)</f>
        <v>12654.94633</v>
      </c>
      <c r="M87" s="108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outlineLevel="1">
      <c r="A88" s="49" t="s">
        <v>115</v>
      </c>
      <c r="B88" s="49"/>
      <c r="C88" s="48"/>
      <c r="D88" s="46"/>
      <c r="E88" s="51">
        <f t="shared" ref="E88:L88" si="36">(E86/D86)-1</f>
        <v>0.3239624737</v>
      </c>
      <c r="F88" s="51">
        <f t="shared" si="36"/>
        <v>-0.1694779554</v>
      </c>
      <c r="G88" s="51">
        <f t="shared" si="36"/>
        <v>0.2646523392</v>
      </c>
      <c r="H88" s="51">
        <f t="shared" si="36"/>
        <v>0.02103824472</v>
      </c>
      <c r="I88" s="51">
        <f t="shared" si="36"/>
        <v>0.1944010849</v>
      </c>
      <c r="J88" s="51">
        <f t="shared" si="36"/>
        <v>-0.2629209224</v>
      </c>
      <c r="K88" s="51">
        <f t="shared" si="36"/>
        <v>0.6267835557</v>
      </c>
      <c r="L88" s="51">
        <f t="shared" si="36"/>
        <v>0.122409732</v>
      </c>
      <c r="M88" s="68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outlineLevel="1">
      <c r="A89" s="44"/>
      <c r="B89" s="44"/>
      <c r="C89" s="48"/>
      <c r="D89" s="46"/>
      <c r="E89" s="46"/>
      <c r="F89" s="46"/>
      <c r="G89" s="46"/>
      <c r="H89" s="46"/>
      <c r="I89" s="46"/>
      <c r="J89" s="46"/>
      <c r="K89" s="46"/>
      <c r="L89" s="46"/>
      <c r="M89" s="79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outlineLevel="1">
      <c r="A90" s="44" t="s">
        <v>116</v>
      </c>
      <c r="B90" s="44"/>
      <c r="C90" s="48">
        <f t="shared" ref="C90:L90" si="37">C27</f>
        <v>29.17</v>
      </c>
      <c r="D90" s="48">
        <f t="shared" si="37"/>
        <v>90.96</v>
      </c>
      <c r="E90" s="48">
        <f t="shared" si="37"/>
        <v>78.13</v>
      </c>
      <c r="F90" s="48">
        <f t="shared" si="37"/>
        <v>49.03</v>
      </c>
      <c r="G90" s="48">
        <f t="shared" si="37"/>
        <v>115.01</v>
      </c>
      <c r="H90" s="48">
        <f t="shared" si="37"/>
        <v>71.4</v>
      </c>
      <c r="I90" s="48">
        <f t="shared" si="37"/>
        <v>81.38</v>
      </c>
      <c r="J90" s="48">
        <f t="shared" si="37"/>
        <v>57.97</v>
      </c>
      <c r="K90" s="48">
        <f t="shared" si="37"/>
        <v>59.99</v>
      </c>
      <c r="L90" s="48">
        <f t="shared" si="37"/>
        <v>77.77</v>
      </c>
      <c r="M90" s="102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outlineLevel="1">
      <c r="A91" s="44" t="s">
        <v>117</v>
      </c>
      <c r="B91" s="44"/>
      <c r="C91" s="54">
        <f>IF(C7=0,0,C27*C33)</f>
        <v>9.076111887</v>
      </c>
      <c r="D91" s="54">
        <f t="shared" ref="D91:L91" si="38">IF(C7=0,0,D27*D33)</f>
        <v>29.11077201</v>
      </c>
      <c r="E91" s="54">
        <f t="shared" si="38"/>
        <v>28.17383237</v>
      </c>
      <c r="F91" s="54">
        <f t="shared" si="38"/>
        <v>16.97656622</v>
      </c>
      <c r="G91" s="54">
        <f t="shared" si="38"/>
        <v>39.08577833</v>
      </c>
      <c r="H91" s="54">
        <f t="shared" si="38"/>
        <v>23.54141647</v>
      </c>
      <c r="I91" s="54">
        <f t="shared" si="38"/>
        <v>18.04245712</v>
      </c>
      <c r="J91" s="54">
        <f t="shared" si="38"/>
        <v>14.7211316</v>
      </c>
      <c r="K91" s="54">
        <f t="shared" si="38"/>
        <v>15.14854903</v>
      </c>
      <c r="L91" s="54">
        <f t="shared" si="38"/>
        <v>19.32132161</v>
      </c>
      <c r="M91" s="102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outlineLevel="1">
      <c r="A92" s="44" t="s">
        <v>118</v>
      </c>
      <c r="B92" s="44"/>
      <c r="C92" s="48"/>
      <c r="D92" s="54">
        <f t="shared" ref="D92:L92" si="39">(IF(C59&gt;D59,(C59-D59),0))</f>
        <v>0</v>
      </c>
      <c r="E92" s="54">
        <f t="shared" si="39"/>
        <v>185.02</v>
      </c>
      <c r="F92" s="54">
        <f t="shared" si="39"/>
        <v>38.06</v>
      </c>
      <c r="G92" s="54">
        <f t="shared" si="39"/>
        <v>9.8</v>
      </c>
      <c r="H92" s="54">
        <f t="shared" si="39"/>
        <v>22.48</v>
      </c>
      <c r="I92" s="54">
        <f t="shared" si="39"/>
        <v>0</v>
      </c>
      <c r="J92" s="54">
        <f t="shared" si="39"/>
        <v>6.62</v>
      </c>
      <c r="K92" s="54">
        <f t="shared" si="39"/>
        <v>21.39</v>
      </c>
      <c r="L92" s="54">
        <f t="shared" si="39"/>
        <v>0</v>
      </c>
      <c r="M92" s="102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outlineLevel="1">
      <c r="A93" s="44" t="s">
        <v>119</v>
      </c>
      <c r="B93" s="44"/>
      <c r="C93" s="48"/>
      <c r="D93" s="54">
        <f t="shared" ref="D93:L93" si="40">IF(D59&gt;C59,D59-C59,0)</f>
        <v>26.39</v>
      </c>
      <c r="E93" s="54">
        <f t="shared" si="40"/>
        <v>0</v>
      </c>
      <c r="F93" s="54">
        <f t="shared" si="40"/>
        <v>0</v>
      </c>
      <c r="G93" s="54">
        <f t="shared" si="40"/>
        <v>0</v>
      </c>
      <c r="H93" s="54">
        <f t="shared" si="40"/>
        <v>0</v>
      </c>
      <c r="I93" s="54">
        <f t="shared" si="40"/>
        <v>264.01</v>
      </c>
      <c r="J93" s="54">
        <f t="shared" si="40"/>
        <v>0</v>
      </c>
      <c r="K93" s="54">
        <f t="shared" si="40"/>
        <v>0</v>
      </c>
      <c r="L93" s="54">
        <f t="shared" si="40"/>
        <v>56.6</v>
      </c>
      <c r="M93" s="102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outlineLevel="1">
      <c r="A94" s="103" t="s">
        <v>120</v>
      </c>
      <c r="B94" s="104"/>
      <c r="C94" s="56"/>
      <c r="D94" s="64">
        <f t="shared" ref="D94:L94" si="41">D86-D90+D91-D92+D93</f>
        <v>6785.63</v>
      </c>
      <c r="E94" s="64">
        <f t="shared" si="41"/>
        <v>8795.89</v>
      </c>
      <c r="F94" s="64">
        <f t="shared" si="41"/>
        <v>7430.22</v>
      </c>
      <c r="G94" s="64">
        <f t="shared" si="41"/>
        <v>9399.59</v>
      </c>
      <c r="H94" s="64">
        <f t="shared" si="41"/>
        <v>9614.53</v>
      </c>
      <c r="I94" s="64">
        <f t="shared" si="41"/>
        <v>11768.29</v>
      </c>
      <c r="J94" s="64">
        <f t="shared" si="41"/>
        <v>8476.38</v>
      </c>
      <c r="K94" s="64">
        <f t="shared" si="41"/>
        <v>13804.13</v>
      </c>
      <c r="L94" s="64">
        <f t="shared" si="41"/>
        <v>15566.38</v>
      </c>
      <c r="M94" s="64">
        <f>SUM(D94:L94)</f>
        <v>91641.04</v>
      </c>
      <c r="N94" s="109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outlineLevel="1">
      <c r="A95" s="59" t="s">
        <v>114</v>
      </c>
      <c r="B95" s="59"/>
      <c r="C95" s="105"/>
      <c r="D95" s="106"/>
      <c r="E95" s="106"/>
      <c r="F95" s="106"/>
      <c r="G95" s="106"/>
      <c r="H95" s="106"/>
      <c r="I95" s="106"/>
      <c r="J95" s="106"/>
      <c r="K95" s="106"/>
      <c r="L95" s="107">
        <f>AVERAGE(J94:L94)</f>
        <v>12615.63</v>
      </c>
      <c r="M95" s="108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outlineLevel="1">
      <c r="A96" s="49" t="s">
        <v>115</v>
      </c>
      <c r="B96" s="49"/>
      <c r="C96" s="105"/>
      <c r="D96" s="106"/>
      <c r="E96" s="68">
        <f t="shared" ref="E96:L96" si="42">IF(D94=0,0,(E94/D94)-1)</f>
        <v>0.2962525219</v>
      </c>
      <c r="F96" s="68">
        <f t="shared" si="42"/>
        <v>-0.1552622873</v>
      </c>
      <c r="G96" s="68">
        <f t="shared" si="42"/>
        <v>0.2650486796</v>
      </c>
      <c r="H96" s="68">
        <f t="shared" si="42"/>
        <v>0.02286695484</v>
      </c>
      <c r="I96" s="68">
        <f t="shared" si="42"/>
        <v>0.2240109501</v>
      </c>
      <c r="J96" s="68">
        <f t="shared" si="42"/>
        <v>-0.2797271311</v>
      </c>
      <c r="K96" s="68">
        <f t="shared" si="42"/>
        <v>0.6285407214</v>
      </c>
      <c r="L96" s="68">
        <f t="shared" si="42"/>
        <v>0.1276610695</v>
      </c>
      <c r="M96" s="68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>
      <c r="A97" s="44"/>
      <c r="B97" s="44"/>
      <c r="C97" s="48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>
      <c r="A98" s="110" t="s">
        <v>121</v>
      </c>
      <c r="B98" s="111"/>
      <c r="C98" s="112">
        <f>'Data Sheet'!B90</f>
        <v>235.23</v>
      </c>
      <c r="D98" s="112">
        <f>'Data Sheet'!C90</f>
        <v>217.23</v>
      </c>
      <c r="E98" s="112">
        <f>'Data Sheet'!D90</f>
        <v>218.83</v>
      </c>
      <c r="F98" s="112">
        <f>'Data Sheet'!E90</f>
        <v>280.3</v>
      </c>
      <c r="G98" s="112">
        <f>'Data Sheet'!F90</f>
        <v>255.5</v>
      </c>
      <c r="H98" s="112">
        <f>'Data Sheet'!G90</f>
        <v>297.25</v>
      </c>
      <c r="I98" s="112">
        <f>'Data Sheet'!H90</f>
        <v>171.7</v>
      </c>
      <c r="J98" s="112">
        <f>'Data Sheet'!I90</f>
        <v>218.5</v>
      </c>
      <c r="K98" s="112">
        <f>'Data Sheet'!J90</f>
        <v>250.65</v>
      </c>
      <c r="L98" s="113">
        <f>'Data Sheet'!K90</f>
        <v>383.5</v>
      </c>
      <c r="M98" s="83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>
      <c r="A99" s="114" t="s">
        <v>122</v>
      </c>
      <c r="B99" s="115"/>
      <c r="C99" s="116">
        <f>'Data Sheet'!B93</f>
        <v>1192.98</v>
      </c>
      <c r="D99" s="116">
        <f>'Data Sheet'!C93</f>
        <v>1202.33</v>
      </c>
      <c r="E99" s="116">
        <f>'Data Sheet'!D93</f>
        <v>1207.08</v>
      </c>
      <c r="F99" s="116">
        <f>'Data Sheet'!E93</f>
        <v>1214.74</v>
      </c>
      <c r="G99" s="116">
        <f>'Data Sheet'!F93</f>
        <v>1220.43</v>
      </c>
      <c r="H99" s="116">
        <f>'Data Sheet'!G93</f>
        <v>1225.86</v>
      </c>
      <c r="I99" s="116">
        <f>'Data Sheet'!H93</f>
        <v>1229.22</v>
      </c>
      <c r="J99" s="116">
        <f>'Data Sheet'!I93</f>
        <v>1230.88</v>
      </c>
      <c r="K99" s="116">
        <f>'Data Sheet'!J93</f>
        <v>1232.33</v>
      </c>
      <c r="L99" s="117">
        <f>'Data Sheet'!K93</f>
        <v>1242.8</v>
      </c>
      <c r="M99" s="83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>
      <c r="A100" s="114" t="s">
        <v>123</v>
      </c>
      <c r="B100" s="115"/>
      <c r="C100" s="116">
        <f t="shared" ref="C100:L100" si="43">C99*C98</f>
        <v>280624.6854</v>
      </c>
      <c r="D100" s="116">
        <f t="shared" si="43"/>
        <v>261182.1459</v>
      </c>
      <c r="E100" s="116">
        <f t="shared" si="43"/>
        <v>264145.3164</v>
      </c>
      <c r="F100" s="116">
        <f t="shared" si="43"/>
        <v>340491.622</v>
      </c>
      <c r="G100" s="116">
        <f t="shared" si="43"/>
        <v>311819.865</v>
      </c>
      <c r="H100" s="116">
        <f t="shared" si="43"/>
        <v>364386.885</v>
      </c>
      <c r="I100" s="116">
        <f t="shared" si="43"/>
        <v>211057.074</v>
      </c>
      <c r="J100" s="116">
        <f t="shared" si="43"/>
        <v>268947.28</v>
      </c>
      <c r="K100" s="116">
        <f t="shared" si="43"/>
        <v>308883.5145</v>
      </c>
      <c r="L100" s="117">
        <f t="shared" si="43"/>
        <v>476613.8</v>
      </c>
      <c r="M100" s="83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>
      <c r="A101" s="114" t="s">
        <v>124</v>
      </c>
      <c r="B101" s="115"/>
      <c r="C101" s="116">
        <f t="shared" ref="C101:L101" si="44">C100+(C82-C59)</f>
        <v>283872.4654</v>
      </c>
      <c r="D101" s="116">
        <f t="shared" si="44"/>
        <v>268809.5659</v>
      </c>
      <c r="E101" s="116">
        <f t="shared" si="44"/>
        <v>270124.8364</v>
      </c>
      <c r="F101" s="116">
        <f t="shared" si="44"/>
        <v>343413.302</v>
      </c>
      <c r="G101" s="116">
        <f t="shared" si="44"/>
        <v>314683.545</v>
      </c>
      <c r="H101" s="116">
        <f t="shared" si="44"/>
        <v>368525.475</v>
      </c>
      <c r="I101" s="116">
        <f t="shared" si="44"/>
        <v>218056.964</v>
      </c>
      <c r="J101" s="116">
        <f t="shared" si="44"/>
        <v>273335.47</v>
      </c>
      <c r="K101" s="116">
        <f t="shared" si="44"/>
        <v>313288.4945</v>
      </c>
      <c r="L101" s="116">
        <f t="shared" si="44"/>
        <v>481187.95</v>
      </c>
      <c r="M101" s="83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>
      <c r="A102" s="118" t="s">
        <v>125</v>
      </c>
      <c r="B102" s="119"/>
      <c r="C102" s="120">
        <f>IF('Finanical Statment'!C7=0,0,(C66+C67)/C99)</f>
        <v>22.83102818</v>
      </c>
      <c r="D102" s="120">
        <f>IF('Finanical Statment'!D7=0,0,(D66+D67)/D99)</f>
        <v>26.39499139</v>
      </c>
      <c r="E102" s="120">
        <f>IF('Finanical Statment'!E7=0,0,(E66+E67)/E99)</f>
        <v>35.35765649</v>
      </c>
      <c r="F102" s="120">
        <f>IF('Finanical Statment'!F7=0,0,(F66+F67)/F99)</f>
        <v>38.20811861</v>
      </c>
      <c r="G102" s="120">
        <f>IF('Finanical Statment'!G7=0,0,(G66+G67)/G99)</f>
        <v>43.0259089</v>
      </c>
      <c r="H102" s="120">
        <f>IF('Finanical Statment'!H7=0,0,(H66+H67)/H99)</f>
        <v>48.24439169</v>
      </c>
      <c r="I102" s="120">
        <f>IF('Finanical Statment'!I7=0,0,(I66+I67)/I99)</f>
        <v>53.10136509</v>
      </c>
      <c r="J102" s="120">
        <f>IF('Finanical Statment'!J7=0,0,(J66+J67)/J99)</f>
        <v>49.02780125</v>
      </c>
      <c r="K102" s="120">
        <f>IF('Finanical Statment'!K7=0,0,(K66+K67)/K99)</f>
        <v>50.68088093</v>
      </c>
      <c r="L102" s="121">
        <f>IF('Finanical Statment'!L7=0,0,(L66+L67)/L99)</f>
        <v>55.6447216</v>
      </c>
      <c r="M102" s="83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>
      <c r="A103" s="44"/>
      <c r="B103" s="44"/>
      <c r="C103" s="48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>
      <c r="A104" s="122" t="s">
        <v>126</v>
      </c>
      <c r="B104" s="123"/>
      <c r="C104" s="44"/>
      <c r="D104" s="44"/>
      <c r="E104" s="46"/>
      <c r="F104" s="46"/>
      <c r="G104" s="46"/>
      <c r="H104" s="46"/>
      <c r="I104" s="46"/>
      <c r="J104" s="46"/>
      <c r="K104" s="46"/>
      <c r="L104" s="46"/>
      <c r="M104" s="46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>
      <c r="A105" s="124" t="str">
        <f>'Data Sheet'!A6</f>
        <v>Number of shares</v>
      </c>
      <c r="B105" s="125">
        <f>'Data Sheet'!B6</f>
        <v>1247.023836</v>
      </c>
      <c r="C105" s="44"/>
      <c r="D105" s="44"/>
      <c r="E105" s="46"/>
      <c r="F105" s="46"/>
      <c r="G105" s="46"/>
      <c r="H105" s="46"/>
      <c r="I105" s="46"/>
      <c r="J105" s="46"/>
      <c r="K105" s="46"/>
      <c r="L105" s="46"/>
      <c r="M105" s="46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>
      <c r="A106" s="126" t="str">
        <f>'Data Sheet'!A7</f>
        <v>Face Value</v>
      </c>
      <c r="B106" s="127">
        <f>'Data Sheet'!B7</f>
        <v>1</v>
      </c>
      <c r="C106" s="44"/>
      <c r="D106" s="44"/>
      <c r="E106" s="46"/>
      <c r="F106" s="46"/>
      <c r="G106" s="46"/>
      <c r="H106" s="46"/>
      <c r="I106" s="46"/>
      <c r="J106" s="46"/>
      <c r="K106" s="46"/>
      <c r="L106" s="46"/>
      <c r="M106" s="46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>
      <c r="A107" s="126" t="str">
        <f>'Data Sheet'!A8</f>
        <v>Current Price</v>
      </c>
      <c r="B107" s="127">
        <f>'Data Sheet'!B8</f>
        <v>442.6</v>
      </c>
      <c r="C107" s="44"/>
      <c r="D107" s="44"/>
      <c r="E107" s="46"/>
      <c r="F107" s="46"/>
      <c r="G107" s="46"/>
      <c r="H107" s="46"/>
      <c r="I107" s="46"/>
      <c r="J107" s="46"/>
      <c r="K107" s="46"/>
      <c r="L107" s="46"/>
      <c r="M107" s="46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>
      <c r="A108" s="126" t="s">
        <v>127</v>
      </c>
      <c r="B108" s="127">
        <f>'Data Sheet'!B9</f>
        <v>551932.75</v>
      </c>
      <c r="C108" s="44"/>
      <c r="D108" s="44"/>
      <c r="E108" s="46"/>
      <c r="F108" s="46"/>
      <c r="G108" s="46"/>
      <c r="H108" s="46"/>
      <c r="I108" s="46"/>
      <c r="J108" s="46"/>
      <c r="K108" s="46"/>
      <c r="L108" s="46"/>
      <c r="M108" s="46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>
      <c r="A109" s="126" t="s">
        <v>128</v>
      </c>
      <c r="B109" s="128">
        <f>IF(J98=0,0,((L98/J98)^(1/2)-1))</f>
        <v>0.3248202676</v>
      </c>
      <c r="C109" s="44"/>
      <c r="D109" s="44"/>
      <c r="E109" s="46"/>
      <c r="F109" s="46"/>
      <c r="G109" s="46"/>
      <c r="H109" s="46"/>
      <c r="I109" s="46"/>
      <c r="J109" s="46"/>
      <c r="K109" s="46"/>
      <c r="L109" s="46"/>
      <c r="M109" s="46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>
      <c r="A110" s="114" t="s">
        <v>129</v>
      </c>
      <c r="B110" s="129">
        <f>IF(H98=0,0,(((L98/H98)^(1/4))-1))</f>
        <v>0.06576358269</v>
      </c>
      <c r="C110" s="48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>
      <c r="A111" s="118" t="s">
        <v>130</v>
      </c>
      <c r="B111" s="130">
        <f>IF(C98=0,0,((L98/C98)^(1/9)-1))</f>
        <v>0.05581019453</v>
      </c>
      <c r="C111" s="13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>
      <c r="A112" s="44"/>
      <c r="B112" s="44"/>
      <c r="C112" s="45"/>
      <c r="D112" s="44"/>
      <c r="E112" s="44"/>
      <c r="F112" s="44"/>
      <c r="G112" s="44"/>
      <c r="H112" s="44"/>
      <c r="I112" s="44"/>
      <c r="J112" s="44"/>
      <c r="K112" s="44"/>
      <c r="L112" s="44"/>
      <c r="M112" s="46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>
      <c r="A113" s="44"/>
      <c r="B113" s="44"/>
      <c r="C113" s="45"/>
      <c r="D113" s="44"/>
      <c r="E113" s="44"/>
      <c r="F113" s="44"/>
      <c r="G113" s="44"/>
      <c r="H113" s="44"/>
      <c r="I113" s="44"/>
      <c r="J113" s="44"/>
      <c r="K113" s="44"/>
      <c r="L113" s="44"/>
      <c r="M113" s="46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>
      <c r="A114" s="44"/>
      <c r="B114" s="44"/>
      <c r="C114" s="45"/>
      <c r="D114" s="44"/>
      <c r="E114" s="44"/>
      <c r="F114" s="44"/>
      <c r="G114" s="44"/>
      <c r="H114" s="44"/>
      <c r="I114" s="44"/>
      <c r="J114" s="44"/>
      <c r="K114" s="44"/>
      <c r="L114" s="44"/>
      <c r="M114" s="46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>
      <c r="A115" s="44"/>
      <c r="B115" s="44"/>
      <c r="C115" s="45"/>
      <c r="D115" s="44"/>
      <c r="E115" s="44"/>
      <c r="F115" s="44"/>
      <c r="G115" s="44"/>
      <c r="H115" s="44"/>
      <c r="I115" s="44"/>
      <c r="J115" s="44"/>
      <c r="K115" s="44"/>
      <c r="L115" s="44"/>
      <c r="M115" s="46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>
      <c r="A116" s="44"/>
      <c r="B116" s="44"/>
      <c r="C116" s="45"/>
      <c r="D116" s="44"/>
      <c r="E116" s="44"/>
      <c r="F116" s="44"/>
      <c r="G116" s="44"/>
      <c r="H116" s="44"/>
      <c r="I116" s="44"/>
      <c r="J116" s="44"/>
      <c r="K116" s="44"/>
      <c r="L116" s="44"/>
      <c r="M116" s="46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>
      <c r="A117" s="44"/>
      <c r="B117" s="44"/>
      <c r="C117" s="45"/>
      <c r="D117" s="44"/>
      <c r="E117" s="44"/>
      <c r="F117" s="44"/>
      <c r="G117" s="44"/>
      <c r="H117" s="44"/>
      <c r="I117" s="44"/>
      <c r="J117" s="44"/>
      <c r="K117" s="44"/>
      <c r="L117" s="44"/>
      <c r="M117" s="46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>
      <c r="A118" s="44"/>
      <c r="B118" s="44"/>
      <c r="C118" s="45"/>
      <c r="D118" s="44"/>
      <c r="E118" s="44"/>
      <c r="F118" s="44"/>
      <c r="G118" s="44"/>
      <c r="H118" s="44"/>
      <c r="I118" s="44"/>
      <c r="J118" s="44"/>
      <c r="K118" s="44"/>
      <c r="L118" s="44"/>
      <c r="M118" s="46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>
      <c r="A119" s="44"/>
      <c r="B119" s="44"/>
      <c r="C119" s="45"/>
      <c r="D119" s="44"/>
      <c r="E119" s="44"/>
      <c r="F119" s="44"/>
      <c r="G119" s="44"/>
      <c r="H119" s="44"/>
      <c r="I119" s="44"/>
      <c r="J119" s="44"/>
      <c r="K119" s="44"/>
      <c r="L119" s="44"/>
      <c r="M119" s="46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>
      <c r="A120" s="44"/>
      <c r="B120" s="44"/>
      <c r="C120" s="45"/>
      <c r="D120" s="44"/>
      <c r="E120" s="44"/>
      <c r="F120" s="44"/>
      <c r="G120" s="44"/>
      <c r="H120" s="44"/>
      <c r="I120" s="44"/>
      <c r="J120" s="44"/>
      <c r="K120" s="44"/>
      <c r="L120" s="44"/>
      <c r="M120" s="46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>
      <c r="A121" s="44"/>
      <c r="B121" s="44"/>
      <c r="C121" s="45"/>
      <c r="D121" s="44"/>
      <c r="E121" s="44"/>
      <c r="F121" s="44"/>
      <c r="G121" s="44"/>
      <c r="H121" s="44"/>
      <c r="I121" s="44"/>
      <c r="J121" s="44"/>
      <c r="K121" s="44"/>
      <c r="L121" s="44"/>
      <c r="M121" s="46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>
      <c r="A122" s="44"/>
      <c r="B122" s="44"/>
      <c r="C122" s="45"/>
      <c r="D122" s="44"/>
      <c r="E122" s="44"/>
      <c r="F122" s="44"/>
      <c r="G122" s="44"/>
      <c r="H122" s="44"/>
      <c r="I122" s="44"/>
      <c r="J122" s="44"/>
      <c r="K122" s="44"/>
      <c r="L122" s="44"/>
      <c r="M122" s="46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>
      <c r="A123" s="44"/>
      <c r="B123" s="44"/>
      <c r="C123" s="45"/>
      <c r="D123" s="44"/>
      <c r="E123" s="44"/>
      <c r="F123" s="44"/>
      <c r="G123" s="44"/>
      <c r="H123" s="44"/>
      <c r="I123" s="44"/>
      <c r="J123" s="44"/>
      <c r="K123" s="44"/>
      <c r="L123" s="44"/>
      <c r="M123" s="46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>
      <c r="A124" s="44"/>
      <c r="B124" s="44"/>
      <c r="C124" s="45"/>
      <c r="D124" s="44"/>
      <c r="E124" s="44"/>
      <c r="F124" s="44"/>
      <c r="G124" s="44"/>
      <c r="H124" s="44"/>
      <c r="I124" s="44"/>
      <c r="J124" s="44"/>
      <c r="K124" s="44"/>
      <c r="L124" s="44"/>
      <c r="M124" s="46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>
      <c r="A125" s="44"/>
      <c r="B125" s="44"/>
      <c r="C125" s="45"/>
      <c r="D125" s="44"/>
      <c r="E125" s="44"/>
      <c r="F125" s="44"/>
      <c r="G125" s="44"/>
      <c r="H125" s="44"/>
      <c r="I125" s="44"/>
      <c r="J125" s="44"/>
      <c r="K125" s="44"/>
      <c r="L125" s="44"/>
      <c r="M125" s="46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>
      <c r="A126" s="44"/>
      <c r="B126" s="44"/>
      <c r="C126" s="45"/>
      <c r="D126" s="44"/>
      <c r="E126" s="44"/>
      <c r="F126" s="44"/>
      <c r="G126" s="44"/>
      <c r="H126" s="44"/>
      <c r="I126" s="44"/>
      <c r="J126" s="44"/>
      <c r="K126" s="44"/>
      <c r="L126" s="44"/>
      <c r="M126" s="46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>
      <c r="A127" s="44"/>
      <c r="B127" s="44"/>
      <c r="C127" s="45"/>
      <c r="D127" s="44"/>
      <c r="E127" s="44"/>
      <c r="F127" s="44"/>
      <c r="G127" s="44"/>
      <c r="H127" s="44"/>
      <c r="I127" s="44"/>
      <c r="J127" s="44"/>
      <c r="K127" s="44"/>
      <c r="L127" s="44"/>
      <c r="M127" s="46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>
      <c r="A128" s="44"/>
      <c r="B128" s="44"/>
      <c r="C128" s="45"/>
      <c r="D128" s="44"/>
      <c r="E128" s="44"/>
      <c r="F128" s="44"/>
      <c r="G128" s="44"/>
      <c r="H128" s="44"/>
      <c r="I128" s="44"/>
      <c r="J128" s="44"/>
      <c r="K128" s="44"/>
      <c r="L128" s="44"/>
      <c r="M128" s="46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>
      <c r="A129" s="44"/>
      <c r="B129" s="44"/>
      <c r="C129" s="45"/>
      <c r="D129" s="44"/>
      <c r="E129" s="44"/>
      <c r="F129" s="44"/>
      <c r="G129" s="44"/>
      <c r="H129" s="44"/>
      <c r="I129" s="44"/>
      <c r="J129" s="44"/>
      <c r="K129" s="44"/>
      <c r="L129" s="44"/>
      <c r="M129" s="46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>
      <c r="A130" s="44"/>
      <c r="B130" s="44"/>
      <c r="C130" s="45"/>
      <c r="D130" s="44"/>
      <c r="E130" s="44"/>
      <c r="F130" s="44"/>
      <c r="G130" s="44"/>
      <c r="H130" s="44"/>
      <c r="I130" s="44"/>
      <c r="J130" s="44"/>
      <c r="K130" s="44"/>
      <c r="L130" s="44"/>
      <c r="M130" s="46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>
      <c r="A131" s="44"/>
      <c r="B131" s="44"/>
      <c r="C131" s="45"/>
      <c r="D131" s="44"/>
      <c r="E131" s="44"/>
      <c r="F131" s="44"/>
      <c r="G131" s="44"/>
      <c r="H131" s="44"/>
      <c r="I131" s="44"/>
      <c r="J131" s="44"/>
      <c r="K131" s="44"/>
      <c r="L131" s="44"/>
      <c r="M131" s="46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>
      <c r="A132" s="44"/>
      <c r="B132" s="44"/>
      <c r="C132" s="45"/>
      <c r="D132" s="44"/>
      <c r="E132" s="44"/>
      <c r="F132" s="44"/>
      <c r="G132" s="44"/>
      <c r="H132" s="44"/>
      <c r="I132" s="44"/>
      <c r="J132" s="44"/>
      <c r="K132" s="44"/>
      <c r="L132" s="44"/>
      <c r="M132" s="46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>
      <c r="A133" s="44"/>
      <c r="B133" s="44"/>
      <c r="C133" s="45"/>
      <c r="D133" s="44"/>
      <c r="E133" s="44"/>
      <c r="F133" s="44"/>
      <c r="G133" s="44"/>
      <c r="H133" s="44"/>
      <c r="I133" s="44"/>
      <c r="J133" s="44"/>
      <c r="K133" s="44"/>
      <c r="L133" s="44"/>
      <c r="M133" s="46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>
      <c r="A134" s="44"/>
      <c r="B134" s="44"/>
      <c r="C134" s="45"/>
      <c r="D134" s="44"/>
      <c r="E134" s="44"/>
      <c r="F134" s="44"/>
      <c r="G134" s="44"/>
      <c r="H134" s="44"/>
      <c r="I134" s="44"/>
      <c r="J134" s="44"/>
      <c r="K134" s="44"/>
      <c r="L134" s="44"/>
      <c r="M134" s="46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>
      <c r="A135" s="44"/>
      <c r="B135" s="44"/>
      <c r="C135" s="45"/>
      <c r="D135" s="44"/>
      <c r="E135" s="44"/>
      <c r="F135" s="44"/>
      <c r="G135" s="44"/>
      <c r="H135" s="44"/>
      <c r="I135" s="44"/>
      <c r="J135" s="44"/>
      <c r="K135" s="44"/>
      <c r="L135" s="44"/>
      <c r="M135" s="46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>
      <c r="A136" s="44"/>
      <c r="B136" s="44"/>
      <c r="C136" s="45"/>
      <c r="D136" s="44"/>
      <c r="E136" s="44"/>
      <c r="F136" s="44"/>
      <c r="G136" s="44"/>
      <c r="H136" s="44"/>
      <c r="I136" s="44"/>
      <c r="J136" s="44"/>
      <c r="K136" s="44"/>
      <c r="L136" s="44"/>
      <c r="M136" s="46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>
      <c r="A137" s="44"/>
      <c r="B137" s="44"/>
      <c r="C137" s="45"/>
      <c r="D137" s="44"/>
      <c r="E137" s="44"/>
      <c r="F137" s="44"/>
      <c r="G137" s="44"/>
      <c r="H137" s="44"/>
      <c r="I137" s="44"/>
      <c r="J137" s="44"/>
      <c r="K137" s="44"/>
      <c r="L137" s="44"/>
      <c r="M137" s="46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>
      <c r="A138" s="44"/>
      <c r="B138" s="44"/>
      <c r="C138" s="45"/>
      <c r="D138" s="44"/>
      <c r="E138" s="44"/>
      <c r="F138" s="44"/>
      <c r="G138" s="44"/>
      <c r="H138" s="44"/>
      <c r="I138" s="44"/>
      <c r="J138" s="44"/>
      <c r="K138" s="44"/>
      <c r="L138" s="44"/>
      <c r="M138" s="46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>
      <c r="A139" s="44"/>
      <c r="B139" s="44"/>
      <c r="C139" s="45"/>
      <c r="D139" s="44"/>
      <c r="E139" s="44"/>
      <c r="F139" s="44"/>
      <c r="G139" s="44"/>
      <c r="H139" s="44"/>
      <c r="I139" s="44"/>
      <c r="J139" s="44"/>
      <c r="K139" s="44"/>
      <c r="L139" s="44"/>
      <c r="M139" s="46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>
      <c r="A140" s="44"/>
      <c r="B140" s="44"/>
      <c r="C140" s="45"/>
      <c r="D140" s="44"/>
      <c r="E140" s="44"/>
      <c r="F140" s="44"/>
      <c r="G140" s="44"/>
      <c r="H140" s="44"/>
      <c r="I140" s="44"/>
      <c r="J140" s="44"/>
      <c r="K140" s="44"/>
      <c r="L140" s="44"/>
      <c r="M140" s="46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>
      <c r="A141" s="44"/>
      <c r="B141" s="44"/>
      <c r="C141" s="45"/>
      <c r="D141" s="44"/>
      <c r="E141" s="44"/>
      <c r="F141" s="44"/>
      <c r="G141" s="44"/>
      <c r="H141" s="44"/>
      <c r="I141" s="44"/>
      <c r="J141" s="44"/>
      <c r="K141" s="44"/>
      <c r="L141" s="44"/>
      <c r="M141" s="46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>
      <c r="A142" s="44"/>
      <c r="B142" s="44"/>
      <c r="C142" s="45"/>
      <c r="D142" s="44"/>
      <c r="E142" s="44"/>
      <c r="F142" s="44"/>
      <c r="G142" s="44"/>
      <c r="H142" s="44"/>
      <c r="I142" s="44"/>
      <c r="J142" s="44"/>
      <c r="K142" s="44"/>
      <c r="L142" s="44"/>
      <c r="M142" s="46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>
      <c r="A143" s="44"/>
      <c r="B143" s="44"/>
      <c r="C143" s="45"/>
      <c r="D143" s="44"/>
      <c r="E143" s="44"/>
      <c r="F143" s="44"/>
      <c r="G143" s="44"/>
      <c r="H143" s="44"/>
      <c r="I143" s="44"/>
      <c r="J143" s="44"/>
      <c r="K143" s="44"/>
      <c r="L143" s="44"/>
      <c r="M143" s="46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>
      <c r="A144" s="44"/>
      <c r="B144" s="44"/>
      <c r="C144" s="45"/>
      <c r="D144" s="44"/>
      <c r="E144" s="44"/>
      <c r="F144" s="44"/>
      <c r="G144" s="44"/>
      <c r="H144" s="44"/>
      <c r="I144" s="44"/>
      <c r="J144" s="44"/>
      <c r="K144" s="44"/>
      <c r="L144" s="44"/>
      <c r="M144" s="46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>
      <c r="A145" s="44"/>
      <c r="B145" s="44"/>
      <c r="C145" s="45"/>
      <c r="D145" s="44"/>
      <c r="E145" s="44"/>
      <c r="F145" s="44"/>
      <c r="G145" s="44"/>
      <c r="H145" s="44"/>
      <c r="I145" s="44"/>
      <c r="J145" s="44"/>
      <c r="K145" s="44"/>
      <c r="L145" s="44"/>
      <c r="M145" s="46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>
      <c r="A146" s="44"/>
      <c r="B146" s="44"/>
      <c r="C146" s="45"/>
      <c r="D146" s="44"/>
      <c r="E146" s="44"/>
      <c r="F146" s="44"/>
      <c r="G146" s="44"/>
      <c r="H146" s="44"/>
      <c r="I146" s="44"/>
      <c r="J146" s="44"/>
      <c r="K146" s="44"/>
      <c r="L146" s="44"/>
      <c r="M146" s="46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>
      <c r="A147" s="44"/>
      <c r="B147" s="44"/>
      <c r="C147" s="45"/>
      <c r="D147" s="44"/>
      <c r="E147" s="44"/>
      <c r="F147" s="44"/>
      <c r="G147" s="44"/>
      <c r="H147" s="44"/>
      <c r="I147" s="44"/>
      <c r="J147" s="44"/>
      <c r="K147" s="44"/>
      <c r="L147" s="44"/>
      <c r="M147" s="46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>
      <c r="A148" s="44"/>
      <c r="B148" s="44"/>
      <c r="C148" s="45"/>
      <c r="D148" s="44"/>
      <c r="E148" s="44"/>
      <c r="F148" s="44"/>
      <c r="G148" s="44"/>
      <c r="H148" s="44"/>
      <c r="I148" s="44"/>
      <c r="J148" s="44"/>
      <c r="K148" s="44"/>
      <c r="L148" s="44"/>
      <c r="M148" s="46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>
      <c r="A149" s="44"/>
      <c r="B149" s="44"/>
      <c r="C149" s="45"/>
      <c r="D149" s="44"/>
      <c r="E149" s="44"/>
      <c r="F149" s="44"/>
      <c r="G149" s="44"/>
      <c r="H149" s="44"/>
      <c r="I149" s="44"/>
      <c r="J149" s="44"/>
      <c r="K149" s="44"/>
      <c r="L149" s="44"/>
      <c r="M149" s="46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>
      <c r="A150" s="44"/>
      <c r="B150" s="44"/>
      <c r="C150" s="45"/>
      <c r="D150" s="44"/>
      <c r="E150" s="44"/>
      <c r="F150" s="44"/>
      <c r="G150" s="44"/>
      <c r="H150" s="44"/>
      <c r="I150" s="44"/>
      <c r="J150" s="44"/>
      <c r="K150" s="44"/>
      <c r="L150" s="44"/>
      <c r="M150" s="46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>
      <c r="A151" s="44"/>
      <c r="B151" s="44"/>
      <c r="C151" s="45"/>
      <c r="D151" s="44"/>
      <c r="E151" s="44"/>
      <c r="F151" s="44"/>
      <c r="G151" s="44"/>
      <c r="H151" s="44"/>
      <c r="I151" s="44"/>
      <c r="J151" s="44"/>
      <c r="K151" s="44"/>
      <c r="L151" s="44"/>
      <c r="M151" s="46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>
      <c r="A152" s="44"/>
      <c r="B152" s="44"/>
      <c r="C152" s="45"/>
      <c r="D152" s="44"/>
      <c r="E152" s="44"/>
      <c r="F152" s="44"/>
      <c r="G152" s="44"/>
      <c r="H152" s="44"/>
      <c r="I152" s="44"/>
      <c r="J152" s="44"/>
      <c r="K152" s="44"/>
      <c r="L152" s="44"/>
      <c r="M152" s="46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>
      <c r="A153" s="44"/>
      <c r="B153" s="44"/>
      <c r="C153" s="45"/>
      <c r="D153" s="44"/>
      <c r="E153" s="44"/>
      <c r="F153" s="44"/>
      <c r="G153" s="44"/>
      <c r="H153" s="44"/>
      <c r="I153" s="44"/>
      <c r="J153" s="44"/>
      <c r="K153" s="44"/>
      <c r="L153" s="44"/>
      <c r="M153" s="46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>
      <c r="A154" s="44"/>
      <c r="B154" s="44"/>
      <c r="C154" s="45"/>
      <c r="D154" s="44"/>
      <c r="E154" s="44"/>
      <c r="F154" s="44"/>
      <c r="G154" s="44"/>
      <c r="H154" s="44"/>
      <c r="I154" s="44"/>
      <c r="J154" s="44"/>
      <c r="K154" s="44"/>
      <c r="L154" s="44"/>
      <c r="M154" s="46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>
      <c r="A155" s="44"/>
      <c r="B155" s="44"/>
      <c r="C155" s="45"/>
      <c r="D155" s="44"/>
      <c r="E155" s="44"/>
      <c r="F155" s="44"/>
      <c r="G155" s="44"/>
      <c r="H155" s="44"/>
      <c r="I155" s="44"/>
      <c r="J155" s="44"/>
      <c r="K155" s="44"/>
      <c r="L155" s="44"/>
      <c r="M155" s="46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>
      <c r="A156" s="44"/>
      <c r="B156" s="44"/>
      <c r="C156" s="45"/>
      <c r="D156" s="44"/>
      <c r="E156" s="44"/>
      <c r="F156" s="44"/>
      <c r="G156" s="44"/>
      <c r="H156" s="44"/>
      <c r="I156" s="44"/>
      <c r="J156" s="44"/>
      <c r="K156" s="44"/>
      <c r="L156" s="44"/>
      <c r="M156" s="46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>
      <c r="A157" s="44"/>
      <c r="B157" s="44"/>
      <c r="C157" s="45"/>
      <c r="D157" s="44"/>
      <c r="E157" s="44"/>
      <c r="F157" s="44"/>
      <c r="G157" s="44"/>
      <c r="H157" s="44"/>
      <c r="I157" s="44"/>
      <c r="J157" s="44"/>
      <c r="K157" s="44"/>
      <c r="L157" s="44"/>
      <c r="M157" s="46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>
      <c r="A158" s="44"/>
      <c r="B158" s="44"/>
      <c r="C158" s="45"/>
      <c r="D158" s="44"/>
      <c r="E158" s="44"/>
      <c r="F158" s="44"/>
      <c r="G158" s="44"/>
      <c r="H158" s="44"/>
      <c r="I158" s="44"/>
      <c r="J158" s="44"/>
      <c r="K158" s="44"/>
      <c r="L158" s="44"/>
      <c r="M158" s="46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>
      <c r="A159" s="44"/>
      <c r="B159" s="44"/>
      <c r="C159" s="45"/>
      <c r="D159" s="44"/>
      <c r="E159" s="44"/>
      <c r="F159" s="44"/>
      <c r="G159" s="44"/>
      <c r="H159" s="44"/>
      <c r="I159" s="44"/>
      <c r="J159" s="44"/>
      <c r="K159" s="44"/>
      <c r="L159" s="44"/>
      <c r="M159" s="46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>
      <c r="A160" s="44"/>
      <c r="B160" s="44"/>
      <c r="C160" s="45"/>
      <c r="D160" s="44"/>
      <c r="E160" s="44"/>
      <c r="F160" s="44"/>
      <c r="G160" s="44"/>
      <c r="H160" s="44"/>
      <c r="I160" s="44"/>
      <c r="J160" s="44"/>
      <c r="K160" s="44"/>
      <c r="L160" s="44"/>
      <c r="M160" s="46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>
      <c r="A161" s="44"/>
      <c r="B161" s="44"/>
      <c r="C161" s="45"/>
      <c r="D161" s="44"/>
      <c r="E161" s="44"/>
      <c r="F161" s="44"/>
      <c r="G161" s="44"/>
      <c r="H161" s="44"/>
      <c r="I161" s="44"/>
      <c r="J161" s="44"/>
      <c r="K161" s="44"/>
      <c r="L161" s="44"/>
      <c r="M161" s="46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>
      <c r="A162" s="44"/>
      <c r="B162" s="44"/>
      <c r="C162" s="45"/>
      <c r="D162" s="44"/>
      <c r="E162" s="44"/>
      <c r="F162" s="44"/>
      <c r="G162" s="44"/>
      <c r="H162" s="44"/>
      <c r="I162" s="44"/>
      <c r="J162" s="44"/>
      <c r="K162" s="44"/>
      <c r="L162" s="44"/>
      <c r="M162" s="46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>
      <c r="A163" s="44"/>
      <c r="B163" s="44"/>
      <c r="C163" s="45"/>
      <c r="D163" s="44"/>
      <c r="E163" s="44"/>
      <c r="F163" s="44"/>
      <c r="G163" s="44"/>
      <c r="H163" s="44"/>
      <c r="I163" s="44"/>
      <c r="J163" s="44"/>
      <c r="K163" s="44"/>
      <c r="L163" s="44"/>
      <c r="M163" s="46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>
      <c r="A164" s="44"/>
      <c r="B164" s="44"/>
      <c r="C164" s="45"/>
      <c r="D164" s="44"/>
      <c r="E164" s="44"/>
      <c r="F164" s="44"/>
      <c r="G164" s="44"/>
      <c r="H164" s="44"/>
      <c r="I164" s="44"/>
      <c r="J164" s="44"/>
      <c r="K164" s="44"/>
      <c r="L164" s="44"/>
      <c r="M164" s="46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>
      <c r="A165" s="44"/>
      <c r="B165" s="44"/>
      <c r="C165" s="45"/>
      <c r="D165" s="44"/>
      <c r="E165" s="44"/>
      <c r="F165" s="44"/>
      <c r="G165" s="44"/>
      <c r="H165" s="44"/>
      <c r="I165" s="44"/>
      <c r="J165" s="44"/>
      <c r="K165" s="44"/>
      <c r="L165" s="44"/>
      <c r="M165" s="46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>
      <c r="A166" s="44"/>
      <c r="B166" s="44"/>
      <c r="C166" s="45"/>
      <c r="D166" s="44"/>
      <c r="E166" s="44"/>
      <c r="F166" s="44"/>
      <c r="G166" s="44"/>
      <c r="H166" s="44"/>
      <c r="I166" s="44"/>
      <c r="J166" s="44"/>
      <c r="K166" s="44"/>
      <c r="L166" s="44"/>
      <c r="M166" s="46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>
      <c r="A167" s="44"/>
      <c r="B167" s="44"/>
      <c r="C167" s="45"/>
      <c r="D167" s="44"/>
      <c r="E167" s="44"/>
      <c r="F167" s="44"/>
      <c r="G167" s="44"/>
      <c r="H167" s="44"/>
      <c r="I167" s="44"/>
      <c r="J167" s="44"/>
      <c r="K167" s="44"/>
      <c r="L167" s="44"/>
      <c r="M167" s="46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>
      <c r="A168" s="44"/>
      <c r="B168" s="44"/>
      <c r="C168" s="45"/>
      <c r="D168" s="44"/>
      <c r="E168" s="44"/>
      <c r="F168" s="44"/>
      <c r="G168" s="44"/>
      <c r="H168" s="44"/>
      <c r="I168" s="44"/>
      <c r="J168" s="44"/>
      <c r="K168" s="44"/>
      <c r="L168" s="44"/>
      <c r="M168" s="46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>
      <c r="A169" s="44"/>
      <c r="B169" s="44"/>
      <c r="C169" s="45"/>
      <c r="D169" s="44"/>
      <c r="E169" s="44"/>
      <c r="F169" s="44"/>
      <c r="G169" s="44"/>
      <c r="H169" s="44"/>
      <c r="I169" s="44"/>
      <c r="J169" s="44"/>
      <c r="K169" s="44"/>
      <c r="L169" s="44"/>
      <c r="M169" s="46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>
      <c r="A170" s="44"/>
      <c r="B170" s="44"/>
      <c r="C170" s="45"/>
      <c r="D170" s="44"/>
      <c r="E170" s="44"/>
      <c r="F170" s="44"/>
      <c r="G170" s="44"/>
      <c r="H170" s="44"/>
      <c r="I170" s="44"/>
      <c r="J170" s="44"/>
      <c r="K170" s="44"/>
      <c r="L170" s="44"/>
      <c r="M170" s="46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>
      <c r="A171" s="44"/>
      <c r="B171" s="44"/>
      <c r="C171" s="45"/>
      <c r="D171" s="44"/>
      <c r="E171" s="44"/>
      <c r="F171" s="44"/>
      <c r="G171" s="44"/>
      <c r="H171" s="44"/>
      <c r="I171" s="44"/>
      <c r="J171" s="44"/>
      <c r="K171" s="44"/>
      <c r="L171" s="44"/>
      <c r="M171" s="46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>
      <c r="A172" s="44"/>
      <c r="B172" s="44"/>
      <c r="C172" s="45"/>
      <c r="D172" s="44"/>
      <c r="E172" s="44"/>
      <c r="F172" s="44"/>
      <c r="G172" s="44"/>
      <c r="H172" s="44"/>
      <c r="I172" s="44"/>
      <c r="J172" s="44"/>
      <c r="K172" s="44"/>
      <c r="L172" s="44"/>
      <c r="M172" s="46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>
      <c r="A173" s="44"/>
      <c r="B173" s="44"/>
      <c r="C173" s="45"/>
      <c r="D173" s="44"/>
      <c r="E173" s="44"/>
      <c r="F173" s="44"/>
      <c r="G173" s="44"/>
      <c r="H173" s="44"/>
      <c r="I173" s="44"/>
      <c r="J173" s="44"/>
      <c r="K173" s="44"/>
      <c r="L173" s="44"/>
      <c r="M173" s="46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>
      <c r="A174" s="44"/>
      <c r="B174" s="44"/>
      <c r="C174" s="45"/>
      <c r="D174" s="44"/>
      <c r="E174" s="44"/>
      <c r="F174" s="44"/>
      <c r="G174" s="44"/>
      <c r="H174" s="44"/>
      <c r="I174" s="44"/>
      <c r="J174" s="44"/>
      <c r="K174" s="44"/>
      <c r="L174" s="44"/>
      <c r="M174" s="46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>
      <c r="A175" s="44"/>
      <c r="B175" s="44"/>
      <c r="C175" s="45"/>
      <c r="D175" s="44"/>
      <c r="E175" s="44"/>
      <c r="F175" s="44"/>
      <c r="G175" s="44"/>
      <c r="H175" s="44"/>
      <c r="I175" s="44"/>
      <c r="J175" s="44"/>
      <c r="K175" s="44"/>
      <c r="L175" s="44"/>
      <c r="M175" s="46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>
      <c r="A176" s="44"/>
      <c r="B176" s="44"/>
      <c r="C176" s="45"/>
      <c r="D176" s="44"/>
      <c r="E176" s="44"/>
      <c r="F176" s="44"/>
      <c r="G176" s="44"/>
      <c r="H176" s="44"/>
      <c r="I176" s="44"/>
      <c r="J176" s="44"/>
      <c r="K176" s="44"/>
      <c r="L176" s="44"/>
      <c r="M176" s="46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>
      <c r="A177" s="44"/>
      <c r="B177" s="44"/>
      <c r="C177" s="45"/>
      <c r="D177" s="44"/>
      <c r="E177" s="44"/>
      <c r="F177" s="44"/>
      <c r="G177" s="44"/>
      <c r="H177" s="44"/>
      <c r="I177" s="44"/>
      <c r="J177" s="44"/>
      <c r="K177" s="44"/>
      <c r="L177" s="44"/>
      <c r="M177" s="46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>
      <c r="A178" s="44"/>
      <c r="B178" s="44"/>
      <c r="C178" s="45"/>
      <c r="D178" s="44"/>
      <c r="E178" s="44"/>
      <c r="F178" s="44"/>
      <c r="G178" s="44"/>
      <c r="H178" s="44"/>
      <c r="I178" s="44"/>
      <c r="J178" s="44"/>
      <c r="K178" s="44"/>
      <c r="L178" s="44"/>
      <c r="M178" s="46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>
      <c r="A179" s="44"/>
      <c r="B179" s="44"/>
      <c r="C179" s="45"/>
      <c r="D179" s="44"/>
      <c r="E179" s="44"/>
      <c r="F179" s="44"/>
      <c r="G179" s="44"/>
      <c r="H179" s="44"/>
      <c r="I179" s="44"/>
      <c r="J179" s="44"/>
      <c r="K179" s="44"/>
      <c r="L179" s="44"/>
      <c r="M179" s="46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>
      <c r="A180" s="44"/>
      <c r="B180" s="44"/>
      <c r="C180" s="45"/>
      <c r="D180" s="44"/>
      <c r="E180" s="44"/>
      <c r="F180" s="44"/>
      <c r="G180" s="44"/>
      <c r="H180" s="44"/>
      <c r="I180" s="44"/>
      <c r="J180" s="44"/>
      <c r="K180" s="44"/>
      <c r="L180" s="44"/>
      <c r="M180" s="46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>
      <c r="A181" s="44"/>
      <c r="B181" s="44"/>
      <c r="C181" s="45"/>
      <c r="D181" s="44"/>
      <c r="E181" s="44"/>
      <c r="F181" s="44"/>
      <c r="G181" s="44"/>
      <c r="H181" s="44"/>
      <c r="I181" s="44"/>
      <c r="J181" s="44"/>
      <c r="K181" s="44"/>
      <c r="L181" s="44"/>
      <c r="M181" s="46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>
      <c r="A182" s="44"/>
      <c r="B182" s="44"/>
      <c r="C182" s="45"/>
      <c r="D182" s="44"/>
      <c r="E182" s="44"/>
      <c r="F182" s="44"/>
      <c r="G182" s="44"/>
      <c r="H182" s="44"/>
      <c r="I182" s="44"/>
      <c r="J182" s="44"/>
      <c r="K182" s="44"/>
      <c r="L182" s="44"/>
      <c r="M182" s="46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>
      <c r="A183" s="44"/>
      <c r="B183" s="44"/>
      <c r="C183" s="45"/>
      <c r="D183" s="44"/>
      <c r="E183" s="44"/>
      <c r="F183" s="44"/>
      <c r="G183" s="44"/>
      <c r="H183" s="44"/>
      <c r="I183" s="44"/>
      <c r="J183" s="44"/>
      <c r="K183" s="44"/>
      <c r="L183" s="44"/>
      <c r="M183" s="46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>
      <c r="A184" s="44"/>
      <c r="B184" s="44"/>
      <c r="C184" s="45"/>
      <c r="D184" s="44"/>
      <c r="E184" s="44"/>
      <c r="F184" s="44"/>
      <c r="G184" s="44"/>
      <c r="H184" s="44"/>
      <c r="I184" s="44"/>
      <c r="J184" s="44"/>
      <c r="K184" s="44"/>
      <c r="L184" s="44"/>
      <c r="M184" s="46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>
      <c r="A185" s="44"/>
      <c r="B185" s="44"/>
      <c r="C185" s="45"/>
      <c r="D185" s="44"/>
      <c r="E185" s="44"/>
      <c r="F185" s="44"/>
      <c r="G185" s="44"/>
      <c r="H185" s="44"/>
      <c r="I185" s="44"/>
      <c r="J185" s="44"/>
      <c r="K185" s="44"/>
      <c r="L185" s="44"/>
      <c r="M185" s="46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>
      <c r="A186" s="44"/>
      <c r="B186" s="44"/>
      <c r="C186" s="45"/>
      <c r="D186" s="44"/>
      <c r="E186" s="44"/>
      <c r="F186" s="44"/>
      <c r="G186" s="44"/>
      <c r="H186" s="44"/>
      <c r="I186" s="44"/>
      <c r="J186" s="44"/>
      <c r="K186" s="44"/>
      <c r="L186" s="44"/>
      <c r="M186" s="46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>
      <c r="A187" s="44"/>
      <c r="B187" s="44"/>
      <c r="C187" s="45"/>
      <c r="D187" s="44"/>
      <c r="E187" s="44"/>
      <c r="F187" s="44"/>
      <c r="G187" s="44"/>
      <c r="H187" s="44"/>
      <c r="I187" s="44"/>
      <c r="J187" s="44"/>
      <c r="K187" s="44"/>
      <c r="L187" s="44"/>
      <c r="M187" s="46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>
      <c r="A188" s="44"/>
      <c r="B188" s="44"/>
      <c r="C188" s="45"/>
      <c r="D188" s="44"/>
      <c r="E188" s="44"/>
      <c r="F188" s="44"/>
      <c r="G188" s="44"/>
      <c r="H188" s="44"/>
      <c r="I188" s="44"/>
      <c r="J188" s="44"/>
      <c r="K188" s="44"/>
      <c r="L188" s="44"/>
      <c r="M188" s="46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>
      <c r="A189" s="44"/>
      <c r="B189" s="44"/>
      <c r="C189" s="45"/>
      <c r="D189" s="44"/>
      <c r="E189" s="44"/>
      <c r="F189" s="44"/>
      <c r="G189" s="44"/>
      <c r="H189" s="44"/>
      <c r="I189" s="44"/>
      <c r="J189" s="44"/>
      <c r="K189" s="44"/>
      <c r="L189" s="44"/>
      <c r="M189" s="46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>
      <c r="A190" s="44"/>
      <c r="B190" s="44"/>
      <c r="C190" s="45"/>
      <c r="D190" s="44"/>
      <c r="E190" s="44"/>
      <c r="F190" s="44"/>
      <c r="G190" s="44"/>
      <c r="H190" s="44"/>
      <c r="I190" s="44"/>
      <c r="J190" s="44"/>
      <c r="K190" s="44"/>
      <c r="L190" s="44"/>
      <c r="M190" s="46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>
      <c r="A191" s="44"/>
      <c r="B191" s="44"/>
      <c r="C191" s="45"/>
      <c r="D191" s="44"/>
      <c r="E191" s="44"/>
      <c r="F191" s="44"/>
      <c r="G191" s="44"/>
      <c r="H191" s="44"/>
      <c r="I191" s="44"/>
      <c r="J191" s="44"/>
      <c r="K191" s="44"/>
      <c r="L191" s="44"/>
      <c r="M191" s="46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>
      <c r="A192" s="44"/>
      <c r="B192" s="44"/>
      <c r="C192" s="45"/>
      <c r="D192" s="44"/>
      <c r="E192" s="44"/>
      <c r="F192" s="44"/>
      <c r="G192" s="44"/>
      <c r="H192" s="44"/>
      <c r="I192" s="44"/>
      <c r="J192" s="44"/>
      <c r="K192" s="44"/>
      <c r="L192" s="44"/>
      <c r="M192" s="46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>
      <c r="A193" s="44"/>
      <c r="B193" s="44"/>
      <c r="C193" s="45"/>
      <c r="D193" s="44"/>
      <c r="E193" s="44"/>
      <c r="F193" s="44"/>
      <c r="G193" s="44"/>
      <c r="H193" s="44"/>
      <c r="I193" s="44"/>
      <c r="J193" s="44"/>
      <c r="K193" s="44"/>
      <c r="L193" s="44"/>
      <c r="M193" s="46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>
      <c r="A194" s="44"/>
      <c r="B194" s="44"/>
      <c r="C194" s="45"/>
      <c r="D194" s="44"/>
      <c r="E194" s="44"/>
      <c r="F194" s="44"/>
      <c r="G194" s="44"/>
      <c r="H194" s="44"/>
      <c r="I194" s="44"/>
      <c r="J194" s="44"/>
      <c r="K194" s="44"/>
      <c r="L194" s="44"/>
      <c r="M194" s="46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>
      <c r="A195" s="44"/>
      <c r="B195" s="44"/>
      <c r="C195" s="45"/>
      <c r="D195" s="44"/>
      <c r="E195" s="44"/>
      <c r="F195" s="44"/>
      <c r="G195" s="44"/>
      <c r="H195" s="44"/>
      <c r="I195" s="44"/>
      <c r="J195" s="44"/>
      <c r="K195" s="44"/>
      <c r="L195" s="44"/>
      <c r="M195" s="46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>
      <c r="A196" s="44"/>
      <c r="B196" s="44"/>
      <c r="C196" s="45"/>
      <c r="D196" s="44"/>
      <c r="E196" s="44"/>
      <c r="F196" s="44"/>
      <c r="G196" s="44"/>
      <c r="H196" s="44"/>
      <c r="I196" s="44"/>
      <c r="J196" s="44"/>
      <c r="K196" s="44"/>
      <c r="L196" s="44"/>
      <c r="M196" s="46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>
      <c r="A197" s="44"/>
      <c r="B197" s="44"/>
      <c r="C197" s="45"/>
      <c r="D197" s="44"/>
      <c r="E197" s="44"/>
      <c r="F197" s="44"/>
      <c r="G197" s="44"/>
      <c r="H197" s="44"/>
      <c r="I197" s="44"/>
      <c r="J197" s="44"/>
      <c r="K197" s="44"/>
      <c r="L197" s="44"/>
      <c r="M197" s="46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>
      <c r="A198" s="44"/>
      <c r="B198" s="44"/>
      <c r="C198" s="45"/>
      <c r="D198" s="44"/>
      <c r="E198" s="44"/>
      <c r="F198" s="44"/>
      <c r="G198" s="44"/>
      <c r="H198" s="44"/>
      <c r="I198" s="44"/>
      <c r="J198" s="44"/>
      <c r="K198" s="44"/>
      <c r="L198" s="44"/>
      <c r="M198" s="46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>
      <c r="A199" s="44"/>
      <c r="B199" s="44"/>
      <c r="C199" s="45"/>
      <c r="D199" s="44"/>
      <c r="E199" s="44"/>
      <c r="F199" s="44"/>
      <c r="G199" s="44"/>
      <c r="H199" s="44"/>
      <c r="I199" s="44"/>
      <c r="J199" s="44"/>
      <c r="K199" s="44"/>
      <c r="L199" s="44"/>
      <c r="M199" s="46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>
      <c r="A200" s="44"/>
      <c r="B200" s="44"/>
      <c r="C200" s="45"/>
      <c r="D200" s="44"/>
      <c r="E200" s="44"/>
      <c r="F200" s="44"/>
      <c r="G200" s="44"/>
      <c r="H200" s="44"/>
      <c r="I200" s="44"/>
      <c r="J200" s="44"/>
      <c r="K200" s="44"/>
      <c r="L200" s="44"/>
      <c r="M200" s="46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>
      <c r="A201" s="44"/>
      <c r="B201" s="44"/>
      <c r="C201" s="45"/>
      <c r="D201" s="44"/>
      <c r="E201" s="44"/>
      <c r="F201" s="44"/>
      <c r="G201" s="44"/>
      <c r="H201" s="44"/>
      <c r="I201" s="44"/>
      <c r="J201" s="44"/>
      <c r="K201" s="44"/>
      <c r="L201" s="44"/>
      <c r="M201" s="46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>
      <c r="A202" s="44"/>
      <c r="B202" s="44"/>
      <c r="C202" s="45"/>
      <c r="D202" s="44"/>
      <c r="E202" s="44"/>
      <c r="F202" s="44"/>
      <c r="G202" s="44"/>
      <c r="H202" s="44"/>
      <c r="I202" s="44"/>
      <c r="J202" s="44"/>
      <c r="K202" s="44"/>
      <c r="L202" s="44"/>
      <c r="M202" s="46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>
      <c r="A203" s="44"/>
      <c r="B203" s="44"/>
      <c r="C203" s="45"/>
      <c r="D203" s="44"/>
      <c r="E203" s="44"/>
      <c r="F203" s="44"/>
      <c r="G203" s="44"/>
      <c r="H203" s="44"/>
      <c r="I203" s="44"/>
      <c r="J203" s="44"/>
      <c r="K203" s="44"/>
      <c r="L203" s="44"/>
      <c r="M203" s="46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>
      <c r="A204" s="44"/>
      <c r="B204" s="44"/>
      <c r="C204" s="45"/>
      <c r="D204" s="44"/>
      <c r="E204" s="44"/>
      <c r="F204" s="44"/>
      <c r="G204" s="44"/>
      <c r="H204" s="44"/>
      <c r="I204" s="44"/>
      <c r="J204" s="44"/>
      <c r="K204" s="44"/>
      <c r="L204" s="44"/>
      <c r="M204" s="46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>
      <c r="A205" s="44"/>
      <c r="B205" s="44"/>
      <c r="C205" s="45"/>
      <c r="D205" s="44"/>
      <c r="E205" s="44"/>
      <c r="F205" s="44"/>
      <c r="G205" s="44"/>
      <c r="H205" s="44"/>
      <c r="I205" s="44"/>
      <c r="J205" s="44"/>
      <c r="K205" s="44"/>
      <c r="L205" s="44"/>
      <c r="M205" s="46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>
      <c r="A206" s="44"/>
      <c r="B206" s="44"/>
      <c r="C206" s="45"/>
      <c r="D206" s="44"/>
      <c r="E206" s="44"/>
      <c r="F206" s="44"/>
      <c r="G206" s="44"/>
      <c r="H206" s="44"/>
      <c r="I206" s="44"/>
      <c r="J206" s="44"/>
      <c r="K206" s="44"/>
      <c r="L206" s="44"/>
      <c r="M206" s="46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>
      <c r="A207" s="44"/>
      <c r="B207" s="44"/>
      <c r="C207" s="45"/>
      <c r="D207" s="44"/>
      <c r="E207" s="44"/>
      <c r="F207" s="44"/>
      <c r="G207" s="44"/>
      <c r="H207" s="44"/>
      <c r="I207" s="44"/>
      <c r="J207" s="44"/>
      <c r="K207" s="44"/>
      <c r="L207" s="44"/>
      <c r="M207" s="46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>
      <c r="A208" s="44"/>
      <c r="B208" s="44"/>
      <c r="C208" s="45"/>
      <c r="D208" s="44"/>
      <c r="E208" s="44"/>
      <c r="F208" s="44"/>
      <c r="G208" s="44"/>
      <c r="H208" s="44"/>
      <c r="I208" s="44"/>
      <c r="J208" s="44"/>
      <c r="K208" s="44"/>
      <c r="L208" s="44"/>
      <c r="M208" s="46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>
      <c r="A209" s="44"/>
      <c r="B209" s="44"/>
      <c r="C209" s="45"/>
      <c r="D209" s="44"/>
      <c r="E209" s="44"/>
      <c r="F209" s="44"/>
      <c r="G209" s="44"/>
      <c r="H209" s="44"/>
      <c r="I209" s="44"/>
      <c r="J209" s="44"/>
      <c r="K209" s="44"/>
      <c r="L209" s="44"/>
      <c r="M209" s="46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>
      <c r="A210" s="44"/>
      <c r="B210" s="44"/>
      <c r="C210" s="45"/>
      <c r="D210" s="44"/>
      <c r="E210" s="44"/>
      <c r="F210" s="44"/>
      <c r="G210" s="44"/>
      <c r="H210" s="44"/>
      <c r="I210" s="44"/>
      <c r="J210" s="44"/>
      <c r="K210" s="44"/>
      <c r="L210" s="44"/>
      <c r="M210" s="46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>
      <c r="A211" s="44"/>
      <c r="B211" s="44"/>
      <c r="C211" s="45"/>
      <c r="D211" s="44"/>
      <c r="E211" s="44"/>
      <c r="F211" s="44"/>
      <c r="G211" s="44"/>
      <c r="H211" s="44"/>
      <c r="I211" s="44"/>
      <c r="J211" s="44"/>
      <c r="K211" s="44"/>
      <c r="L211" s="44"/>
      <c r="M211" s="46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>
      <c r="A212" s="44"/>
      <c r="B212" s="44"/>
      <c r="C212" s="45"/>
      <c r="D212" s="44"/>
      <c r="E212" s="44"/>
      <c r="F212" s="44"/>
      <c r="G212" s="44"/>
      <c r="H212" s="44"/>
      <c r="I212" s="44"/>
      <c r="J212" s="44"/>
      <c r="K212" s="44"/>
      <c r="L212" s="44"/>
      <c r="M212" s="46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>
      <c r="A213" s="44"/>
      <c r="B213" s="44"/>
      <c r="C213" s="45"/>
      <c r="D213" s="44"/>
      <c r="E213" s="44"/>
      <c r="F213" s="44"/>
      <c r="G213" s="44"/>
      <c r="H213" s="44"/>
      <c r="I213" s="44"/>
      <c r="J213" s="44"/>
      <c r="K213" s="44"/>
      <c r="L213" s="44"/>
      <c r="M213" s="46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>
      <c r="A214" s="44"/>
      <c r="B214" s="44"/>
      <c r="C214" s="45"/>
      <c r="D214" s="44"/>
      <c r="E214" s="44"/>
      <c r="F214" s="44"/>
      <c r="G214" s="44"/>
      <c r="H214" s="44"/>
      <c r="I214" s="44"/>
      <c r="J214" s="44"/>
      <c r="K214" s="44"/>
      <c r="L214" s="44"/>
      <c r="M214" s="46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>
      <c r="A215" s="44"/>
      <c r="B215" s="44"/>
      <c r="C215" s="45"/>
      <c r="D215" s="44"/>
      <c r="E215" s="44"/>
      <c r="F215" s="44"/>
      <c r="G215" s="44"/>
      <c r="H215" s="44"/>
      <c r="I215" s="44"/>
      <c r="J215" s="44"/>
      <c r="K215" s="44"/>
      <c r="L215" s="44"/>
      <c r="M215" s="46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>
      <c r="A216" s="44"/>
      <c r="B216" s="44"/>
      <c r="C216" s="45"/>
      <c r="D216" s="44"/>
      <c r="E216" s="44"/>
      <c r="F216" s="44"/>
      <c r="G216" s="44"/>
      <c r="H216" s="44"/>
      <c r="I216" s="44"/>
      <c r="J216" s="44"/>
      <c r="K216" s="44"/>
      <c r="L216" s="44"/>
      <c r="M216" s="46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>
      <c r="A217" s="44"/>
      <c r="B217" s="44"/>
      <c r="C217" s="45"/>
      <c r="D217" s="44"/>
      <c r="E217" s="44"/>
      <c r="F217" s="44"/>
      <c r="G217" s="44"/>
      <c r="H217" s="44"/>
      <c r="I217" s="44"/>
      <c r="J217" s="44"/>
      <c r="K217" s="44"/>
      <c r="L217" s="44"/>
      <c r="M217" s="46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>
      <c r="A218" s="44"/>
      <c r="B218" s="44"/>
      <c r="C218" s="45"/>
      <c r="D218" s="44"/>
      <c r="E218" s="44"/>
      <c r="F218" s="44"/>
      <c r="G218" s="44"/>
      <c r="H218" s="44"/>
      <c r="I218" s="44"/>
      <c r="J218" s="44"/>
      <c r="K218" s="44"/>
      <c r="L218" s="44"/>
      <c r="M218" s="46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>
      <c r="A219" s="44"/>
      <c r="B219" s="44"/>
      <c r="C219" s="45"/>
      <c r="D219" s="44"/>
      <c r="E219" s="44"/>
      <c r="F219" s="44"/>
      <c r="G219" s="44"/>
      <c r="H219" s="44"/>
      <c r="I219" s="44"/>
      <c r="J219" s="44"/>
      <c r="K219" s="44"/>
      <c r="L219" s="44"/>
      <c r="M219" s="46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>
      <c r="A220" s="44"/>
      <c r="B220" s="44"/>
      <c r="C220" s="45"/>
      <c r="D220" s="44"/>
      <c r="E220" s="44"/>
      <c r="F220" s="44"/>
      <c r="G220" s="44"/>
      <c r="H220" s="44"/>
      <c r="I220" s="44"/>
      <c r="J220" s="44"/>
      <c r="K220" s="44"/>
      <c r="L220" s="44"/>
      <c r="M220" s="46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>
      <c r="A221" s="44"/>
      <c r="B221" s="44"/>
      <c r="C221" s="45"/>
      <c r="D221" s="44"/>
      <c r="E221" s="44"/>
      <c r="F221" s="44"/>
      <c r="G221" s="44"/>
      <c r="H221" s="44"/>
      <c r="I221" s="44"/>
      <c r="J221" s="44"/>
      <c r="K221" s="44"/>
      <c r="L221" s="44"/>
      <c r="M221" s="46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>
      <c r="A222" s="44"/>
      <c r="B222" s="44"/>
      <c r="C222" s="45"/>
      <c r="D222" s="44"/>
      <c r="E222" s="44"/>
      <c r="F222" s="44"/>
      <c r="G222" s="44"/>
      <c r="H222" s="44"/>
      <c r="I222" s="44"/>
      <c r="J222" s="44"/>
      <c r="K222" s="44"/>
      <c r="L222" s="44"/>
      <c r="M222" s="46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>
      <c r="A223" s="44"/>
      <c r="B223" s="44"/>
      <c r="C223" s="45"/>
      <c r="D223" s="44"/>
      <c r="E223" s="44"/>
      <c r="F223" s="44"/>
      <c r="G223" s="44"/>
      <c r="H223" s="44"/>
      <c r="I223" s="44"/>
      <c r="J223" s="44"/>
      <c r="K223" s="44"/>
      <c r="L223" s="44"/>
      <c r="M223" s="46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>
      <c r="A224" s="44"/>
      <c r="B224" s="44"/>
      <c r="C224" s="45"/>
      <c r="D224" s="44"/>
      <c r="E224" s="44"/>
      <c r="F224" s="44"/>
      <c r="G224" s="44"/>
      <c r="H224" s="44"/>
      <c r="I224" s="44"/>
      <c r="J224" s="44"/>
      <c r="K224" s="44"/>
      <c r="L224" s="44"/>
      <c r="M224" s="46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>
      <c r="A225" s="44"/>
      <c r="B225" s="44"/>
      <c r="C225" s="45"/>
      <c r="D225" s="44"/>
      <c r="E225" s="44"/>
      <c r="F225" s="44"/>
      <c r="G225" s="44"/>
      <c r="H225" s="44"/>
      <c r="I225" s="44"/>
      <c r="J225" s="44"/>
      <c r="K225" s="44"/>
      <c r="L225" s="44"/>
      <c r="M225" s="46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>
      <c r="A226" s="44"/>
      <c r="B226" s="44"/>
      <c r="C226" s="45"/>
      <c r="D226" s="44"/>
      <c r="E226" s="44"/>
      <c r="F226" s="44"/>
      <c r="G226" s="44"/>
      <c r="H226" s="44"/>
      <c r="I226" s="44"/>
      <c r="J226" s="44"/>
      <c r="K226" s="44"/>
      <c r="L226" s="44"/>
      <c r="M226" s="46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>
      <c r="A227" s="44"/>
      <c r="B227" s="44"/>
      <c r="C227" s="45"/>
      <c r="D227" s="44"/>
      <c r="E227" s="44"/>
      <c r="F227" s="44"/>
      <c r="G227" s="44"/>
      <c r="H227" s="44"/>
      <c r="I227" s="44"/>
      <c r="J227" s="44"/>
      <c r="K227" s="44"/>
      <c r="L227" s="44"/>
      <c r="M227" s="46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>
      <c r="A228" s="44"/>
      <c r="B228" s="44"/>
      <c r="C228" s="45"/>
      <c r="D228" s="44"/>
      <c r="E228" s="44"/>
      <c r="F228" s="44"/>
      <c r="G228" s="44"/>
      <c r="H228" s="44"/>
      <c r="I228" s="44"/>
      <c r="J228" s="44"/>
      <c r="K228" s="44"/>
      <c r="L228" s="44"/>
      <c r="M228" s="46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>
      <c r="A229" s="44"/>
      <c r="B229" s="44"/>
      <c r="C229" s="45"/>
      <c r="D229" s="44"/>
      <c r="E229" s="44"/>
      <c r="F229" s="44"/>
      <c r="G229" s="44"/>
      <c r="H229" s="44"/>
      <c r="I229" s="44"/>
      <c r="J229" s="44"/>
      <c r="K229" s="44"/>
      <c r="L229" s="44"/>
      <c r="M229" s="46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>
      <c r="A230" s="44"/>
      <c r="B230" s="44"/>
      <c r="C230" s="45"/>
      <c r="D230" s="44"/>
      <c r="E230" s="44"/>
      <c r="F230" s="44"/>
      <c r="G230" s="44"/>
      <c r="H230" s="44"/>
      <c r="I230" s="44"/>
      <c r="J230" s="44"/>
      <c r="K230" s="44"/>
      <c r="L230" s="44"/>
      <c r="M230" s="46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>
      <c r="A231" s="44"/>
      <c r="B231" s="44"/>
      <c r="C231" s="45"/>
      <c r="D231" s="44"/>
      <c r="E231" s="44"/>
      <c r="F231" s="44"/>
      <c r="G231" s="44"/>
      <c r="H231" s="44"/>
      <c r="I231" s="44"/>
      <c r="J231" s="44"/>
      <c r="K231" s="44"/>
      <c r="L231" s="44"/>
      <c r="M231" s="46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>
      <c r="A232" s="44"/>
      <c r="B232" s="44"/>
      <c r="C232" s="45"/>
      <c r="D232" s="44"/>
      <c r="E232" s="44"/>
      <c r="F232" s="44"/>
      <c r="G232" s="44"/>
      <c r="H232" s="44"/>
      <c r="I232" s="44"/>
      <c r="J232" s="44"/>
      <c r="K232" s="44"/>
      <c r="L232" s="44"/>
      <c r="M232" s="46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>
      <c r="A233" s="44"/>
      <c r="B233" s="44"/>
      <c r="C233" s="45"/>
      <c r="D233" s="44"/>
      <c r="E233" s="44"/>
      <c r="F233" s="44"/>
      <c r="G233" s="44"/>
      <c r="H233" s="44"/>
      <c r="I233" s="44"/>
      <c r="J233" s="44"/>
      <c r="K233" s="44"/>
      <c r="L233" s="44"/>
      <c r="M233" s="46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>
      <c r="A234" s="44"/>
      <c r="B234" s="44"/>
      <c r="C234" s="45"/>
      <c r="D234" s="44"/>
      <c r="E234" s="44"/>
      <c r="F234" s="44"/>
      <c r="G234" s="44"/>
      <c r="H234" s="44"/>
      <c r="I234" s="44"/>
      <c r="J234" s="44"/>
      <c r="K234" s="44"/>
      <c r="L234" s="44"/>
      <c r="M234" s="46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>
      <c r="A235" s="44"/>
      <c r="B235" s="44"/>
      <c r="C235" s="45"/>
      <c r="D235" s="44"/>
      <c r="E235" s="44"/>
      <c r="F235" s="44"/>
      <c r="G235" s="44"/>
      <c r="H235" s="44"/>
      <c r="I235" s="44"/>
      <c r="J235" s="44"/>
      <c r="K235" s="44"/>
      <c r="L235" s="44"/>
      <c r="M235" s="46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>
      <c r="A236" s="44"/>
      <c r="B236" s="44"/>
      <c r="C236" s="45"/>
      <c r="D236" s="44"/>
      <c r="E236" s="44"/>
      <c r="F236" s="44"/>
      <c r="G236" s="44"/>
      <c r="H236" s="44"/>
      <c r="I236" s="44"/>
      <c r="J236" s="44"/>
      <c r="K236" s="44"/>
      <c r="L236" s="44"/>
      <c r="M236" s="46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>
      <c r="A237" s="44"/>
      <c r="B237" s="44"/>
      <c r="C237" s="45"/>
      <c r="D237" s="44"/>
      <c r="E237" s="44"/>
      <c r="F237" s="44"/>
      <c r="G237" s="44"/>
      <c r="H237" s="44"/>
      <c r="I237" s="44"/>
      <c r="J237" s="44"/>
      <c r="K237" s="44"/>
      <c r="L237" s="44"/>
      <c r="M237" s="46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>
      <c r="A238" s="44"/>
      <c r="B238" s="44"/>
      <c r="C238" s="45"/>
      <c r="D238" s="44"/>
      <c r="E238" s="44"/>
      <c r="F238" s="44"/>
      <c r="G238" s="44"/>
      <c r="H238" s="44"/>
      <c r="I238" s="44"/>
      <c r="J238" s="44"/>
      <c r="K238" s="44"/>
      <c r="L238" s="44"/>
      <c r="M238" s="46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>
      <c r="A239" s="44"/>
      <c r="B239" s="44"/>
      <c r="C239" s="45"/>
      <c r="D239" s="44"/>
      <c r="E239" s="44"/>
      <c r="F239" s="44"/>
      <c r="G239" s="44"/>
      <c r="H239" s="44"/>
      <c r="I239" s="44"/>
      <c r="J239" s="44"/>
      <c r="K239" s="44"/>
      <c r="L239" s="44"/>
      <c r="M239" s="46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>
      <c r="A240" s="44"/>
      <c r="B240" s="44"/>
      <c r="C240" s="45"/>
      <c r="D240" s="44"/>
      <c r="E240" s="44"/>
      <c r="F240" s="44"/>
      <c r="G240" s="44"/>
      <c r="H240" s="44"/>
      <c r="I240" s="44"/>
      <c r="J240" s="44"/>
      <c r="K240" s="44"/>
      <c r="L240" s="44"/>
      <c r="M240" s="46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>
      <c r="A241" s="44"/>
      <c r="B241" s="44"/>
      <c r="C241" s="45"/>
      <c r="D241" s="44"/>
      <c r="E241" s="44"/>
      <c r="F241" s="44"/>
      <c r="G241" s="44"/>
      <c r="H241" s="44"/>
      <c r="I241" s="44"/>
      <c r="J241" s="44"/>
      <c r="K241" s="44"/>
      <c r="L241" s="44"/>
      <c r="M241" s="46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>
      <c r="A242" s="44"/>
      <c r="B242" s="44"/>
      <c r="C242" s="45"/>
      <c r="D242" s="44"/>
      <c r="E242" s="44"/>
      <c r="F242" s="44"/>
      <c r="G242" s="44"/>
      <c r="H242" s="44"/>
      <c r="I242" s="44"/>
      <c r="J242" s="44"/>
      <c r="K242" s="44"/>
      <c r="L242" s="44"/>
      <c r="M242" s="46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>
      <c r="A243" s="44"/>
      <c r="B243" s="44"/>
      <c r="C243" s="45"/>
      <c r="D243" s="44"/>
      <c r="E243" s="44"/>
      <c r="F243" s="44"/>
      <c r="G243" s="44"/>
      <c r="H243" s="44"/>
      <c r="I243" s="44"/>
      <c r="J243" s="44"/>
      <c r="K243" s="44"/>
      <c r="L243" s="44"/>
      <c r="M243" s="46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>
      <c r="A244" s="44"/>
      <c r="B244" s="44"/>
      <c r="C244" s="45"/>
      <c r="D244" s="44"/>
      <c r="E244" s="44"/>
      <c r="F244" s="44"/>
      <c r="G244" s="44"/>
      <c r="H244" s="44"/>
      <c r="I244" s="44"/>
      <c r="J244" s="44"/>
      <c r="K244" s="44"/>
      <c r="L244" s="44"/>
      <c r="M244" s="46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>
      <c r="A245" s="44"/>
      <c r="B245" s="44"/>
      <c r="C245" s="45"/>
      <c r="D245" s="44"/>
      <c r="E245" s="44"/>
      <c r="F245" s="44"/>
      <c r="G245" s="44"/>
      <c r="H245" s="44"/>
      <c r="I245" s="44"/>
      <c r="J245" s="44"/>
      <c r="K245" s="44"/>
      <c r="L245" s="44"/>
      <c r="M245" s="46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>
      <c r="A246" s="44"/>
      <c r="B246" s="44"/>
      <c r="C246" s="45"/>
      <c r="D246" s="44"/>
      <c r="E246" s="44"/>
      <c r="F246" s="44"/>
      <c r="G246" s="44"/>
      <c r="H246" s="44"/>
      <c r="I246" s="44"/>
      <c r="J246" s="44"/>
      <c r="K246" s="44"/>
      <c r="L246" s="44"/>
      <c r="M246" s="46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>
      <c r="A247" s="44"/>
      <c r="B247" s="44"/>
      <c r="C247" s="45"/>
      <c r="D247" s="44"/>
      <c r="E247" s="44"/>
      <c r="F247" s="44"/>
      <c r="G247" s="44"/>
      <c r="H247" s="44"/>
      <c r="I247" s="44"/>
      <c r="J247" s="44"/>
      <c r="K247" s="44"/>
      <c r="L247" s="44"/>
      <c r="M247" s="46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>
      <c r="A248" s="44"/>
      <c r="B248" s="44"/>
      <c r="C248" s="45"/>
      <c r="D248" s="44"/>
      <c r="E248" s="44"/>
      <c r="F248" s="44"/>
      <c r="G248" s="44"/>
      <c r="H248" s="44"/>
      <c r="I248" s="44"/>
      <c r="J248" s="44"/>
      <c r="K248" s="44"/>
      <c r="L248" s="44"/>
      <c r="M248" s="46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>
      <c r="A249" s="44"/>
      <c r="B249" s="44"/>
      <c r="C249" s="45"/>
      <c r="D249" s="44"/>
      <c r="E249" s="44"/>
      <c r="F249" s="44"/>
      <c r="G249" s="44"/>
      <c r="H249" s="44"/>
      <c r="I249" s="44"/>
      <c r="J249" s="44"/>
      <c r="K249" s="44"/>
      <c r="L249" s="44"/>
      <c r="M249" s="46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>
      <c r="A250" s="44"/>
      <c r="B250" s="44"/>
      <c r="C250" s="45"/>
      <c r="D250" s="44"/>
      <c r="E250" s="44"/>
      <c r="F250" s="44"/>
      <c r="G250" s="44"/>
      <c r="H250" s="44"/>
      <c r="I250" s="44"/>
      <c r="J250" s="44"/>
      <c r="K250" s="44"/>
      <c r="L250" s="44"/>
      <c r="M250" s="46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>
      <c r="A251" s="44"/>
      <c r="B251" s="44"/>
      <c r="C251" s="45"/>
      <c r="D251" s="44"/>
      <c r="E251" s="44"/>
      <c r="F251" s="44"/>
      <c r="G251" s="44"/>
      <c r="H251" s="44"/>
      <c r="I251" s="44"/>
      <c r="J251" s="44"/>
      <c r="K251" s="44"/>
      <c r="L251" s="44"/>
      <c r="M251" s="46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>
      <c r="A252" s="44"/>
      <c r="B252" s="44"/>
      <c r="C252" s="45"/>
      <c r="D252" s="44"/>
      <c r="E252" s="44"/>
      <c r="F252" s="44"/>
      <c r="G252" s="44"/>
      <c r="H252" s="44"/>
      <c r="I252" s="44"/>
      <c r="J252" s="44"/>
      <c r="K252" s="44"/>
      <c r="L252" s="44"/>
      <c r="M252" s="46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>
      <c r="A253" s="44"/>
      <c r="B253" s="44"/>
      <c r="C253" s="45"/>
      <c r="D253" s="44"/>
      <c r="E253" s="44"/>
      <c r="F253" s="44"/>
      <c r="G253" s="44"/>
      <c r="H253" s="44"/>
      <c r="I253" s="44"/>
      <c r="J253" s="44"/>
      <c r="K253" s="44"/>
      <c r="L253" s="44"/>
      <c r="M253" s="46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>
      <c r="A254" s="44"/>
      <c r="B254" s="44"/>
      <c r="C254" s="45"/>
      <c r="D254" s="44"/>
      <c r="E254" s="44"/>
      <c r="F254" s="44"/>
      <c r="G254" s="44"/>
      <c r="H254" s="44"/>
      <c r="I254" s="44"/>
      <c r="J254" s="44"/>
      <c r="K254" s="44"/>
      <c r="L254" s="44"/>
      <c r="M254" s="46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>
      <c r="A255" s="44"/>
      <c r="B255" s="44"/>
      <c r="C255" s="45"/>
      <c r="D255" s="44"/>
      <c r="E255" s="44"/>
      <c r="F255" s="44"/>
      <c r="G255" s="44"/>
      <c r="H255" s="44"/>
      <c r="I255" s="44"/>
      <c r="J255" s="44"/>
      <c r="K255" s="44"/>
      <c r="L255" s="44"/>
      <c r="M255" s="46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>
      <c r="A256" s="44"/>
      <c r="B256" s="44"/>
      <c r="C256" s="45"/>
      <c r="D256" s="44"/>
      <c r="E256" s="44"/>
      <c r="F256" s="44"/>
      <c r="G256" s="44"/>
      <c r="H256" s="44"/>
      <c r="I256" s="44"/>
      <c r="J256" s="44"/>
      <c r="K256" s="44"/>
      <c r="L256" s="44"/>
      <c r="M256" s="46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>
      <c r="A257" s="44"/>
      <c r="B257" s="44"/>
      <c r="C257" s="45"/>
      <c r="D257" s="44"/>
      <c r="E257" s="44"/>
      <c r="F257" s="44"/>
      <c r="G257" s="44"/>
      <c r="H257" s="44"/>
      <c r="I257" s="44"/>
      <c r="J257" s="44"/>
      <c r="K257" s="44"/>
      <c r="L257" s="44"/>
      <c r="M257" s="46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>
      <c r="A258" s="44"/>
      <c r="B258" s="44"/>
      <c r="C258" s="45"/>
      <c r="D258" s="44"/>
      <c r="E258" s="44"/>
      <c r="F258" s="44"/>
      <c r="G258" s="44"/>
      <c r="H258" s="44"/>
      <c r="I258" s="44"/>
      <c r="J258" s="44"/>
      <c r="K258" s="44"/>
      <c r="L258" s="44"/>
      <c r="M258" s="46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>
      <c r="A259" s="44"/>
      <c r="B259" s="44"/>
      <c r="C259" s="45"/>
      <c r="D259" s="44"/>
      <c r="E259" s="44"/>
      <c r="F259" s="44"/>
      <c r="G259" s="44"/>
      <c r="H259" s="44"/>
      <c r="I259" s="44"/>
      <c r="J259" s="44"/>
      <c r="K259" s="44"/>
      <c r="L259" s="44"/>
      <c r="M259" s="46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>
      <c r="A260" s="44"/>
      <c r="B260" s="44"/>
      <c r="C260" s="45"/>
      <c r="D260" s="44"/>
      <c r="E260" s="44"/>
      <c r="F260" s="44"/>
      <c r="G260" s="44"/>
      <c r="H260" s="44"/>
      <c r="I260" s="44"/>
      <c r="J260" s="44"/>
      <c r="K260" s="44"/>
      <c r="L260" s="44"/>
      <c r="M260" s="46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>
      <c r="A261" s="44"/>
      <c r="B261" s="44"/>
      <c r="C261" s="45"/>
      <c r="D261" s="44"/>
      <c r="E261" s="44"/>
      <c r="F261" s="44"/>
      <c r="G261" s="44"/>
      <c r="H261" s="44"/>
      <c r="I261" s="44"/>
      <c r="J261" s="44"/>
      <c r="K261" s="44"/>
      <c r="L261" s="44"/>
      <c r="M261" s="46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>
      <c r="A262" s="44"/>
      <c r="B262" s="44"/>
      <c r="C262" s="45"/>
      <c r="D262" s="44"/>
      <c r="E262" s="44"/>
      <c r="F262" s="44"/>
      <c r="G262" s="44"/>
      <c r="H262" s="44"/>
      <c r="I262" s="44"/>
      <c r="J262" s="44"/>
      <c r="K262" s="44"/>
      <c r="L262" s="44"/>
      <c r="M262" s="46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>
      <c r="A263" s="44"/>
      <c r="B263" s="44"/>
      <c r="C263" s="45"/>
      <c r="D263" s="44"/>
      <c r="E263" s="44"/>
      <c r="F263" s="44"/>
      <c r="G263" s="44"/>
      <c r="H263" s="44"/>
      <c r="I263" s="44"/>
      <c r="J263" s="44"/>
      <c r="K263" s="44"/>
      <c r="L263" s="44"/>
      <c r="M263" s="46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>
      <c r="A264" s="44"/>
      <c r="B264" s="44"/>
      <c r="C264" s="45"/>
      <c r="D264" s="44"/>
      <c r="E264" s="44"/>
      <c r="F264" s="44"/>
      <c r="G264" s="44"/>
      <c r="H264" s="44"/>
      <c r="I264" s="44"/>
      <c r="J264" s="44"/>
      <c r="K264" s="44"/>
      <c r="L264" s="44"/>
      <c r="M264" s="46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>
      <c r="A265" s="44"/>
      <c r="B265" s="44"/>
      <c r="C265" s="45"/>
      <c r="D265" s="44"/>
      <c r="E265" s="44"/>
      <c r="F265" s="44"/>
      <c r="G265" s="44"/>
      <c r="H265" s="44"/>
      <c r="I265" s="44"/>
      <c r="J265" s="44"/>
      <c r="K265" s="44"/>
      <c r="L265" s="44"/>
      <c r="M265" s="46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>
      <c r="A266" s="44"/>
      <c r="B266" s="44"/>
      <c r="C266" s="45"/>
      <c r="D266" s="44"/>
      <c r="E266" s="44"/>
      <c r="F266" s="44"/>
      <c r="G266" s="44"/>
      <c r="H266" s="44"/>
      <c r="I266" s="44"/>
      <c r="J266" s="44"/>
      <c r="K266" s="44"/>
      <c r="L266" s="44"/>
      <c r="M266" s="46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>
      <c r="A267" s="44"/>
      <c r="B267" s="44"/>
      <c r="C267" s="45"/>
      <c r="D267" s="44"/>
      <c r="E267" s="44"/>
      <c r="F267" s="44"/>
      <c r="G267" s="44"/>
      <c r="H267" s="44"/>
      <c r="I267" s="44"/>
      <c r="J267" s="44"/>
      <c r="K267" s="44"/>
      <c r="L267" s="44"/>
      <c r="M267" s="46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>
      <c r="A268" s="44"/>
      <c r="B268" s="44"/>
      <c r="C268" s="45"/>
      <c r="D268" s="44"/>
      <c r="E268" s="44"/>
      <c r="F268" s="44"/>
      <c r="G268" s="44"/>
      <c r="H268" s="44"/>
      <c r="I268" s="44"/>
      <c r="J268" s="44"/>
      <c r="K268" s="44"/>
      <c r="L268" s="44"/>
      <c r="M268" s="46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>
      <c r="A269" s="44"/>
      <c r="B269" s="44"/>
      <c r="C269" s="45"/>
      <c r="D269" s="44"/>
      <c r="E269" s="44"/>
      <c r="F269" s="44"/>
      <c r="G269" s="44"/>
      <c r="H269" s="44"/>
      <c r="I269" s="44"/>
      <c r="J269" s="44"/>
      <c r="K269" s="44"/>
      <c r="L269" s="44"/>
      <c r="M269" s="46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>
      <c r="A270" s="44"/>
      <c r="B270" s="44"/>
      <c r="C270" s="45"/>
      <c r="D270" s="44"/>
      <c r="E270" s="44"/>
      <c r="F270" s="44"/>
      <c r="G270" s="44"/>
      <c r="H270" s="44"/>
      <c r="I270" s="44"/>
      <c r="J270" s="44"/>
      <c r="K270" s="44"/>
      <c r="L270" s="44"/>
      <c r="M270" s="46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>
      <c r="A271" s="44"/>
      <c r="B271" s="44"/>
      <c r="C271" s="45"/>
      <c r="D271" s="44"/>
      <c r="E271" s="44"/>
      <c r="F271" s="44"/>
      <c r="G271" s="44"/>
      <c r="H271" s="44"/>
      <c r="I271" s="44"/>
      <c r="J271" s="44"/>
      <c r="K271" s="44"/>
      <c r="L271" s="44"/>
      <c r="M271" s="46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>
      <c r="A272" s="44"/>
      <c r="B272" s="44"/>
      <c r="C272" s="45"/>
      <c r="D272" s="44"/>
      <c r="E272" s="44"/>
      <c r="F272" s="44"/>
      <c r="G272" s="44"/>
      <c r="H272" s="44"/>
      <c r="I272" s="44"/>
      <c r="J272" s="44"/>
      <c r="K272" s="44"/>
      <c r="L272" s="44"/>
      <c r="M272" s="46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>
      <c r="A273" s="44"/>
      <c r="B273" s="44"/>
      <c r="C273" s="45"/>
      <c r="D273" s="44"/>
      <c r="E273" s="44"/>
      <c r="F273" s="44"/>
      <c r="G273" s="44"/>
      <c r="H273" s="44"/>
      <c r="I273" s="44"/>
      <c r="J273" s="44"/>
      <c r="K273" s="44"/>
      <c r="L273" s="44"/>
      <c r="M273" s="46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>
      <c r="A274" s="44"/>
      <c r="B274" s="44"/>
      <c r="C274" s="45"/>
      <c r="D274" s="44"/>
      <c r="E274" s="44"/>
      <c r="F274" s="44"/>
      <c r="G274" s="44"/>
      <c r="H274" s="44"/>
      <c r="I274" s="44"/>
      <c r="J274" s="44"/>
      <c r="K274" s="44"/>
      <c r="L274" s="44"/>
      <c r="M274" s="46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>
      <c r="A275" s="44"/>
      <c r="B275" s="44"/>
      <c r="C275" s="45"/>
      <c r="D275" s="44"/>
      <c r="E275" s="44"/>
      <c r="F275" s="44"/>
      <c r="G275" s="44"/>
      <c r="H275" s="44"/>
      <c r="I275" s="44"/>
      <c r="J275" s="44"/>
      <c r="K275" s="44"/>
      <c r="L275" s="44"/>
      <c r="M275" s="46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>
      <c r="A276" s="44"/>
      <c r="B276" s="44"/>
      <c r="C276" s="45"/>
      <c r="D276" s="44"/>
      <c r="E276" s="44"/>
      <c r="F276" s="44"/>
      <c r="G276" s="44"/>
      <c r="H276" s="44"/>
      <c r="I276" s="44"/>
      <c r="J276" s="44"/>
      <c r="K276" s="44"/>
      <c r="L276" s="44"/>
      <c r="M276" s="46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>
      <c r="A277" s="44"/>
      <c r="B277" s="44"/>
      <c r="C277" s="45"/>
      <c r="D277" s="44"/>
      <c r="E277" s="44"/>
      <c r="F277" s="44"/>
      <c r="G277" s="44"/>
      <c r="H277" s="44"/>
      <c r="I277" s="44"/>
      <c r="J277" s="44"/>
      <c r="K277" s="44"/>
      <c r="L277" s="44"/>
      <c r="M277" s="46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>
      <c r="A278" s="44"/>
      <c r="B278" s="44"/>
      <c r="C278" s="45"/>
      <c r="D278" s="44"/>
      <c r="E278" s="44"/>
      <c r="F278" s="44"/>
      <c r="G278" s="44"/>
      <c r="H278" s="44"/>
      <c r="I278" s="44"/>
      <c r="J278" s="44"/>
      <c r="K278" s="44"/>
      <c r="L278" s="44"/>
      <c r="M278" s="46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>
      <c r="A279" s="44"/>
      <c r="B279" s="44"/>
      <c r="C279" s="45"/>
      <c r="D279" s="44"/>
      <c r="E279" s="44"/>
      <c r="F279" s="44"/>
      <c r="G279" s="44"/>
      <c r="H279" s="44"/>
      <c r="I279" s="44"/>
      <c r="J279" s="44"/>
      <c r="K279" s="44"/>
      <c r="L279" s="44"/>
      <c r="M279" s="46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>
      <c r="A280" s="44"/>
      <c r="B280" s="44"/>
      <c r="C280" s="45"/>
      <c r="D280" s="44"/>
      <c r="E280" s="44"/>
      <c r="F280" s="44"/>
      <c r="G280" s="44"/>
      <c r="H280" s="44"/>
      <c r="I280" s="44"/>
      <c r="J280" s="44"/>
      <c r="K280" s="44"/>
      <c r="L280" s="44"/>
      <c r="M280" s="46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>
      <c r="A281" s="44"/>
      <c r="B281" s="44"/>
      <c r="C281" s="45"/>
      <c r="D281" s="44"/>
      <c r="E281" s="44"/>
      <c r="F281" s="44"/>
      <c r="G281" s="44"/>
      <c r="H281" s="44"/>
      <c r="I281" s="44"/>
      <c r="J281" s="44"/>
      <c r="K281" s="44"/>
      <c r="L281" s="44"/>
      <c r="M281" s="46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>
      <c r="A282" s="44"/>
      <c r="B282" s="44"/>
      <c r="C282" s="45"/>
      <c r="D282" s="44"/>
      <c r="E282" s="44"/>
      <c r="F282" s="44"/>
      <c r="G282" s="44"/>
      <c r="H282" s="44"/>
      <c r="I282" s="44"/>
      <c r="J282" s="44"/>
      <c r="K282" s="44"/>
      <c r="L282" s="44"/>
      <c r="M282" s="46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>
      <c r="A283" s="44"/>
      <c r="B283" s="44"/>
      <c r="C283" s="45"/>
      <c r="D283" s="44"/>
      <c r="E283" s="44"/>
      <c r="F283" s="44"/>
      <c r="G283" s="44"/>
      <c r="H283" s="44"/>
      <c r="I283" s="44"/>
      <c r="J283" s="44"/>
      <c r="K283" s="44"/>
      <c r="L283" s="44"/>
      <c r="M283" s="46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>
      <c r="A284" s="44"/>
      <c r="B284" s="44"/>
      <c r="C284" s="45"/>
      <c r="D284" s="44"/>
      <c r="E284" s="44"/>
      <c r="F284" s="44"/>
      <c r="G284" s="44"/>
      <c r="H284" s="44"/>
      <c r="I284" s="44"/>
      <c r="J284" s="44"/>
      <c r="K284" s="44"/>
      <c r="L284" s="44"/>
      <c r="M284" s="46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>
      <c r="A285" s="44"/>
      <c r="B285" s="44"/>
      <c r="C285" s="45"/>
      <c r="D285" s="44"/>
      <c r="E285" s="44"/>
      <c r="F285" s="44"/>
      <c r="G285" s="44"/>
      <c r="H285" s="44"/>
      <c r="I285" s="44"/>
      <c r="J285" s="44"/>
      <c r="K285" s="44"/>
      <c r="L285" s="44"/>
      <c r="M285" s="46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>
      <c r="A286" s="44"/>
      <c r="B286" s="44"/>
      <c r="C286" s="45"/>
      <c r="D286" s="44"/>
      <c r="E286" s="44"/>
      <c r="F286" s="44"/>
      <c r="G286" s="44"/>
      <c r="H286" s="44"/>
      <c r="I286" s="44"/>
      <c r="J286" s="44"/>
      <c r="K286" s="44"/>
      <c r="L286" s="44"/>
      <c r="M286" s="46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>
      <c r="A287" s="44"/>
      <c r="B287" s="44"/>
      <c r="C287" s="45"/>
      <c r="D287" s="44"/>
      <c r="E287" s="44"/>
      <c r="F287" s="44"/>
      <c r="G287" s="44"/>
      <c r="H287" s="44"/>
      <c r="I287" s="44"/>
      <c r="J287" s="44"/>
      <c r="K287" s="44"/>
      <c r="L287" s="44"/>
      <c r="M287" s="46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>
      <c r="A288" s="44"/>
      <c r="B288" s="44"/>
      <c r="C288" s="45"/>
      <c r="D288" s="44"/>
      <c r="E288" s="44"/>
      <c r="F288" s="44"/>
      <c r="G288" s="44"/>
      <c r="H288" s="44"/>
      <c r="I288" s="44"/>
      <c r="J288" s="44"/>
      <c r="K288" s="44"/>
      <c r="L288" s="44"/>
      <c r="M288" s="46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>
      <c r="A289" s="44"/>
      <c r="B289" s="44"/>
      <c r="C289" s="45"/>
      <c r="D289" s="44"/>
      <c r="E289" s="44"/>
      <c r="F289" s="44"/>
      <c r="G289" s="44"/>
      <c r="H289" s="44"/>
      <c r="I289" s="44"/>
      <c r="J289" s="44"/>
      <c r="K289" s="44"/>
      <c r="L289" s="44"/>
      <c r="M289" s="46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>
      <c r="A290" s="44"/>
      <c r="B290" s="44"/>
      <c r="C290" s="45"/>
      <c r="D290" s="44"/>
      <c r="E290" s="44"/>
      <c r="F290" s="44"/>
      <c r="G290" s="44"/>
      <c r="H290" s="44"/>
      <c r="I290" s="44"/>
      <c r="J290" s="44"/>
      <c r="K290" s="44"/>
      <c r="L290" s="44"/>
      <c r="M290" s="46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>
      <c r="A291" s="44"/>
      <c r="B291" s="44"/>
      <c r="C291" s="45"/>
      <c r="D291" s="44"/>
      <c r="E291" s="44"/>
      <c r="F291" s="44"/>
      <c r="G291" s="44"/>
      <c r="H291" s="44"/>
      <c r="I291" s="44"/>
      <c r="J291" s="44"/>
      <c r="K291" s="44"/>
      <c r="L291" s="44"/>
      <c r="M291" s="46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>
      <c r="A292" s="44"/>
      <c r="B292" s="44"/>
      <c r="C292" s="45"/>
      <c r="D292" s="44"/>
      <c r="E292" s="44"/>
      <c r="F292" s="44"/>
      <c r="G292" s="44"/>
      <c r="H292" s="44"/>
      <c r="I292" s="44"/>
      <c r="J292" s="44"/>
      <c r="K292" s="44"/>
      <c r="L292" s="44"/>
      <c r="M292" s="46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>
      <c r="A293" s="44"/>
      <c r="B293" s="44"/>
      <c r="C293" s="45"/>
      <c r="D293" s="44"/>
      <c r="E293" s="44"/>
      <c r="F293" s="44"/>
      <c r="G293" s="44"/>
      <c r="H293" s="44"/>
      <c r="I293" s="44"/>
      <c r="J293" s="44"/>
      <c r="K293" s="44"/>
      <c r="L293" s="44"/>
      <c r="M293" s="46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>
      <c r="A294" s="44"/>
      <c r="B294" s="44"/>
      <c r="C294" s="45"/>
      <c r="D294" s="44"/>
      <c r="E294" s="44"/>
      <c r="F294" s="44"/>
      <c r="G294" s="44"/>
      <c r="H294" s="44"/>
      <c r="I294" s="44"/>
      <c r="J294" s="44"/>
      <c r="K294" s="44"/>
      <c r="L294" s="44"/>
      <c r="M294" s="46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>
      <c r="A295" s="44"/>
      <c r="B295" s="44"/>
      <c r="C295" s="45"/>
      <c r="D295" s="44"/>
      <c r="E295" s="44"/>
      <c r="F295" s="44"/>
      <c r="G295" s="44"/>
      <c r="H295" s="44"/>
      <c r="I295" s="44"/>
      <c r="J295" s="44"/>
      <c r="K295" s="44"/>
      <c r="L295" s="44"/>
      <c r="M295" s="46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>
      <c r="A296" s="44"/>
      <c r="B296" s="44"/>
      <c r="C296" s="45"/>
      <c r="D296" s="44"/>
      <c r="E296" s="44"/>
      <c r="F296" s="44"/>
      <c r="G296" s="44"/>
      <c r="H296" s="44"/>
      <c r="I296" s="44"/>
      <c r="J296" s="44"/>
      <c r="K296" s="44"/>
      <c r="L296" s="44"/>
      <c r="M296" s="46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>
      <c r="A297" s="44"/>
      <c r="B297" s="44"/>
      <c r="C297" s="45"/>
      <c r="D297" s="44"/>
      <c r="E297" s="44"/>
      <c r="F297" s="44"/>
      <c r="G297" s="44"/>
      <c r="H297" s="44"/>
      <c r="I297" s="44"/>
      <c r="J297" s="44"/>
      <c r="K297" s="44"/>
      <c r="L297" s="44"/>
      <c r="M297" s="46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>
      <c r="A298" s="44"/>
      <c r="B298" s="44"/>
      <c r="C298" s="45"/>
      <c r="D298" s="44"/>
      <c r="E298" s="44"/>
      <c r="F298" s="44"/>
      <c r="G298" s="44"/>
      <c r="H298" s="44"/>
      <c r="I298" s="44"/>
      <c r="J298" s="44"/>
      <c r="K298" s="44"/>
      <c r="L298" s="44"/>
      <c r="M298" s="46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>
      <c r="A299" s="44"/>
      <c r="B299" s="44"/>
      <c r="C299" s="45"/>
      <c r="D299" s="44"/>
      <c r="E299" s="44"/>
      <c r="F299" s="44"/>
      <c r="G299" s="44"/>
      <c r="H299" s="44"/>
      <c r="I299" s="44"/>
      <c r="J299" s="44"/>
      <c r="K299" s="44"/>
      <c r="L299" s="44"/>
      <c r="M299" s="46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>
      <c r="A300" s="44"/>
      <c r="B300" s="44"/>
      <c r="C300" s="45"/>
      <c r="D300" s="44"/>
      <c r="E300" s="44"/>
      <c r="F300" s="44"/>
      <c r="G300" s="44"/>
      <c r="H300" s="44"/>
      <c r="I300" s="44"/>
      <c r="J300" s="44"/>
      <c r="K300" s="44"/>
      <c r="L300" s="44"/>
      <c r="M300" s="46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>
      <c r="A301" s="44"/>
      <c r="B301" s="44"/>
      <c r="C301" s="45"/>
      <c r="D301" s="44"/>
      <c r="E301" s="44"/>
      <c r="F301" s="44"/>
      <c r="G301" s="44"/>
      <c r="H301" s="44"/>
      <c r="I301" s="44"/>
      <c r="J301" s="44"/>
      <c r="K301" s="44"/>
      <c r="L301" s="44"/>
      <c r="M301" s="46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>
      <c r="A302" s="44"/>
      <c r="B302" s="44"/>
      <c r="C302" s="45"/>
      <c r="D302" s="44"/>
      <c r="E302" s="44"/>
      <c r="F302" s="44"/>
      <c r="G302" s="44"/>
      <c r="H302" s="44"/>
      <c r="I302" s="44"/>
      <c r="J302" s="44"/>
      <c r="K302" s="44"/>
      <c r="L302" s="44"/>
      <c r="M302" s="46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>
      <c r="A303" s="44"/>
      <c r="B303" s="44"/>
      <c r="C303" s="45"/>
      <c r="D303" s="44"/>
      <c r="E303" s="44"/>
      <c r="F303" s="44"/>
      <c r="G303" s="44"/>
      <c r="H303" s="44"/>
      <c r="I303" s="44"/>
      <c r="J303" s="44"/>
      <c r="K303" s="44"/>
      <c r="L303" s="44"/>
      <c r="M303" s="46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>
      <c r="A304" s="44"/>
      <c r="B304" s="44"/>
      <c r="C304" s="45"/>
      <c r="D304" s="44"/>
      <c r="E304" s="44"/>
      <c r="F304" s="44"/>
      <c r="G304" s="44"/>
      <c r="H304" s="44"/>
      <c r="I304" s="44"/>
      <c r="J304" s="44"/>
      <c r="K304" s="44"/>
      <c r="L304" s="44"/>
      <c r="M304" s="46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>
      <c r="A305" s="44"/>
      <c r="B305" s="44"/>
      <c r="C305" s="45"/>
      <c r="D305" s="44"/>
      <c r="E305" s="44"/>
      <c r="F305" s="44"/>
      <c r="G305" s="44"/>
      <c r="H305" s="44"/>
      <c r="I305" s="44"/>
      <c r="J305" s="44"/>
      <c r="K305" s="44"/>
      <c r="L305" s="44"/>
      <c r="M305" s="46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>
      <c r="A306" s="44"/>
      <c r="B306" s="44"/>
      <c r="C306" s="45"/>
      <c r="D306" s="44"/>
      <c r="E306" s="44"/>
      <c r="F306" s="44"/>
      <c r="G306" s="44"/>
      <c r="H306" s="44"/>
      <c r="I306" s="44"/>
      <c r="J306" s="44"/>
      <c r="K306" s="44"/>
      <c r="L306" s="44"/>
      <c r="M306" s="46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>
      <c r="A307" s="44"/>
      <c r="B307" s="44"/>
      <c r="C307" s="45"/>
      <c r="D307" s="44"/>
      <c r="E307" s="44"/>
      <c r="F307" s="44"/>
      <c r="G307" s="44"/>
      <c r="H307" s="44"/>
      <c r="I307" s="44"/>
      <c r="J307" s="44"/>
      <c r="K307" s="44"/>
      <c r="L307" s="44"/>
      <c r="M307" s="46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>
      <c r="A308" s="44"/>
      <c r="B308" s="44"/>
      <c r="C308" s="45"/>
      <c r="D308" s="44"/>
      <c r="E308" s="44"/>
      <c r="F308" s="44"/>
      <c r="G308" s="44"/>
      <c r="H308" s="44"/>
      <c r="I308" s="44"/>
      <c r="J308" s="44"/>
      <c r="K308" s="44"/>
      <c r="L308" s="44"/>
      <c r="M308" s="46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>
      <c r="A309" s="44"/>
      <c r="B309" s="44"/>
      <c r="C309" s="45"/>
      <c r="D309" s="44"/>
      <c r="E309" s="44"/>
      <c r="F309" s="44"/>
      <c r="G309" s="44"/>
      <c r="H309" s="44"/>
      <c r="I309" s="44"/>
      <c r="J309" s="44"/>
      <c r="K309" s="44"/>
      <c r="L309" s="44"/>
      <c r="M309" s="46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>
      <c r="A310" s="44"/>
      <c r="B310" s="44"/>
      <c r="C310" s="45"/>
      <c r="D310" s="44"/>
      <c r="E310" s="44"/>
      <c r="F310" s="44"/>
      <c r="G310" s="44"/>
      <c r="H310" s="44"/>
      <c r="I310" s="44"/>
      <c r="J310" s="44"/>
      <c r="K310" s="44"/>
      <c r="L310" s="44"/>
      <c r="M310" s="46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>
      <c r="A311" s="44"/>
      <c r="B311" s="44"/>
      <c r="C311" s="45"/>
      <c r="D311" s="44"/>
      <c r="E311" s="44"/>
      <c r="F311" s="44"/>
      <c r="G311" s="44"/>
      <c r="H311" s="44"/>
      <c r="I311" s="44"/>
      <c r="J311" s="44"/>
      <c r="K311" s="44"/>
      <c r="L311" s="44"/>
      <c r="M311" s="46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>
      <c r="A312" s="44"/>
      <c r="B312" s="44"/>
      <c r="C312" s="45"/>
      <c r="D312" s="44"/>
      <c r="E312" s="44"/>
      <c r="F312" s="44"/>
      <c r="G312" s="44"/>
      <c r="H312" s="44"/>
      <c r="I312" s="44"/>
      <c r="J312" s="44"/>
      <c r="K312" s="44"/>
      <c r="L312" s="44"/>
      <c r="M312" s="46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>
      <c r="A313" s="44"/>
      <c r="B313" s="44"/>
      <c r="C313" s="45"/>
      <c r="D313" s="44"/>
      <c r="E313" s="44"/>
      <c r="F313" s="44"/>
      <c r="G313" s="44"/>
      <c r="H313" s="44"/>
      <c r="I313" s="44"/>
      <c r="J313" s="44"/>
      <c r="K313" s="44"/>
      <c r="L313" s="44"/>
      <c r="M313" s="46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>
      <c r="A314" s="44"/>
      <c r="B314" s="44"/>
      <c r="C314" s="45"/>
      <c r="D314" s="44"/>
      <c r="E314" s="44"/>
      <c r="F314" s="44"/>
      <c r="G314" s="44"/>
      <c r="H314" s="44"/>
      <c r="I314" s="44"/>
      <c r="J314" s="44"/>
      <c r="K314" s="44"/>
      <c r="L314" s="44"/>
      <c r="M314" s="46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>
      <c r="A315" s="44"/>
      <c r="B315" s="44"/>
      <c r="C315" s="45"/>
      <c r="D315" s="44"/>
      <c r="E315" s="44"/>
      <c r="F315" s="44"/>
      <c r="G315" s="44"/>
      <c r="H315" s="44"/>
      <c r="I315" s="44"/>
      <c r="J315" s="44"/>
      <c r="K315" s="44"/>
      <c r="L315" s="44"/>
      <c r="M315" s="46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>
      <c r="A316" s="44"/>
      <c r="B316" s="44"/>
      <c r="C316" s="45"/>
      <c r="D316" s="44"/>
      <c r="E316" s="44"/>
      <c r="F316" s="44"/>
      <c r="G316" s="44"/>
      <c r="H316" s="44"/>
      <c r="I316" s="44"/>
      <c r="J316" s="44"/>
      <c r="K316" s="44"/>
      <c r="L316" s="44"/>
      <c r="M316" s="46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>
      <c r="A317" s="44"/>
      <c r="B317" s="44"/>
      <c r="C317" s="45"/>
      <c r="D317" s="44"/>
      <c r="E317" s="44"/>
      <c r="F317" s="44"/>
      <c r="G317" s="44"/>
      <c r="H317" s="44"/>
      <c r="I317" s="44"/>
      <c r="J317" s="44"/>
      <c r="K317" s="44"/>
      <c r="L317" s="44"/>
      <c r="M317" s="46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>
      <c r="A318" s="44"/>
      <c r="B318" s="44"/>
      <c r="C318" s="45"/>
      <c r="D318" s="44"/>
      <c r="E318" s="44"/>
      <c r="F318" s="44"/>
      <c r="G318" s="44"/>
      <c r="H318" s="44"/>
      <c r="I318" s="44"/>
      <c r="J318" s="44"/>
      <c r="K318" s="44"/>
      <c r="L318" s="44"/>
      <c r="M318" s="46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>
      <c r="A319" s="44"/>
      <c r="B319" s="44"/>
      <c r="C319" s="45"/>
      <c r="D319" s="44"/>
      <c r="E319" s="44"/>
      <c r="F319" s="44"/>
      <c r="G319" s="44"/>
      <c r="H319" s="44"/>
      <c r="I319" s="44"/>
      <c r="J319" s="44"/>
      <c r="K319" s="44"/>
      <c r="L319" s="44"/>
      <c r="M319" s="46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>
      <c r="A320" s="44"/>
      <c r="B320" s="44"/>
      <c r="C320" s="45"/>
      <c r="D320" s="44"/>
      <c r="E320" s="44"/>
      <c r="F320" s="44"/>
      <c r="G320" s="44"/>
      <c r="H320" s="44"/>
      <c r="I320" s="44"/>
      <c r="J320" s="44"/>
      <c r="K320" s="44"/>
      <c r="L320" s="44"/>
      <c r="M320" s="46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>
      <c r="A321" s="44"/>
      <c r="B321" s="44"/>
      <c r="C321" s="45"/>
      <c r="D321" s="44"/>
      <c r="E321" s="44"/>
      <c r="F321" s="44"/>
      <c r="G321" s="44"/>
      <c r="H321" s="44"/>
      <c r="I321" s="44"/>
      <c r="J321" s="44"/>
      <c r="K321" s="44"/>
      <c r="L321" s="44"/>
      <c r="M321" s="46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>
      <c r="A322" s="44"/>
      <c r="B322" s="44"/>
      <c r="C322" s="45"/>
      <c r="D322" s="44"/>
      <c r="E322" s="44"/>
      <c r="F322" s="44"/>
      <c r="G322" s="44"/>
      <c r="H322" s="44"/>
      <c r="I322" s="44"/>
      <c r="J322" s="44"/>
      <c r="K322" s="44"/>
      <c r="L322" s="44"/>
      <c r="M322" s="46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>
      <c r="A323" s="44"/>
      <c r="B323" s="44"/>
      <c r="C323" s="45"/>
      <c r="D323" s="44"/>
      <c r="E323" s="44"/>
      <c r="F323" s="44"/>
      <c r="G323" s="44"/>
      <c r="H323" s="44"/>
      <c r="I323" s="44"/>
      <c r="J323" s="44"/>
      <c r="K323" s="44"/>
      <c r="L323" s="44"/>
      <c r="M323" s="46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>
      <c r="A324" s="44"/>
      <c r="B324" s="44"/>
      <c r="C324" s="45"/>
      <c r="D324" s="44"/>
      <c r="E324" s="44"/>
      <c r="F324" s="44"/>
      <c r="G324" s="44"/>
      <c r="H324" s="44"/>
      <c r="I324" s="44"/>
      <c r="J324" s="44"/>
      <c r="K324" s="44"/>
      <c r="L324" s="44"/>
      <c r="M324" s="46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>
      <c r="A325" s="44"/>
      <c r="B325" s="44"/>
      <c r="C325" s="45"/>
      <c r="D325" s="44"/>
      <c r="E325" s="44"/>
      <c r="F325" s="44"/>
      <c r="G325" s="44"/>
      <c r="H325" s="44"/>
      <c r="I325" s="44"/>
      <c r="J325" s="44"/>
      <c r="K325" s="44"/>
      <c r="L325" s="44"/>
      <c r="M325" s="46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>
      <c r="A326" s="44"/>
      <c r="B326" s="44"/>
      <c r="C326" s="45"/>
      <c r="D326" s="44"/>
      <c r="E326" s="44"/>
      <c r="F326" s="44"/>
      <c r="G326" s="44"/>
      <c r="H326" s="44"/>
      <c r="I326" s="44"/>
      <c r="J326" s="44"/>
      <c r="K326" s="44"/>
      <c r="L326" s="44"/>
      <c r="M326" s="46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>
      <c r="A327" s="44"/>
      <c r="B327" s="44"/>
      <c r="C327" s="45"/>
      <c r="D327" s="44"/>
      <c r="E327" s="44"/>
      <c r="F327" s="44"/>
      <c r="G327" s="44"/>
      <c r="H327" s="44"/>
      <c r="I327" s="44"/>
      <c r="J327" s="44"/>
      <c r="K327" s="44"/>
      <c r="L327" s="44"/>
      <c r="M327" s="46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>
      <c r="A328" s="44"/>
      <c r="B328" s="44"/>
      <c r="C328" s="45"/>
      <c r="D328" s="44"/>
      <c r="E328" s="44"/>
      <c r="F328" s="44"/>
      <c r="G328" s="44"/>
      <c r="H328" s="44"/>
      <c r="I328" s="44"/>
      <c r="J328" s="44"/>
      <c r="K328" s="44"/>
      <c r="L328" s="44"/>
      <c r="M328" s="46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>
      <c r="A329" s="44"/>
      <c r="B329" s="44"/>
      <c r="C329" s="45"/>
      <c r="D329" s="44"/>
      <c r="E329" s="44"/>
      <c r="F329" s="44"/>
      <c r="G329" s="44"/>
      <c r="H329" s="44"/>
      <c r="I329" s="44"/>
      <c r="J329" s="44"/>
      <c r="K329" s="44"/>
      <c r="L329" s="44"/>
      <c r="M329" s="46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>
      <c r="A330" s="44"/>
      <c r="B330" s="44"/>
      <c r="C330" s="45"/>
      <c r="D330" s="44"/>
      <c r="E330" s="44"/>
      <c r="F330" s="44"/>
      <c r="G330" s="44"/>
      <c r="H330" s="44"/>
      <c r="I330" s="44"/>
      <c r="J330" s="44"/>
      <c r="K330" s="44"/>
      <c r="L330" s="44"/>
      <c r="M330" s="46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>
      <c r="A331" s="44"/>
      <c r="B331" s="44"/>
      <c r="C331" s="45"/>
      <c r="D331" s="44"/>
      <c r="E331" s="44"/>
      <c r="F331" s="44"/>
      <c r="G331" s="44"/>
      <c r="H331" s="44"/>
      <c r="I331" s="44"/>
      <c r="J331" s="44"/>
      <c r="K331" s="44"/>
      <c r="L331" s="44"/>
      <c r="M331" s="46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>
      <c r="A332" s="44"/>
      <c r="B332" s="44"/>
      <c r="C332" s="45"/>
      <c r="D332" s="44"/>
      <c r="E332" s="44"/>
      <c r="F332" s="44"/>
      <c r="G332" s="44"/>
      <c r="H332" s="44"/>
      <c r="I332" s="44"/>
      <c r="J332" s="44"/>
      <c r="K332" s="44"/>
      <c r="L332" s="44"/>
      <c r="M332" s="46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>
      <c r="A333" s="44"/>
      <c r="B333" s="44"/>
      <c r="C333" s="45"/>
      <c r="D333" s="44"/>
      <c r="E333" s="44"/>
      <c r="F333" s="44"/>
      <c r="G333" s="44"/>
      <c r="H333" s="44"/>
      <c r="I333" s="44"/>
      <c r="J333" s="44"/>
      <c r="K333" s="44"/>
      <c r="L333" s="44"/>
      <c r="M333" s="46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>
      <c r="A334" s="44"/>
      <c r="B334" s="44"/>
      <c r="C334" s="45"/>
      <c r="D334" s="44"/>
      <c r="E334" s="44"/>
      <c r="F334" s="44"/>
      <c r="G334" s="44"/>
      <c r="H334" s="44"/>
      <c r="I334" s="44"/>
      <c r="J334" s="44"/>
      <c r="K334" s="44"/>
      <c r="L334" s="44"/>
      <c r="M334" s="46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>
      <c r="A335" s="44"/>
      <c r="B335" s="44"/>
      <c r="C335" s="45"/>
      <c r="D335" s="44"/>
      <c r="E335" s="44"/>
      <c r="F335" s="44"/>
      <c r="G335" s="44"/>
      <c r="H335" s="44"/>
      <c r="I335" s="44"/>
      <c r="J335" s="44"/>
      <c r="K335" s="44"/>
      <c r="L335" s="44"/>
      <c r="M335" s="46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>
      <c r="A336" s="44"/>
      <c r="B336" s="44"/>
      <c r="C336" s="45"/>
      <c r="D336" s="44"/>
      <c r="E336" s="44"/>
      <c r="F336" s="44"/>
      <c r="G336" s="44"/>
      <c r="H336" s="44"/>
      <c r="I336" s="44"/>
      <c r="J336" s="44"/>
      <c r="K336" s="44"/>
      <c r="L336" s="44"/>
      <c r="M336" s="46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>
      <c r="A337" s="44"/>
      <c r="B337" s="44"/>
      <c r="C337" s="45"/>
      <c r="D337" s="44"/>
      <c r="E337" s="44"/>
      <c r="F337" s="44"/>
      <c r="G337" s="44"/>
      <c r="H337" s="44"/>
      <c r="I337" s="44"/>
      <c r="J337" s="44"/>
      <c r="K337" s="44"/>
      <c r="L337" s="44"/>
      <c r="M337" s="46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>
      <c r="A338" s="44"/>
      <c r="B338" s="44"/>
      <c r="C338" s="45"/>
      <c r="D338" s="44"/>
      <c r="E338" s="44"/>
      <c r="F338" s="44"/>
      <c r="G338" s="44"/>
      <c r="H338" s="44"/>
      <c r="I338" s="44"/>
      <c r="J338" s="44"/>
      <c r="K338" s="44"/>
      <c r="L338" s="44"/>
      <c r="M338" s="46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>
      <c r="A339" s="44"/>
      <c r="B339" s="44"/>
      <c r="C339" s="45"/>
      <c r="D339" s="44"/>
      <c r="E339" s="44"/>
      <c r="F339" s="44"/>
      <c r="G339" s="44"/>
      <c r="H339" s="44"/>
      <c r="I339" s="44"/>
      <c r="J339" s="44"/>
      <c r="K339" s="44"/>
      <c r="L339" s="44"/>
      <c r="M339" s="46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>
      <c r="A340" s="44"/>
      <c r="B340" s="44"/>
      <c r="C340" s="45"/>
      <c r="D340" s="44"/>
      <c r="E340" s="44"/>
      <c r="F340" s="44"/>
      <c r="G340" s="44"/>
      <c r="H340" s="44"/>
      <c r="I340" s="44"/>
      <c r="J340" s="44"/>
      <c r="K340" s="44"/>
      <c r="L340" s="44"/>
      <c r="M340" s="46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>
      <c r="A341" s="44"/>
      <c r="B341" s="44"/>
      <c r="C341" s="45"/>
      <c r="D341" s="44"/>
      <c r="E341" s="44"/>
      <c r="F341" s="44"/>
      <c r="G341" s="44"/>
      <c r="H341" s="44"/>
      <c r="I341" s="44"/>
      <c r="J341" s="44"/>
      <c r="K341" s="44"/>
      <c r="L341" s="44"/>
      <c r="M341" s="46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>
      <c r="A342" s="44"/>
      <c r="B342" s="44"/>
      <c r="C342" s="45"/>
      <c r="D342" s="44"/>
      <c r="E342" s="44"/>
      <c r="F342" s="44"/>
      <c r="G342" s="44"/>
      <c r="H342" s="44"/>
      <c r="I342" s="44"/>
      <c r="J342" s="44"/>
      <c r="K342" s="44"/>
      <c r="L342" s="44"/>
      <c r="M342" s="46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>
      <c r="A343" s="44"/>
      <c r="B343" s="44"/>
      <c r="C343" s="45"/>
      <c r="D343" s="44"/>
      <c r="E343" s="44"/>
      <c r="F343" s="44"/>
      <c r="G343" s="44"/>
      <c r="H343" s="44"/>
      <c r="I343" s="44"/>
      <c r="J343" s="44"/>
      <c r="K343" s="44"/>
      <c r="L343" s="44"/>
      <c r="M343" s="46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>
      <c r="A344" s="44"/>
      <c r="B344" s="44"/>
      <c r="C344" s="45"/>
      <c r="D344" s="44"/>
      <c r="E344" s="44"/>
      <c r="F344" s="44"/>
      <c r="G344" s="44"/>
      <c r="H344" s="44"/>
      <c r="I344" s="44"/>
      <c r="J344" s="44"/>
      <c r="K344" s="44"/>
      <c r="L344" s="44"/>
      <c r="M344" s="46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>
      <c r="A345" s="44"/>
      <c r="B345" s="44"/>
      <c r="C345" s="45"/>
      <c r="D345" s="44"/>
      <c r="E345" s="44"/>
      <c r="F345" s="44"/>
      <c r="G345" s="44"/>
      <c r="H345" s="44"/>
      <c r="I345" s="44"/>
      <c r="J345" s="44"/>
      <c r="K345" s="44"/>
      <c r="L345" s="44"/>
      <c r="M345" s="46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>
      <c r="A346" s="44"/>
      <c r="B346" s="44"/>
      <c r="C346" s="45"/>
      <c r="D346" s="44"/>
      <c r="E346" s="44"/>
      <c r="F346" s="44"/>
      <c r="G346" s="44"/>
      <c r="H346" s="44"/>
      <c r="I346" s="44"/>
      <c r="J346" s="44"/>
      <c r="K346" s="44"/>
      <c r="L346" s="44"/>
      <c r="M346" s="46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>
      <c r="A347" s="44"/>
      <c r="B347" s="44"/>
      <c r="C347" s="45"/>
      <c r="D347" s="44"/>
      <c r="E347" s="44"/>
      <c r="F347" s="44"/>
      <c r="G347" s="44"/>
      <c r="H347" s="44"/>
      <c r="I347" s="44"/>
      <c r="J347" s="44"/>
      <c r="K347" s="44"/>
      <c r="L347" s="44"/>
      <c r="M347" s="46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>
      <c r="A348" s="44"/>
      <c r="B348" s="44"/>
      <c r="C348" s="45"/>
      <c r="D348" s="44"/>
      <c r="E348" s="44"/>
      <c r="F348" s="44"/>
      <c r="G348" s="44"/>
      <c r="H348" s="44"/>
      <c r="I348" s="44"/>
      <c r="J348" s="44"/>
      <c r="K348" s="44"/>
      <c r="L348" s="44"/>
      <c r="M348" s="46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>
      <c r="A349" s="44"/>
      <c r="B349" s="44"/>
      <c r="C349" s="45"/>
      <c r="D349" s="44"/>
      <c r="E349" s="44"/>
      <c r="F349" s="44"/>
      <c r="G349" s="44"/>
      <c r="H349" s="44"/>
      <c r="I349" s="44"/>
      <c r="J349" s="44"/>
      <c r="K349" s="44"/>
      <c r="L349" s="44"/>
      <c r="M349" s="46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>
      <c r="A350" s="44"/>
      <c r="B350" s="44"/>
      <c r="C350" s="45"/>
      <c r="D350" s="44"/>
      <c r="E350" s="44"/>
      <c r="F350" s="44"/>
      <c r="G350" s="44"/>
      <c r="H350" s="44"/>
      <c r="I350" s="44"/>
      <c r="J350" s="44"/>
      <c r="K350" s="44"/>
      <c r="L350" s="44"/>
      <c r="M350" s="46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>
      <c r="A351" s="44"/>
      <c r="B351" s="44"/>
      <c r="C351" s="45"/>
      <c r="D351" s="44"/>
      <c r="E351" s="44"/>
      <c r="F351" s="44"/>
      <c r="G351" s="44"/>
      <c r="H351" s="44"/>
      <c r="I351" s="44"/>
      <c r="J351" s="44"/>
      <c r="K351" s="44"/>
      <c r="L351" s="44"/>
      <c r="M351" s="46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>
      <c r="A352" s="44"/>
      <c r="B352" s="44"/>
      <c r="C352" s="45"/>
      <c r="D352" s="44"/>
      <c r="E352" s="44"/>
      <c r="F352" s="44"/>
      <c r="G352" s="44"/>
      <c r="H352" s="44"/>
      <c r="I352" s="44"/>
      <c r="J352" s="44"/>
      <c r="K352" s="44"/>
      <c r="L352" s="44"/>
      <c r="M352" s="46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>
      <c r="A353" s="44"/>
      <c r="B353" s="44"/>
      <c r="C353" s="45"/>
      <c r="D353" s="44"/>
      <c r="E353" s="44"/>
      <c r="F353" s="44"/>
      <c r="G353" s="44"/>
      <c r="H353" s="44"/>
      <c r="I353" s="44"/>
      <c r="J353" s="44"/>
      <c r="K353" s="44"/>
      <c r="L353" s="44"/>
      <c r="M353" s="46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>
      <c r="A354" s="44"/>
      <c r="B354" s="44"/>
      <c r="C354" s="45"/>
      <c r="D354" s="44"/>
      <c r="E354" s="44"/>
      <c r="F354" s="44"/>
      <c r="G354" s="44"/>
      <c r="H354" s="44"/>
      <c r="I354" s="44"/>
      <c r="J354" s="44"/>
      <c r="K354" s="44"/>
      <c r="L354" s="44"/>
      <c r="M354" s="46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>
      <c r="A355" s="44"/>
      <c r="B355" s="44"/>
      <c r="C355" s="45"/>
      <c r="D355" s="44"/>
      <c r="E355" s="44"/>
      <c r="F355" s="44"/>
      <c r="G355" s="44"/>
      <c r="H355" s="44"/>
      <c r="I355" s="44"/>
      <c r="J355" s="44"/>
      <c r="K355" s="44"/>
      <c r="L355" s="44"/>
      <c r="M355" s="46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>
      <c r="A356" s="44"/>
      <c r="B356" s="44"/>
      <c r="C356" s="45"/>
      <c r="D356" s="44"/>
      <c r="E356" s="44"/>
      <c r="F356" s="44"/>
      <c r="G356" s="44"/>
      <c r="H356" s="44"/>
      <c r="I356" s="44"/>
      <c r="J356" s="44"/>
      <c r="K356" s="44"/>
      <c r="L356" s="44"/>
      <c r="M356" s="46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>
      <c r="A357" s="44"/>
      <c r="B357" s="44"/>
      <c r="C357" s="45"/>
      <c r="D357" s="44"/>
      <c r="E357" s="44"/>
      <c r="F357" s="44"/>
      <c r="G357" s="44"/>
      <c r="H357" s="44"/>
      <c r="I357" s="44"/>
      <c r="J357" s="44"/>
      <c r="K357" s="44"/>
      <c r="L357" s="44"/>
      <c r="M357" s="46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>
      <c r="A358" s="44"/>
      <c r="B358" s="44"/>
      <c r="C358" s="45"/>
      <c r="D358" s="44"/>
      <c r="E358" s="44"/>
      <c r="F358" s="44"/>
      <c r="G358" s="44"/>
      <c r="H358" s="44"/>
      <c r="I358" s="44"/>
      <c r="J358" s="44"/>
      <c r="K358" s="44"/>
      <c r="L358" s="44"/>
      <c r="M358" s="46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>
      <c r="A359" s="44"/>
      <c r="B359" s="44"/>
      <c r="C359" s="45"/>
      <c r="D359" s="44"/>
      <c r="E359" s="44"/>
      <c r="F359" s="44"/>
      <c r="G359" s="44"/>
      <c r="H359" s="44"/>
      <c r="I359" s="44"/>
      <c r="J359" s="44"/>
      <c r="K359" s="44"/>
      <c r="L359" s="44"/>
      <c r="M359" s="46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>
      <c r="A360" s="44"/>
      <c r="B360" s="44"/>
      <c r="C360" s="45"/>
      <c r="D360" s="44"/>
      <c r="E360" s="44"/>
      <c r="F360" s="44"/>
      <c r="G360" s="44"/>
      <c r="H360" s="44"/>
      <c r="I360" s="44"/>
      <c r="J360" s="44"/>
      <c r="K360" s="44"/>
      <c r="L360" s="44"/>
      <c r="M360" s="46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>
      <c r="A361" s="44"/>
      <c r="B361" s="44"/>
      <c r="C361" s="45"/>
      <c r="D361" s="44"/>
      <c r="E361" s="44"/>
      <c r="F361" s="44"/>
      <c r="G361" s="44"/>
      <c r="H361" s="44"/>
      <c r="I361" s="44"/>
      <c r="J361" s="44"/>
      <c r="K361" s="44"/>
      <c r="L361" s="44"/>
      <c r="M361" s="46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>
      <c r="A362" s="44"/>
      <c r="B362" s="44"/>
      <c r="C362" s="45"/>
      <c r="D362" s="44"/>
      <c r="E362" s="44"/>
      <c r="F362" s="44"/>
      <c r="G362" s="44"/>
      <c r="H362" s="44"/>
      <c r="I362" s="44"/>
      <c r="J362" s="44"/>
      <c r="K362" s="44"/>
      <c r="L362" s="44"/>
      <c r="M362" s="46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>
      <c r="A363" s="44"/>
      <c r="B363" s="44"/>
      <c r="C363" s="45"/>
      <c r="D363" s="44"/>
      <c r="E363" s="44"/>
      <c r="F363" s="44"/>
      <c r="G363" s="44"/>
      <c r="H363" s="44"/>
      <c r="I363" s="44"/>
      <c r="J363" s="44"/>
      <c r="K363" s="44"/>
      <c r="L363" s="44"/>
      <c r="M363" s="46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>
      <c r="A364" s="44"/>
      <c r="B364" s="44"/>
      <c r="C364" s="45"/>
      <c r="D364" s="44"/>
      <c r="E364" s="44"/>
      <c r="F364" s="44"/>
      <c r="G364" s="44"/>
      <c r="H364" s="44"/>
      <c r="I364" s="44"/>
      <c r="J364" s="44"/>
      <c r="K364" s="44"/>
      <c r="L364" s="44"/>
      <c r="M364" s="46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>
      <c r="A365" s="44"/>
      <c r="B365" s="44"/>
      <c r="C365" s="45"/>
      <c r="D365" s="44"/>
      <c r="E365" s="44"/>
      <c r="F365" s="44"/>
      <c r="G365" s="44"/>
      <c r="H365" s="44"/>
      <c r="I365" s="44"/>
      <c r="J365" s="44"/>
      <c r="K365" s="44"/>
      <c r="L365" s="44"/>
      <c r="M365" s="46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>
      <c r="A366" s="44"/>
      <c r="B366" s="44"/>
      <c r="C366" s="45"/>
      <c r="D366" s="44"/>
      <c r="E366" s="44"/>
      <c r="F366" s="44"/>
      <c r="G366" s="44"/>
      <c r="H366" s="44"/>
      <c r="I366" s="44"/>
      <c r="J366" s="44"/>
      <c r="K366" s="44"/>
      <c r="L366" s="44"/>
      <c r="M366" s="46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>
      <c r="A367" s="44"/>
      <c r="B367" s="44"/>
      <c r="C367" s="45"/>
      <c r="D367" s="44"/>
      <c r="E367" s="44"/>
      <c r="F367" s="44"/>
      <c r="G367" s="44"/>
      <c r="H367" s="44"/>
      <c r="I367" s="44"/>
      <c r="J367" s="44"/>
      <c r="K367" s="44"/>
      <c r="L367" s="44"/>
      <c r="M367" s="46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>
      <c r="A368" s="44"/>
      <c r="B368" s="44"/>
      <c r="C368" s="45"/>
      <c r="D368" s="44"/>
      <c r="E368" s="44"/>
      <c r="F368" s="44"/>
      <c r="G368" s="44"/>
      <c r="H368" s="44"/>
      <c r="I368" s="44"/>
      <c r="J368" s="44"/>
      <c r="K368" s="44"/>
      <c r="L368" s="44"/>
      <c r="M368" s="46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>
      <c r="A369" s="44"/>
      <c r="B369" s="44"/>
      <c r="C369" s="45"/>
      <c r="D369" s="44"/>
      <c r="E369" s="44"/>
      <c r="F369" s="44"/>
      <c r="G369" s="44"/>
      <c r="H369" s="44"/>
      <c r="I369" s="44"/>
      <c r="J369" s="44"/>
      <c r="K369" s="44"/>
      <c r="L369" s="44"/>
      <c r="M369" s="46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>
      <c r="A370" s="44"/>
      <c r="B370" s="44"/>
      <c r="C370" s="45"/>
      <c r="D370" s="44"/>
      <c r="E370" s="44"/>
      <c r="F370" s="44"/>
      <c r="G370" s="44"/>
      <c r="H370" s="44"/>
      <c r="I370" s="44"/>
      <c r="J370" s="44"/>
      <c r="K370" s="44"/>
      <c r="L370" s="44"/>
      <c r="M370" s="46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>
      <c r="A371" s="44"/>
      <c r="B371" s="44"/>
      <c r="C371" s="45"/>
      <c r="D371" s="44"/>
      <c r="E371" s="44"/>
      <c r="F371" s="44"/>
      <c r="G371" s="44"/>
      <c r="H371" s="44"/>
      <c r="I371" s="44"/>
      <c r="J371" s="44"/>
      <c r="K371" s="44"/>
      <c r="L371" s="44"/>
      <c r="M371" s="46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>
      <c r="A372" s="44"/>
      <c r="B372" s="44"/>
      <c r="C372" s="45"/>
      <c r="D372" s="44"/>
      <c r="E372" s="44"/>
      <c r="F372" s="44"/>
      <c r="G372" s="44"/>
      <c r="H372" s="44"/>
      <c r="I372" s="44"/>
      <c r="J372" s="44"/>
      <c r="K372" s="44"/>
      <c r="L372" s="44"/>
      <c r="M372" s="46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>
      <c r="A373" s="44"/>
      <c r="B373" s="44"/>
      <c r="C373" s="45"/>
      <c r="D373" s="44"/>
      <c r="E373" s="44"/>
      <c r="F373" s="44"/>
      <c r="G373" s="44"/>
      <c r="H373" s="44"/>
      <c r="I373" s="44"/>
      <c r="J373" s="44"/>
      <c r="K373" s="44"/>
      <c r="L373" s="44"/>
      <c r="M373" s="46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>
      <c r="A374" s="44"/>
      <c r="B374" s="44"/>
      <c r="C374" s="45"/>
      <c r="D374" s="44"/>
      <c r="E374" s="44"/>
      <c r="F374" s="44"/>
      <c r="G374" s="44"/>
      <c r="H374" s="44"/>
      <c r="I374" s="44"/>
      <c r="J374" s="44"/>
      <c r="K374" s="44"/>
      <c r="L374" s="44"/>
      <c r="M374" s="46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>
      <c r="A375" s="44"/>
      <c r="B375" s="44"/>
      <c r="C375" s="45"/>
      <c r="D375" s="44"/>
      <c r="E375" s="44"/>
      <c r="F375" s="44"/>
      <c r="G375" s="44"/>
      <c r="H375" s="44"/>
      <c r="I375" s="44"/>
      <c r="J375" s="44"/>
      <c r="K375" s="44"/>
      <c r="L375" s="44"/>
      <c r="M375" s="46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>
      <c r="A376" s="44"/>
      <c r="B376" s="44"/>
      <c r="C376" s="45"/>
      <c r="D376" s="44"/>
      <c r="E376" s="44"/>
      <c r="F376" s="44"/>
      <c r="G376" s="44"/>
      <c r="H376" s="44"/>
      <c r="I376" s="44"/>
      <c r="J376" s="44"/>
      <c r="K376" s="44"/>
      <c r="L376" s="44"/>
      <c r="M376" s="46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>
      <c r="A377" s="44"/>
      <c r="B377" s="44"/>
      <c r="C377" s="45"/>
      <c r="D377" s="44"/>
      <c r="E377" s="44"/>
      <c r="F377" s="44"/>
      <c r="G377" s="44"/>
      <c r="H377" s="44"/>
      <c r="I377" s="44"/>
      <c r="J377" s="44"/>
      <c r="K377" s="44"/>
      <c r="L377" s="44"/>
      <c r="M377" s="46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>
      <c r="A378" s="44"/>
      <c r="B378" s="44"/>
      <c r="C378" s="45"/>
      <c r="D378" s="44"/>
      <c r="E378" s="44"/>
      <c r="F378" s="44"/>
      <c r="G378" s="44"/>
      <c r="H378" s="44"/>
      <c r="I378" s="44"/>
      <c r="J378" s="44"/>
      <c r="K378" s="44"/>
      <c r="L378" s="44"/>
      <c r="M378" s="46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>
      <c r="A379" s="44"/>
      <c r="B379" s="44"/>
      <c r="C379" s="45"/>
      <c r="D379" s="44"/>
      <c r="E379" s="44"/>
      <c r="F379" s="44"/>
      <c r="G379" s="44"/>
      <c r="H379" s="44"/>
      <c r="I379" s="44"/>
      <c r="J379" s="44"/>
      <c r="K379" s="44"/>
      <c r="L379" s="44"/>
      <c r="M379" s="46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>
      <c r="A380" s="44"/>
      <c r="B380" s="44"/>
      <c r="C380" s="45"/>
      <c r="D380" s="44"/>
      <c r="E380" s="44"/>
      <c r="F380" s="44"/>
      <c r="G380" s="44"/>
      <c r="H380" s="44"/>
      <c r="I380" s="44"/>
      <c r="J380" s="44"/>
      <c r="K380" s="44"/>
      <c r="L380" s="44"/>
      <c r="M380" s="46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>
      <c r="A381" s="44"/>
      <c r="B381" s="44"/>
      <c r="C381" s="45"/>
      <c r="D381" s="44"/>
      <c r="E381" s="44"/>
      <c r="F381" s="44"/>
      <c r="G381" s="44"/>
      <c r="H381" s="44"/>
      <c r="I381" s="44"/>
      <c r="J381" s="44"/>
      <c r="K381" s="44"/>
      <c r="L381" s="44"/>
      <c r="M381" s="46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>
      <c r="A382" s="44"/>
      <c r="B382" s="44"/>
      <c r="C382" s="45"/>
      <c r="D382" s="44"/>
      <c r="E382" s="44"/>
      <c r="F382" s="44"/>
      <c r="G382" s="44"/>
      <c r="H382" s="44"/>
      <c r="I382" s="44"/>
      <c r="J382" s="44"/>
      <c r="K382" s="44"/>
      <c r="L382" s="44"/>
      <c r="M382" s="46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>
      <c r="A383" s="44"/>
      <c r="B383" s="44"/>
      <c r="C383" s="45"/>
      <c r="D383" s="44"/>
      <c r="E383" s="44"/>
      <c r="F383" s="44"/>
      <c r="G383" s="44"/>
      <c r="H383" s="44"/>
      <c r="I383" s="44"/>
      <c r="J383" s="44"/>
      <c r="K383" s="44"/>
      <c r="L383" s="44"/>
      <c r="M383" s="46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>
      <c r="A384" s="44"/>
      <c r="B384" s="44"/>
      <c r="C384" s="45"/>
      <c r="D384" s="44"/>
      <c r="E384" s="44"/>
      <c r="F384" s="44"/>
      <c r="G384" s="44"/>
      <c r="H384" s="44"/>
      <c r="I384" s="44"/>
      <c r="J384" s="44"/>
      <c r="K384" s="44"/>
      <c r="L384" s="44"/>
      <c r="M384" s="46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>
      <c r="A385" s="44"/>
      <c r="B385" s="44"/>
      <c r="C385" s="45"/>
      <c r="D385" s="44"/>
      <c r="E385" s="44"/>
      <c r="F385" s="44"/>
      <c r="G385" s="44"/>
      <c r="H385" s="44"/>
      <c r="I385" s="44"/>
      <c r="J385" s="44"/>
      <c r="K385" s="44"/>
      <c r="L385" s="44"/>
      <c r="M385" s="46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>
      <c r="A386" s="44"/>
      <c r="B386" s="44"/>
      <c r="C386" s="45"/>
      <c r="D386" s="44"/>
      <c r="E386" s="44"/>
      <c r="F386" s="44"/>
      <c r="G386" s="44"/>
      <c r="H386" s="44"/>
      <c r="I386" s="44"/>
      <c r="J386" s="44"/>
      <c r="K386" s="44"/>
      <c r="L386" s="44"/>
      <c r="M386" s="46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>
      <c r="A387" s="44"/>
      <c r="B387" s="44"/>
      <c r="C387" s="45"/>
      <c r="D387" s="44"/>
      <c r="E387" s="44"/>
      <c r="F387" s="44"/>
      <c r="G387" s="44"/>
      <c r="H387" s="44"/>
      <c r="I387" s="44"/>
      <c r="J387" s="44"/>
      <c r="K387" s="44"/>
      <c r="L387" s="44"/>
      <c r="M387" s="46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>
      <c r="A388" s="44"/>
      <c r="B388" s="44"/>
      <c r="C388" s="45"/>
      <c r="D388" s="44"/>
      <c r="E388" s="44"/>
      <c r="F388" s="44"/>
      <c r="G388" s="44"/>
      <c r="H388" s="44"/>
      <c r="I388" s="44"/>
      <c r="J388" s="44"/>
      <c r="K388" s="44"/>
      <c r="L388" s="44"/>
      <c r="M388" s="46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>
      <c r="A389" s="44"/>
      <c r="B389" s="44"/>
      <c r="C389" s="45"/>
      <c r="D389" s="44"/>
      <c r="E389" s="44"/>
      <c r="F389" s="44"/>
      <c r="G389" s="44"/>
      <c r="H389" s="44"/>
      <c r="I389" s="44"/>
      <c r="J389" s="44"/>
      <c r="K389" s="44"/>
      <c r="L389" s="44"/>
      <c r="M389" s="46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>
      <c r="A390" s="44"/>
      <c r="B390" s="44"/>
      <c r="C390" s="45"/>
      <c r="D390" s="44"/>
      <c r="E390" s="44"/>
      <c r="F390" s="44"/>
      <c r="G390" s="44"/>
      <c r="H390" s="44"/>
      <c r="I390" s="44"/>
      <c r="J390" s="44"/>
      <c r="K390" s="44"/>
      <c r="L390" s="44"/>
      <c r="M390" s="46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>
      <c r="A391" s="44"/>
      <c r="B391" s="44"/>
      <c r="C391" s="45"/>
      <c r="D391" s="44"/>
      <c r="E391" s="44"/>
      <c r="F391" s="44"/>
      <c r="G391" s="44"/>
      <c r="H391" s="44"/>
      <c r="I391" s="44"/>
      <c r="J391" s="44"/>
      <c r="K391" s="44"/>
      <c r="L391" s="44"/>
      <c r="M391" s="46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>
      <c r="A392" s="44"/>
      <c r="B392" s="44"/>
      <c r="C392" s="45"/>
      <c r="D392" s="44"/>
      <c r="E392" s="44"/>
      <c r="F392" s="44"/>
      <c r="G392" s="44"/>
      <c r="H392" s="44"/>
      <c r="I392" s="44"/>
      <c r="J392" s="44"/>
      <c r="K392" s="44"/>
      <c r="L392" s="44"/>
      <c r="M392" s="46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>
      <c r="A393" s="44"/>
      <c r="B393" s="44"/>
      <c r="C393" s="45"/>
      <c r="D393" s="44"/>
      <c r="E393" s="44"/>
      <c r="F393" s="44"/>
      <c r="G393" s="44"/>
      <c r="H393" s="44"/>
      <c r="I393" s="44"/>
      <c r="J393" s="44"/>
      <c r="K393" s="44"/>
      <c r="L393" s="44"/>
      <c r="M393" s="46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>
      <c r="A394" s="44"/>
      <c r="B394" s="44"/>
      <c r="C394" s="45"/>
      <c r="D394" s="44"/>
      <c r="E394" s="44"/>
      <c r="F394" s="44"/>
      <c r="G394" s="44"/>
      <c r="H394" s="44"/>
      <c r="I394" s="44"/>
      <c r="J394" s="44"/>
      <c r="K394" s="44"/>
      <c r="L394" s="44"/>
      <c r="M394" s="46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>
      <c r="A395" s="44"/>
      <c r="B395" s="44"/>
      <c r="C395" s="45"/>
      <c r="D395" s="44"/>
      <c r="E395" s="44"/>
      <c r="F395" s="44"/>
      <c r="G395" s="44"/>
      <c r="H395" s="44"/>
      <c r="I395" s="44"/>
      <c r="J395" s="44"/>
      <c r="K395" s="44"/>
      <c r="L395" s="44"/>
      <c r="M395" s="46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>
      <c r="A396" s="44"/>
      <c r="B396" s="44"/>
      <c r="C396" s="45"/>
      <c r="D396" s="44"/>
      <c r="E396" s="44"/>
      <c r="F396" s="44"/>
      <c r="G396" s="44"/>
      <c r="H396" s="44"/>
      <c r="I396" s="44"/>
      <c r="J396" s="44"/>
      <c r="K396" s="44"/>
      <c r="L396" s="44"/>
      <c r="M396" s="46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>
      <c r="A397" s="44"/>
      <c r="B397" s="44"/>
      <c r="C397" s="45"/>
      <c r="D397" s="44"/>
      <c r="E397" s="44"/>
      <c r="F397" s="44"/>
      <c r="G397" s="44"/>
      <c r="H397" s="44"/>
      <c r="I397" s="44"/>
      <c r="J397" s="44"/>
      <c r="K397" s="44"/>
      <c r="L397" s="44"/>
      <c r="M397" s="46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>
      <c r="A398" s="44"/>
      <c r="B398" s="44"/>
      <c r="C398" s="45"/>
      <c r="D398" s="44"/>
      <c r="E398" s="44"/>
      <c r="F398" s="44"/>
      <c r="G398" s="44"/>
      <c r="H398" s="44"/>
      <c r="I398" s="44"/>
      <c r="J398" s="44"/>
      <c r="K398" s="44"/>
      <c r="L398" s="44"/>
      <c r="M398" s="46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>
      <c r="A399" s="44"/>
      <c r="B399" s="44"/>
      <c r="C399" s="45"/>
      <c r="D399" s="44"/>
      <c r="E399" s="44"/>
      <c r="F399" s="44"/>
      <c r="G399" s="44"/>
      <c r="H399" s="44"/>
      <c r="I399" s="44"/>
      <c r="J399" s="44"/>
      <c r="K399" s="44"/>
      <c r="L399" s="44"/>
      <c r="M399" s="46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>
      <c r="A400" s="44"/>
      <c r="B400" s="44"/>
      <c r="C400" s="45"/>
      <c r="D400" s="44"/>
      <c r="E400" s="44"/>
      <c r="F400" s="44"/>
      <c r="G400" s="44"/>
      <c r="H400" s="44"/>
      <c r="I400" s="44"/>
      <c r="J400" s="44"/>
      <c r="K400" s="44"/>
      <c r="L400" s="44"/>
      <c r="M400" s="46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>
      <c r="A401" s="44"/>
      <c r="B401" s="44"/>
      <c r="C401" s="45"/>
      <c r="D401" s="44"/>
      <c r="E401" s="44"/>
      <c r="F401" s="44"/>
      <c r="G401" s="44"/>
      <c r="H401" s="44"/>
      <c r="I401" s="44"/>
      <c r="J401" s="44"/>
      <c r="K401" s="44"/>
      <c r="L401" s="44"/>
      <c r="M401" s="46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>
      <c r="A402" s="44"/>
      <c r="B402" s="44"/>
      <c r="C402" s="45"/>
      <c r="D402" s="44"/>
      <c r="E402" s="44"/>
      <c r="F402" s="44"/>
      <c r="G402" s="44"/>
      <c r="H402" s="44"/>
      <c r="I402" s="44"/>
      <c r="J402" s="44"/>
      <c r="K402" s="44"/>
      <c r="L402" s="44"/>
      <c r="M402" s="46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>
      <c r="A403" s="44"/>
      <c r="B403" s="44"/>
      <c r="C403" s="45"/>
      <c r="D403" s="44"/>
      <c r="E403" s="44"/>
      <c r="F403" s="44"/>
      <c r="G403" s="44"/>
      <c r="H403" s="44"/>
      <c r="I403" s="44"/>
      <c r="J403" s="44"/>
      <c r="K403" s="44"/>
      <c r="L403" s="44"/>
      <c r="M403" s="46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>
      <c r="A404" s="44"/>
      <c r="B404" s="44"/>
      <c r="C404" s="45"/>
      <c r="D404" s="44"/>
      <c r="E404" s="44"/>
      <c r="F404" s="44"/>
      <c r="G404" s="44"/>
      <c r="H404" s="44"/>
      <c r="I404" s="44"/>
      <c r="J404" s="44"/>
      <c r="K404" s="44"/>
      <c r="L404" s="44"/>
      <c r="M404" s="46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>
      <c r="A405" s="44"/>
      <c r="B405" s="44"/>
      <c r="C405" s="45"/>
      <c r="D405" s="44"/>
      <c r="E405" s="44"/>
      <c r="F405" s="44"/>
      <c r="G405" s="44"/>
      <c r="H405" s="44"/>
      <c r="I405" s="44"/>
      <c r="J405" s="44"/>
      <c r="K405" s="44"/>
      <c r="L405" s="44"/>
      <c r="M405" s="46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>
      <c r="A406" s="44"/>
      <c r="B406" s="44"/>
      <c r="C406" s="45"/>
      <c r="D406" s="44"/>
      <c r="E406" s="44"/>
      <c r="F406" s="44"/>
      <c r="G406" s="44"/>
      <c r="H406" s="44"/>
      <c r="I406" s="44"/>
      <c r="J406" s="44"/>
      <c r="K406" s="44"/>
      <c r="L406" s="44"/>
      <c r="M406" s="46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>
      <c r="A407" s="44"/>
      <c r="B407" s="44"/>
      <c r="C407" s="45"/>
      <c r="D407" s="44"/>
      <c r="E407" s="44"/>
      <c r="F407" s="44"/>
      <c r="G407" s="44"/>
      <c r="H407" s="44"/>
      <c r="I407" s="44"/>
      <c r="J407" s="44"/>
      <c r="K407" s="44"/>
      <c r="L407" s="44"/>
      <c r="M407" s="46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>
      <c r="A408" s="44"/>
      <c r="B408" s="44"/>
      <c r="C408" s="45"/>
      <c r="D408" s="44"/>
      <c r="E408" s="44"/>
      <c r="F408" s="44"/>
      <c r="G408" s="44"/>
      <c r="H408" s="44"/>
      <c r="I408" s="44"/>
      <c r="J408" s="44"/>
      <c r="K408" s="44"/>
      <c r="L408" s="44"/>
      <c r="M408" s="46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>
      <c r="A409" s="44"/>
      <c r="B409" s="44"/>
      <c r="C409" s="45"/>
      <c r="D409" s="44"/>
      <c r="E409" s="44"/>
      <c r="F409" s="44"/>
      <c r="G409" s="44"/>
      <c r="H409" s="44"/>
      <c r="I409" s="44"/>
      <c r="J409" s="44"/>
      <c r="K409" s="44"/>
      <c r="L409" s="44"/>
      <c r="M409" s="46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>
      <c r="A410" s="44"/>
      <c r="B410" s="44"/>
      <c r="C410" s="45"/>
      <c r="D410" s="44"/>
      <c r="E410" s="44"/>
      <c r="F410" s="44"/>
      <c r="G410" s="44"/>
      <c r="H410" s="44"/>
      <c r="I410" s="44"/>
      <c r="J410" s="44"/>
      <c r="K410" s="44"/>
      <c r="L410" s="44"/>
      <c r="M410" s="46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>
      <c r="A411" s="44"/>
      <c r="B411" s="44"/>
      <c r="C411" s="45"/>
      <c r="D411" s="44"/>
      <c r="E411" s="44"/>
      <c r="F411" s="44"/>
      <c r="G411" s="44"/>
      <c r="H411" s="44"/>
      <c r="I411" s="44"/>
      <c r="J411" s="44"/>
      <c r="K411" s="44"/>
      <c r="L411" s="44"/>
      <c r="M411" s="46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>
      <c r="A412" s="44"/>
      <c r="B412" s="44"/>
      <c r="C412" s="45"/>
      <c r="D412" s="44"/>
      <c r="E412" s="44"/>
      <c r="F412" s="44"/>
      <c r="G412" s="44"/>
      <c r="H412" s="44"/>
      <c r="I412" s="44"/>
      <c r="J412" s="44"/>
      <c r="K412" s="44"/>
      <c r="L412" s="44"/>
      <c r="M412" s="46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>
      <c r="A413" s="44"/>
      <c r="B413" s="44"/>
      <c r="C413" s="45"/>
      <c r="D413" s="44"/>
      <c r="E413" s="44"/>
      <c r="F413" s="44"/>
      <c r="G413" s="44"/>
      <c r="H413" s="44"/>
      <c r="I413" s="44"/>
      <c r="J413" s="44"/>
      <c r="K413" s="44"/>
      <c r="L413" s="44"/>
      <c r="M413" s="46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>
      <c r="A414" s="44"/>
      <c r="B414" s="44"/>
      <c r="C414" s="45"/>
      <c r="D414" s="44"/>
      <c r="E414" s="44"/>
      <c r="F414" s="44"/>
      <c r="G414" s="44"/>
      <c r="H414" s="44"/>
      <c r="I414" s="44"/>
      <c r="J414" s="44"/>
      <c r="K414" s="44"/>
      <c r="L414" s="44"/>
      <c r="M414" s="46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>
      <c r="A415" s="44"/>
      <c r="B415" s="44"/>
      <c r="C415" s="45"/>
      <c r="D415" s="44"/>
      <c r="E415" s="44"/>
      <c r="F415" s="44"/>
      <c r="G415" s="44"/>
      <c r="H415" s="44"/>
      <c r="I415" s="44"/>
      <c r="J415" s="44"/>
      <c r="K415" s="44"/>
      <c r="L415" s="44"/>
      <c r="M415" s="46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>
      <c r="A416" s="44"/>
      <c r="B416" s="44"/>
      <c r="C416" s="45"/>
      <c r="D416" s="44"/>
      <c r="E416" s="44"/>
      <c r="F416" s="44"/>
      <c r="G416" s="44"/>
      <c r="H416" s="44"/>
      <c r="I416" s="44"/>
      <c r="J416" s="44"/>
      <c r="K416" s="44"/>
      <c r="L416" s="44"/>
      <c r="M416" s="46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>
      <c r="A417" s="44"/>
      <c r="B417" s="44"/>
      <c r="C417" s="45"/>
      <c r="D417" s="44"/>
      <c r="E417" s="44"/>
      <c r="F417" s="44"/>
      <c r="G417" s="44"/>
      <c r="H417" s="44"/>
      <c r="I417" s="44"/>
      <c r="J417" s="44"/>
      <c r="K417" s="44"/>
      <c r="L417" s="44"/>
      <c r="M417" s="46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>
      <c r="A418" s="44"/>
      <c r="B418" s="44"/>
      <c r="C418" s="45"/>
      <c r="D418" s="44"/>
      <c r="E418" s="44"/>
      <c r="F418" s="44"/>
      <c r="G418" s="44"/>
      <c r="H418" s="44"/>
      <c r="I418" s="44"/>
      <c r="J418" s="44"/>
      <c r="K418" s="44"/>
      <c r="L418" s="44"/>
      <c r="M418" s="46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>
      <c r="A419" s="44"/>
      <c r="B419" s="44"/>
      <c r="C419" s="45"/>
      <c r="D419" s="44"/>
      <c r="E419" s="44"/>
      <c r="F419" s="44"/>
      <c r="G419" s="44"/>
      <c r="H419" s="44"/>
      <c r="I419" s="44"/>
      <c r="J419" s="44"/>
      <c r="K419" s="44"/>
      <c r="L419" s="44"/>
      <c r="M419" s="46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>
      <c r="A420" s="44"/>
      <c r="B420" s="44"/>
      <c r="C420" s="45"/>
      <c r="D420" s="44"/>
      <c r="E420" s="44"/>
      <c r="F420" s="44"/>
      <c r="G420" s="44"/>
      <c r="H420" s="44"/>
      <c r="I420" s="44"/>
      <c r="J420" s="44"/>
      <c r="K420" s="44"/>
      <c r="L420" s="44"/>
      <c r="M420" s="46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>
      <c r="A421" s="44"/>
      <c r="B421" s="44"/>
      <c r="C421" s="45"/>
      <c r="D421" s="44"/>
      <c r="E421" s="44"/>
      <c r="F421" s="44"/>
      <c r="G421" s="44"/>
      <c r="H421" s="44"/>
      <c r="I421" s="44"/>
      <c r="J421" s="44"/>
      <c r="K421" s="44"/>
      <c r="L421" s="44"/>
      <c r="M421" s="46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>
      <c r="A422" s="44"/>
      <c r="B422" s="44"/>
      <c r="C422" s="45"/>
      <c r="D422" s="44"/>
      <c r="E422" s="44"/>
      <c r="F422" s="44"/>
      <c r="G422" s="44"/>
      <c r="H422" s="44"/>
      <c r="I422" s="44"/>
      <c r="J422" s="44"/>
      <c r="K422" s="44"/>
      <c r="L422" s="44"/>
      <c r="M422" s="46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>
      <c r="A423" s="44"/>
      <c r="B423" s="44"/>
      <c r="C423" s="45"/>
      <c r="D423" s="44"/>
      <c r="E423" s="44"/>
      <c r="F423" s="44"/>
      <c r="G423" s="44"/>
      <c r="H423" s="44"/>
      <c r="I423" s="44"/>
      <c r="J423" s="44"/>
      <c r="K423" s="44"/>
      <c r="L423" s="44"/>
      <c r="M423" s="46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>
      <c r="A424" s="44"/>
      <c r="B424" s="44"/>
      <c r="C424" s="45"/>
      <c r="D424" s="44"/>
      <c r="E424" s="44"/>
      <c r="F424" s="44"/>
      <c r="G424" s="44"/>
      <c r="H424" s="44"/>
      <c r="I424" s="44"/>
      <c r="J424" s="44"/>
      <c r="K424" s="44"/>
      <c r="L424" s="44"/>
      <c r="M424" s="46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>
      <c r="A425" s="44"/>
      <c r="B425" s="44"/>
      <c r="C425" s="45"/>
      <c r="D425" s="44"/>
      <c r="E425" s="44"/>
      <c r="F425" s="44"/>
      <c r="G425" s="44"/>
      <c r="H425" s="44"/>
      <c r="I425" s="44"/>
      <c r="J425" s="44"/>
      <c r="K425" s="44"/>
      <c r="L425" s="44"/>
      <c r="M425" s="46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>
      <c r="A426" s="44"/>
      <c r="B426" s="44"/>
      <c r="C426" s="45"/>
      <c r="D426" s="44"/>
      <c r="E426" s="44"/>
      <c r="F426" s="44"/>
      <c r="G426" s="44"/>
      <c r="H426" s="44"/>
      <c r="I426" s="44"/>
      <c r="J426" s="44"/>
      <c r="K426" s="44"/>
      <c r="L426" s="44"/>
      <c r="M426" s="46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>
      <c r="A427" s="44"/>
      <c r="B427" s="44"/>
      <c r="C427" s="45"/>
      <c r="D427" s="44"/>
      <c r="E427" s="44"/>
      <c r="F427" s="44"/>
      <c r="G427" s="44"/>
      <c r="H427" s="44"/>
      <c r="I427" s="44"/>
      <c r="J427" s="44"/>
      <c r="K427" s="44"/>
      <c r="L427" s="44"/>
      <c r="M427" s="46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>
      <c r="A428" s="44"/>
      <c r="B428" s="44"/>
      <c r="C428" s="45"/>
      <c r="D428" s="44"/>
      <c r="E428" s="44"/>
      <c r="F428" s="44"/>
      <c r="G428" s="44"/>
      <c r="H428" s="44"/>
      <c r="I428" s="44"/>
      <c r="J428" s="44"/>
      <c r="K428" s="44"/>
      <c r="L428" s="44"/>
      <c r="M428" s="46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>
      <c r="A429" s="44"/>
      <c r="B429" s="44"/>
      <c r="C429" s="45"/>
      <c r="D429" s="44"/>
      <c r="E429" s="44"/>
      <c r="F429" s="44"/>
      <c r="G429" s="44"/>
      <c r="H429" s="44"/>
      <c r="I429" s="44"/>
      <c r="J429" s="44"/>
      <c r="K429" s="44"/>
      <c r="L429" s="44"/>
      <c r="M429" s="46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>
      <c r="A430" s="44"/>
      <c r="B430" s="44"/>
      <c r="C430" s="45"/>
      <c r="D430" s="44"/>
      <c r="E430" s="44"/>
      <c r="F430" s="44"/>
      <c r="G430" s="44"/>
      <c r="H430" s="44"/>
      <c r="I430" s="44"/>
      <c r="J430" s="44"/>
      <c r="K430" s="44"/>
      <c r="L430" s="44"/>
      <c r="M430" s="46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>
      <c r="A431" s="44"/>
      <c r="B431" s="44"/>
      <c r="C431" s="45"/>
      <c r="D431" s="44"/>
      <c r="E431" s="44"/>
      <c r="F431" s="44"/>
      <c r="G431" s="44"/>
      <c r="H431" s="44"/>
      <c r="I431" s="44"/>
      <c r="J431" s="44"/>
      <c r="K431" s="44"/>
      <c r="L431" s="44"/>
      <c r="M431" s="46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>
      <c r="A432" s="44"/>
      <c r="B432" s="44"/>
      <c r="C432" s="45"/>
      <c r="D432" s="44"/>
      <c r="E432" s="44"/>
      <c r="F432" s="44"/>
      <c r="G432" s="44"/>
      <c r="H432" s="44"/>
      <c r="I432" s="44"/>
      <c r="J432" s="44"/>
      <c r="K432" s="44"/>
      <c r="L432" s="44"/>
      <c r="M432" s="46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>
      <c r="A433" s="44"/>
      <c r="B433" s="44"/>
      <c r="C433" s="45"/>
      <c r="D433" s="44"/>
      <c r="E433" s="44"/>
      <c r="F433" s="44"/>
      <c r="G433" s="44"/>
      <c r="H433" s="44"/>
      <c r="I433" s="44"/>
      <c r="J433" s="44"/>
      <c r="K433" s="44"/>
      <c r="L433" s="44"/>
      <c r="M433" s="46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>
      <c r="A434" s="44"/>
      <c r="B434" s="44"/>
      <c r="C434" s="45"/>
      <c r="D434" s="44"/>
      <c r="E434" s="44"/>
      <c r="F434" s="44"/>
      <c r="G434" s="44"/>
      <c r="H434" s="44"/>
      <c r="I434" s="44"/>
      <c r="J434" s="44"/>
      <c r="K434" s="44"/>
      <c r="L434" s="44"/>
      <c r="M434" s="46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>
      <c r="A435" s="44"/>
      <c r="B435" s="44"/>
      <c r="C435" s="45"/>
      <c r="D435" s="44"/>
      <c r="E435" s="44"/>
      <c r="F435" s="44"/>
      <c r="G435" s="44"/>
      <c r="H435" s="44"/>
      <c r="I435" s="44"/>
      <c r="J435" s="44"/>
      <c r="K435" s="44"/>
      <c r="L435" s="44"/>
      <c r="M435" s="46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>
      <c r="A436" s="44"/>
      <c r="B436" s="44"/>
      <c r="C436" s="45"/>
      <c r="D436" s="44"/>
      <c r="E436" s="44"/>
      <c r="F436" s="44"/>
      <c r="G436" s="44"/>
      <c r="H436" s="44"/>
      <c r="I436" s="44"/>
      <c r="J436" s="44"/>
      <c r="K436" s="44"/>
      <c r="L436" s="44"/>
      <c r="M436" s="46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>
      <c r="A437" s="44"/>
      <c r="B437" s="44"/>
      <c r="C437" s="45"/>
      <c r="D437" s="44"/>
      <c r="E437" s="44"/>
      <c r="F437" s="44"/>
      <c r="G437" s="44"/>
      <c r="H437" s="44"/>
      <c r="I437" s="44"/>
      <c r="J437" s="44"/>
      <c r="K437" s="44"/>
      <c r="L437" s="44"/>
      <c r="M437" s="46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>
      <c r="A438" s="44"/>
      <c r="B438" s="44"/>
      <c r="C438" s="45"/>
      <c r="D438" s="44"/>
      <c r="E438" s="44"/>
      <c r="F438" s="44"/>
      <c r="G438" s="44"/>
      <c r="H438" s="44"/>
      <c r="I438" s="44"/>
      <c r="J438" s="44"/>
      <c r="K438" s="44"/>
      <c r="L438" s="44"/>
      <c r="M438" s="46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>
      <c r="A439" s="44"/>
      <c r="B439" s="44"/>
      <c r="C439" s="45"/>
      <c r="D439" s="44"/>
      <c r="E439" s="44"/>
      <c r="F439" s="44"/>
      <c r="G439" s="44"/>
      <c r="H439" s="44"/>
      <c r="I439" s="44"/>
      <c r="J439" s="44"/>
      <c r="K439" s="44"/>
      <c r="L439" s="44"/>
      <c r="M439" s="46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>
      <c r="A440" s="44"/>
      <c r="B440" s="44"/>
      <c r="C440" s="45"/>
      <c r="D440" s="44"/>
      <c r="E440" s="44"/>
      <c r="F440" s="44"/>
      <c r="G440" s="44"/>
      <c r="H440" s="44"/>
      <c r="I440" s="44"/>
      <c r="J440" s="44"/>
      <c r="K440" s="44"/>
      <c r="L440" s="44"/>
      <c r="M440" s="46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>
      <c r="A441" s="44"/>
      <c r="B441" s="44"/>
      <c r="C441" s="45"/>
      <c r="D441" s="44"/>
      <c r="E441" s="44"/>
      <c r="F441" s="44"/>
      <c r="G441" s="44"/>
      <c r="H441" s="44"/>
      <c r="I441" s="44"/>
      <c r="J441" s="44"/>
      <c r="K441" s="44"/>
      <c r="L441" s="44"/>
      <c r="M441" s="46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>
      <c r="A442" s="44"/>
      <c r="B442" s="44"/>
      <c r="C442" s="45"/>
      <c r="D442" s="44"/>
      <c r="E442" s="44"/>
      <c r="F442" s="44"/>
      <c r="G442" s="44"/>
      <c r="H442" s="44"/>
      <c r="I442" s="44"/>
      <c r="J442" s="44"/>
      <c r="K442" s="44"/>
      <c r="L442" s="44"/>
      <c r="M442" s="46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>
      <c r="A443" s="44"/>
      <c r="B443" s="44"/>
      <c r="C443" s="45"/>
      <c r="D443" s="44"/>
      <c r="E443" s="44"/>
      <c r="F443" s="44"/>
      <c r="G443" s="44"/>
      <c r="H443" s="44"/>
      <c r="I443" s="44"/>
      <c r="J443" s="44"/>
      <c r="K443" s="44"/>
      <c r="L443" s="44"/>
      <c r="M443" s="46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>
      <c r="A444" s="44"/>
      <c r="B444" s="44"/>
      <c r="C444" s="45"/>
      <c r="D444" s="44"/>
      <c r="E444" s="44"/>
      <c r="F444" s="44"/>
      <c r="G444" s="44"/>
      <c r="H444" s="44"/>
      <c r="I444" s="44"/>
      <c r="J444" s="44"/>
      <c r="K444" s="44"/>
      <c r="L444" s="44"/>
      <c r="M444" s="46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>
      <c r="A445" s="44"/>
      <c r="B445" s="44"/>
      <c r="C445" s="45"/>
      <c r="D445" s="44"/>
      <c r="E445" s="44"/>
      <c r="F445" s="44"/>
      <c r="G445" s="44"/>
      <c r="H445" s="44"/>
      <c r="I445" s="44"/>
      <c r="J445" s="44"/>
      <c r="K445" s="44"/>
      <c r="L445" s="44"/>
      <c r="M445" s="46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>
      <c r="A446" s="44"/>
      <c r="B446" s="44"/>
      <c r="C446" s="45"/>
      <c r="D446" s="44"/>
      <c r="E446" s="44"/>
      <c r="F446" s="44"/>
      <c r="G446" s="44"/>
      <c r="H446" s="44"/>
      <c r="I446" s="44"/>
      <c r="J446" s="44"/>
      <c r="K446" s="44"/>
      <c r="L446" s="44"/>
      <c r="M446" s="46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>
      <c r="A447" s="44"/>
      <c r="B447" s="44"/>
      <c r="C447" s="45"/>
      <c r="D447" s="44"/>
      <c r="E447" s="44"/>
      <c r="F447" s="44"/>
      <c r="G447" s="44"/>
      <c r="H447" s="44"/>
      <c r="I447" s="44"/>
      <c r="J447" s="44"/>
      <c r="K447" s="44"/>
      <c r="L447" s="44"/>
      <c r="M447" s="46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>
      <c r="A448" s="44"/>
      <c r="B448" s="44"/>
      <c r="C448" s="45"/>
      <c r="D448" s="44"/>
      <c r="E448" s="44"/>
      <c r="F448" s="44"/>
      <c r="G448" s="44"/>
      <c r="H448" s="44"/>
      <c r="I448" s="44"/>
      <c r="J448" s="44"/>
      <c r="K448" s="44"/>
      <c r="L448" s="44"/>
      <c r="M448" s="46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>
      <c r="A449" s="44"/>
      <c r="B449" s="44"/>
      <c r="C449" s="45"/>
      <c r="D449" s="44"/>
      <c r="E449" s="44"/>
      <c r="F449" s="44"/>
      <c r="G449" s="44"/>
      <c r="H449" s="44"/>
      <c r="I449" s="44"/>
      <c r="J449" s="44"/>
      <c r="K449" s="44"/>
      <c r="L449" s="44"/>
      <c r="M449" s="46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>
      <c r="A450" s="44"/>
      <c r="B450" s="44"/>
      <c r="C450" s="45"/>
      <c r="D450" s="44"/>
      <c r="E450" s="44"/>
      <c r="F450" s="44"/>
      <c r="G450" s="44"/>
      <c r="H450" s="44"/>
      <c r="I450" s="44"/>
      <c r="J450" s="44"/>
      <c r="K450" s="44"/>
      <c r="L450" s="44"/>
      <c r="M450" s="46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>
      <c r="A451" s="44"/>
      <c r="B451" s="44"/>
      <c r="C451" s="45"/>
      <c r="D451" s="44"/>
      <c r="E451" s="44"/>
      <c r="F451" s="44"/>
      <c r="G451" s="44"/>
      <c r="H451" s="44"/>
      <c r="I451" s="44"/>
      <c r="J451" s="44"/>
      <c r="K451" s="44"/>
      <c r="L451" s="44"/>
      <c r="M451" s="46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>
      <c r="A452" s="44"/>
      <c r="B452" s="44"/>
      <c r="C452" s="45"/>
      <c r="D452" s="44"/>
      <c r="E452" s="44"/>
      <c r="F452" s="44"/>
      <c r="G452" s="44"/>
      <c r="H452" s="44"/>
      <c r="I452" s="44"/>
      <c r="J452" s="44"/>
      <c r="K452" s="44"/>
      <c r="L452" s="44"/>
      <c r="M452" s="46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>
      <c r="A453" s="44"/>
      <c r="B453" s="44"/>
      <c r="C453" s="45"/>
      <c r="D453" s="44"/>
      <c r="E453" s="44"/>
      <c r="F453" s="44"/>
      <c r="G453" s="44"/>
      <c r="H453" s="44"/>
      <c r="I453" s="44"/>
      <c r="J453" s="44"/>
      <c r="K453" s="44"/>
      <c r="L453" s="44"/>
      <c r="M453" s="46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>
      <c r="A454" s="44"/>
      <c r="B454" s="44"/>
      <c r="C454" s="45"/>
      <c r="D454" s="44"/>
      <c r="E454" s="44"/>
      <c r="F454" s="44"/>
      <c r="G454" s="44"/>
      <c r="H454" s="44"/>
      <c r="I454" s="44"/>
      <c r="J454" s="44"/>
      <c r="K454" s="44"/>
      <c r="L454" s="44"/>
      <c r="M454" s="46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>
      <c r="A455" s="44"/>
      <c r="B455" s="44"/>
      <c r="C455" s="45"/>
      <c r="D455" s="44"/>
      <c r="E455" s="44"/>
      <c r="F455" s="44"/>
      <c r="G455" s="44"/>
      <c r="H455" s="44"/>
      <c r="I455" s="44"/>
      <c r="J455" s="44"/>
      <c r="K455" s="44"/>
      <c r="L455" s="44"/>
      <c r="M455" s="46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>
      <c r="A456" s="44"/>
      <c r="B456" s="44"/>
      <c r="C456" s="45"/>
      <c r="D456" s="44"/>
      <c r="E456" s="44"/>
      <c r="F456" s="44"/>
      <c r="G456" s="44"/>
      <c r="H456" s="44"/>
      <c r="I456" s="44"/>
      <c r="J456" s="44"/>
      <c r="K456" s="44"/>
      <c r="L456" s="44"/>
      <c r="M456" s="46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>
      <c r="A457" s="44"/>
      <c r="B457" s="44"/>
      <c r="C457" s="45"/>
      <c r="D457" s="44"/>
      <c r="E457" s="44"/>
      <c r="F457" s="44"/>
      <c r="G457" s="44"/>
      <c r="H457" s="44"/>
      <c r="I457" s="44"/>
      <c r="J457" s="44"/>
      <c r="K457" s="44"/>
      <c r="L457" s="44"/>
      <c r="M457" s="46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>
      <c r="A458" s="44"/>
      <c r="B458" s="44"/>
      <c r="C458" s="45"/>
      <c r="D458" s="44"/>
      <c r="E458" s="44"/>
      <c r="F458" s="44"/>
      <c r="G458" s="44"/>
      <c r="H458" s="44"/>
      <c r="I458" s="44"/>
      <c r="J458" s="44"/>
      <c r="K458" s="44"/>
      <c r="L458" s="44"/>
      <c r="M458" s="46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>
      <c r="A459" s="44"/>
      <c r="B459" s="44"/>
      <c r="C459" s="45"/>
      <c r="D459" s="44"/>
      <c r="E459" s="44"/>
      <c r="F459" s="44"/>
      <c r="G459" s="44"/>
      <c r="H459" s="44"/>
      <c r="I459" s="44"/>
      <c r="J459" s="44"/>
      <c r="K459" s="44"/>
      <c r="L459" s="44"/>
      <c r="M459" s="46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>
      <c r="A460" s="44"/>
      <c r="B460" s="44"/>
      <c r="C460" s="45"/>
      <c r="D460" s="44"/>
      <c r="E460" s="44"/>
      <c r="F460" s="44"/>
      <c r="G460" s="44"/>
      <c r="H460" s="44"/>
      <c r="I460" s="44"/>
      <c r="J460" s="44"/>
      <c r="K460" s="44"/>
      <c r="L460" s="44"/>
      <c r="M460" s="46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>
      <c r="A461" s="44"/>
      <c r="B461" s="44"/>
      <c r="C461" s="45"/>
      <c r="D461" s="44"/>
      <c r="E461" s="44"/>
      <c r="F461" s="44"/>
      <c r="G461" s="44"/>
      <c r="H461" s="44"/>
      <c r="I461" s="44"/>
      <c r="J461" s="44"/>
      <c r="K461" s="44"/>
      <c r="L461" s="44"/>
      <c r="M461" s="46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>
      <c r="A462" s="44"/>
      <c r="B462" s="44"/>
      <c r="C462" s="45"/>
      <c r="D462" s="44"/>
      <c r="E462" s="44"/>
      <c r="F462" s="44"/>
      <c r="G462" s="44"/>
      <c r="H462" s="44"/>
      <c r="I462" s="44"/>
      <c r="J462" s="44"/>
      <c r="K462" s="44"/>
      <c r="L462" s="44"/>
      <c r="M462" s="46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>
      <c r="A463" s="44"/>
      <c r="B463" s="44"/>
      <c r="C463" s="45"/>
      <c r="D463" s="44"/>
      <c r="E463" s="44"/>
      <c r="F463" s="44"/>
      <c r="G463" s="44"/>
      <c r="H463" s="44"/>
      <c r="I463" s="44"/>
      <c r="J463" s="44"/>
      <c r="K463" s="44"/>
      <c r="L463" s="44"/>
      <c r="M463" s="46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>
      <c r="A464" s="44"/>
      <c r="B464" s="44"/>
      <c r="C464" s="45"/>
      <c r="D464" s="44"/>
      <c r="E464" s="44"/>
      <c r="F464" s="44"/>
      <c r="G464" s="44"/>
      <c r="H464" s="44"/>
      <c r="I464" s="44"/>
      <c r="J464" s="44"/>
      <c r="K464" s="44"/>
      <c r="L464" s="44"/>
      <c r="M464" s="46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>
      <c r="A465" s="44"/>
      <c r="B465" s="44"/>
      <c r="C465" s="45"/>
      <c r="D465" s="44"/>
      <c r="E465" s="44"/>
      <c r="F465" s="44"/>
      <c r="G465" s="44"/>
      <c r="H465" s="44"/>
      <c r="I465" s="44"/>
      <c r="J465" s="44"/>
      <c r="K465" s="44"/>
      <c r="L465" s="44"/>
      <c r="M465" s="46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>
      <c r="A466" s="44"/>
      <c r="B466" s="44"/>
      <c r="C466" s="45"/>
      <c r="D466" s="44"/>
      <c r="E466" s="44"/>
      <c r="F466" s="44"/>
      <c r="G466" s="44"/>
      <c r="H466" s="44"/>
      <c r="I466" s="44"/>
      <c r="J466" s="44"/>
      <c r="K466" s="44"/>
      <c r="L466" s="44"/>
      <c r="M466" s="46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>
      <c r="A467" s="44"/>
      <c r="B467" s="44"/>
      <c r="C467" s="45"/>
      <c r="D467" s="44"/>
      <c r="E467" s="44"/>
      <c r="F467" s="44"/>
      <c r="G467" s="44"/>
      <c r="H467" s="44"/>
      <c r="I467" s="44"/>
      <c r="J467" s="44"/>
      <c r="K467" s="44"/>
      <c r="L467" s="44"/>
      <c r="M467" s="46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>
      <c r="A468" s="44"/>
      <c r="B468" s="44"/>
      <c r="C468" s="45"/>
      <c r="D468" s="44"/>
      <c r="E468" s="44"/>
      <c r="F468" s="44"/>
      <c r="G468" s="44"/>
      <c r="H468" s="44"/>
      <c r="I468" s="44"/>
      <c r="J468" s="44"/>
      <c r="K468" s="44"/>
      <c r="L468" s="44"/>
      <c r="M468" s="46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>
      <c r="A469" s="44"/>
      <c r="B469" s="44"/>
      <c r="C469" s="45"/>
      <c r="D469" s="44"/>
      <c r="E469" s="44"/>
      <c r="F469" s="44"/>
      <c r="G469" s="44"/>
      <c r="H469" s="44"/>
      <c r="I469" s="44"/>
      <c r="J469" s="44"/>
      <c r="K469" s="44"/>
      <c r="L469" s="44"/>
      <c r="M469" s="46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>
      <c r="A470" s="44"/>
      <c r="B470" s="44"/>
      <c r="C470" s="45"/>
      <c r="D470" s="44"/>
      <c r="E470" s="44"/>
      <c r="F470" s="44"/>
      <c r="G470" s="44"/>
      <c r="H470" s="44"/>
      <c r="I470" s="44"/>
      <c r="J470" s="44"/>
      <c r="K470" s="44"/>
      <c r="L470" s="44"/>
      <c r="M470" s="46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>
      <c r="A471" s="44"/>
      <c r="B471" s="44"/>
      <c r="C471" s="45"/>
      <c r="D471" s="44"/>
      <c r="E471" s="44"/>
      <c r="F471" s="44"/>
      <c r="G471" s="44"/>
      <c r="H471" s="44"/>
      <c r="I471" s="44"/>
      <c r="J471" s="44"/>
      <c r="K471" s="44"/>
      <c r="L471" s="44"/>
      <c r="M471" s="46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>
      <c r="A472" s="44"/>
      <c r="B472" s="44"/>
      <c r="C472" s="45"/>
      <c r="D472" s="44"/>
      <c r="E472" s="44"/>
      <c r="F472" s="44"/>
      <c r="G472" s="44"/>
      <c r="H472" s="44"/>
      <c r="I472" s="44"/>
      <c r="J472" s="44"/>
      <c r="K472" s="44"/>
      <c r="L472" s="44"/>
      <c r="M472" s="46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>
      <c r="A473" s="44"/>
      <c r="B473" s="44"/>
      <c r="C473" s="45"/>
      <c r="D473" s="44"/>
      <c r="E473" s="44"/>
      <c r="F473" s="44"/>
      <c r="G473" s="44"/>
      <c r="H473" s="44"/>
      <c r="I473" s="44"/>
      <c r="J473" s="44"/>
      <c r="K473" s="44"/>
      <c r="L473" s="44"/>
      <c r="M473" s="46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>
      <c r="A474" s="44"/>
      <c r="B474" s="44"/>
      <c r="C474" s="45"/>
      <c r="D474" s="44"/>
      <c r="E474" s="44"/>
      <c r="F474" s="44"/>
      <c r="G474" s="44"/>
      <c r="H474" s="44"/>
      <c r="I474" s="44"/>
      <c r="J474" s="44"/>
      <c r="K474" s="44"/>
      <c r="L474" s="44"/>
      <c r="M474" s="46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>
      <c r="A475" s="44"/>
      <c r="B475" s="44"/>
      <c r="C475" s="45"/>
      <c r="D475" s="44"/>
      <c r="E475" s="44"/>
      <c r="F475" s="44"/>
      <c r="G475" s="44"/>
      <c r="H475" s="44"/>
      <c r="I475" s="44"/>
      <c r="J475" s="44"/>
      <c r="K475" s="44"/>
      <c r="L475" s="44"/>
      <c r="M475" s="46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>
      <c r="A476" s="44"/>
      <c r="B476" s="44"/>
      <c r="C476" s="45"/>
      <c r="D476" s="44"/>
      <c r="E476" s="44"/>
      <c r="F476" s="44"/>
      <c r="G476" s="44"/>
      <c r="H476" s="44"/>
      <c r="I476" s="44"/>
      <c r="J476" s="44"/>
      <c r="K476" s="44"/>
      <c r="L476" s="44"/>
      <c r="M476" s="46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>
      <c r="A477" s="44"/>
      <c r="B477" s="44"/>
      <c r="C477" s="45"/>
      <c r="D477" s="44"/>
      <c r="E477" s="44"/>
      <c r="F477" s="44"/>
      <c r="G477" s="44"/>
      <c r="H477" s="44"/>
      <c r="I477" s="44"/>
      <c r="J477" s="44"/>
      <c r="K477" s="44"/>
      <c r="L477" s="44"/>
      <c r="M477" s="46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>
      <c r="A478" s="44"/>
      <c r="B478" s="44"/>
      <c r="C478" s="45"/>
      <c r="D478" s="44"/>
      <c r="E478" s="44"/>
      <c r="F478" s="44"/>
      <c r="G478" s="44"/>
      <c r="H478" s="44"/>
      <c r="I478" s="44"/>
      <c r="J478" s="44"/>
      <c r="K478" s="44"/>
      <c r="L478" s="44"/>
      <c r="M478" s="46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>
      <c r="A479" s="44"/>
      <c r="B479" s="44"/>
      <c r="C479" s="45"/>
      <c r="D479" s="44"/>
      <c r="E479" s="44"/>
      <c r="F479" s="44"/>
      <c r="G479" s="44"/>
      <c r="H479" s="44"/>
      <c r="I479" s="44"/>
      <c r="J479" s="44"/>
      <c r="K479" s="44"/>
      <c r="L479" s="44"/>
      <c r="M479" s="46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>
      <c r="A480" s="44"/>
      <c r="B480" s="44"/>
      <c r="C480" s="45"/>
      <c r="D480" s="44"/>
      <c r="E480" s="44"/>
      <c r="F480" s="44"/>
      <c r="G480" s="44"/>
      <c r="H480" s="44"/>
      <c r="I480" s="44"/>
      <c r="J480" s="44"/>
      <c r="K480" s="44"/>
      <c r="L480" s="44"/>
      <c r="M480" s="46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>
      <c r="A481" s="44"/>
      <c r="B481" s="44"/>
      <c r="C481" s="45"/>
      <c r="D481" s="44"/>
      <c r="E481" s="44"/>
      <c r="F481" s="44"/>
      <c r="G481" s="44"/>
      <c r="H481" s="44"/>
      <c r="I481" s="44"/>
      <c r="J481" s="44"/>
      <c r="K481" s="44"/>
      <c r="L481" s="44"/>
      <c r="M481" s="46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>
      <c r="A482" s="44"/>
      <c r="B482" s="44"/>
      <c r="C482" s="45"/>
      <c r="D482" s="44"/>
      <c r="E482" s="44"/>
      <c r="F482" s="44"/>
      <c r="G482" s="44"/>
      <c r="H482" s="44"/>
      <c r="I482" s="44"/>
      <c r="J482" s="44"/>
      <c r="K482" s="44"/>
      <c r="L482" s="44"/>
      <c r="M482" s="46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>
      <c r="A483" s="44"/>
      <c r="B483" s="44"/>
      <c r="C483" s="45"/>
      <c r="D483" s="44"/>
      <c r="E483" s="44"/>
      <c r="F483" s="44"/>
      <c r="G483" s="44"/>
      <c r="H483" s="44"/>
      <c r="I483" s="44"/>
      <c r="J483" s="44"/>
      <c r="K483" s="44"/>
      <c r="L483" s="44"/>
      <c r="M483" s="46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>
      <c r="A484" s="44"/>
      <c r="B484" s="44"/>
      <c r="C484" s="45"/>
      <c r="D484" s="44"/>
      <c r="E484" s="44"/>
      <c r="F484" s="44"/>
      <c r="G484" s="44"/>
      <c r="H484" s="44"/>
      <c r="I484" s="44"/>
      <c r="J484" s="44"/>
      <c r="K484" s="44"/>
      <c r="L484" s="44"/>
      <c r="M484" s="46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>
      <c r="A485" s="44"/>
      <c r="B485" s="44"/>
      <c r="C485" s="45"/>
      <c r="D485" s="44"/>
      <c r="E485" s="44"/>
      <c r="F485" s="44"/>
      <c r="G485" s="44"/>
      <c r="H485" s="44"/>
      <c r="I485" s="44"/>
      <c r="J485" s="44"/>
      <c r="K485" s="44"/>
      <c r="L485" s="44"/>
      <c r="M485" s="46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>
      <c r="A486" s="44"/>
      <c r="B486" s="44"/>
      <c r="C486" s="45"/>
      <c r="D486" s="44"/>
      <c r="E486" s="44"/>
      <c r="F486" s="44"/>
      <c r="G486" s="44"/>
      <c r="H486" s="44"/>
      <c r="I486" s="44"/>
      <c r="J486" s="44"/>
      <c r="K486" s="44"/>
      <c r="L486" s="44"/>
      <c r="M486" s="46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>
      <c r="A487" s="44"/>
      <c r="B487" s="44"/>
      <c r="C487" s="45"/>
      <c r="D487" s="44"/>
      <c r="E487" s="44"/>
      <c r="F487" s="44"/>
      <c r="G487" s="44"/>
      <c r="H487" s="44"/>
      <c r="I487" s="44"/>
      <c r="J487" s="44"/>
      <c r="K487" s="44"/>
      <c r="L487" s="44"/>
      <c r="M487" s="46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>
      <c r="A488" s="44"/>
      <c r="B488" s="44"/>
      <c r="C488" s="45"/>
      <c r="D488" s="44"/>
      <c r="E488" s="44"/>
      <c r="F488" s="44"/>
      <c r="G488" s="44"/>
      <c r="H488" s="44"/>
      <c r="I488" s="44"/>
      <c r="J488" s="44"/>
      <c r="K488" s="44"/>
      <c r="L488" s="44"/>
      <c r="M488" s="46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>
      <c r="A489" s="44"/>
      <c r="B489" s="44"/>
      <c r="C489" s="45"/>
      <c r="D489" s="44"/>
      <c r="E489" s="44"/>
      <c r="F489" s="44"/>
      <c r="G489" s="44"/>
      <c r="H489" s="44"/>
      <c r="I489" s="44"/>
      <c r="J489" s="44"/>
      <c r="K489" s="44"/>
      <c r="L489" s="44"/>
      <c r="M489" s="46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>
      <c r="A490" s="44"/>
      <c r="B490" s="44"/>
      <c r="C490" s="45"/>
      <c r="D490" s="44"/>
      <c r="E490" s="44"/>
      <c r="F490" s="44"/>
      <c r="G490" s="44"/>
      <c r="H490" s="44"/>
      <c r="I490" s="44"/>
      <c r="J490" s="44"/>
      <c r="K490" s="44"/>
      <c r="L490" s="44"/>
      <c r="M490" s="46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>
      <c r="A491" s="44"/>
      <c r="B491" s="44"/>
      <c r="C491" s="45"/>
      <c r="D491" s="44"/>
      <c r="E491" s="44"/>
      <c r="F491" s="44"/>
      <c r="G491" s="44"/>
      <c r="H491" s="44"/>
      <c r="I491" s="44"/>
      <c r="J491" s="44"/>
      <c r="K491" s="44"/>
      <c r="L491" s="44"/>
      <c r="M491" s="46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>
      <c r="A492" s="44"/>
      <c r="B492" s="44"/>
      <c r="C492" s="45"/>
      <c r="D492" s="44"/>
      <c r="E492" s="44"/>
      <c r="F492" s="44"/>
      <c r="G492" s="44"/>
      <c r="H492" s="44"/>
      <c r="I492" s="44"/>
      <c r="J492" s="44"/>
      <c r="K492" s="44"/>
      <c r="L492" s="44"/>
      <c r="M492" s="46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>
      <c r="A493" s="44"/>
      <c r="B493" s="44"/>
      <c r="C493" s="45"/>
      <c r="D493" s="44"/>
      <c r="E493" s="44"/>
      <c r="F493" s="44"/>
      <c r="G493" s="44"/>
      <c r="H493" s="44"/>
      <c r="I493" s="44"/>
      <c r="J493" s="44"/>
      <c r="K493" s="44"/>
      <c r="L493" s="44"/>
      <c r="M493" s="46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>
      <c r="A494" s="44"/>
      <c r="B494" s="44"/>
      <c r="C494" s="45"/>
      <c r="D494" s="44"/>
      <c r="E494" s="44"/>
      <c r="F494" s="44"/>
      <c r="G494" s="44"/>
      <c r="H494" s="44"/>
      <c r="I494" s="44"/>
      <c r="J494" s="44"/>
      <c r="K494" s="44"/>
      <c r="L494" s="44"/>
      <c r="M494" s="46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>
      <c r="A495" s="44"/>
      <c r="B495" s="44"/>
      <c r="C495" s="45"/>
      <c r="D495" s="44"/>
      <c r="E495" s="44"/>
      <c r="F495" s="44"/>
      <c r="G495" s="44"/>
      <c r="H495" s="44"/>
      <c r="I495" s="44"/>
      <c r="J495" s="44"/>
      <c r="K495" s="44"/>
      <c r="L495" s="44"/>
      <c r="M495" s="46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>
      <c r="A496" s="44"/>
      <c r="B496" s="44"/>
      <c r="C496" s="45"/>
      <c r="D496" s="44"/>
      <c r="E496" s="44"/>
      <c r="F496" s="44"/>
      <c r="G496" s="44"/>
      <c r="H496" s="44"/>
      <c r="I496" s="44"/>
      <c r="J496" s="44"/>
      <c r="K496" s="44"/>
      <c r="L496" s="44"/>
      <c r="M496" s="46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>
      <c r="A497" s="44"/>
      <c r="B497" s="44"/>
      <c r="C497" s="45"/>
      <c r="D497" s="44"/>
      <c r="E497" s="44"/>
      <c r="F497" s="44"/>
      <c r="G497" s="44"/>
      <c r="H497" s="44"/>
      <c r="I497" s="44"/>
      <c r="J497" s="44"/>
      <c r="K497" s="44"/>
      <c r="L497" s="44"/>
      <c r="M497" s="46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>
      <c r="A498" s="44"/>
      <c r="B498" s="44"/>
      <c r="C498" s="45"/>
      <c r="D498" s="44"/>
      <c r="E498" s="44"/>
      <c r="F498" s="44"/>
      <c r="G498" s="44"/>
      <c r="H498" s="44"/>
      <c r="I498" s="44"/>
      <c r="J498" s="44"/>
      <c r="K498" s="44"/>
      <c r="L498" s="44"/>
      <c r="M498" s="46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>
      <c r="A499" s="44"/>
      <c r="B499" s="44"/>
      <c r="C499" s="45"/>
      <c r="D499" s="44"/>
      <c r="E499" s="44"/>
      <c r="F499" s="44"/>
      <c r="G499" s="44"/>
      <c r="H499" s="44"/>
      <c r="I499" s="44"/>
      <c r="J499" s="44"/>
      <c r="K499" s="44"/>
      <c r="L499" s="44"/>
      <c r="M499" s="46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>
      <c r="A500" s="44"/>
      <c r="B500" s="44"/>
      <c r="C500" s="45"/>
      <c r="D500" s="44"/>
      <c r="E500" s="44"/>
      <c r="F500" s="44"/>
      <c r="G500" s="44"/>
      <c r="H500" s="44"/>
      <c r="I500" s="44"/>
      <c r="J500" s="44"/>
      <c r="K500" s="44"/>
      <c r="L500" s="44"/>
      <c r="M500" s="46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>
      <c r="A501" s="44"/>
      <c r="B501" s="44"/>
      <c r="C501" s="45"/>
      <c r="D501" s="44"/>
      <c r="E501" s="44"/>
      <c r="F501" s="44"/>
      <c r="G501" s="44"/>
      <c r="H501" s="44"/>
      <c r="I501" s="44"/>
      <c r="J501" s="44"/>
      <c r="K501" s="44"/>
      <c r="L501" s="44"/>
      <c r="M501" s="46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>
      <c r="A502" s="44"/>
      <c r="B502" s="44"/>
      <c r="C502" s="45"/>
      <c r="D502" s="44"/>
      <c r="E502" s="44"/>
      <c r="F502" s="44"/>
      <c r="G502" s="44"/>
      <c r="H502" s="44"/>
      <c r="I502" s="44"/>
      <c r="J502" s="44"/>
      <c r="K502" s="44"/>
      <c r="L502" s="44"/>
      <c r="M502" s="46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>
      <c r="A503" s="44"/>
      <c r="B503" s="44"/>
      <c r="C503" s="45"/>
      <c r="D503" s="44"/>
      <c r="E503" s="44"/>
      <c r="F503" s="44"/>
      <c r="G503" s="44"/>
      <c r="H503" s="44"/>
      <c r="I503" s="44"/>
      <c r="J503" s="44"/>
      <c r="K503" s="44"/>
      <c r="L503" s="44"/>
      <c r="M503" s="46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>
      <c r="A504" s="44"/>
      <c r="B504" s="44"/>
      <c r="C504" s="45"/>
      <c r="D504" s="44"/>
      <c r="E504" s="44"/>
      <c r="F504" s="44"/>
      <c r="G504" s="44"/>
      <c r="H504" s="44"/>
      <c r="I504" s="44"/>
      <c r="J504" s="44"/>
      <c r="K504" s="44"/>
      <c r="L504" s="44"/>
      <c r="M504" s="46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>
      <c r="A505" s="44"/>
      <c r="B505" s="44"/>
      <c r="C505" s="45"/>
      <c r="D505" s="44"/>
      <c r="E505" s="44"/>
      <c r="F505" s="44"/>
      <c r="G505" s="44"/>
      <c r="H505" s="44"/>
      <c r="I505" s="44"/>
      <c r="J505" s="44"/>
      <c r="K505" s="44"/>
      <c r="L505" s="44"/>
      <c r="M505" s="46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>
      <c r="A506" s="44"/>
      <c r="B506" s="44"/>
      <c r="C506" s="45"/>
      <c r="D506" s="44"/>
      <c r="E506" s="44"/>
      <c r="F506" s="44"/>
      <c r="G506" s="44"/>
      <c r="H506" s="44"/>
      <c r="I506" s="44"/>
      <c r="J506" s="44"/>
      <c r="K506" s="44"/>
      <c r="L506" s="44"/>
      <c r="M506" s="46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>
      <c r="A507" s="44"/>
      <c r="B507" s="44"/>
      <c r="C507" s="45"/>
      <c r="D507" s="44"/>
      <c r="E507" s="44"/>
      <c r="F507" s="44"/>
      <c r="G507" s="44"/>
      <c r="H507" s="44"/>
      <c r="I507" s="44"/>
      <c r="J507" s="44"/>
      <c r="K507" s="44"/>
      <c r="L507" s="44"/>
      <c r="M507" s="46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>
      <c r="A508" s="44"/>
      <c r="B508" s="44"/>
      <c r="C508" s="45"/>
      <c r="D508" s="44"/>
      <c r="E508" s="44"/>
      <c r="F508" s="44"/>
      <c r="G508" s="44"/>
      <c r="H508" s="44"/>
      <c r="I508" s="44"/>
      <c r="J508" s="44"/>
      <c r="K508" s="44"/>
      <c r="L508" s="44"/>
      <c r="M508" s="46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>
      <c r="A509" s="44"/>
      <c r="B509" s="44"/>
      <c r="C509" s="45"/>
      <c r="D509" s="44"/>
      <c r="E509" s="44"/>
      <c r="F509" s="44"/>
      <c r="G509" s="44"/>
      <c r="H509" s="44"/>
      <c r="I509" s="44"/>
      <c r="J509" s="44"/>
      <c r="K509" s="44"/>
      <c r="L509" s="44"/>
      <c r="M509" s="46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>
      <c r="A510" s="44"/>
      <c r="B510" s="44"/>
      <c r="C510" s="45"/>
      <c r="D510" s="44"/>
      <c r="E510" s="44"/>
      <c r="F510" s="44"/>
      <c r="G510" s="44"/>
      <c r="H510" s="44"/>
      <c r="I510" s="44"/>
      <c r="J510" s="44"/>
      <c r="K510" s="44"/>
      <c r="L510" s="44"/>
      <c r="M510" s="46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>
      <c r="A511" s="44"/>
      <c r="B511" s="44"/>
      <c r="C511" s="45"/>
      <c r="D511" s="44"/>
      <c r="E511" s="44"/>
      <c r="F511" s="44"/>
      <c r="G511" s="44"/>
      <c r="H511" s="44"/>
      <c r="I511" s="44"/>
      <c r="J511" s="44"/>
      <c r="K511" s="44"/>
      <c r="L511" s="44"/>
      <c r="M511" s="46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>
      <c r="A512" s="44"/>
      <c r="B512" s="44"/>
      <c r="C512" s="45"/>
      <c r="D512" s="44"/>
      <c r="E512" s="44"/>
      <c r="F512" s="44"/>
      <c r="G512" s="44"/>
      <c r="H512" s="44"/>
      <c r="I512" s="44"/>
      <c r="J512" s="44"/>
      <c r="K512" s="44"/>
      <c r="L512" s="44"/>
      <c r="M512" s="46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>
      <c r="A513" s="44"/>
      <c r="B513" s="44"/>
      <c r="C513" s="45"/>
      <c r="D513" s="44"/>
      <c r="E513" s="44"/>
      <c r="F513" s="44"/>
      <c r="G513" s="44"/>
      <c r="H513" s="44"/>
      <c r="I513" s="44"/>
      <c r="J513" s="44"/>
      <c r="K513" s="44"/>
      <c r="L513" s="44"/>
      <c r="M513" s="46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>
      <c r="A514" s="44"/>
      <c r="B514" s="44"/>
      <c r="C514" s="45"/>
      <c r="D514" s="44"/>
      <c r="E514" s="44"/>
      <c r="F514" s="44"/>
      <c r="G514" s="44"/>
      <c r="H514" s="44"/>
      <c r="I514" s="44"/>
      <c r="J514" s="44"/>
      <c r="K514" s="44"/>
      <c r="L514" s="44"/>
      <c r="M514" s="46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>
      <c r="A515" s="44"/>
      <c r="B515" s="44"/>
      <c r="C515" s="45"/>
      <c r="D515" s="44"/>
      <c r="E515" s="44"/>
      <c r="F515" s="44"/>
      <c r="G515" s="44"/>
      <c r="H515" s="44"/>
      <c r="I515" s="44"/>
      <c r="J515" s="44"/>
      <c r="K515" s="44"/>
      <c r="L515" s="44"/>
      <c r="M515" s="46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>
      <c r="A516" s="44"/>
      <c r="B516" s="44"/>
      <c r="C516" s="45"/>
      <c r="D516" s="44"/>
      <c r="E516" s="44"/>
      <c r="F516" s="44"/>
      <c r="G516" s="44"/>
      <c r="H516" s="44"/>
      <c r="I516" s="44"/>
      <c r="J516" s="44"/>
      <c r="K516" s="44"/>
      <c r="L516" s="44"/>
      <c r="M516" s="46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>
      <c r="A517" s="44"/>
      <c r="B517" s="44"/>
      <c r="C517" s="45"/>
      <c r="D517" s="44"/>
      <c r="E517" s="44"/>
      <c r="F517" s="44"/>
      <c r="G517" s="44"/>
      <c r="H517" s="44"/>
      <c r="I517" s="44"/>
      <c r="J517" s="44"/>
      <c r="K517" s="44"/>
      <c r="L517" s="44"/>
      <c r="M517" s="46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>
      <c r="A518" s="44"/>
      <c r="B518" s="44"/>
      <c r="C518" s="45"/>
      <c r="D518" s="44"/>
      <c r="E518" s="44"/>
      <c r="F518" s="44"/>
      <c r="G518" s="44"/>
      <c r="H518" s="44"/>
      <c r="I518" s="44"/>
      <c r="J518" s="44"/>
      <c r="K518" s="44"/>
      <c r="L518" s="44"/>
      <c r="M518" s="46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>
      <c r="A519" s="44"/>
      <c r="B519" s="44"/>
      <c r="C519" s="45"/>
      <c r="D519" s="44"/>
      <c r="E519" s="44"/>
      <c r="F519" s="44"/>
      <c r="G519" s="44"/>
      <c r="H519" s="44"/>
      <c r="I519" s="44"/>
      <c r="J519" s="44"/>
      <c r="K519" s="44"/>
      <c r="L519" s="44"/>
      <c r="M519" s="46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>
      <c r="A520" s="44"/>
      <c r="B520" s="44"/>
      <c r="C520" s="45"/>
      <c r="D520" s="44"/>
      <c r="E520" s="44"/>
      <c r="F520" s="44"/>
      <c r="G520" s="44"/>
      <c r="H520" s="44"/>
      <c r="I520" s="44"/>
      <c r="J520" s="44"/>
      <c r="K520" s="44"/>
      <c r="L520" s="44"/>
      <c r="M520" s="46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>
      <c r="A521" s="44"/>
      <c r="B521" s="44"/>
      <c r="C521" s="45"/>
      <c r="D521" s="44"/>
      <c r="E521" s="44"/>
      <c r="F521" s="44"/>
      <c r="G521" s="44"/>
      <c r="H521" s="44"/>
      <c r="I521" s="44"/>
      <c r="J521" s="44"/>
      <c r="K521" s="44"/>
      <c r="L521" s="44"/>
      <c r="M521" s="46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>
      <c r="A522" s="44"/>
      <c r="B522" s="44"/>
      <c r="C522" s="45"/>
      <c r="D522" s="44"/>
      <c r="E522" s="44"/>
      <c r="F522" s="44"/>
      <c r="G522" s="44"/>
      <c r="H522" s="44"/>
      <c r="I522" s="44"/>
      <c r="J522" s="44"/>
      <c r="K522" s="44"/>
      <c r="L522" s="44"/>
      <c r="M522" s="46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>
      <c r="A523" s="44"/>
      <c r="B523" s="44"/>
      <c r="C523" s="45"/>
      <c r="D523" s="44"/>
      <c r="E523" s="44"/>
      <c r="F523" s="44"/>
      <c r="G523" s="44"/>
      <c r="H523" s="44"/>
      <c r="I523" s="44"/>
      <c r="J523" s="44"/>
      <c r="K523" s="44"/>
      <c r="L523" s="44"/>
      <c r="M523" s="46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>
      <c r="A524" s="44"/>
      <c r="B524" s="44"/>
      <c r="C524" s="45"/>
      <c r="D524" s="44"/>
      <c r="E524" s="44"/>
      <c r="F524" s="44"/>
      <c r="G524" s="44"/>
      <c r="H524" s="44"/>
      <c r="I524" s="44"/>
      <c r="J524" s="44"/>
      <c r="K524" s="44"/>
      <c r="L524" s="44"/>
      <c r="M524" s="46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>
      <c r="A525" s="44"/>
      <c r="B525" s="44"/>
      <c r="C525" s="45"/>
      <c r="D525" s="44"/>
      <c r="E525" s="44"/>
      <c r="F525" s="44"/>
      <c r="G525" s="44"/>
      <c r="H525" s="44"/>
      <c r="I525" s="44"/>
      <c r="J525" s="44"/>
      <c r="K525" s="44"/>
      <c r="L525" s="44"/>
      <c r="M525" s="46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>
      <c r="A526" s="44"/>
      <c r="B526" s="44"/>
      <c r="C526" s="45"/>
      <c r="D526" s="44"/>
      <c r="E526" s="44"/>
      <c r="F526" s="44"/>
      <c r="G526" s="44"/>
      <c r="H526" s="44"/>
      <c r="I526" s="44"/>
      <c r="J526" s="44"/>
      <c r="K526" s="44"/>
      <c r="L526" s="44"/>
      <c r="M526" s="46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>
      <c r="A527" s="44"/>
      <c r="B527" s="44"/>
      <c r="C527" s="45"/>
      <c r="D527" s="44"/>
      <c r="E527" s="44"/>
      <c r="F527" s="44"/>
      <c r="G527" s="44"/>
      <c r="H527" s="44"/>
      <c r="I527" s="44"/>
      <c r="J527" s="44"/>
      <c r="K527" s="44"/>
      <c r="L527" s="44"/>
      <c r="M527" s="46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>
      <c r="A528" s="44"/>
      <c r="B528" s="44"/>
      <c r="C528" s="45"/>
      <c r="D528" s="44"/>
      <c r="E528" s="44"/>
      <c r="F528" s="44"/>
      <c r="G528" s="44"/>
      <c r="H528" s="44"/>
      <c r="I528" s="44"/>
      <c r="J528" s="44"/>
      <c r="K528" s="44"/>
      <c r="L528" s="44"/>
      <c r="M528" s="46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>
      <c r="A529" s="44"/>
      <c r="B529" s="44"/>
      <c r="C529" s="45"/>
      <c r="D529" s="44"/>
      <c r="E529" s="44"/>
      <c r="F529" s="44"/>
      <c r="G529" s="44"/>
      <c r="H529" s="44"/>
      <c r="I529" s="44"/>
      <c r="J529" s="44"/>
      <c r="K529" s="44"/>
      <c r="L529" s="44"/>
      <c r="M529" s="46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>
      <c r="A530" s="44"/>
      <c r="B530" s="44"/>
      <c r="C530" s="45"/>
      <c r="D530" s="44"/>
      <c r="E530" s="44"/>
      <c r="F530" s="44"/>
      <c r="G530" s="44"/>
      <c r="H530" s="44"/>
      <c r="I530" s="44"/>
      <c r="J530" s="44"/>
      <c r="K530" s="44"/>
      <c r="L530" s="44"/>
      <c r="M530" s="46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>
      <c r="A531" s="44"/>
      <c r="B531" s="44"/>
      <c r="C531" s="45"/>
      <c r="D531" s="44"/>
      <c r="E531" s="44"/>
      <c r="F531" s="44"/>
      <c r="G531" s="44"/>
      <c r="H531" s="44"/>
      <c r="I531" s="44"/>
      <c r="J531" s="44"/>
      <c r="K531" s="44"/>
      <c r="L531" s="44"/>
      <c r="M531" s="46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>
      <c r="A532" s="44"/>
      <c r="B532" s="44"/>
      <c r="C532" s="45"/>
      <c r="D532" s="44"/>
      <c r="E532" s="44"/>
      <c r="F532" s="44"/>
      <c r="G532" s="44"/>
      <c r="H532" s="44"/>
      <c r="I532" s="44"/>
      <c r="J532" s="44"/>
      <c r="K532" s="44"/>
      <c r="L532" s="44"/>
      <c r="M532" s="46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>
      <c r="A533" s="44"/>
      <c r="B533" s="44"/>
      <c r="C533" s="45"/>
      <c r="D533" s="44"/>
      <c r="E533" s="44"/>
      <c r="F533" s="44"/>
      <c r="G533" s="44"/>
      <c r="H533" s="44"/>
      <c r="I533" s="44"/>
      <c r="J533" s="44"/>
      <c r="K533" s="44"/>
      <c r="L533" s="44"/>
      <c r="M533" s="46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>
      <c r="A534" s="44"/>
      <c r="B534" s="44"/>
      <c r="C534" s="45"/>
      <c r="D534" s="44"/>
      <c r="E534" s="44"/>
      <c r="F534" s="44"/>
      <c r="G534" s="44"/>
      <c r="H534" s="44"/>
      <c r="I534" s="44"/>
      <c r="J534" s="44"/>
      <c r="K534" s="44"/>
      <c r="L534" s="44"/>
      <c r="M534" s="46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>
      <c r="A535" s="44"/>
      <c r="B535" s="44"/>
      <c r="C535" s="45"/>
      <c r="D535" s="44"/>
      <c r="E535" s="44"/>
      <c r="F535" s="44"/>
      <c r="G535" s="44"/>
      <c r="H535" s="44"/>
      <c r="I535" s="44"/>
      <c r="J535" s="44"/>
      <c r="K535" s="44"/>
      <c r="L535" s="44"/>
      <c r="M535" s="46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>
      <c r="A536" s="44"/>
      <c r="B536" s="44"/>
      <c r="C536" s="45"/>
      <c r="D536" s="44"/>
      <c r="E536" s="44"/>
      <c r="F536" s="44"/>
      <c r="G536" s="44"/>
      <c r="H536" s="44"/>
      <c r="I536" s="44"/>
      <c r="J536" s="44"/>
      <c r="K536" s="44"/>
      <c r="L536" s="44"/>
      <c r="M536" s="46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>
      <c r="A537" s="44"/>
      <c r="B537" s="44"/>
      <c r="C537" s="45"/>
      <c r="D537" s="44"/>
      <c r="E537" s="44"/>
      <c r="F537" s="44"/>
      <c r="G537" s="44"/>
      <c r="H537" s="44"/>
      <c r="I537" s="44"/>
      <c r="J537" s="44"/>
      <c r="K537" s="44"/>
      <c r="L537" s="44"/>
      <c r="M537" s="46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>
      <c r="A538" s="44"/>
      <c r="B538" s="44"/>
      <c r="C538" s="45"/>
      <c r="D538" s="44"/>
      <c r="E538" s="44"/>
      <c r="F538" s="44"/>
      <c r="G538" s="44"/>
      <c r="H538" s="44"/>
      <c r="I538" s="44"/>
      <c r="J538" s="44"/>
      <c r="K538" s="44"/>
      <c r="L538" s="44"/>
      <c r="M538" s="46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>
      <c r="A539" s="44"/>
      <c r="B539" s="44"/>
      <c r="C539" s="45"/>
      <c r="D539" s="44"/>
      <c r="E539" s="44"/>
      <c r="F539" s="44"/>
      <c r="G539" s="44"/>
      <c r="H539" s="44"/>
      <c r="I539" s="44"/>
      <c r="J539" s="44"/>
      <c r="K539" s="44"/>
      <c r="L539" s="44"/>
      <c r="M539" s="46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>
      <c r="A540" s="44"/>
      <c r="B540" s="44"/>
      <c r="C540" s="45"/>
      <c r="D540" s="44"/>
      <c r="E540" s="44"/>
      <c r="F540" s="44"/>
      <c r="G540" s="44"/>
      <c r="H540" s="44"/>
      <c r="I540" s="44"/>
      <c r="J540" s="44"/>
      <c r="K540" s="44"/>
      <c r="L540" s="44"/>
      <c r="M540" s="46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>
      <c r="A541" s="44"/>
      <c r="B541" s="44"/>
      <c r="C541" s="45"/>
      <c r="D541" s="44"/>
      <c r="E541" s="44"/>
      <c r="F541" s="44"/>
      <c r="G541" s="44"/>
      <c r="H541" s="44"/>
      <c r="I541" s="44"/>
      <c r="J541" s="44"/>
      <c r="K541" s="44"/>
      <c r="L541" s="44"/>
      <c r="M541" s="46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>
      <c r="A542" s="44"/>
      <c r="B542" s="44"/>
      <c r="C542" s="45"/>
      <c r="D542" s="44"/>
      <c r="E542" s="44"/>
      <c r="F542" s="44"/>
      <c r="G542" s="44"/>
      <c r="H542" s="44"/>
      <c r="I542" s="44"/>
      <c r="J542" s="44"/>
      <c r="K542" s="44"/>
      <c r="L542" s="44"/>
      <c r="M542" s="46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>
      <c r="A543" s="44"/>
      <c r="B543" s="44"/>
      <c r="C543" s="45"/>
      <c r="D543" s="44"/>
      <c r="E543" s="44"/>
      <c r="F543" s="44"/>
      <c r="G543" s="44"/>
      <c r="H543" s="44"/>
      <c r="I543" s="44"/>
      <c r="J543" s="44"/>
      <c r="K543" s="44"/>
      <c r="L543" s="44"/>
      <c r="M543" s="46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>
      <c r="A544" s="44"/>
      <c r="B544" s="44"/>
      <c r="C544" s="45"/>
      <c r="D544" s="44"/>
      <c r="E544" s="44"/>
      <c r="F544" s="44"/>
      <c r="G544" s="44"/>
      <c r="H544" s="44"/>
      <c r="I544" s="44"/>
      <c r="J544" s="44"/>
      <c r="K544" s="44"/>
      <c r="L544" s="44"/>
      <c r="M544" s="46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>
      <c r="A545" s="44"/>
      <c r="B545" s="44"/>
      <c r="C545" s="45"/>
      <c r="D545" s="44"/>
      <c r="E545" s="44"/>
      <c r="F545" s="44"/>
      <c r="G545" s="44"/>
      <c r="H545" s="44"/>
      <c r="I545" s="44"/>
      <c r="J545" s="44"/>
      <c r="K545" s="44"/>
      <c r="L545" s="44"/>
      <c r="M545" s="46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>
      <c r="A546" s="44"/>
      <c r="B546" s="44"/>
      <c r="C546" s="45"/>
      <c r="D546" s="44"/>
      <c r="E546" s="44"/>
      <c r="F546" s="44"/>
      <c r="G546" s="44"/>
      <c r="H546" s="44"/>
      <c r="I546" s="44"/>
      <c r="J546" s="44"/>
      <c r="K546" s="44"/>
      <c r="L546" s="44"/>
      <c r="M546" s="46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>
      <c r="A547" s="44"/>
      <c r="B547" s="44"/>
      <c r="C547" s="45"/>
      <c r="D547" s="44"/>
      <c r="E547" s="44"/>
      <c r="F547" s="44"/>
      <c r="G547" s="44"/>
      <c r="H547" s="44"/>
      <c r="I547" s="44"/>
      <c r="J547" s="44"/>
      <c r="K547" s="44"/>
      <c r="L547" s="44"/>
      <c r="M547" s="46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>
      <c r="A548" s="44"/>
      <c r="B548" s="44"/>
      <c r="C548" s="45"/>
      <c r="D548" s="44"/>
      <c r="E548" s="44"/>
      <c r="F548" s="44"/>
      <c r="G548" s="44"/>
      <c r="H548" s="44"/>
      <c r="I548" s="44"/>
      <c r="J548" s="44"/>
      <c r="K548" s="44"/>
      <c r="L548" s="44"/>
      <c r="M548" s="46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>
      <c r="A549" s="44"/>
      <c r="B549" s="44"/>
      <c r="C549" s="45"/>
      <c r="D549" s="44"/>
      <c r="E549" s="44"/>
      <c r="F549" s="44"/>
      <c r="G549" s="44"/>
      <c r="H549" s="44"/>
      <c r="I549" s="44"/>
      <c r="J549" s="44"/>
      <c r="K549" s="44"/>
      <c r="L549" s="44"/>
      <c r="M549" s="46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>
      <c r="A550" s="44"/>
      <c r="B550" s="44"/>
      <c r="C550" s="45"/>
      <c r="D550" s="44"/>
      <c r="E550" s="44"/>
      <c r="F550" s="44"/>
      <c r="G550" s="44"/>
      <c r="H550" s="44"/>
      <c r="I550" s="44"/>
      <c r="J550" s="44"/>
      <c r="K550" s="44"/>
      <c r="L550" s="44"/>
      <c r="M550" s="46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>
      <c r="A551" s="44"/>
      <c r="B551" s="44"/>
      <c r="C551" s="45"/>
      <c r="D551" s="44"/>
      <c r="E551" s="44"/>
      <c r="F551" s="44"/>
      <c r="G551" s="44"/>
      <c r="H551" s="44"/>
      <c r="I551" s="44"/>
      <c r="J551" s="44"/>
      <c r="K551" s="44"/>
      <c r="L551" s="44"/>
      <c r="M551" s="46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>
      <c r="A552" s="44"/>
      <c r="B552" s="44"/>
      <c r="C552" s="45"/>
      <c r="D552" s="44"/>
      <c r="E552" s="44"/>
      <c r="F552" s="44"/>
      <c r="G552" s="44"/>
      <c r="H552" s="44"/>
      <c r="I552" s="44"/>
      <c r="J552" s="44"/>
      <c r="K552" s="44"/>
      <c r="L552" s="44"/>
      <c r="M552" s="46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>
      <c r="A553" s="44"/>
      <c r="B553" s="44"/>
      <c r="C553" s="45"/>
      <c r="D553" s="44"/>
      <c r="E553" s="44"/>
      <c r="F553" s="44"/>
      <c r="G553" s="44"/>
      <c r="H553" s="44"/>
      <c r="I553" s="44"/>
      <c r="J553" s="44"/>
      <c r="K553" s="44"/>
      <c r="L553" s="44"/>
      <c r="M553" s="46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>
      <c r="A554" s="44"/>
      <c r="B554" s="44"/>
      <c r="C554" s="45"/>
      <c r="D554" s="44"/>
      <c r="E554" s="44"/>
      <c r="F554" s="44"/>
      <c r="G554" s="44"/>
      <c r="H554" s="44"/>
      <c r="I554" s="44"/>
      <c r="J554" s="44"/>
      <c r="K554" s="44"/>
      <c r="L554" s="44"/>
      <c r="M554" s="46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>
      <c r="A555" s="44"/>
      <c r="B555" s="44"/>
      <c r="C555" s="45"/>
      <c r="D555" s="44"/>
      <c r="E555" s="44"/>
      <c r="F555" s="44"/>
      <c r="G555" s="44"/>
      <c r="H555" s="44"/>
      <c r="I555" s="44"/>
      <c r="J555" s="44"/>
      <c r="K555" s="44"/>
      <c r="L555" s="44"/>
      <c r="M555" s="46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>
      <c r="A556" s="44"/>
      <c r="B556" s="44"/>
      <c r="C556" s="45"/>
      <c r="D556" s="44"/>
      <c r="E556" s="44"/>
      <c r="F556" s="44"/>
      <c r="G556" s="44"/>
      <c r="H556" s="44"/>
      <c r="I556" s="44"/>
      <c r="J556" s="44"/>
      <c r="K556" s="44"/>
      <c r="L556" s="44"/>
      <c r="M556" s="46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>
      <c r="A557" s="44"/>
      <c r="B557" s="44"/>
      <c r="C557" s="45"/>
      <c r="D557" s="44"/>
      <c r="E557" s="44"/>
      <c r="F557" s="44"/>
      <c r="G557" s="44"/>
      <c r="H557" s="44"/>
      <c r="I557" s="44"/>
      <c r="J557" s="44"/>
      <c r="K557" s="44"/>
      <c r="L557" s="44"/>
      <c r="M557" s="46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>
      <c r="A558" s="44"/>
      <c r="B558" s="44"/>
      <c r="C558" s="45"/>
      <c r="D558" s="44"/>
      <c r="E558" s="44"/>
      <c r="F558" s="44"/>
      <c r="G558" s="44"/>
      <c r="H558" s="44"/>
      <c r="I558" s="44"/>
      <c r="J558" s="44"/>
      <c r="K558" s="44"/>
      <c r="L558" s="44"/>
      <c r="M558" s="46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>
      <c r="A559" s="44"/>
      <c r="B559" s="44"/>
      <c r="C559" s="45"/>
      <c r="D559" s="44"/>
      <c r="E559" s="44"/>
      <c r="F559" s="44"/>
      <c r="G559" s="44"/>
      <c r="H559" s="44"/>
      <c r="I559" s="44"/>
      <c r="J559" s="44"/>
      <c r="K559" s="44"/>
      <c r="L559" s="44"/>
      <c r="M559" s="46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>
      <c r="A560" s="44"/>
      <c r="B560" s="44"/>
      <c r="C560" s="45"/>
      <c r="D560" s="44"/>
      <c r="E560" s="44"/>
      <c r="F560" s="44"/>
      <c r="G560" s="44"/>
      <c r="H560" s="44"/>
      <c r="I560" s="44"/>
      <c r="J560" s="44"/>
      <c r="K560" s="44"/>
      <c r="L560" s="44"/>
      <c r="M560" s="46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>
      <c r="A561" s="44"/>
      <c r="B561" s="44"/>
      <c r="C561" s="45"/>
      <c r="D561" s="44"/>
      <c r="E561" s="44"/>
      <c r="F561" s="44"/>
      <c r="G561" s="44"/>
      <c r="H561" s="44"/>
      <c r="I561" s="44"/>
      <c r="J561" s="44"/>
      <c r="K561" s="44"/>
      <c r="L561" s="44"/>
      <c r="M561" s="46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>
      <c r="A562" s="44"/>
      <c r="B562" s="44"/>
      <c r="C562" s="45"/>
      <c r="D562" s="44"/>
      <c r="E562" s="44"/>
      <c r="F562" s="44"/>
      <c r="G562" s="44"/>
      <c r="H562" s="44"/>
      <c r="I562" s="44"/>
      <c r="J562" s="44"/>
      <c r="K562" s="44"/>
      <c r="L562" s="44"/>
      <c r="M562" s="46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>
      <c r="A563" s="44"/>
      <c r="B563" s="44"/>
      <c r="C563" s="45"/>
      <c r="D563" s="44"/>
      <c r="E563" s="44"/>
      <c r="F563" s="44"/>
      <c r="G563" s="44"/>
      <c r="H563" s="44"/>
      <c r="I563" s="44"/>
      <c r="J563" s="44"/>
      <c r="K563" s="44"/>
      <c r="L563" s="44"/>
      <c r="M563" s="46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>
      <c r="A564" s="44"/>
      <c r="B564" s="44"/>
      <c r="C564" s="45"/>
      <c r="D564" s="44"/>
      <c r="E564" s="44"/>
      <c r="F564" s="44"/>
      <c r="G564" s="44"/>
      <c r="H564" s="44"/>
      <c r="I564" s="44"/>
      <c r="J564" s="44"/>
      <c r="K564" s="44"/>
      <c r="L564" s="44"/>
      <c r="M564" s="46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>
      <c r="A565" s="44"/>
      <c r="B565" s="44"/>
      <c r="C565" s="45"/>
      <c r="D565" s="44"/>
      <c r="E565" s="44"/>
      <c r="F565" s="44"/>
      <c r="G565" s="44"/>
      <c r="H565" s="44"/>
      <c r="I565" s="44"/>
      <c r="J565" s="44"/>
      <c r="K565" s="44"/>
      <c r="L565" s="44"/>
      <c r="M565" s="46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>
      <c r="A566" s="44"/>
      <c r="B566" s="44"/>
      <c r="C566" s="45"/>
      <c r="D566" s="44"/>
      <c r="E566" s="44"/>
      <c r="F566" s="44"/>
      <c r="G566" s="44"/>
      <c r="H566" s="44"/>
      <c r="I566" s="44"/>
      <c r="J566" s="44"/>
      <c r="K566" s="44"/>
      <c r="L566" s="44"/>
      <c r="M566" s="46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>
      <c r="A567" s="44"/>
      <c r="B567" s="44"/>
      <c r="C567" s="45"/>
      <c r="D567" s="44"/>
      <c r="E567" s="44"/>
      <c r="F567" s="44"/>
      <c r="G567" s="44"/>
      <c r="H567" s="44"/>
      <c r="I567" s="44"/>
      <c r="J567" s="44"/>
      <c r="K567" s="44"/>
      <c r="L567" s="44"/>
      <c r="M567" s="46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>
      <c r="A568" s="44"/>
      <c r="B568" s="44"/>
      <c r="C568" s="45"/>
      <c r="D568" s="44"/>
      <c r="E568" s="44"/>
      <c r="F568" s="44"/>
      <c r="G568" s="44"/>
      <c r="H568" s="44"/>
      <c r="I568" s="44"/>
      <c r="J568" s="44"/>
      <c r="K568" s="44"/>
      <c r="L568" s="44"/>
      <c r="M568" s="46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>
      <c r="A569" s="44"/>
      <c r="B569" s="44"/>
      <c r="C569" s="45"/>
      <c r="D569" s="44"/>
      <c r="E569" s="44"/>
      <c r="F569" s="44"/>
      <c r="G569" s="44"/>
      <c r="H569" s="44"/>
      <c r="I569" s="44"/>
      <c r="J569" s="44"/>
      <c r="K569" s="44"/>
      <c r="L569" s="44"/>
      <c r="M569" s="46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>
      <c r="A570" s="44"/>
      <c r="B570" s="44"/>
      <c r="C570" s="45"/>
      <c r="D570" s="44"/>
      <c r="E570" s="44"/>
      <c r="F570" s="44"/>
      <c r="G570" s="44"/>
      <c r="H570" s="44"/>
      <c r="I570" s="44"/>
      <c r="J570" s="44"/>
      <c r="K570" s="44"/>
      <c r="L570" s="44"/>
      <c r="M570" s="46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>
      <c r="A571" s="44"/>
      <c r="B571" s="44"/>
      <c r="C571" s="45"/>
      <c r="D571" s="44"/>
      <c r="E571" s="44"/>
      <c r="F571" s="44"/>
      <c r="G571" s="44"/>
      <c r="H571" s="44"/>
      <c r="I571" s="44"/>
      <c r="J571" s="44"/>
      <c r="K571" s="44"/>
      <c r="L571" s="44"/>
      <c r="M571" s="46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>
      <c r="A572" s="44"/>
      <c r="B572" s="44"/>
      <c r="C572" s="45"/>
      <c r="D572" s="44"/>
      <c r="E572" s="44"/>
      <c r="F572" s="44"/>
      <c r="G572" s="44"/>
      <c r="H572" s="44"/>
      <c r="I572" s="44"/>
      <c r="J572" s="44"/>
      <c r="K572" s="44"/>
      <c r="L572" s="44"/>
      <c r="M572" s="46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>
      <c r="A573" s="44"/>
      <c r="B573" s="44"/>
      <c r="C573" s="45"/>
      <c r="D573" s="44"/>
      <c r="E573" s="44"/>
      <c r="F573" s="44"/>
      <c r="G573" s="44"/>
      <c r="H573" s="44"/>
      <c r="I573" s="44"/>
      <c r="J573" s="44"/>
      <c r="K573" s="44"/>
      <c r="L573" s="44"/>
      <c r="M573" s="46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>
      <c r="A574" s="44"/>
      <c r="B574" s="44"/>
      <c r="C574" s="45"/>
      <c r="D574" s="44"/>
      <c r="E574" s="44"/>
      <c r="F574" s="44"/>
      <c r="G574" s="44"/>
      <c r="H574" s="44"/>
      <c r="I574" s="44"/>
      <c r="J574" s="44"/>
      <c r="K574" s="44"/>
      <c r="L574" s="44"/>
      <c r="M574" s="46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>
      <c r="A575" s="44"/>
      <c r="B575" s="44"/>
      <c r="C575" s="45"/>
      <c r="D575" s="44"/>
      <c r="E575" s="44"/>
      <c r="F575" s="44"/>
      <c r="G575" s="44"/>
      <c r="H575" s="44"/>
      <c r="I575" s="44"/>
      <c r="J575" s="44"/>
      <c r="K575" s="44"/>
      <c r="L575" s="44"/>
      <c r="M575" s="46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>
      <c r="A576" s="44"/>
      <c r="B576" s="44"/>
      <c r="C576" s="45"/>
      <c r="D576" s="44"/>
      <c r="E576" s="44"/>
      <c r="F576" s="44"/>
      <c r="G576" s="44"/>
      <c r="H576" s="44"/>
      <c r="I576" s="44"/>
      <c r="J576" s="44"/>
      <c r="K576" s="44"/>
      <c r="L576" s="44"/>
      <c r="M576" s="46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>
      <c r="A577" s="44"/>
      <c r="B577" s="44"/>
      <c r="C577" s="45"/>
      <c r="D577" s="44"/>
      <c r="E577" s="44"/>
      <c r="F577" s="44"/>
      <c r="G577" s="44"/>
      <c r="H577" s="44"/>
      <c r="I577" s="44"/>
      <c r="J577" s="44"/>
      <c r="K577" s="44"/>
      <c r="L577" s="44"/>
      <c r="M577" s="46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>
      <c r="A578" s="44"/>
      <c r="B578" s="44"/>
      <c r="C578" s="45"/>
      <c r="D578" s="44"/>
      <c r="E578" s="44"/>
      <c r="F578" s="44"/>
      <c r="G578" s="44"/>
      <c r="H578" s="44"/>
      <c r="I578" s="44"/>
      <c r="J578" s="44"/>
      <c r="K578" s="44"/>
      <c r="L578" s="44"/>
      <c r="M578" s="46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>
      <c r="A579" s="44"/>
      <c r="B579" s="44"/>
      <c r="C579" s="45"/>
      <c r="D579" s="44"/>
      <c r="E579" s="44"/>
      <c r="F579" s="44"/>
      <c r="G579" s="44"/>
      <c r="H579" s="44"/>
      <c r="I579" s="44"/>
      <c r="J579" s="44"/>
      <c r="K579" s="44"/>
      <c r="L579" s="44"/>
      <c r="M579" s="46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>
      <c r="A580" s="44"/>
      <c r="B580" s="44"/>
      <c r="C580" s="45"/>
      <c r="D580" s="44"/>
      <c r="E580" s="44"/>
      <c r="F580" s="44"/>
      <c r="G580" s="44"/>
      <c r="H580" s="44"/>
      <c r="I580" s="44"/>
      <c r="J580" s="44"/>
      <c r="K580" s="44"/>
      <c r="L580" s="44"/>
      <c r="M580" s="46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>
      <c r="A581" s="44"/>
      <c r="B581" s="44"/>
      <c r="C581" s="45"/>
      <c r="D581" s="44"/>
      <c r="E581" s="44"/>
      <c r="F581" s="44"/>
      <c r="G581" s="44"/>
      <c r="H581" s="44"/>
      <c r="I581" s="44"/>
      <c r="J581" s="44"/>
      <c r="K581" s="44"/>
      <c r="L581" s="44"/>
      <c r="M581" s="46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>
      <c r="A582" s="44"/>
      <c r="B582" s="44"/>
      <c r="C582" s="45"/>
      <c r="D582" s="44"/>
      <c r="E582" s="44"/>
      <c r="F582" s="44"/>
      <c r="G582" s="44"/>
      <c r="H582" s="44"/>
      <c r="I582" s="44"/>
      <c r="J582" s="44"/>
      <c r="K582" s="44"/>
      <c r="L582" s="44"/>
      <c r="M582" s="46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>
      <c r="A583" s="44"/>
      <c r="B583" s="44"/>
      <c r="C583" s="45"/>
      <c r="D583" s="44"/>
      <c r="E583" s="44"/>
      <c r="F583" s="44"/>
      <c r="G583" s="44"/>
      <c r="H583" s="44"/>
      <c r="I583" s="44"/>
      <c r="J583" s="44"/>
      <c r="K583" s="44"/>
      <c r="L583" s="44"/>
      <c r="M583" s="46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>
      <c r="A584" s="44"/>
      <c r="B584" s="44"/>
      <c r="C584" s="45"/>
      <c r="D584" s="44"/>
      <c r="E584" s="44"/>
      <c r="F584" s="44"/>
      <c r="G584" s="44"/>
      <c r="H584" s="44"/>
      <c r="I584" s="44"/>
      <c r="J584" s="44"/>
      <c r="K584" s="44"/>
      <c r="L584" s="44"/>
      <c r="M584" s="46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>
      <c r="A585" s="44"/>
      <c r="B585" s="44"/>
      <c r="C585" s="45"/>
      <c r="D585" s="44"/>
      <c r="E585" s="44"/>
      <c r="F585" s="44"/>
      <c r="G585" s="44"/>
      <c r="H585" s="44"/>
      <c r="I585" s="44"/>
      <c r="J585" s="44"/>
      <c r="K585" s="44"/>
      <c r="L585" s="44"/>
      <c r="M585" s="46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>
      <c r="A586" s="44"/>
      <c r="B586" s="44"/>
      <c r="C586" s="45"/>
      <c r="D586" s="44"/>
      <c r="E586" s="44"/>
      <c r="F586" s="44"/>
      <c r="G586" s="44"/>
      <c r="H586" s="44"/>
      <c r="I586" s="44"/>
      <c r="J586" s="44"/>
      <c r="K586" s="44"/>
      <c r="L586" s="44"/>
      <c r="M586" s="46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>
      <c r="A587" s="44"/>
      <c r="B587" s="44"/>
      <c r="C587" s="45"/>
      <c r="D587" s="44"/>
      <c r="E587" s="44"/>
      <c r="F587" s="44"/>
      <c r="G587" s="44"/>
      <c r="H587" s="44"/>
      <c r="I587" s="44"/>
      <c r="J587" s="44"/>
      <c r="K587" s="44"/>
      <c r="L587" s="44"/>
      <c r="M587" s="46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>
      <c r="A588" s="44"/>
      <c r="B588" s="44"/>
      <c r="C588" s="45"/>
      <c r="D588" s="44"/>
      <c r="E588" s="44"/>
      <c r="F588" s="44"/>
      <c r="G588" s="44"/>
      <c r="H588" s="44"/>
      <c r="I588" s="44"/>
      <c r="J588" s="44"/>
      <c r="K588" s="44"/>
      <c r="L588" s="44"/>
      <c r="M588" s="46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>
      <c r="A589" s="44"/>
      <c r="B589" s="44"/>
      <c r="C589" s="45"/>
      <c r="D589" s="44"/>
      <c r="E589" s="44"/>
      <c r="F589" s="44"/>
      <c r="G589" s="44"/>
      <c r="H589" s="44"/>
      <c r="I589" s="44"/>
      <c r="J589" s="44"/>
      <c r="K589" s="44"/>
      <c r="L589" s="44"/>
      <c r="M589" s="46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>
      <c r="A590" s="44"/>
      <c r="B590" s="44"/>
      <c r="C590" s="45"/>
      <c r="D590" s="44"/>
      <c r="E590" s="44"/>
      <c r="F590" s="44"/>
      <c r="G590" s="44"/>
      <c r="H590" s="44"/>
      <c r="I590" s="44"/>
      <c r="J590" s="44"/>
      <c r="K590" s="44"/>
      <c r="L590" s="44"/>
      <c r="M590" s="46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>
      <c r="A591" s="44"/>
      <c r="B591" s="44"/>
      <c r="C591" s="45"/>
      <c r="D591" s="44"/>
      <c r="E591" s="44"/>
      <c r="F591" s="44"/>
      <c r="G591" s="44"/>
      <c r="H591" s="44"/>
      <c r="I591" s="44"/>
      <c r="J591" s="44"/>
      <c r="K591" s="44"/>
      <c r="L591" s="44"/>
      <c r="M591" s="46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>
      <c r="A592" s="44"/>
      <c r="B592" s="44"/>
      <c r="C592" s="45"/>
      <c r="D592" s="44"/>
      <c r="E592" s="44"/>
      <c r="F592" s="44"/>
      <c r="G592" s="44"/>
      <c r="H592" s="44"/>
      <c r="I592" s="44"/>
      <c r="J592" s="44"/>
      <c r="K592" s="44"/>
      <c r="L592" s="44"/>
      <c r="M592" s="46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>
      <c r="A593" s="44"/>
      <c r="B593" s="44"/>
      <c r="C593" s="45"/>
      <c r="D593" s="44"/>
      <c r="E593" s="44"/>
      <c r="F593" s="44"/>
      <c r="G593" s="44"/>
      <c r="H593" s="44"/>
      <c r="I593" s="44"/>
      <c r="J593" s="44"/>
      <c r="K593" s="44"/>
      <c r="L593" s="44"/>
      <c r="M593" s="46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>
      <c r="A594" s="44"/>
      <c r="B594" s="44"/>
      <c r="C594" s="45"/>
      <c r="D594" s="44"/>
      <c r="E594" s="44"/>
      <c r="F594" s="44"/>
      <c r="G594" s="44"/>
      <c r="H594" s="44"/>
      <c r="I594" s="44"/>
      <c r="J594" s="44"/>
      <c r="K594" s="44"/>
      <c r="L594" s="44"/>
      <c r="M594" s="46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>
      <c r="A595" s="44"/>
      <c r="B595" s="44"/>
      <c r="C595" s="45"/>
      <c r="D595" s="44"/>
      <c r="E595" s="44"/>
      <c r="F595" s="44"/>
      <c r="G595" s="44"/>
      <c r="H595" s="44"/>
      <c r="I595" s="44"/>
      <c r="J595" s="44"/>
      <c r="K595" s="44"/>
      <c r="L595" s="44"/>
      <c r="M595" s="46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>
      <c r="A596" s="44"/>
      <c r="B596" s="44"/>
      <c r="C596" s="45"/>
      <c r="D596" s="44"/>
      <c r="E596" s="44"/>
      <c r="F596" s="44"/>
      <c r="G596" s="44"/>
      <c r="H596" s="44"/>
      <c r="I596" s="44"/>
      <c r="J596" s="44"/>
      <c r="K596" s="44"/>
      <c r="L596" s="44"/>
      <c r="M596" s="46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>
      <c r="A597" s="44"/>
      <c r="B597" s="44"/>
      <c r="C597" s="45"/>
      <c r="D597" s="44"/>
      <c r="E597" s="44"/>
      <c r="F597" s="44"/>
      <c r="G597" s="44"/>
      <c r="H597" s="44"/>
      <c r="I597" s="44"/>
      <c r="J597" s="44"/>
      <c r="K597" s="44"/>
      <c r="L597" s="44"/>
      <c r="M597" s="46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>
      <c r="A598" s="44"/>
      <c r="B598" s="44"/>
      <c r="C598" s="45"/>
      <c r="D598" s="44"/>
      <c r="E598" s="44"/>
      <c r="F598" s="44"/>
      <c r="G598" s="44"/>
      <c r="H598" s="44"/>
      <c r="I598" s="44"/>
      <c r="J598" s="44"/>
      <c r="K598" s="44"/>
      <c r="L598" s="44"/>
      <c r="M598" s="46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>
      <c r="A599" s="44"/>
      <c r="B599" s="44"/>
      <c r="C599" s="45"/>
      <c r="D599" s="44"/>
      <c r="E599" s="44"/>
      <c r="F599" s="44"/>
      <c r="G599" s="44"/>
      <c r="H599" s="44"/>
      <c r="I599" s="44"/>
      <c r="J599" s="44"/>
      <c r="K599" s="44"/>
      <c r="L599" s="44"/>
      <c r="M599" s="46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>
      <c r="A600" s="44"/>
      <c r="B600" s="44"/>
      <c r="C600" s="45"/>
      <c r="D600" s="44"/>
      <c r="E600" s="44"/>
      <c r="F600" s="44"/>
      <c r="G600" s="44"/>
      <c r="H600" s="44"/>
      <c r="I600" s="44"/>
      <c r="J600" s="44"/>
      <c r="K600" s="44"/>
      <c r="L600" s="44"/>
      <c r="M600" s="46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>
      <c r="A601" s="44"/>
      <c r="B601" s="44"/>
      <c r="C601" s="45"/>
      <c r="D601" s="44"/>
      <c r="E601" s="44"/>
      <c r="F601" s="44"/>
      <c r="G601" s="44"/>
      <c r="H601" s="44"/>
      <c r="I601" s="44"/>
      <c r="J601" s="44"/>
      <c r="K601" s="44"/>
      <c r="L601" s="44"/>
      <c r="M601" s="46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>
      <c r="A602" s="44"/>
      <c r="B602" s="44"/>
      <c r="C602" s="45"/>
      <c r="D602" s="44"/>
      <c r="E602" s="44"/>
      <c r="F602" s="44"/>
      <c r="G602" s="44"/>
      <c r="H602" s="44"/>
      <c r="I602" s="44"/>
      <c r="J602" s="44"/>
      <c r="K602" s="44"/>
      <c r="L602" s="44"/>
      <c r="M602" s="46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>
      <c r="A603" s="44"/>
      <c r="B603" s="44"/>
      <c r="C603" s="45"/>
      <c r="D603" s="44"/>
      <c r="E603" s="44"/>
      <c r="F603" s="44"/>
      <c r="G603" s="44"/>
      <c r="H603" s="44"/>
      <c r="I603" s="44"/>
      <c r="J603" s="44"/>
      <c r="K603" s="44"/>
      <c r="L603" s="44"/>
      <c r="M603" s="46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>
      <c r="A604" s="44"/>
      <c r="B604" s="44"/>
      <c r="C604" s="45"/>
      <c r="D604" s="44"/>
      <c r="E604" s="44"/>
      <c r="F604" s="44"/>
      <c r="G604" s="44"/>
      <c r="H604" s="44"/>
      <c r="I604" s="44"/>
      <c r="J604" s="44"/>
      <c r="K604" s="44"/>
      <c r="L604" s="44"/>
      <c r="M604" s="46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>
      <c r="A605" s="44"/>
      <c r="B605" s="44"/>
      <c r="C605" s="45"/>
      <c r="D605" s="44"/>
      <c r="E605" s="44"/>
      <c r="F605" s="44"/>
      <c r="G605" s="44"/>
      <c r="H605" s="44"/>
      <c r="I605" s="44"/>
      <c r="J605" s="44"/>
      <c r="K605" s="44"/>
      <c r="L605" s="44"/>
      <c r="M605" s="46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>
      <c r="A606" s="44"/>
      <c r="B606" s="44"/>
      <c r="C606" s="45"/>
      <c r="D606" s="44"/>
      <c r="E606" s="44"/>
      <c r="F606" s="44"/>
      <c r="G606" s="44"/>
      <c r="H606" s="44"/>
      <c r="I606" s="44"/>
      <c r="J606" s="44"/>
      <c r="K606" s="44"/>
      <c r="L606" s="44"/>
      <c r="M606" s="46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>
      <c r="A607" s="44"/>
      <c r="B607" s="44"/>
      <c r="C607" s="45"/>
      <c r="D607" s="44"/>
      <c r="E607" s="44"/>
      <c r="F607" s="44"/>
      <c r="G607" s="44"/>
      <c r="H607" s="44"/>
      <c r="I607" s="44"/>
      <c r="J607" s="44"/>
      <c r="K607" s="44"/>
      <c r="L607" s="44"/>
      <c r="M607" s="46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>
      <c r="A608" s="44"/>
      <c r="B608" s="44"/>
      <c r="C608" s="45"/>
      <c r="D608" s="44"/>
      <c r="E608" s="44"/>
      <c r="F608" s="44"/>
      <c r="G608" s="44"/>
      <c r="H608" s="44"/>
      <c r="I608" s="44"/>
      <c r="J608" s="44"/>
      <c r="K608" s="44"/>
      <c r="L608" s="44"/>
      <c r="M608" s="46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>
      <c r="A609" s="44"/>
      <c r="B609" s="44"/>
      <c r="C609" s="45"/>
      <c r="D609" s="44"/>
      <c r="E609" s="44"/>
      <c r="F609" s="44"/>
      <c r="G609" s="44"/>
      <c r="H609" s="44"/>
      <c r="I609" s="44"/>
      <c r="J609" s="44"/>
      <c r="K609" s="44"/>
      <c r="L609" s="44"/>
      <c r="M609" s="46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>
      <c r="A610" s="44"/>
      <c r="B610" s="44"/>
      <c r="C610" s="45"/>
      <c r="D610" s="44"/>
      <c r="E610" s="44"/>
      <c r="F610" s="44"/>
      <c r="G610" s="44"/>
      <c r="H610" s="44"/>
      <c r="I610" s="44"/>
      <c r="J610" s="44"/>
      <c r="K610" s="44"/>
      <c r="L610" s="44"/>
      <c r="M610" s="46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>
      <c r="A611" s="44"/>
      <c r="B611" s="44"/>
      <c r="C611" s="45"/>
      <c r="D611" s="44"/>
      <c r="E611" s="44"/>
      <c r="F611" s="44"/>
      <c r="G611" s="44"/>
      <c r="H611" s="44"/>
      <c r="I611" s="44"/>
      <c r="J611" s="44"/>
      <c r="K611" s="44"/>
      <c r="L611" s="44"/>
      <c r="M611" s="46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>
      <c r="A612" s="44"/>
      <c r="B612" s="44"/>
      <c r="C612" s="45"/>
      <c r="D612" s="44"/>
      <c r="E612" s="44"/>
      <c r="F612" s="44"/>
      <c r="G612" s="44"/>
      <c r="H612" s="44"/>
      <c r="I612" s="44"/>
      <c r="J612" s="44"/>
      <c r="K612" s="44"/>
      <c r="L612" s="44"/>
      <c r="M612" s="46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>
      <c r="A613" s="44"/>
      <c r="B613" s="44"/>
      <c r="C613" s="45"/>
      <c r="D613" s="44"/>
      <c r="E613" s="44"/>
      <c r="F613" s="44"/>
      <c r="G613" s="44"/>
      <c r="H613" s="44"/>
      <c r="I613" s="44"/>
      <c r="J613" s="44"/>
      <c r="K613" s="44"/>
      <c r="L613" s="44"/>
      <c r="M613" s="46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>
      <c r="A614" s="44"/>
      <c r="B614" s="44"/>
      <c r="C614" s="45"/>
      <c r="D614" s="44"/>
      <c r="E614" s="44"/>
      <c r="F614" s="44"/>
      <c r="G614" s="44"/>
      <c r="H614" s="44"/>
      <c r="I614" s="44"/>
      <c r="J614" s="44"/>
      <c r="K614" s="44"/>
      <c r="L614" s="44"/>
      <c r="M614" s="46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>
      <c r="A615" s="44"/>
      <c r="B615" s="44"/>
      <c r="C615" s="45"/>
      <c r="D615" s="44"/>
      <c r="E615" s="44"/>
      <c r="F615" s="44"/>
      <c r="G615" s="44"/>
      <c r="H615" s="44"/>
      <c r="I615" s="44"/>
      <c r="J615" s="44"/>
      <c r="K615" s="44"/>
      <c r="L615" s="44"/>
      <c r="M615" s="46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>
      <c r="A616" s="44"/>
      <c r="B616" s="44"/>
      <c r="C616" s="45"/>
      <c r="D616" s="44"/>
      <c r="E616" s="44"/>
      <c r="F616" s="44"/>
      <c r="G616" s="44"/>
      <c r="H616" s="44"/>
      <c r="I616" s="44"/>
      <c r="J616" s="44"/>
      <c r="K616" s="44"/>
      <c r="L616" s="44"/>
      <c r="M616" s="46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>
      <c r="A617" s="44"/>
      <c r="B617" s="44"/>
      <c r="C617" s="45"/>
      <c r="D617" s="44"/>
      <c r="E617" s="44"/>
      <c r="F617" s="44"/>
      <c r="G617" s="44"/>
      <c r="H617" s="44"/>
      <c r="I617" s="44"/>
      <c r="J617" s="44"/>
      <c r="K617" s="44"/>
      <c r="L617" s="44"/>
      <c r="M617" s="46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>
      <c r="A618" s="44"/>
      <c r="B618" s="44"/>
      <c r="C618" s="45"/>
      <c r="D618" s="44"/>
      <c r="E618" s="44"/>
      <c r="F618" s="44"/>
      <c r="G618" s="44"/>
      <c r="H618" s="44"/>
      <c r="I618" s="44"/>
      <c r="J618" s="44"/>
      <c r="K618" s="44"/>
      <c r="L618" s="44"/>
      <c r="M618" s="46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>
      <c r="A619" s="44"/>
      <c r="B619" s="44"/>
      <c r="C619" s="45"/>
      <c r="D619" s="44"/>
      <c r="E619" s="44"/>
      <c r="F619" s="44"/>
      <c r="G619" s="44"/>
      <c r="H619" s="44"/>
      <c r="I619" s="44"/>
      <c r="J619" s="44"/>
      <c r="K619" s="44"/>
      <c r="L619" s="44"/>
      <c r="M619" s="46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>
      <c r="A620" s="44"/>
      <c r="B620" s="44"/>
      <c r="C620" s="45"/>
      <c r="D620" s="44"/>
      <c r="E620" s="44"/>
      <c r="F620" s="44"/>
      <c r="G620" s="44"/>
      <c r="H620" s="44"/>
      <c r="I620" s="44"/>
      <c r="J620" s="44"/>
      <c r="K620" s="44"/>
      <c r="L620" s="44"/>
      <c r="M620" s="46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>
      <c r="A621" s="44"/>
      <c r="B621" s="44"/>
      <c r="C621" s="45"/>
      <c r="D621" s="44"/>
      <c r="E621" s="44"/>
      <c r="F621" s="44"/>
      <c r="G621" s="44"/>
      <c r="H621" s="44"/>
      <c r="I621" s="44"/>
      <c r="J621" s="44"/>
      <c r="K621" s="44"/>
      <c r="L621" s="44"/>
      <c r="M621" s="46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>
      <c r="A622" s="44"/>
      <c r="B622" s="44"/>
      <c r="C622" s="45"/>
      <c r="D622" s="44"/>
      <c r="E622" s="44"/>
      <c r="F622" s="44"/>
      <c r="G622" s="44"/>
      <c r="H622" s="44"/>
      <c r="I622" s="44"/>
      <c r="J622" s="44"/>
      <c r="K622" s="44"/>
      <c r="L622" s="44"/>
      <c r="M622" s="46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>
      <c r="A623" s="44"/>
      <c r="B623" s="44"/>
      <c r="C623" s="45"/>
      <c r="D623" s="44"/>
      <c r="E623" s="44"/>
      <c r="F623" s="44"/>
      <c r="G623" s="44"/>
      <c r="H623" s="44"/>
      <c r="I623" s="44"/>
      <c r="J623" s="44"/>
      <c r="K623" s="44"/>
      <c r="L623" s="44"/>
      <c r="M623" s="46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>
      <c r="A624" s="44"/>
      <c r="B624" s="44"/>
      <c r="C624" s="45"/>
      <c r="D624" s="44"/>
      <c r="E624" s="44"/>
      <c r="F624" s="44"/>
      <c r="G624" s="44"/>
      <c r="H624" s="44"/>
      <c r="I624" s="44"/>
      <c r="J624" s="44"/>
      <c r="K624" s="44"/>
      <c r="L624" s="44"/>
      <c r="M624" s="46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>
      <c r="A625" s="44"/>
      <c r="B625" s="44"/>
      <c r="C625" s="45"/>
      <c r="D625" s="44"/>
      <c r="E625" s="44"/>
      <c r="F625" s="44"/>
      <c r="G625" s="44"/>
      <c r="H625" s="44"/>
      <c r="I625" s="44"/>
      <c r="J625" s="44"/>
      <c r="K625" s="44"/>
      <c r="L625" s="44"/>
      <c r="M625" s="46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>
      <c r="A626" s="44"/>
      <c r="B626" s="44"/>
      <c r="C626" s="45"/>
      <c r="D626" s="44"/>
      <c r="E626" s="44"/>
      <c r="F626" s="44"/>
      <c r="G626" s="44"/>
      <c r="H626" s="44"/>
      <c r="I626" s="44"/>
      <c r="J626" s="44"/>
      <c r="K626" s="44"/>
      <c r="L626" s="44"/>
      <c r="M626" s="46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>
      <c r="A627" s="44"/>
      <c r="B627" s="44"/>
      <c r="C627" s="45"/>
      <c r="D627" s="44"/>
      <c r="E627" s="44"/>
      <c r="F627" s="44"/>
      <c r="G627" s="44"/>
      <c r="H627" s="44"/>
      <c r="I627" s="44"/>
      <c r="J627" s="44"/>
      <c r="K627" s="44"/>
      <c r="L627" s="44"/>
      <c r="M627" s="46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>
      <c r="A628" s="44"/>
      <c r="B628" s="44"/>
      <c r="C628" s="45"/>
      <c r="D628" s="44"/>
      <c r="E628" s="44"/>
      <c r="F628" s="44"/>
      <c r="G628" s="44"/>
      <c r="H628" s="44"/>
      <c r="I628" s="44"/>
      <c r="J628" s="44"/>
      <c r="K628" s="44"/>
      <c r="L628" s="44"/>
      <c r="M628" s="46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>
      <c r="A629" s="44"/>
      <c r="B629" s="44"/>
      <c r="C629" s="45"/>
      <c r="D629" s="44"/>
      <c r="E629" s="44"/>
      <c r="F629" s="44"/>
      <c r="G629" s="44"/>
      <c r="H629" s="44"/>
      <c r="I629" s="44"/>
      <c r="J629" s="44"/>
      <c r="K629" s="44"/>
      <c r="L629" s="44"/>
      <c r="M629" s="46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>
      <c r="A630" s="44"/>
      <c r="B630" s="44"/>
      <c r="C630" s="45"/>
      <c r="D630" s="44"/>
      <c r="E630" s="44"/>
      <c r="F630" s="44"/>
      <c r="G630" s="44"/>
      <c r="H630" s="44"/>
      <c r="I630" s="44"/>
      <c r="J630" s="44"/>
      <c r="K630" s="44"/>
      <c r="L630" s="44"/>
      <c r="M630" s="46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>
      <c r="A631" s="44"/>
      <c r="B631" s="44"/>
      <c r="C631" s="45"/>
      <c r="D631" s="44"/>
      <c r="E631" s="44"/>
      <c r="F631" s="44"/>
      <c r="G631" s="44"/>
      <c r="H631" s="44"/>
      <c r="I631" s="44"/>
      <c r="J631" s="44"/>
      <c r="K631" s="44"/>
      <c r="L631" s="44"/>
      <c r="M631" s="46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>
      <c r="A632" s="44"/>
      <c r="B632" s="44"/>
      <c r="C632" s="45"/>
      <c r="D632" s="44"/>
      <c r="E632" s="44"/>
      <c r="F632" s="44"/>
      <c r="G632" s="44"/>
      <c r="H632" s="44"/>
      <c r="I632" s="44"/>
      <c r="J632" s="44"/>
      <c r="K632" s="44"/>
      <c r="L632" s="44"/>
      <c r="M632" s="46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>
      <c r="A633" s="44"/>
      <c r="B633" s="44"/>
      <c r="C633" s="45"/>
      <c r="D633" s="44"/>
      <c r="E633" s="44"/>
      <c r="F633" s="44"/>
      <c r="G633" s="44"/>
      <c r="H633" s="44"/>
      <c r="I633" s="44"/>
      <c r="J633" s="44"/>
      <c r="K633" s="44"/>
      <c r="L633" s="44"/>
      <c r="M633" s="46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>
      <c r="A634" s="44"/>
      <c r="B634" s="44"/>
      <c r="C634" s="45"/>
      <c r="D634" s="44"/>
      <c r="E634" s="44"/>
      <c r="F634" s="44"/>
      <c r="G634" s="44"/>
      <c r="H634" s="44"/>
      <c r="I634" s="44"/>
      <c r="J634" s="44"/>
      <c r="K634" s="44"/>
      <c r="L634" s="44"/>
      <c r="M634" s="46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>
      <c r="A635" s="44"/>
      <c r="B635" s="44"/>
      <c r="C635" s="45"/>
      <c r="D635" s="44"/>
      <c r="E635" s="44"/>
      <c r="F635" s="44"/>
      <c r="G635" s="44"/>
      <c r="H635" s="44"/>
      <c r="I635" s="44"/>
      <c r="J635" s="44"/>
      <c r="K635" s="44"/>
      <c r="L635" s="44"/>
      <c r="M635" s="46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>
      <c r="A636" s="44"/>
      <c r="B636" s="44"/>
      <c r="C636" s="45"/>
      <c r="D636" s="44"/>
      <c r="E636" s="44"/>
      <c r="F636" s="44"/>
      <c r="G636" s="44"/>
      <c r="H636" s="44"/>
      <c r="I636" s="44"/>
      <c r="J636" s="44"/>
      <c r="K636" s="44"/>
      <c r="L636" s="44"/>
      <c r="M636" s="46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>
      <c r="A637" s="44"/>
      <c r="B637" s="44"/>
      <c r="C637" s="45"/>
      <c r="D637" s="44"/>
      <c r="E637" s="44"/>
      <c r="F637" s="44"/>
      <c r="G637" s="44"/>
      <c r="H637" s="44"/>
      <c r="I637" s="44"/>
      <c r="J637" s="44"/>
      <c r="K637" s="44"/>
      <c r="L637" s="44"/>
      <c r="M637" s="46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>
      <c r="A638" s="44"/>
      <c r="B638" s="44"/>
      <c r="C638" s="45"/>
      <c r="D638" s="44"/>
      <c r="E638" s="44"/>
      <c r="F638" s="44"/>
      <c r="G638" s="44"/>
      <c r="H638" s="44"/>
      <c r="I638" s="44"/>
      <c r="J638" s="44"/>
      <c r="K638" s="44"/>
      <c r="L638" s="44"/>
      <c r="M638" s="46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>
      <c r="A639" s="44"/>
      <c r="B639" s="44"/>
      <c r="C639" s="45"/>
      <c r="D639" s="44"/>
      <c r="E639" s="44"/>
      <c r="F639" s="44"/>
      <c r="G639" s="44"/>
      <c r="H639" s="44"/>
      <c r="I639" s="44"/>
      <c r="J639" s="44"/>
      <c r="K639" s="44"/>
      <c r="L639" s="44"/>
      <c r="M639" s="46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>
      <c r="A640" s="44"/>
      <c r="B640" s="44"/>
      <c r="C640" s="45"/>
      <c r="D640" s="44"/>
      <c r="E640" s="44"/>
      <c r="F640" s="44"/>
      <c r="G640" s="44"/>
      <c r="H640" s="44"/>
      <c r="I640" s="44"/>
      <c r="J640" s="44"/>
      <c r="K640" s="44"/>
      <c r="L640" s="44"/>
      <c r="M640" s="46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>
      <c r="A641" s="44"/>
      <c r="B641" s="44"/>
      <c r="C641" s="45"/>
      <c r="D641" s="44"/>
      <c r="E641" s="44"/>
      <c r="F641" s="44"/>
      <c r="G641" s="44"/>
      <c r="H641" s="44"/>
      <c r="I641" s="44"/>
      <c r="J641" s="44"/>
      <c r="K641" s="44"/>
      <c r="L641" s="44"/>
      <c r="M641" s="46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>
      <c r="A642" s="44"/>
      <c r="B642" s="44"/>
      <c r="C642" s="45"/>
      <c r="D642" s="44"/>
      <c r="E642" s="44"/>
      <c r="F642" s="44"/>
      <c r="G642" s="44"/>
      <c r="H642" s="44"/>
      <c r="I642" s="44"/>
      <c r="J642" s="44"/>
      <c r="K642" s="44"/>
      <c r="L642" s="44"/>
      <c r="M642" s="46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>
      <c r="A643" s="44"/>
      <c r="B643" s="44"/>
      <c r="C643" s="45"/>
      <c r="D643" s="44"/>
      <c r="E643" s="44"/>
      <c r="F643" s="44"/>
      <c r="G643" s="44"/>
      <c r="H643" s="44"/>
      <c r="I643" s="44"/>
      <c r="J643" s="44"/>
      <c r="K643" s="44"/>
      <c r="L643" s="44"/>
      <c r="M643" s="46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>
      <c r="A644" s="44"/>
      <c r="B644" s="44"/>
      <c r="C644" s="45"/>
      <c r="D644" s="44"/>
      <c r="E644" s="44"/>
      <c r="F644" s="44"/>
      <c r="G644" s="44"/>
      <c r="H644" s="44"/>
      <c r="I644" s="44"/>
      <c r="J644" s="44"/>
      <c r="K644" s="44"/>
      <c r="L644" s="44"/>
      <c r="M644" s="46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>
      <c r="A645" s="44"/>
      <c r="B645" s="44"/>
      <c r="C645" s="45"/>
      <c r="D645" s="44"/>
      <c r="E645" s="44"/>
      <c r="F645" s="44"/>
      <c r="G645" s="44"/>
      <c r="H645" s="44"/>
      <c r="I645" s="44"/>
      <c r="J645" s="44"/>
      <c r="K645" s="44"/>
      <c r="L645" s="44"/>
      <c r="M645" s="46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>
      <c r="A646" s="44"/>
      <c r="B646" s="44"/>
      <c r="C646" s="45"/>
      <c r="D646" s="44"/>
      <c r="E646" s="44"/>
      <c r="F646" s="44"/>
      <c r="G646" s="44"/>
      <c r="H646" s="44"/>
      <c r="I646" s="44"/>
      <c r="J646" s="44"/>
      <c r="K646" s="44"/>
      <c r="L646" s="44"/>
      <c r="M646" s="46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>
      <c r="A647" s="44"/>
      <c r="B647" s="44"/>
      <c r="C647" s="45"/>
      <c r="D647" s="44"/>
      <c r="E647" s="44"/>
      <c r="F647" s="44"/>
      <c r="G647" s="44"/>
      <c r="H647" s="44"/>
      <c r="I647" s="44"/>
      <c r="J647" s="44"/>
      <c r="K647" s="44"/>
      <c r="L647" s="44"/>
      <c r="M647" s="46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>
      <c r="A648" s="44"/>
      <c r="B648" s="44"/>
      <c r="C648" s="45"/>
      <c r="D648" s="44"/>
      <c r="E648" s="44"/>
      <c r="F648" s="44"/>
      <c r="G648" s="44"/>
      <c r="H648" s="44"/>
      <c r="I648" s="44"/>
      <c r="J648" s="44"/>
      <c r="K648" s="44"/>
      <c r="L648" s="44"/>
      <c r="M648" s="46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>
      <c r="A649" s="44"/>
      <c r="B649" s="44"/>
      <c r="C649" s="45"/>
      <c r="D649" s="44"/>
      <c r="E649" s="44"/>
      <c r="F649" s="44"/>
      <c r="G649" s="44"/>
      <c r="H649" s="44"/>
      <c r="I649" s="44"/>
      <c r="J649" s="44"/>
      <c r="K649" s="44"/>
      <c r="L649" s="44"/>
      <c r="M649" s="46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>
      <c r="A650" s="44"/>
      <c r="B650" s="44"/>
      <c r="C650" s="45"/>
      <c r="D650" s="44"/>
      <c r="E650" s="44"/>
      <c r="F650" s="44"/>
      <c r="G650" s="44"/>
      <c r="H650" s="44"/>
      <c r="I650" s="44"/>
      <c r="J650" s="44"/>
      <c r="K650" s="44"/>
      <c r="L650" s="44"/>
      <c r="M650" s="46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>
      <c r="A651" s="44"/>
      <c r="B651" s="44"/>
      <c r="C651" s="45"/>
      <c r="D651" s="44"/>
      <c r="E651" s="44"/>
      <c r="F651" s="44"/>
      <c r="G651" s="44"/>
      <c r="H651" s="44"/>
      <c r="I651" s="44"/>
      <c r="J651" s="44"/>
      <c r="K651" s="44"/>
      <c r="L651" s="44"/>
      <c r="M651" s="46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>
      <c r="A652" s="44"/>
      <c r="B652" s="44"/>
      <c r="C652" s="45"/>
      <c r="D652" s="44"/>
      <c r="E652" s="44"/>
      <c r="F652" s="44"/>
      <c r="G652" s="44"/>
      <c r="H652" s="44"/>
      <c r="I652" s="44"/>
      <c r="J652" s="44"/>
      <c r="K652" s="44"/>
      <c r="L652" s="44"/>
      <c r="M652" s="46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>
      <c r="A653" s="44"/>
      <c r="B653" s="44"/>
      <c r="C653" s="45"/>
      <c r="D653" s="44"/>
      <c r="E653" s="44"/>
      <c r="F653" s="44"/>
      <c r="G653" s="44"/>
      <c r="H653" s="44"/>
      <c r="I653" s="44"/>
      <c r="J653" s="44"/>
      <c r="K653" s="44"/>
      <c r="L653" s="44"/>
      <c r="M653" s="46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>
      <c r="A654" s="44"/>
      <c r="B654" s="44"/>
      <c r="C654" s="45"/>
      <c r="D654" s="44"/>
      <c r="E654" s="44"/>
      <c r="F654" s="44"/>
      <c r="G654" s="44"/>
      <c r="H654" s="44"/>
      <c r="I654" s="44"/>
      <c r="J654" s="44"/>
      <c r="K654" s="44"/>
      <c r="L654" s="44"/>
      <c r="M654" s="46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>
      <c r="A655" s="44"/>
      <c r="B655" s="44"/>
      <c r="C655" s="45"/>
      <c r="D655" s="44"/>
      <c r="E655" s="44"/>
      <c r="F655" s="44"/>
      <c r="G655" s="44"/>
      <c r="H655" s="44"/>
      <c r="I655" s="44"/>
      <c r="J655" s="44"/>
      <c r="K655" s="44"/>
      <c r="L655" s="44"/>
      <c r="M655" s="46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>
      <c r="A656" s="44"/>
      <c r="B656" s="44"/>
      <c r="C656" s="45"/>
      <c r="D656" s="44"/>
      <c r="E656" s="44"/>
      <c r="F656" s="44"/>
      <c r="G656" s="44"/>
      <c r="H656" s="44"/>
      <c r="I656" s="44"/>
      <c r="J656" s="44"/>
      <c r="K656" s="44"/>
      <c r="L656" s="44"/>
      <c r="M656" s="46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>
      <c r="A657" s="44"/>
      <c r="B657" s="44"/>
      <c r="C657" s="45"/>
      <c r="D657" s="44"/>
      <c r="E657" s="44"/>
      <c r="F657" s="44"/>
      <c r="G657" s="44"/>
      <c r="H657" s="44"/>
      <c r="I657" s="44"/>
      <c r="J657" s="44"/>
      <c r="K657" s="44"/>
      <c r="L657" s="44"/>
      <c r="M657" s="46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>
      <c r="A658" s="44"/>
      <c r="B658" s="44"/>
      <c r="C658" s="45"/>
      <c r="D658" s="44"/>
      <c r="E658" s="44"/>
      <c r="F658" s="44"/>
      <c r="G658" s="44"/>
      <c r="H658" s="44"/>
      <c r="I658" s="44"/>
      <c r="J658" s="44"/>
      <c r="K658" s="44"/>
      <c r="L658" s="44"/>
      <c r="M658" s="46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>
      <c r="A659" s="44"/>
      <c r="B659" s="44"/>
      <c r="C659" s="45"/>
      <c r="D659" s="44"/>
      <c r="E659" s="44"/>
      <c r="F659" s="44"/>
      <c r="G659" s="44"/>
      <c r="H659" s="44"/>
      <c r="I659" s="44"/>
      <c r="J659" s="44"/>
      <c r="K659" s="44"/>
      <c r="L659" s="44"/>
      <c r="M659" s="46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>
      <c r="A660" s="44"/>
      <c r="B660" s="44"/>
      <c r="C660" s="45"/>
      <c r="D660" s="44"/>
      <c r="E660" s="44"/>
      <c r="F660" s="44"/>
      <c r="G660" s="44"/>
      <c r="H660" s="44"/>
      <c r="I660" s="44"/>
      <c r="J660" s="44"/>
      <c r="K660" s="44"/>
      <c r="L660" s="44"/>
      <c r="M660" s="46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>
      <c r="A661" s="44"/>
      <c r="B661" s="44"/>
      <c r="C661" s="45"/>
      <c r="D661" s="44"/>
      <c r="E661" s="44"/>
      <c r="F661" s="44"/>
      <c r="G661" s="44"/>
      <c r="H661" s="44"/>
      <c r="I661" s="44"/>
      <c r="J661" s="44"/>
      <c r="K661" s="44"/>
      <c r="L661" s="44"/>
      <c r="M661" s="46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>
      <c r="A662" s="44"/>
      <c r="B662" s="44"/>
      <c r="C662" s="45"/>
      <c r="D662" s="44"/>
      <c r="E662" s="44"/>
      <c r="F662" s="44"/>
      <c r="G662" s="44"/>
      <c r="H662" s="44"/>
      <c r="I662" s="44"/>
      <c r="J662" s="44"/>
      <c r="K662" s="44"/>
      <c r="L662" s="44"/>
      <c r="M662" s="46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>
      <c r="A663" s="44"/>
      <c r="B663" s="44"/>
      <c r="C663" s="45"/>
      <c r="D663" s="44"/>
      <c r="E663" s="44"/>
      <c r="F663" s="44"/>
      <c r="G663" s="44"/>
      <c r="H663" s="44"/>
      <c r="I663" s="44"/>
      <c r="J663" s="44"/>
      <c r="K663" s="44"/>
      <c r="L663" s="44"/>
      <c r="M663" s="46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>
      <c r="A664" s="44"/>
      <c r="B664" s="44"/>
      <c r="C664" s="45"/>
      <c r="D664" s="44"/>
      <c r="E664" s="44"/>
      <c r="F664" s="44"/>
      <c r="G664" s="44"/>
      <c r="H664" s="44"/>
      <c r="I664" s="44"/>
      <c r="J664" s="44"/>
      <c r="K664" s="44"/>
      <c r="L664" s="44"/>
      <c r="M664" s="46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>
      <c r="A665" s="44"/>
      <c r="B665" s="44"/>
      <c r="C665" s="45"/>
      <c r="D665" s="44"/>
      <c r="E665" s="44"/>
      <c r="F665" s="44"/>
      <c r="G665" s="44"/>
      <c r="H665" s="44"/>
      <c r="I665" s="44"/>
      <c r="J665" s="44"/>
      <c r="K665" s="44"/>
      <c r="L665" s="44"/>
      <c r="M665" s="46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>
      <c r="A666" s="44"/>
      <c r="B666" s="44"/>
      <c r="C666" s="45"/>
      <c r="D666" s="44"/>
      <c r="E666" s="44"/>
      <c r="F666" s="44"/>
      <c r="G666" s="44"/>
      <c r="H666" s="44"/>
      <c r="I666" s="44"/>
      <c r="J666" s="44"/>
      <c r="K666" s="44"/>
      <c r="L666" s="44"/>
      <c r="M666" s="46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>
      <c r="A667" s="44"/>
      <c r="B667" s="44"/>
      <c r="C667" s="45"/>
      <c r="D667" s="44"/>
      <c r="E667" s="44"/>
      <c r="F667" s="44"/>
      <c r="G667" s="44"/>
      <c r="H667" s="44"/>
      <c r="I667" s="44"/>
      <c r="J667" s="44"/>
      <c r="K667" s="44"/>
      <c r="L667" s="44"/>
      <c r="M667" s="46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>
      <c r="A668" s="44"/>
      <c r="B668" s="44"/>
      <c r="C668" s="45"/>
      <c r="D668" s="44"/>
      <c r="E668" s="44"/>
      <c r="F668" s="44"/>
      <c r="G668" s="44"/>
      <c r="H668" s="44"/>
      <c r="I668" s="44"/>
      <c r="J668" s="44"/>
      <c r="K668" s="44"/>
      <c r="L668" s="44"/>
      <c r="M668" s="46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>
      <c r="A669" s="44"/>
      <c r="B669" s="44"/>
      <c r="C669" s="45"/>
      <c r="D669" s="44"/>
      <c r="E669" s="44"/>
      <c r="F669" s="44"/>
      <c r="G669" s="44"/>
      <c r="H669" s="44"/>
      <c r="I669" s="44"/>
      <c r="J669" s="44"/>
      <c r="K669" s="44"/>
      <c r="L669" s="44"/>
      <c r="M669" s="46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>
      <c r="A670" s="44"/>
      <c r="B670" s="44"/>
      <c r="C670" s="45"/>
      <c r="D670" s="44"/>
      <c r="E670" s="44"/>
      <c r="F670" s="44"/>
      <c r="G670" s="44"/>
      <c r="H670" s="44"/>
      <c r="I670" s="44"/>
      <c r="J670" s="44"/>
      <c r="K670" s="44"/>
      <c r="L670" s="44"/>
      <c r="M670" s="46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>
      <c r="A671" s="44"/>
      <c r="B671" s="44"/>
      <c r="C671" s="45"/>
      <c r="D671" s="44"/>
      <c r="E671" s="44"/>
      <c r="F671" s="44"/>
      <c r="G671" s="44"/>
      <c r="H671" s="44"/>
      <c r="I671" s="44"/>
      <c r="J671" s="44"/>
      <c r="K671" s="44"/>
      <c r="L671" s="44"/>
      <c r="M671" s="46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>
      <c r="A672" s="44"/>
      <c r="B672" s="44"/>
      <c r="C672" s="45"/>
      <c r="D672" s="44"/>
      <c r="E672" s="44"/>
      <c r="F672" s="44"/>
      <c r="G672" s="44"/>
      <c r="H672" s="44"/>
      <c r="I672" s="44"/>
      <c r="J672" s="44"/>
      <c r="K672" s="44"/>
      <c r="L672" s="44"/>
      <c r="M672" s="46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>
      <c r="A673" s="44"/>
      <c r="B673" s="44"/>
      <c r="C673" s="45"/>
      <c r="D673" s="44"/>
      <c r="E673" s="44"/>
      <c r="F673" s="44"/>
      <c r="G673" s="44"/>
      <c r="H673" s="44"/>
      <c r="I673" s="44"/>
      <c r="J673" s="44"/>
      <c r="K673" s="44"/>
      <c r="L673" s="44"/>
      <c r="M673" s="46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>
      <c r="A674" s="44"/>
      <c r="B674" s="44"/>
      <c r="C674" s="45"/>
      <c r="D674" s="44"/>
      <c r="E674" s="44"/>
      <c r="F674" s="44"/>
      <c r="G674" s="44"/>
      <c r="H674" s="44"/>
      <c r="I674" s="44"/>
      <c r="J674" s="44"/>
      <c r="K674" s="44"/>
      <c r="L674" s="44"/>
      <c r="M674" s="46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>
      <c r="A675" s="44"/>
      <c r="B675" s="44"/>
      <c r="C675" s="45"/>
      <c r="D675" s="44"/>
      <c r="E675" s="44"/>
      <c r="F675" s="44"/>
      <c r="G675" s="44"/>
      <c r="H675" s="44"/>
      <c r="I675" s="44"/>
      <c r="J675" s="44"/>
      <c r="K675" s="44"/>
      <c r="L675" s="44"/>
      <c r="M675" s="46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>
      <c r="A676" s="44"/>
      <c r="B676" s="44"/>
      <c r="C676" s="45"/>
      <c r="D676" s="44"/>
      <c r="E676" s="44"/>
      <c r="F676" s="44"/>
      <c r="G676" s="44"/>
      <c r="H676" s="44"/>
      <c r="I676" s="44"/>
      <c r="J676" s="44"/>
      <c r="K676" s="44"/>
      <c r="L676" s="44"/>
      <c r="M676" s="46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>
      <c r="A677" s="44"/>
      <c r="B677" s="44"/>
      <c r="C677" s="45"/>
      <c r="D677" s="44"/>
      <c r="E677" s="44"/>
      <c r="F677" s="44"/>
      <c r="G677" s="44"/>
      <c r="H677" s="44"/>
      <c r="I677" s="44"/>
      <c r="J677" s="44"/>
      <c r="K677" s="44"/>
      <c r="L677" s="44"/>
      <c r="M677" s="46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>
      <c r="A678" s="44"/>
      <c r="B678" s="44"/>
      <c r="C678" s="45"/>
      <c r="D678" s="44"/>
      <c r="E678" s="44"/>
      <c r="F678" s="44"/>
      <c r="G678" s="44"/>
      <c r="H678" s="44"/>
      <c r="I678" s="44"/>
      <c r="J678" s="44"/>
      <c r="K678" s="44"/>
      <c r="L678" s="44"/>
      <c r="M678" s="46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>
      <c r="A679" s="44"/>
      <c r="B679" s="44"/>
      <c r="C679" s="45"/>
      <c r="D679" s="44"/>
      <c r="E679" s="44"/>
      <c r="F679" s="44"/>
      <c r="G679" s="44"/>
      <c r="H679" s="44"/>
      <c r="I679" s="44"/>
      <c r="J679" s="44"/>
      <c r="K679" s="44"/>
      <c r="L679" s="44"/>
      <c r="M679" s="46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>
      <c r="A680" s="44"/>
      <c r="B680" s="44"/>
      <c r="C680" s="45"/>
      <c r="D680" s="44"/>
      <c r="E680" s="44"/>
      <c r="F680" s="44"/>
      <c r="G680" s="44"/>
      <c r="H680" s="44"/>
      <c r="I680" s="44"/>
      <c r="J680" s="44"/>
      <c r="K680" s="44"/>
      <c r="L680" s="44"/>
      <c r="M680" s="46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>
      <c r="A681" s="44"/>
      <c r="B681" s="44"/>
      <c r="C681" s="45"/>
      <c r="D681" s="44"/>
      <c r="E681" s="44"/>
      <c r="F681" s="44"/>
      <c r="G681" s="44"/>
      <c r="H681" s="44"/>
      <c r="I681" s="44"/>
      <c r="J681" s="44"/>
      <c r="K681" s="44"/>
      <c r="L681" s="44"/>
      <c r="M681" s="46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>
      <c r="A682" s="44"/>
      <c r="B682" s="44"/>
      <c r="C682" s="45"/>
      <c r="D682" s="44"/>
      <c r="E682" s="44"/>
      <c r="F682" s="44"/>
      <c r="G682" s="44"/>
      <c r="H682" s="44"/>
      <c r="I682" s="44"/>
      <c r="J682" s="44"/>
      <c r="K682" s="44"/>
      <c r="L682" s="44"/>
      <c r="M682" s="46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>
      <c r="A683" s="44"/>
      <c r="B683" s="44"/>
      <c r="C683" s="45"/>
      <c r="D683" s="44"/>
      <c r="E683" s="44"/>
      <c r="F683" s="44"/>
      <c r="G683" s="44"/>
      <c r="H683" s="44"/>
      <c r="I683" s="44"/>
      <c r="J683" s="44"/>
      <c r="K683" s="44"/>
      <c r="L683" s="44"/>
      <c r="M683" s="46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>
      <c r="A684" s="44"/>
      <c r="B684" s="44"/>
      <c r="C684" s="45"/>
      <c r="D684" s="44"/>
      <c r="E684" s="44"/>
      <c r="F684" s="44"/>
      <c r="G684" s="44"/>
      <c r="H684" s="44"/>
      <c r="I684" s="44"/>
      <c r="J684" s="44"/>
      <c r="K684" s="44"/>
      <c r="L684" s="44"/>
      <c r="M684" s="46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>
      <c r="A685" s="44"/>
      <c r="B685" s="44"/>
      <c r="C685" s="45"/>
      <c r="D685" s="44"/>
      <c r="E685" s="44"/>
      <c r="F685" s="44"/>
      <c r="G685" s="44"/>
      <c r="H685" s="44"/>
      <c r="I685" s="44"/>
      <c r="J685" s="44"/>
      <c r="K685" s="44"/>
      <c r="L685" s="44"/>
      <c r="M685" s="46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>
      <c r="A686" s="44"/>
      <c r="B686" s="44"/>
      <c r="C686" s="45"/>
      <c r="D686" s="44"/>
      <c r="E686" s="44"/>
      <c r="F686" s="44"/>
      <c r="G686" s="44"/>
      <c r="H686" s="44"/>
      <c r="I686" s="44"/>
      <c r="J686" s="44"/>
      <c r="K686" s="44"/>
      <c r="L686" s="44"/>
      <c r="M686" s="46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>
      <c r="A687" s="44"/>
      <c r="B687" s="44"/>
      <c r="C687" s="45"/>
      <c r="D687" s="44"/>
      <c r="E687" s="44"/>
      <c r="F687" s="44"/>
      <c r="G687" s="44"/>
      <c r="H687" s="44"/>
      <c r="I687" s="44"/>
      <c r="J687" s="44"/>
      <c r="K687" s="44"/>
      <c r="L687" s="44"/>
      <c r="M687" s="46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>
      <c r="A688" s="44"/>
      <c r="B688" s="44"/>
      <c r="C688" s="45"/>
      <c r="D688" s="44"/>
      <c r="E688" s="44"/>
      <c r="F688" s="44"/>
      <c r="G688" s="44"/>
      <c r="H688" s="44"/>
      <c r="I688" s="44"/>
      <c r="J688" s="44"/>
      <c r="K688" s="44"/>
      <c r="L688" s="44"/>
      <c r="M688" s="46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>
      <c r="A689" s="44"/>
      <c r="B689" s="44"/>
      <c r="C689" s="45"/>
      <c r="D689" s="44"/>
      <c r="E689" s="44"/>
      <c r="F689" s="44"/>
      <c r="G689" s="44"/>
      <c r="H689" s="44"/>
      <c r="I689" s="44"/>
      <c r="J689" s="44"/>
      <c r="K689" s="44"/>
      <c r="L689" s="44"/>
      <c r="M689" s="46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>
      <c r="A690" s="44"/>
      <c r="B690" s="44"/>
      <c r="C690" s="45"/>
      <c r="D690" s="44"/>
      <c r="E690" s="44"/>
      <c r="F690" s="44"/>
      <c r="G690" s="44"/>
      <c r="H690" s="44"/>
      <c r="I690" s="44"/>
      <c r="J690" s="44"/>
      <c r="K690" s="44"/>
      <c r="L690" s="44"/>
      <c r="M690" s="46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>
      <c r="A691" s="44"/>
      <c r="B691" s="44"/>
      <c r="C691" s="45"/>
      <c r="D691" s="44"/>
      <c r="E691" s="44"/>
      <c r="F691" s="44"/>
      <c r="G691" s="44"/>
      <c r="H691" s="44"/>
      <c r="I691" s="44"/>
      <c r="J691" s="44"/>
      <c r="K691" s="44"/>
      <c r="L691" s="44"/>
      <c r="M691" s="46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>
      <c r="A692" s="44"/>
      <c r="B692" s="44"/>
      <c r="C692" s="45"/>
      <c r="D692" s="44"/>
      <c r="E692" s="44"/>
      <c r="F692" s="44"/>
      <c r="G692" s="44"/>
      <c r="H692" s="44"/>
      <c r="I692" s="44"/>
      <c r="J692" s="44"/>
      <c r="K692" s="44"/>
      <c r="L692" s="44"/>
      <c r="M692" s="46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>
      <c r="A693" s="44"/>
      <c r="B693" s="44"/>
      <c r="C693" s="45"/>
      <c r="D693" s="44"/>
      <c r="E693" s="44"/>
      <c r="F693" s="44"/>
      <c r="G693" s="44"/>
      <c r="H693" s="44"/>
      <c r="I693" s="44"/>
      <c r="J693" s="44"/>
      <c r="K693" s="44"/>
      <c r="L693" s="44"/>
      <c r="M693" s="46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>
      <c r="A694" s="44"/>
      <c r="B694" s="44"/>
      <c r="C694" s="45"/>
      <c r="D694" s="44"/>
      <c r="E694" s="44"/>
      <c r="F694" s="44"/>
      <c r="G694" s="44"/>
      <c r="H694" s="44"/>
      <c r="I694" s="44"/>
      <c r="J694" s="44"/>
      <c r="K694" s="44"/>
      <c r="L694" s="44"/>
      <c r="M694" s="46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>
      <c r="A695" s="44"/>
      <c r="B695" s="44"/>
      <c r="C695" s="45"/>
      <c r="D695" s="44"/>
      <c r="E695" s="44"/>
      <c r="F695" s="44"/>
      <c r="G695" s="44"/>
      <c r="H695" s="44"/>
      <c r="I695" s="44"/>
      <c r="J695" s="44"/>
      <c r="K695" s="44"/>
      <c r="L695" s="44"/>
      <c r="M695" s="46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>
      <c r="A696" s="44"/>
      <c r="B696" s="44"/>
      <c r="C696" s="45"/>
      <c r="D696" s="44"/>
      <c r="E696" s="44"/>
      <c r="F696" s="44"/>
      <c r="G696" s="44"/>
      <c r="H696" s="44"/>
      <c r="I696" s="44"/>
      <c r="J696" s="44"/>
      <c r="K696" s="44"/>
      <c r="L696" s="44"/>
      <c r="M696" s="46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>
      <c r="A697" s="44"/>
      <c r="B697" s="44"/>
      <c r="C697" s="45"/>
      <c r="D697" s="44"/>
      <c r="E697" s="44"/>
      <c r="F697" s="44"/>
      <c r="G697" s="44"/>
      <c r="H697" s="44"/>
      <c r="I697" s="44"/>
      <c r="J697" s="44"/>
      <c r="K697" s="44"/>
      <c r="L697" s="44"/>
      <c r="M697" s="46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>
      <c r="A698" s="44"/>
      <c r="B698" s="44"/>
      <c r="C698" s="45"/>
      <c r="D698" s="44"/>
      <c r="E698" s="44"/>
      <c r="F698" s="44"/>
      <c r="G698" s="44"/>
      <c r="H698" s="44"/>
      <c r="I698" s="44"/>
      <c r="J698" s="44"/>
      <c r="K698" s="44"/>
      <c r="L698" s="44"/>
      <c r="M698" s="46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>
      <c r="A699" s="44"/>
      <c r="B699" s="44"/>
      <c r="C699" s="45"/>
      <c r="D699" s="44"/>
      <c r="E699" s="44"/>
      <c r="F699" s="44"/>
      <c r="G699" s="44"/>
      <c r="H699" s="44"/>
      <c r="I699" s="44"/>
      <c r="J699" s="44"/>
      <c r="K699" s="44"/>
      <c r="L699" s="44"/>
      <c r="M699" s="46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>
      <c r="A700" s="44"/>
      <c r="B700" s="44"/>
      <c r="C700" s="45"/>
      <c r="D700" s="44"/>
      <c r="E700" s="44"/>
      <c r="F700" s="44"/>
      <c r="G700" s="44"/>
      <c r="H700" s="44"/>
      <c r="I700" s="44"/>
      <c r="J700" s="44"/>
      <c r="K700" s="44"/>
      <c r="L700" s="44"/>
      <c r="M700" s="46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>
      <c r="A701" s="44"/>
      <c r="B701" s="44"/>
      <c r="C701" s="45"/>
      <c r="D701" s="44"/>
      <c r="E701" s="44"/>
      <c r="F701" s="44"/>
      <c r="G701" s="44"/>
      <c r="H701" s="44"/>
      <c r="I701" s="44"/>
      <c r="J701" s="44"/>
      <c r="K701" s="44"/>
      <c r="L701" s="44"/>
      <c r="M701" s="46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>
      <c r="A702" s="44"/>
      <c r="B702" s="44"/>
      <c r="C702" s="45"/>
      <c r="D702" s="44"/>
      <c r="E702" s="44"/>
      <c r="F702" s="44"/>
      <c r="G702" s="44"/>
      <c r="H702" s="44"/>
      <c r="I702" s="44"/>
      <c r="J702" s="44"/>
      <c r="K702" s="44"/>
      <c r="L702" s="44"/>
      <c r="M702" s="46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>
      <c r="A703" s="44"/>
      <c r="B703" s="44"/>
      <c r="C703" s="45"/>
      <c r="D703" s="44"/>
      <c r="E703" s="44"/>
      <c r="F703" s="44"/>
      <c r="G703" s="44"/>
      <c r="H703" s="44"/>
      <c r="I703" s="44"/>
      <c r="J703" s="44"/>
      <c r="K703" s="44"/>
      <c r="L703" s="44"/>
      <c r="M703" s="46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>
      <c r="A704" s="44"/>
      <c r="B704" s="44"/>
      <c r="C704" s="45"/>
      <c r="D704" s="44"/>
      <c r="E704" s="44"/>
      <c r="F704" s="44"/>
      <c r="G704" s="44"/>
      <c r="H704" s="44"/>
      <c r="I704" s="44"/>
      <c r="J704" s="44"/>
      <c r="K704" s="44"/>
      <c r="L704" s="44"/>
      <c r="M704" s="46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>
      <c r="A705" s="44"/>
      <c r="B705" s="44"/>
      <c r="C705" s="45"/>
      <c r="D705" s="44"/>
      <c r="E705" s="44"/>
      <c r="F705" s="44"/>
      <c r="G705" s="44"/>
      <c r="H705" s="44"/>
      <c r="I705" s="44"/>
      <c r="J705" s="44"/>
      <c r="K705" s="44"/>
      <c r="L705" s="44"/>
      <c r="M705" s="46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>
      <c r="A706" s="44"/>
      <c r="B706" s="44"/>
      <c r="C706" s="45"/>
      <c r="D706" s="44"/>
      <c r="E706" s="44"/>
      <c r="F706" s="44"/>
      <c r="G706" s="44"/>
      <c r="H706" s="44"/>
      <c r="I706" s="44"/>
      <c r="J706" s="44"/>
      <c r="K706" s="44"/>
      <c r="L706" s="44"/>
      <c r="M706" s="46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>
      <c r="A707" s="44"/>
      <c r="B707" s="44"/>
      <c r="C707" s="45"/>
      <c r="D707" s="44"/>
      <c r="E707" s="44"/>
      <c r="F707" s="44"/>
      <c r="G707" s="44"/>
      <c r="H707" s="44"/>
      <c r="I707" s="44"/>
      <c r="J707" s="44"/>
      <c r="K707" s="44"/>
      <c r="L707" s="44"/>
      <c r="M707" s="46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>
      <c r="A708" s="44"/>
      <c r="B708" s="44"/>
      <c r="C708" s="45"/>
      <c r="D708" s="44"/>
      <c r="E708" s="44"/>
      <c r="F708" s="44"/>
      <c r="G708" s="44"/>
      <c r="H708" s="44"/>
      <c r="I708" s="44"/>
      <c r="J708" s="44"/>
      <c r="K708" s="44"/>
      <c r="L708" s="44"/>
      <c r="M708" s="46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>
      <c r="A709" s="44"/>
      <c r="B709" s="44"/>
      <c r="C709" s="45"/>
      <c r="D709" s="44"/>
      <c r="E709" s="44"/>
      <c r="F709" s="44"/>
      <c r="G709" s="44"/>
      <c r="H709" s="44"/>
      <c r="I709" s="44"/>
      <c r="J709" s="44"/>
      <c r="K709" s="44"/>
      <c r="L709" s="44"/>
      <c r="M709" s="46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>
      <c r="A710" s="44"/>
      <c r="B710" s="44"/>
      <c r="C710" s="45"/>
      <c r="D710" s="44"/>
      <c r="E710" s="44"/>
      <c r="F710" s="44"/>
      <c r="G710" s="44"/>
      <c r="H710" s="44"/>
      <c r="I710" s="44"/>
      <c r="J710" s="44"/>
      <c r="K710" s="44"/>
      <c r="L710" s="44"/>
      <c r="M710" s="46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>
      <c r="A711" s="44"/>
      <c r="B711" s="44"/>
      <c r="C711" s="45"/>
      <c r="D711" s="44"/>
      <c r="E711" s="44"/>
      <c r="F711" s="44"/>
      <c r="G711" s="44"/>
      <c r="H711" s="44"/>
      <c r="I711" s="44"/>
      <c r="J711" s="44"/>
      <c r="K711" s="44"/>
      <c r="L711" s="44"/>
      <c r="M711" s="46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>
      <c r="A712" s="44"/>
      <c r="B712" s="44"/>
      <c r="C712" s="45"/>
      <c r="D712" s="44"/>
      <c r="E712" s="44"/>
      <c r="F712" s="44"/>
      <c r="G712" s="44"/>
      <c r="H712" s="44"/>
      <c r="I712" s="44"/>
      <c r="J712" s="44"/>
      <c r="K712" s="44"/>
      <c r="L712" s="44"/>
      <c r="M712" s="46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>
      <c r="A713" s="44"/>
      <c r="B713" s="44"/>
      <c r="C713" s="45"/>
      <c r="D713" s="44"/>
      <c r="E713" s="44"/>
      <c r="F713" s="44"/>
      <c r="G713" s="44"/>
      <c r="H713" s="44"/>
      <c r="I713" s="44"/>
      <c r="J713" s="44"/>
      <c r="K713" s="44"/>
      <c r="L713" s="44"/>
      <c r="M713" s="46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>
      <c r="A714" s="44"/>
      <c r="B714" s="44"/>
      <c r="C714" s="45"/>
      <c r="D714" s="44"/>
      <c r="E714" s="44"/>
      <c r="F714" s="44"/>
      <c r="G714" s="44"/>
      <c r="H714" s="44"/>
      <c r="I714" s="44"/>
      <c r="J714" s="44"/>
      <c r="K714" s="44"/>
      <c r="L714" s="44"/>
      <c r="M714" s="46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>
      <c r="A715" s="44"/>
      <c r="B715" s="44"/>
      <c r="C715" s="45"/>
      <c r="D715" s="44"/>
      <c r="E715" s="44"/>
      <c r="F715" s="44"/>
      <c r="G715" s="44"/>
      <c r="H715" s="44"/>
      <c r="I715" s="44"/>
      <c r="J715" s="44"/>
      <c r="K715" s="44"/>
      <c r="L715" s="44"/>
      <c r="M715" s="46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>
      <c r="A716" s="44"/>
      <c r="B716" s="44"/>
      <c r="C716" s="45"/>
      <c r="D716" s="44"/>
      <c r="E716" s="44"/>
      <c r="F716" s="44"/>
      <c r="G716" s="44"/>
      <c r="H716" s="44"/>
      <c r="I716" s="44"/>
      <c r="J716" s="44"/>
      <c r="K716" s="44"/>
      <c r="L716" s="44"/>
      <c r="M716" s="46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>
      <c r="A717" s="44"/>
      <c r="B717" s="44"/>
      <c r="C717" s="45"/>
      <c r="D717" s="44"/>
      <c r="E717" s="44"/>
      <c r="F717" s="44"/>
      <c r="G717" s="44"/>
      <c r="H717" s="44"/>
      <c r="I717" s="44"/>
      <c r="J717" s="44"/>
      <c r="K717" s="44"/>
      <c r="L717" s="44"/>
      <c r="M717" s="46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>
      <c r="A718" s="44"/>
      <c r="B718" s="44"/>
      <c r="C718" s="45"/>
      <c r="D718" s="44"/>
      <c r="E718" s="44"/>
      <c r="F718" s="44"/>
      <c r="G718" s="44"/>
      <c r="H718" s="44"/>
      <c r="I718" s="44"/>
      <c r="J718" s="44"/>
      <c r="K718" s="44"/>
      <c r="L718" s="44"/>
      <c r="M718" s="46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>
      <c r="A719" s="44"/>
      <c r="B719" s="44"/>
      <c r="C719" s="45"/>
      <c r="D719" s="44"/>
      <c r="E719" s="44"/>
      <c r="F719" s="44"/>
      <c r="G719" s="44"/>
      <c r="H719" s="44"/>
      <c r="I719" s="44"/>
      <c r="J719" s="44"/>
      <c r="K719" s="44"/>
      <c r="L719" s="44"/>
      <c r="M719" s="46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>
      <c r="A720" s="44"/>
      <c r="B720" s="44"/>
      <c r="C720" s="45"/>
      <c r="D720" s="44"/>
      <c r="E720" s="44"/>
      <c r="F720" s="44"/>
      <c r="G720" s="44"/>
      <c r="H720" s="44"/>
      <c r="I720" s="44"/>
      <c r="J720" s="44"/>
      <c r="K720" s="44"/>
      <c r="L720" s="44"/>
      <c r="M720" s="46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>
      <c r="A721" s="44"/>
      <c r="B721" s="44"/>
      <c r="C721" s="45"/>
      <c r="D721" s="44"/>
      <c r="E721" s="44"/>
      <c r="F721" s="44"/>
      <c r="G721" s="44"/>
      <c r="H721" s="44"/>
      <c r="I721" s="44"/>
      <c r="J721" s="44"/>
      <c r="K721" s="44"/>
      <c r="L721" s="44"/>
      <c r="M721" s="46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>
      <c r="A722" s="44"/>
      <c r="B722" s="44"/>
      <c r="C722" s="45"/>
      <c r="D722" s="44"/>
      <c r="E722" s="44"/>
      <c r="F722" s="44"/>
      <c r="G722" s="44"/>
      <c r="H722" s="44"/>
      <c r="I722" s="44"/>
      <c r="J722" s="44"/>
      <c r="K722" s="44"/>
      <c r="L722" s="44"/>
      <c r="M722" s="46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>
      <c r="A723" s="44"/>
      <c r="B723" s="44"/>
      <c r="C723" s="45"/>
      <c r="D723" s="44"/>
      <c r="E723" s="44"/>
      <c r="F723" s="44"/>
      <c r="G723" s="44"/>
      <c r="H723" s="44"/>
      <c r="I723" s="44"/>
      <c r="J723" s="44"/>
      <c r="K723" s="44"/>
      <c r="L723" s="44"/>
      <c r="M723" s="46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>
      <c r="A724" s="44"/>
      <c r="B724" s="44"/>
      <c r="C724" s="45"/>
      <c r="D724" s="44"/>
      <c r="E724" s="44"/>
      <c r="F724" s="44"/>
      <c r="G724" s="44"/>
      <c r="H724" s="44"/>
      <c r="I724" s="44"/>
      <c r="J724" s="44"/>
      <c r="K724" s="44"/>
      <c r="L724" s="44"/>
      <c r="M724" s="46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>
      <c r="A725" s="44"/>
      <c r="B725" s="44"/>
      <c r="C725" s="45"/>
      <c r="D725" s="44"/>
      <c r="E725" s="44"/>
      <c r="F725" s="44"/>
      <c r="G725" s="44"/>
      <c r="H725" s="44"/>
      <c r="I725" s="44"/>
      <c r="J725" s="44"/>
      <c r="K725" s="44"/>
      <c r="L725" s="44"/>
      <c r="M725" s="46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>
      <c r="A726" s="44"/>
      <c r="B726" s="44"/>
      <c r="C726" s="45"/>
      <c r="D726" s="44"/>
      <c r="E726" s="44"/>
      <c r="F726" s="44"/>
      <c r="G726" s="44"/>
      <c r="H726" s="44"/>
      <c r="I726" s="44"/>
      <c r="J726" s="44"/>
      <c r="K726" s="44"/>
      <c r="L726" s="44"/>
      <c r="M726" s="46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>
      <c r="A727" s="44"/>
      <c r="B727" s="44"/>
      <c r="C727" s="45"/>
      <c r="D727" s="44"/>
      <c r="E727" s="44"/>
      <c r="F727" s="44"/>
      <c r="G727" s="44"/>
      <c r="H727" s="44"/>
      <c r="I727" s="44"/>
      <c r="J727" s="44"/>
      <c r="K727" s="44"/>
      <c r="L727" s="44"/>
      <c r="M727" s="46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>
      <c r="A728" s="44"/>
      <c r="B728" s="44"/>
      <c r="C728" s="45"/>
      <c r="D728" s="44"/>
      <c r="E728" s="44"/>
      <c r="F728" s="44"/>
      <c r="G728" s="44"/>
      <c r="H728" s="44"/>
      <c r="I728" s="44"/>
      <c r="J728" s="44"/>
      <c r="K728" s="44"/>
      <c r="L728" s="44"/>
      <c r="M728" s="46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>
      <c r="A729" s="44"/>
      <c r="B729" s="44"/>
      <c r="C729" s="45"/>
      <c r="D729" s="44"/>
      <c r="E729" s="44"/>
      <c r="F729" s="44"/>
      <c r="G729" s="44"/>
      <c r="H729" s="44"/>
      <c r="I729" s="44"/>
      <c r="J729" s="44"/>
      <c r="K729" s="44"/>
      <c r="L729" s="44"/>
      <c r="M729" s="46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>
      <c r="A730" s="44"/>
      <c r="B730" s="44"/>
      <c r="C730" s="45"/>
      <c r="D730" s="44"/>
      <c r="E730" s="44"/>
      <c r="F730" s="44"/>
      <c r="G730" s="44"/>
      <c r="H730" s="44"/>
      <c r="I730" s="44"/>
      <c r="J730" s="44"/>
      <c r="K730" s="44"/>
      <c r="L730" s="44"/>
      <c r="M730" s="46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>
      <c r="A731" s="44"/>
      <c r="B731" s="44"/>
      <c r="C731" s="45"/>
      <c r="D731" s="44"/>
      <c r="E731" s="44"/>
      <c r="F731" s="44"/>
      <c r="G731" s="44"/>
      <c r="H731" s="44"/>
      <c r="I731" s="44"/>
      <c r="J731" s="44"/>
      <c r="K731" s="44"/>
      <c r="L731" s="44"/>
      <c r="M731" s="46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>
      <c r="A732" s="44"/>
      <c r="B732" s="44"/>
      <c r="C732" s="45"/>
      <c r="D732" s="44"/>
      <c r="E732" s="44"/>
      <c r="F732" s="44"/>
      <c r="G732" s="44"/>
      <c r="H732" s="44"/>
      <c r="I732" s="44"/>
      <c r="J732" s="44"/>
      <c r="K732" s="44"/>
      <c r="L732" s="44"/>
      <c r="M732" s="46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>
      <c r="A733" s="44"/>
      <c r="B733" s="44"/>
      <c r="C733" s="45"/>
      <c r="D733" s="44"/>
      <c r="E733" s="44"/>
      <c r="F733" s="44"/>
      <c r="G733" s="44"/>
      <c r="H733" s="44"/>
      <c r="I733" s="44"/>
      <c r="J733" s="44"/>
      <c r="K733" s="44"/>
      <c r="L733" s="44"/>
      <c r="M733" s="46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>
      <c r="A734" s="44"/>
      <c r="B734" s="44"/>
      <c r="C734" s="45"/>
      <c r="D734" s="44"/>
      <c r="E734" s="44"/>
      <c r="F734" s="44"/>
      <c r="G734" s="44"/>
      <c r="H734" s="44"/>
      <c r="I734" s="44"/>
      <c r="J734" s="44"/>
      <c r="K734" s="44"/>
      <c r="L734" s="44"/>
      <c r="M734" s="46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>
      <c r="A735" s="44"/>
      <c r="B735" s="44"/>
      <c r="C735" s="45"/>
      <c r="D735" s="44"/>
      <c r="E735" s="44"/>
      <c r="F735" s="44"/>
      <c r="G735" s="44"/>
      <c r="H735" s="44"/>
      <c r="I735" s="44"/>
      <c r="J735" s="44"/>
      <c r="K735" s="44"/>
      <c r="L735" s="44"/>
      <c r="M735" s="46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>
      <c r="A736" s="44"/>
      <c r="B736" s="44"/>
      <c r="C736" s="45"/>
      <c r="D736" s="44"/>
      <c r="E736" s="44"/>
      <c r="F736" s="44"/>
      <c r="G736" s="44"/>
      <c r="H736" s="44"/>
      <c r="I736" s="44"/>
      <c r="J736" s="44"/>
      <c r="K736" s="44"/>
      <c r="L736" s="44"/>
      <c r="M736" s="46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>
      <c r="A737" s="44"/>
      <c r="B737" s="44"/>
      <c r="C737" s="45"/>
      <c r="D737" s="44"/>
      <c r="E737" s="44"/>
      <c r="F737" s="44"/>
      <c r="G737" s="44"/>
      <c r="H737" s="44"/>
      <c r="I737" s="44"/>
      <c r="J737" s="44"/>
      <c r="K737" s="44"/>
      <c r="L737" s="44"/>
      <c r="M737" s="46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>
      <c r="A738" s="44"/>
      <c r="B738" s="44"/>
      <c r="C738" s="45"/>
      <c r="D738" s="44"/>
      <c r="E738" s="44"/>
      <c r="F738" s="44"/>
      <c r="G738" s="44"/>
      <c r="H738" s="44"/>
      <c r="I738" s="44"/>
      <c r="J738" s="44"/>
      <c r="K738" s="44"/>
      <c r="L738" s="44"/>
      <c r="M738" s="46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>
      <c r="A739" s="44"/>
      <c r="B739" s="44"/>
      <c r="C739" s="45"/>
      <c r="D739" s="44"/>
      <c r="E739" s="44"/>
      <c r="F739" s="44"/>
      <c r="G739" s="44"/>
      <c r="H739" s="44"/>
      <c r="I739" s="44"/>
      <c r="J739" s="44"/>
      <c r="K739" s="44"/>
      <c r="L739" s="44"/>
      <c r="M739" s="46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>
      <c r="A740" s="44"/>
      <c r="B740" s="44"/>
      <c r="C740" s="45"/>
      <c r="D740" s="44"/>
      <c r="E740" s="44"/>
      <c r="F740" s="44"/>
      <c r="G740" s="44"/>
      <c r="H740" s="44"/>
      <c r="I740" s="44"/>
      <c r="J740" s="44"/>
      <c r="K740" s="44"/>
      <c r="L740" s="44"/>
      <c r="M740" s="46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>
      <c r="A741" s="44"/>
      <c r="B741" s="44"/>
      <c r="C741" s="45"/>
      <c r="D741" s="44"/>
      <c r="E741" s="44"/>
      <c r="F741" s="44"/>
      <c r="G741" s="44"/>
      <c r="H741" s="44"/>
      <c r="I741" s="44"/>
      <c r="J741" s="44"/>
      <c r="K741" s="44"/>
      <c r="L741" s="44"/>
      <c r="M741" s="46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>
      <c r="A742" s="44"/>
      <c r="B742" s="44"/>
      <c r="C742" s="45"/>
      <c r="D742" s="44"/>
      <c r="E742" s="44"/>
      <c r="F742" s="44"/>
      <c r="G742" s="44"/>
      <c r="H742" s="44"/>
      <c r="I742" s="44"/>
      <c r="J742" s="44"/>
      <c r="K742" s="44"/>
      <c r="L742" s="44"/>
      <c r="M742" s="46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>
      <c r="A743" s="44"/>
      <c r="B743" s="44"/>
      <c r="C743" s="45"/>
      <c r="D743" s="44"/>
      <c r="E743" s="44"/>
      <c r="F743" s="44"/>
      <c r="G743" s="44"/>
      <c r="H743" s="44"/>
      <c r="I743" s="44"/>
      <c r="J743" s="44"/>
      <c r="K743" s="44"/>
      <c r="L743" s="44"/>
      <c r="M743" s="46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>
      <c r="A744" s="44"/>
      <c r="B744" s="44"/>
      <c r="C744" s="45"/>
      <c r="D744" s="44"/>
      <c r="E744" s="44"/>
      <c r="F744" s="44"/>
      <c r="G744" s="44"/>
      <c r="H744" s="44"/>
      <c r="I744" s="44"/>
      <c r="J744" s="44"/>
      <c r="K744" s="44"/>
      <c r="L744" s="44"/>
      <c r="M744" s="46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>
      <c r="A745" s="44"/>
      <c r="B745" s="44"/>
      <c r="C745" s="45"/>
      <c r="D745" s="44"/>
      <c r="E745" s="44"/>
      <c r="F745" s="44"/>
      <c r="G745" s="44"/>
      <c r="H745" s="44"/>
      <c r="I745" s="44"/>
      <c r="J745" s="44"/>
      <c r="K745" s="44"/>
      <c r="L745" s="44"/>
      <c r="M745" s="46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>
      <c r="A746" s="44"/>
      <c r="B746" s="44"/>
      <c r="C746" s="45"/>
      <c r="D746" s="44"/>
      <c r="E746" s="44"/>
      <c r="F746" s="44"/>
      <c r="G746" s="44"/>
      <c r="H746" s="44"/>
      <c r="I746" s="44"/>
      <c r="J746" s="44"/>
      <c r="K746" s="44"/>
      <c r="L746" s="44"/>
      <c r="M746" s="46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>
      <c r="A747" s="44"/>
      <c r="B747" s="44"/>
      <c r="C747" s="45"/>
      <c r="D747" s="44"/>
      <c r="E747" s="44"/>
      <c r="F747" s="44"/>
      <c r="G747" s="44"/>
      <c r="H747" s="44"/>
      <c r="I747" s="44"/>
      <c r="J747" s="44"/>
      <c r="K747" s="44"/>
      <c r="L747" s="44"/>
      <c r="M747" s="46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>
      <c r="A748" s="44"/>
      <c r="B748" s="44"/>
      <c r="C748" s="45"/>
      <c r="D748" s="44"/>
      <c r="E748" s="44"/>
      <c r="F748" s="44"/>
      <c r="G748" s="44"/>
      <c r="H748" s="44"/>
      <c r="I748" s="44"/>
      <c r="J748" s="44"/>
      <c r="K748" s="44"/>
      <c r="L748" s="44"/>
      <c r="M748" s="46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>
      <c r="A749" s="44"/>
      <c r="B749" s="44"/>
      <c r="C749" s="45"/>
      <c r="D749" s="44"/>
      <c r="E749" s="44"/>
      <c r="F749" s="44"/>
      <c r="G749" s="44"/>
      <c r="H749" s="44"/>
      <c r="I749" s="44"/>
      <c r="J749" s="44"/>
      <c r="K749" s="44"/>
      <c r="L749" s="44"/>
      <c r="M749" s="46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>
      <c r="A750" s="44"/>
      <c r="B750" s="44"/>
      <c r="C750" s="45"/>
      <c r="D750" s="44"/>
      <c r="E750" s="44"/>
      <c r="F750" s="44"/>
      <c r="G750" s="44"/>
      <c r="H750" s="44"/>
      <c r="I750" s="44"/>
      <c r="J750" s="44"/>
      <c r="K750" s="44"/>
      <c r="L750" s="44"/>
      <c r="M750" s="46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>
      <c r="A751" s="44"/>
      <c r="B751" s="44"/>
      <c r="C751" s="45"/>
      <c r="D751" s="44"/>
      <c r="E751" s="44"/>
      <c r="F751" s="44"/>
      <c r="G751" s="44"/>
      <c r="H751" s="44"/>
      <c r="I751" s="44"/>
      <c r="J751" s="44"/>
      <c r="K751" s="44"/>
      <c r="L751" s="44"/>
      <c r="M751" s="46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>
      <c r="A752" s="44"/>
      <c r="B752" s="44"/>
      <c r="C752" s="45"/>
      <c r="D752" s="44"/>
      <c r="E752" s="44"/>
      <c r="F752" s="44"/>
      <c r="G752" s="44"/>
      <c r="H752" s="44"/>
      <c r="I752" s="44"/>
      <c r="J752" s="44"/>
      <c r="K752" s="44"/>
      <c r="L752" s="44"/>
      <c r="M752" s="46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>
      <c r="A753" s="44"/>
      <c r="B753" s="44"/>
      <c r="C753" s="45"/>
      <c r="D753" s="44"/>
      <c r="E753" s="44"/>
      <c r="F753" s="44"/>
      <c r="G753" s="44"/>
      <c r="H753" s="44"/>
      <c r="I753" s="44"/>
      <c r="J753" s="44"/>
      <c r="K753" s="44"/>
      <c r="L753" s="44"/>
      <c r="M753" s="46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>
      <c r="A754" s="44"/>
      <c r="B754" s="44"/>
      <c r="C754" s="45"/>
      <c r="D754" s="44"/>
      <c r="E754" s="44"/>
      <c r="F754" s="44"/>
      <c r="G754" s="44"/>
      <c r="H754" s="44"/>
      <c r="I754" s="44"/>
      <c r="J754" s="44"/>
      <c r="K754" s="44"/>
      <c r="L754" s="44"/>
      <c r="M754" s="46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>
      <c r="A755" s="44"/>
      <c r="B755" s="44"/>
      <c r="C755" s="45"/>
      <c r="D755" s="44"/>
      <c r="E755" s="44"/>
      <c r="F755" s="44"/>
      <c r="G755" s="44"/>
      <c r="H755" s="44"/>
      <c r="I755" s="44"/>
      <c r="J755" s="44"/>
      <c r="K755" s="44"/>
      <c r="L755" s="44"/>
      <c r="M755" s="46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>
      <c r="A756" s="44"/>
      <c r="B756" s="44"/>
      <c r="C756" s="45"/>
      <c r="D756" s="44"/>
      <c r="E756" s="44"/>
      <c r="F756" s="44"/>
      <c r="G756" s="44"/>
      <c r="H756" s="44"/>
      <c r="I756" s="44"/>
      <c r="J756" s="44"/>
      <c r="K756" s="44"/>
      <c r="L756" s="44"/>
      <c r="M756" s="46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>
      <c r="A757" s="44"/>
      <c r="B757" s="44"/>
      <c r="C757" s="45"/>
      <c r="D757" s="44"/>
      <c r="E757" s="44"/>
      <c r="F757" s="44"/>
      <c r="G757" s="44"/>
      <c r="H757" s="44"/>
      <c r="I757" s="44"/>
      <c r="J757" s="44"/>
      <c r="K757" s="44"/>
      <c r="L757" s="44"/>
      <c r="M757" s="46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>
      <c r="A758" s="44"/>
      <c r="B758" s="44"/>
      <c r="C758" s="45"/>
      <c r="D758" s="44"/>
      <c r="E758" s="44"/>
      <c r="F758" s="44"/>
      <c r="G758" s="44"/>
      <c r="H758" s="44"/>
      <c r="I758" s="44"/>
      <c r="J758" s="44"/>
      <c r="K758" s="44"/>
      <c r="L758" s="44"/>
      <c r="M758" s="46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>
      <c r="A759" s="44"/>
      <c r="B759" s="44"/>
      <c r="C759" s="45"/>
      <c r="D759" s="44"/>
      <c r="E759" s="44"/>
      <c r="F759" s="44"/>
      <c r="G759" s="44"/>
      <c r="H759" s="44"/>
      <c r="I759" s="44"/>
      <c r="J759" s="44"/>
      <c r="K759" s="44"/>
      <c r="L759" s="44"/>
      <c r="M759" s="46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>
      <c r="A760" s="44"/>
      <c r="B760" s="44"/>
      <c r="C760" s="45"/>
      <c r="D760" s="44"/>
      <c r="E760" s="44"/>
      <c r="F760" s="44"/>
      <c r="G760" s="44"/>
      <c r="H760" s="44"/>
      <c r="I760" s="44"/>
      <c r="J760" s="44"/>
      <c r="K760" s="44"/>
      <c r="L760" s="44"/>
      <c r="M760" s="46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>
      <c r="A761" s="44"/>
      <c r="B761" s="44"/>
      <c r="C761" s="45"/>
      <c r="D761" s="44"/>
      <c r="E761" s="44"/>
      <c r="F761" s="44"/>
      <c r="G761" s="44"/>
      <c r="H761" s="44"/>
      <c r="I761" s="44"/>
      <c r="J761" s="44"/>
      <c r="K761" s="44"/>
      <c r="L761" s="44"/>
      <c r="M761" s="46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>
      <c r="A762" s="44"/>
      <c r="B762" s="44"/>
      <c r="C762" s="45"/>
      <c r="D762" s="44"/>
      <c r="E762" s="44"/>
      <c r="F762" s="44"/>
      <c r="G762" s="44"/>
      <c r="H762" s="44"/>
      <c r="I762" s="44"/>
      <c r="J762" s="44"/>
      <c r="K762" s="44"/>
      <c r="L762" s="44"/>
      <c r="M762" s="46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>
      <c r="A763" s="44"/>
      <c r="B763" s="44"/>
      <c r="C763" s="45"/>
      <c r="D763" s="44"/>
      <c r="E763" s="44"/>
      <c r="F763" s="44"/>
      <c r="G763" s="44"/>
      <c r="H763" s="44"/>
      <c r="I763" s="44"/>
      <c r="J763" s="44"/>
      <c r="K763" s="44"/>
      <c r="L763" s="44"/>
      <c r="M763" s="46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>
      <c r="A764" s="44"/>
      <c r="B764" s="44"/>
      <c r="C764" s="45"/>
      <c r="D764" s="44"/>
      <c r="E764" s="44"/>
      <c r="F764" s="44"/>
      <c r="G764" s="44"/>
      <c r="H764" s="44"/>
      <c r="I764" s="44"/>
      <c r="J764" s="44"/>
      <c r="K764" s="44"/>
      <c r="L764" s="44"/>
      <c r="M764" s="46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>
      <c r="A765" s="44"/>
      <c r="B765" s="44"/>
      <c r="C765" s="45"/>
      <c r="D765" s="44"/>
      <c r="E765" s="44"/>
      <c r="F765" s="44"/>
      <c r="G765" s="44"/>
      <c r="H765" s="44"/>
      <c r="I765" s="44"/>
      <c r="J765" s="44"/>
      <c r="K765" s="44"/>
      <c r="L765" s="44"/>
      <c r="M765" s="46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>
      <c r="A766" s="44"/>
      <c r="B766" s="44"/>
      <c r="C766" s="45"/>
      <c r="D766" s="44"/>
      <c r="E766" s="44"/>
      <c r="F766" s="44"/>
      <c r="G766" s="44"/>
      <c r="H766" s="44"/>
      <c r="I766" s="44"/>
      <c r="J766" s="44"/>
      <c r="K766" s="44"/>
      <c r="L766" s="44"/>
      <c r="M766" s="46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>
      <c r="A767" s="44"/>
      <c r="B767" s="44"/>
      <c r="C767" s="45"/>
      <c r="D767" s="44"/>
      <c r="E767" s="44"/>
      <c r="F767" s="44"/>
      <c r="G767" s="44"/>
      <c r="H767" s="44"/>
      <c r="I767" s="44"/>
      <c r="J767" s="44"/>
      <c r="K767" s="44"/>
      <c r="L767" s="44"/>
      <c r="M767" s="46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>
      <c r="A768" s="44"/>
      <c r="B768" s="44"/>
      <c r="C768" s="45"/>
      <c r="D768" s="44"/>
      <c r="E768" s="44"/>
      <c r="F768" s="44"/>
      <c r="G768" s="44"/>
      <c r="H768" s="44"/>
      <c r="I768" s="44"/>
      <c r="J768" s="44"/>
      <c r="K768" s="44"/>
      <c r="L768" s="44"/>
      <c r="M768" s="46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>
      <c r="A769" s="44"/>
      <c r="B769" s="44"/>
      <c r="C769" s="45"/>
      <c r="D769" s="44"/>
      <c r="E769" s="44"/>
      <c r="F769" s="44"/>
      <c r="G769" s="44"/>
      <c r="H769" s="44"/>
      <c r="I769" s="44"/>
      <c r="J769" s="44"/>
      <c r="K769" s="44"/>
      <c r="L769" s="44"/>
      <c r="M769" s="46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>
      <c r="A770" s="44"/>
      <c r="B770" s="44"/>
      <c r="C770" s="45"/>
      <c r="D770" s="44"/>
      <c r="E770" s="44"/>
      <c r="F770" s="44"/>
      <c r="G770" s="44"/>
      <c r="H770" s="44"/>
      <c r="I770" s="44"/>
      <c r="J770" s="44"/>
      <c r="K770" s="44"/>
      <c r="L770" s="44"/>
      <c r="M770" s="46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>
      <c r="A771" s="44"/>
      <c r="B771" s="44"/>
      <c r="C771" s="45"/>
      <c r="D771" s="44"/>
      <c r="E771" s="44"/>
      <c r="F771" s="44"/>
      <c r="G771" s="44"/>
      <c r="H771" s="44"/>
      <c r="I771" s="44"/>
      <c r="J771" s="44"/>
      <c r="K771" s="44"/>
      <c r="L771" s="44"/>
      <c r="M771" s="46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>
      <c r="A772" s="44"/>
      <c r="B772" s="44"/>
      <c r="C772" s="45"/>
      <c r="D772" s="44"/>
      <c r="E772" s="44"/>
      <c r="F772" s="44"/>
      <c r="G772" s="44"/>
      <c r="H772" s="44"/>
      <c r="I772" s="44"/>
      <c r="J772" s="44"/>
      <c r="K772" s="44"/>
      <c r="L772" s="44"/>
      <c r="M772" s="46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>
      <c r="A773" s="44"/>
      <c r="B773" s="44"/>
      <c r="C773" s="45"/>
      <c r="D773" s="44"/>
      <c r="E773" s="44"/>
      <c r="F773" s="44"/>
      <c r="G773" s="44"/>
      <c r="H773" s="44"/>
      <c r="I773" s="44"/>
      <c r="J773" s="44"/>
      <c r="K773" s="44"/>
      <c r="L773" s="44"/>
      <c r="M773" s="46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>
      <c r="A774" s="44"/>
      <c r="B774" s="44"/>
      <c r="C774" s="45"/>
      <c r="D774" s="44"/>
      <c r="E774" s="44"/>
      <c r="F774" s="44"/>
      <c r="G774" s="44"/>
      <c r="H774" s="44"/>
      <c r="I774" s="44"/>
      <c r="J774" s="44"/>
      <c r="K774" s="44"/>
      <c r="L774" s="44"/>
      <c r="M774" s="46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>
      <c r="A775" s="44"/>
      <c r="B775" s="44"/>
      <c r="C775" s="45"/>
      <c r="D775" s="44"/>
      <c r="E775" s="44"/>
      <c r="F775" s="44"/>
      <c r="G775" s="44"/>
      <c r="H775" s="44"/>
      <c r="I775" s="44"/>
      <c r="J775" s="44"/>
      <c r="K775" s="44"/>
      <c r="L775" s="44"/>
      <c r="M775" s="46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>
      <c r="A776" s="44"/>
      <c r="B776" s="44"/>
      <c r="C776" s="45"/>
      <c r="D776" s="44"/>
      <c r="E776" s="44"/>
      <c r="F776" s="44"/>
      <c r="G776" s="44"/>
      <c r="H776" s="44"/>
      <c r="I776" s="44"/>
      <c r="J776" s="44"/>
      <c r="K776" s="44"/>
      <c r="L776" s="44"/>
      <c r="M776" s="46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>
      <c r="A777" s="44"/>
      <c r="B777" s="44"/>
      <c r="C777" s="45"/>
      <c r="D777" s="44"/>
      <c r="E777" s="44"/>
      <c r="F777" s="44"/>
      <c r="G777" s="44"/>
      <c r="H777" s="44"/>
      <c r="I777" s="44"/>
      <c r="J777" s="44"/>
      <c r="K777" s="44"/>
      <c r="L777" s="44"/>
      <c r="M777" s="46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>
      <c r="A778" s="44"/>
      <c r="B778" s="44"/>
      <c r="C778" s="45"/>
      <c r="D778" s="44"/>
      <c r="E778" s="44"/>
      <c r="F778" s="44"/>
      <c r="G778" s="44"/>
      <c r="H778" s="44"/>
      <c r="I778" s="44"/>
      <c r="J778" s="44"/>
      <c r="K778" s="44"/>
      <c r="L778" s="44"/>
      <c r="M778" s="46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>
      <c r="A779" s="44"/>
      <c r="B779" s="44"/>
      <c r="C779" s="45"/>
      <c r="D779" s="44"/>
      <c r="E779" s="44"/>
      <c r="F779" s="44"/>
      <c r="G779" s="44"/>
      <c r="H779" s="44"/>
      <c r="I779" s="44"/>
      <c r="J779" s="44"/>
      <c r="K779" s="44"/>
      <c r="L779" s="44"/>
      <c r="M779" s="46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>
      <c r="A780" s="44"/>
      <c r="B780" s="44"/>
      <c r="C780" s="45"/>
      <c r="D780" s="44"/>
      <c r="E780" s="44"/>
      <c r="F780" s="44"/>
      <c r="G780" s="44"/>
      <c r="H780" s="44"/>
      <c r="I780" s="44"/>
      <c r="J780" s="44"/>
      <c r="K780" s="44"/>
      <c r="L780" s="44"/>
      <c r="M780" s="46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>
      <c r="A781" s="44"/>
      <c r="B781" s="44"/>
      <c r="C781" s="45"/>
      <c r="D781" s="44"/>
      <c r="E781" s="44"/>
      <c r="F781" s="44"/>
      <c r="G781" s="44"/>
      <c r="H781" s="44"/>
      <c r="I781" s="44"/>
      <c r="J781" s="44"/>
      <c r="K781" s="44"/>
      <c r="L781" s="44"/>
      <c r="M781" s="46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>
      <c r="A782" s="44"/>
      <c r="B782" s="44"/>
      <c r="C782" s="45"/>
      <c r="D782" s="44"/>
      <c r="E782" s="44"/>
      <c r="F782" s="44"/>
      <c r="G782" s="44"/>
      <c r="H782" s="44"/>
      <c r="I782" s="44"/>
      <c r="J782" s="44"/>
      <c r="K782" s="44"/>
      <c r="L782" s="44"/>
      <c r="M782" s="46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>
      <c r="A783" s="44"/>
      <c r="B783" s="44"/>
      <c r="C783" s="45"/>
      <c r="D783" s="44"/>
      <c r="E783" s="44"/>
      <c r="F783" s="44"/>
      <c r="G783" s="44"/>
      <c r="H783" s="44"/>
      <c r="I783" s="44"/>
      <c r="J783" s="44"/>
      <c r="K783" s="44"/>
      <c r="L783" s="44"/>
      <c r="M783" s="46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>
      <c r="A784" s="44"/>
      <c r="B784" s="44"/>
      <c r="C784" s="45"/>
      <c r="D784" s="44"/>
      <c r="E784" s="44"/>
      <c r="F784" s="44"/>
      <c r="G784" s="44"/>
      <c r="H784" s="44"/>
      <c r="I784" s="44"/>
      <c r="J784" s="44"/>
      <c r="K784" s="44"/>
      <c r="L784" s="44"/>
      <c r="M784" s="46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>
      <c r="A785" s="44"/>
      <c r="B785" s="44"/>
      <c r="C785" s="45"/>
      <c r="D785" s="44"/>
      <c r="E785" s="44"/>
      <c r="F785" s="44"/>
      <c r="G785" s="44"/>
      <c r="H785" s="44"/>
      <c r="I785" s="44"/>
      <c r="J785" s="44"/>
      <c r="K785" s="44"/>
      <c r="L785" s="44"/>
      <c r="M785" s="46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>
      <c r="A786" s="44"/>
      <c r="B786" s="44"/>
      <c r="C786" s="45"/>
      <c r="D786" s="44"/>
      <c r="E786" s="44"/>
      <c r="F786" s="44"/>
      <c r="G786" s="44"/>
      <c r="H786" s="44"/>
      <c r="I786" s="44"/>
      <c r="J786" s="44"/>
      <c r="K786" s="44"/>
      <c r="L786" s="44"/>
      <c r="M786" s="46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>
      <c r="A787" s="44"/>
      <c r="B787" s="44"/>
      <c r="C787" s="45"/>
      <c r="D787" s="44"/>
      <c r="E787" s="44"/>
      <c r="F787" s="44"/>
      <c r="G787" s="44"/>
      <c r="H787" s="44"/>
      <c r="I787" s="44"/>
      <c r="J787" s="44"/>
      <c r="K787" s="44"/>
      <c r="L787" s="44"/>
      <c r="M787" s="46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>
      <c r="A788" s="44"/>
      <c r="B788" s="44"/>
      <c r="C788" s="45"/>
      <c r="D788" s="44"/>
      <c r="E788" s="44"/>
      <c r="F788" s="44"/>
      <c r="G788" s="44"/>
      <c r="H788" s="44"/>
      <c r="I788" s="44"/>
      <c r="J788" s="44"/>
      <c r="K788" s="44"/>
      <c r="L788" s="44"/>
      <c r="M788" s="46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>
      <c r="A789" s="44"/>
      <c r="B789" s="44"/>
      <c r="C789" s="45"/>
      <c r="D789" s="44"/>
      <c r="E789" s="44"/>
      <c r="F789" s="44"/>
      <c r="G789" s="44"/>
      <c r="H789" s="44"/>
      <c r="I789" s="44"/>
      <c r="J789" s="44"/>
      <c r="K789" s="44"/>
      <c r="L789" s="44"/>
      <c r="M789" s="46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>
      <c r="A790" s="44"/>
      <c r="B790" s="44"/>
      <c r="C790" s="45"/>
      <c r="D790" s="44"/>
      <c r="E790" s="44"/>
      <c r="F790" s="44"/>
      <c r="G790" s="44"/>
      <c r="H790" s="44"/>
      <c r="I790" s="44"/>
      <c r="J790" s="44"/>
      <c r="K790" s="44"/>
      <c r="L790" s="44"/>
      <c r="M790" s="46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>
      <c r="A791" s="44"/>
      <c r="B791" s="44"/>
      <c r="C791" s="45"/>
      <c r="D791" s="44"/>
      <c r="E791" s="44"/>
      <c r="F791" s="44"/>
      <c r="G791" s="44"/>
      <c r="H791" s="44"/>
      <c r="I791" s="44"/>
      <c r="J791" s="44"/>
      <c r="K791" s="44"/>
      <c r="L791" s="44"/>
      <c r="M791" s="46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>
      <c r="A792" s="44"/>
      <c r="B792" s="44"/>
      <c r="C792" s="45"/>
      <c r="D792" s="44"/>
      <c r="E792" s="44"/>
      <c r="F792" s="44"/>
      <c r="G792" s="44"/>
      <c r="H792" s="44"/>
      <c r="I792" s="44"/>
      <c r="J792" s="44"/>
      <c r="K792" s="44"/>
      <c r="L792" s="44"/>
      <c r="M792" s="46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>
      <c r="A793" s="44"/>
      <c r="B793" s="44"/>
      <c r="C793" s="45"/>
      <c r="D793" s="44"/>
      <c r="E793" s="44"/>
      <c r="F793" s="44"/>
      <c r="G793" s="44"/>
      <c r="H793" s="44"/>
      <c r="I793" s="44"/>
      <c r="J793" s="44"/>
      <c r="K793" s="44"/>
      <c r="L793" s="44"/>
      <c r="M793" s="46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>
      <c r="A794" s="44"/>
      <c r="B794" s="44"/>
      <c r="C794" s="45"/>
      <c r="D794" s="44"/>
      <c r="E794" s="44"/>
      <c r="F794" s="44"/>
      <c r="G794" s="44"/>
      <c r="H794" s="44"/>
      <c r="I794" s="44"/>
      <c r="J794" s="44"/>
      <c r="K794" s="44"/>
      <c r="L794" s="44"/>
      <c r="M794" s="46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>
      <c r="A795" s="44"/>
      <c r="B795" s="44"/>
      <c r="C795" s="45"/>
      <c r="D795" s="44"/>
      <c r="E795" s="44"/>
      <c r="F795" s="44"/>
      <c r="G795" s="44"/>
      <c r="H795" s="44"/>
      <c r="I795" s="44"/>
      <c r="J795" s="44"/>
      <c r="K795" s="44"/>
      <c r="L795" s="44"/>
      <c r="M795" s="46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>
      <c r="A796" s="44"/>
      <c r="B796" s="44"/>
      <c r="C796" s="45"/>
      <c r="D796" s="44"/>
      <c r="E796" s="44"/>
      <c r="F796" s="44"/>
      <c r="G796" s="44"/>
      <c r="H796" s="44"/>
      <c r="I796" s="44"/>
      <c r="J796" s="44"/>
      <c r="K796" s="44"/>
      <c r="L796" s="44"/>
      <c r="M796" s="46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>
      <c r="A797" s="44"/>
      <c r="B797" s="44"/>
      <c r="C797" s="45"/>
      <c r="D797" s="44"/>
      <c r="E797" s="44"/>
      <c r="F797" s="44"/>
      <c r="G797" s="44"/>
      <c r="H797" s="44"/>
      <c r="I797" s="44"/>
      <c r="J797" s="44"/>
      <c r="K797" s="44"/>
      <c r="L797" s="44"/>
      <c r="M797" s="46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>
      <c r="A798" s="44"/>
      <c r="B798" s="44"/>
      <c r="C798" s="45"/>
      <c r="D798" s="44"/>
      <c r="E798" s="44"/>
      <c r="F798" s="44"/>
      <c r="G798" s="44"/>
      <c r="H798" s="44"/>
      <c r="I798" s="44"/>
      <c r="J798" s="44"/>
      <c r="K798" s="44"/>
      <c r="L798" s="44"/>
      <c r="M798" s="46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>
      <c r="A799" s="44"/>
      <c r="B799" s="44"/>
      <c r="C799" s="45"/>
      <c r="D799" s="44"/>
      <c r="E799" s="44"/>
      <c r="F799" s="44"/>
      <c r="G799" s="44"/>
      <c r="H799" s="44"/>
      <c r="I799" s="44"/>
      <c r="J799" s="44"/>
      <c r="K799" s="44"/>
      <c r="L799" s="44"/>
      <c r="M799" s="46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>
      <c r="A800" s="44"/>
      <c r="B800" s="44"/>
      <c r="C800" s="45"/>
      <c r="D800" s="44"/>
      <c r="E800" s="44"/>
      <c r="F800" s="44"/>
      <c r="G800" s="44"/>
      <c r="H800" s="44"/>
      <c r="I800" s="44"/>
      <c r="J800" s="44"/>
      <c r="K800" s="44"/>
      <c r="L800" s="44"/>
      <c r="M800" s="46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>
      <c r="A801" s="44"/>
      <c r="B801" s="44"/>
      <c r="C801" s="45"/>
      <c r="D801" s="44"/>
      <c r="E801" s="44"/>
      <c r="F801" s="44"/>
      <c r="G801" s="44"/>
      <c r="H801" s="44"/>
      <c r="I801" s="44"/>
      <c r="J801" s="44"/>
      <c r="K801" s="44"/>
      <c r="L801" s="44"/>
      <c r="M801" s="46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>
      <c r="A802" s="44"/>
      <c r="B802" s="44"/>
      <c r="C802" s="45"/>
      <c r="D802" s="44"/>
      <c r="E802" s="44"/>
      <c r="F802" s="44"/>
      <c r="G802" s="44"/>
      <c r="H802" s="44"/>
      <c r="I802" s="44"/>
      <c r="J802" s="44"/>
      <c r="K802" s="44"/>
      <c r="L802" s="44"/>
      <c r="M802" s="46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>
      <c r="A803" s="44"/>
      <c r="B803" s="44"/>
      <c r="C803" s="45"/>
      <c r="D803" s="44"/>
      <c r="E803" s="44"/>
      <c r="F803" s="44"/>
      <c r="G803" s="44"/>
      <c r="H803" s="44"/>
      <c r="I803" s="44"/>
      <c r="J803" s="44"/>
      <c r="K803" s="44"/>
      <c r="L803" s="44"/>
      <c r="M803" s="46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>
      <c r="A804" s="44"/>
      <c r="B804" s="44"/>
      <c r="C804" s="45"/>
      <c r="D804" s="44"/>
      <c r="E804" s="44"/>
      <c r="F804" s="44"/>
      <c r="G804" s="44"/>
      <c r="H804" s="44"/>
      <c r="I804" s="44"/>
      <c r="J804" s="44"/>
      <c r="K804" s="44"/>
      <c r="L804" s="44"/>
      <c r="M804" s="46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>
      <c r="A805" s="44"/>
      <c r="B805" s="44"/>
      <c r="C805" s="45"/>
      <c r="D805" s="44"/>
      <c r="E805" s="44"/>
      <c r="F805" s="44"/>
      <c r="G805" s="44"/>
      <c r="H805" s="44"/>
      <c r="I805" s="44"/>
      <c r="J805" s="44"/>
      <c r="K805" s="44"/>
      <c r="L805" s="44"/>
      <c r="M805" s="46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>
      <c r="A806" s="44"/>
      <c r="B806" s="44"/>
      <c r="C806" s="45"/>
      <c r="D806" s="44"/>
      <c r="E806" s="44"/>
      <c r="F806" s="44"/>
      <c r="G806" s="44"/>
      <c r="H806" s="44"/>
      <c r="I806" s="44"/>
      <c r="J806" s="44"/>
      <c r="K806" s="44"/>
      <c r="L806" s="44"/>
      <c r="M806" s="46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>
      <c r="A807" s="44"/>
      <c r="B807" s="44"/>
      <c r="C807" s="45"/>
      <c r="D807" s="44"/>
      <c r="E807" s="44"/>
      <c r="F807" s="44"/>
      <c r="G807" s="44"/>
      <c r="H807" s="44"/>
      <c r="I807" s="44"/>
      <c r="J807" s="44"/>
      <c r="K807" s="44"/>
      <c r="L807" s="44"/>
      <c r="M807" s="46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>
      <c r="A808" s="44"/>
      <c r="B808" s="44"/>
      <c r="C808" s="45"/>
      <c r="D808" s="44"/>
      <c r="E808" s="44"/>
      <c r="F808" s="44"/>
      <c r="G808" s="44"/>
      <c r="H808" s="44"/>
      <c r="I808" s="44"/>
      <c r="J808" s="44"/>
      <c r="K808" s="44"/>
      <c r="L808" s="44"/>
      <c r="M808" s="46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>
      <c r="A809" s="44"/>
      <c r="B809" s="44"/>
      <c r="C809" s="45"/>
      <c r="D809" s="44"/>
      <c r="E809" s="44"/>
      <c r="F809" s="44"/>
      <c r="G809" s="44"/>
      <c r="H809" s="44"/>
      <c r="I809" s="44"/>
      <c r="J809" s="44"/>
      <c r="K809" s="44"/>
      <c r="L809" s="44"/>
      <c r="M809" s="46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>
      <c r="A810" s="44"/>
      <c r="B810" s="44"/>
      <c r="C810" s="45"/>
      <c r="D810" s="44"/>
      <c r="E810" s="44"/>
      <c r="F810" s="44"/>
      <c r="G810" s="44"/>
      <c r="H810" s="44"/>
      <c r="I810" s="44"/>
      <c r="J810" s="44"/>
      <c r="K810" s="44"/>
      <c r="L810" s="44"/>
      <c r="M810" s="46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>
      <c r="A811" s="44"/>
      <c r="B811" s="44"/>
      <c r="C811" s="45"/>
      <c r="D811" s="44"/>
      <c r="E811" s="44"/>
      <c r="F811" s="44"/>
      <c r="G811" s="44"/>
      <c r="H811" s="44"/>
      <c r="I811" s="44"/>
      <c r="J811" s="44"/>
      <c r="K811" s="44"/>
      <c r="L811" s="44"/>
      <c r="M811" s="46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>
      <c r="A812" s="44"/>
      <c r="B812" s="44"/>
      <c r="C812" s="45"/>
      <c r="D812" s="44"/>
      <c r="E812" s="44"/>
      <c r="F812" s="44"/>
      <c r="G812" s="44"/>
      <c r="H812" s="44"/>
      <c r="I812" s="44"/>
      <c r="J812" s="44"/>
      <c r="K812" s="44"/>
      <c r="L812" s="44"/>
      <c r="M812" s="46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>
      <c r="A813" s="44"/>
      <c r="B813" s="44"/>
      <c r="C813" s="45"/>
      <c r="D813" s="44"/>
      <c r="E813" s="44"/>
      <c r="F813" s="44"/>
      <c r="G813" s="44"/>
      <c r="H813" s="44"/>
      <c r="I813" s="44"/>
      <c r="J813" s="44"/>
      <c r="K813" s="44"/>
      <c r="L813" s="44"/>
      <c r="M813" s="46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>
      <c r="A814" s="44"/>
      <c r="B814" s="44"/>
      <c r="C814" s="45"/>
      <c r="D814" s="44"/>
      <c r="E814" s="44"/>
      <c r="F814" s="44"/>
      <c r="G814" s="44"/>
      <c r="H814" s="44"/>
      <c r="I814" s="44"/>
      <c r="J814" s="44"/>
      <c r="K814" s="44"/>
      <c r="L814" s="44"/>
      <c r="M814" s="46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>
      <c r="A815" s="44"/>
      <c r="B815" s="44"/>
      <c r="C815" s="45"/>
      <c r="D815" s="44"/>
      <c r="E815" s="44"/>
      <c r="F815" s="44"/>
      <c r="G815" s="44"/>
      <c r="H815" s="44"/>
      <c r="I815" s="44"/>
      <c r="J815" s="44"/>
      <c r="K815" s="44"/>
      <c r="L815" s="44"/>
      <c r="M815" s="46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>
      <c r="A816" s="44"/>
      <c r="B816" s="44"/>
      <c r="C816" s="45"/>
      <c r="D816" s="44"/>
      <c r="E816" s="44"/>
      <c r="F816" s="44"/>
      <c r="G816" s="44"/>
      <c r="H816" s="44"/>
      <c r="I816" s="44"/>
      <c r="J816" s="44"/>
      <c r="K816" s="44"/>
      <c r="L816" s="44"/>
      <c r="M816" s="46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>
      <c r="A817" s="44"/>
      <c r="B817" s="44"/>
      <c r="C817" s="45"/>
      <c r="D817" s="44"/>
      <c r="E817" s="44"/>
      <c r="F817" s="44"/>
      <c r="G817" s="44"/>
      <c r="H817" s="44"/>
      <c r="I817" s="44"/>
      <c r="J817" s="44"/>
      <c r="K817" s="44"/>
      <c r="L817" s="44"/>
      <c r="M817" s="46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>
      <c r="A818" s="44"/>
      <c r="B818" s="44"/>
      <c r="C818" s="45"/>
      <c r="D818" s="44"/>
      <c r="E818" s="44"/>
      <c r="F818" s="44"/>
      <c r="G818" s="44"/>
      <c r="H818" s="44"/>
      <c r="I818" s="44"/>
      <c r="J818" s="44"/>
      <c r="K818" s="44"/>
      <c r="L818" s="44"/>
      <c r="M818" s="46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>
      <c r="A819" s="44"/>
      <c r="B819" s="44"/>
      <c r="C819" s="45"/>
      <c r="D819" s="44"/>
      <c r="E819" s="44"/>
      <c r="F819" s="44"/>
      <c r="G819" s="44"/>
      <c r="H819" s="44"/>
      <c r="I819" s="44"/>
      <c r="J819" s="44"/>
      <c r="K819" s="44"/>
      <c r="L819" s="44"/>
      <c r="M819" s="46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>
      <c r="A820" s="44"/>
      <c r="B820" s="44"/>
      <c r="C820" s="45"/>
      <c r="D820" s="44"/>
      <c r="E820" s="44"/>
      <c r="F820" s="44"/>
      <c r="G820" s="44"/>
      <c r="H820" s="44"/>
      <c r="I820" s="44"/>
      <c r="J820" s="44"/>
      <c r="K820" s="44"/>
      <c r="L820" s="44"/>
      <c r="M820" s="46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>
      <c r="A821" s="44"/>
      <c r="B821" s="44"/>
      <c r="C821" s="45"/>
      <c r="D821" s="44"/>
      <c r="E821" s="44"/>
      <c r="F821" s="44"/>
      <c r="G821" s="44"/>
      <c r="H821" s="44"/>
      <c r="I821" s="44"/>
      <c r="J821" s="44"/>
      <c r="K821" s="44"/>
      <c r="L821" s="44"/>
      <c r="M821" s="46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>
      <c r="A822" s="44"/>
      <c r="B822" s="44"/>
      <c r="C822" s="45"/>
      <c r="D822" s="44"/>
      <c r="E822" s="44"/>
      <c r="F822" s="44"/>
      <c r="G822" s="44"/>
      <c r="H822" s="44"/>
      <c r="I822" s="44"/>
      <c r="J822" s="44"/>
      <c r="K822" s="44"/>
      <c r="L822" s="44"/>
      <c r="M822" s="46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>
      <c r="A823" s="44"/>
      <c r="B823" s="44"/>
      <c r="C823" s="45"/>
      <c r="D823" s="44"/>
      <c r="E823" s="44"/>
      <c r="F823" s="44"/>
      <c r="G823" s="44"/>
      <c r="H823" s="44"/>
      <c r="I823" s="44"/>
      <c r="J823" s="44"/>
      <c r="K823" s="44"/>
      <c r="L823" s="44"/>
      <c r="M823" s="46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>
      <c r="A824" s="44"/>
      <c r="B824" s="44"/>
      <c r="C824" s="45"/>
      <c r="D824" s="44"/>
      <c r="E824" s="44"/>
      <c r="F824" s="44"/>
      <c r="G824" s="44"/>
      <c r="H824" s="44"/>
      <c r="I824" s="44"/>
      <c r="J824" s="44"/>
      <c r="K824" s="44"/>
      <c r="L824" s="44"/>
      <c r="M824" s="46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>
      <c r="A825" s="44"/>
      <c r="B825" s="44"/>
      <c r="C825" s="45"/>
      <c r="D825" s="44"/>
      <c r="E825" s="44"/>
      <c r="F825" s="44"/>
      <c r="G825" s="44"/>
      <c r="H825" s="44"/>
      <c r="I825" s="44"/>
      <c r="J825" s="44"/>
      <c r="K825" s="44"/>
      <c r="L825" s="44"/>
      <c r="M825" s="46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>
      <c r="A826" s="44"/>
      <c r="B826" s="44"/>
      <c r="C826" s="45"/>
      <c r="D826" s="44"/>
      <c r="E826" s="44"/>
      <c r="F826" s="44"/>
      <c r="G826" s="44"/>
      <c r="H826" s="44"/>
      <c r="I826" s="44"/>
      <c r="J826" s="44"/>
      <c r="K826" s="44"/>
      <c r="L826" s="44"/>
      <c r="M826" s="46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>
      <c r="A827" s="44"/>
      <c r="B827" s="44"/>
      <c r="C827" s="45"/>
      <c r="D827" s="44"/>
      <c r="E827" s="44"/>
      <c r="F827" s="44"/>
      <c r="G827" s="44"/>
      <c r="H827" s="44"/>
      <c r="I827" s="44"/>
      <c r="J827" s="44"/>
      <c r="K827" s="44"/>
      <c r="L827" s="44"/>
      <c r="M827" s="46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>
      <c r="A828" s="44"/>
      <c r="B828" s="44"/>
      <c r="C828" s="45"/>
      <c r="D828" s="44"/>
      <c r="E828" s="44"/>
      <c r="F828" s="44"/>
      <c r="G828" s="44"/>
      <c r="H828" s="44"/>
      <c r="I828" s="44"/>
      <c r="J828" s="44"/>
      <c r="K828" s="44"/>
      <c r="L828" s="44"/>
      <c r="M828" s="46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>
      <c r="A829" s="44"/>
      <c r="B829" s="44"/>
      <c r="C829" s="45"/>
      <c r="D829" s="44"/>
      <c r="E829" s="44"/>
      <c r="F829" s="44"/>
      <c r="G829" s="44"/>
      <c r="H829" s="44"/>
      <c r="I829" s="44"/>
      <c r="J829" s="44"/>
      <c r="K829" s="44"/>
      <c r="L829" s="44"/>
      <c r="M829" s="46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>
      <c r="A830" s="44"/>
      <c r="B830" s="44"/>
      <c r="C830" s="45"/>
      <c r="D830" s="44"/>
      <c r="E830" s="44"/>
      <c r="F830" s="44"/>
      <c r="G830" s="44"/>
      <c r="H830" s="44"/>
      <c r="I830" s="44"/>
      <c r="J830" s="44"/>
      <c r="K830" s="44"/>
      <c r="L830" s="44"/>
      <c r="M830" s="46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>
      <c r="A831" s="44"/>
      <c r="B831" s="44"/>
      <c r="C831" s="45"/>
      <c r="D831" s="44"/>
      <c r="E831" s="44"/>
      <c r="F831" s="44"/>
      <c r="G831" s="44"/>
      <c r="H831" s="44"/>
      <c r="I831" s="44"/>
      <c r="J831" s="44"/>
      <c r="K831" s="44"/>
      <c r="L831" s="44"/>
      <c r="M831" s="46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>
      <c r="A832" s="44"/>
      <c r="B832" s="44"/>
      <c r="C832" s="45"/>
      <c r="D832" s="44"/>
      <c r="E832" s="44"/>
      <c r="F832" s="44"/>
      <c r="G832" s="44"/>
      <c r="H832" s="44"/>
      <c r="I832" s="44"/>
      <c r="J832" s="44"/>
      <c r="K832" s="44"/>
      <c r="L832" s="44"/>
      <c r="M832" s="46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>
      <c r="A833" s="44"/>
      <c r="B833" s="44"/>
      <c r="C833" s="45"/>
      <c r="D833" s="44"/>
      <c r="E833" s="44"/>
      <c r="F833" s="44"/>
      <c r="G833" s="44"/>
      <c r="H833" s="44"/>
      <c r="I833" s="44"/>
      <c r="J833" s="44"/>
      <c r="K833" s="44"/>
      <c r="L833" s="44"/>
      <c r="M833" s="46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>
      <c r="A834" s="44"/>
      <c r="B834" s="44"/>
      <c r="C834" s="45"/>
      <c r="D834" s="44"/>
      <c r="E834" s="44"/>
      <c r="F834" s="44"/>
      <c r="G834" s="44"/>
      <c r="H834" s="44"/>
      <c r="I834" s="44"/>
      <c r="J834" s="44"/>
      <c r="K834" s="44"/>
      <c r="L834" s="44"/>
      <c r="M834" s="46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>
      <c r="A835" s="44"/>
      <c r="B835" s="44"/>
      <c r="C835" s="45"/>
      <c r="D835" s="44"/>
      <c r="E835" s="44"/>
      <c r="F835" s="44"/>
      <c r="G835" s="44"/>
      <c r="H835" s="44"/>
      <c r="I835" s="44"/>
      <c r="J835" s="44"/>
      <c r="K835" s="44"/>
      <c r="L835" s="44"/>
      <c r="M835" s="46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>
      <c r="A836" s="44"/>
      <c r="B836" s="44"/>
      <c r="C836" s="45"/>
      <c r="D836" s="44"/>
      <c r="E836" s="44"/>
      <c r="F836" s="44"/>
      <c r="G836" s="44"/>
      <c r="H836" s="44"/>
      <c r="I836" s="44"/>
      <c r="J836" s="44"/>
      <c r="K836" s="44"/>
      <c r="L836" s="44"/>
      <c r="M836" s="46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>
      <c r="A837" s="44"/>
      <c r="B837" s="44"/>
      <c r="C837" s="45"/>
      <c r="D837" s="44"/>
      <c r="E837" s="44"/>
      <c r="F837" s="44"/>
      <c r="G837" s="44"/>
      <c r="H837" s="44"/>
      <c r="I837" s="44"/>
      <c r="J837" s="44"/>
      <c r="K837" s="44"/>
      <c r="L837" s="44"/>
      <c r="M837" s="46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>
      <c r="A838" s="44"/>
      <c r="B838" s="44"/>
      <c r="C838" s="45"/>
      <c r="D838" s="44"/>
      <c r="E838" s="44"/>
      <c r="F838" s="44"/>
      <c r="G838" s="44"/>
      <c r="H838" s="44"/>
      <c r="I838" s="44"/>
      <c r="J838" s="44"/>
      <c r="K838" s="44"/>
      <c r="L838" s="44"/>
      <c r="M838" s="46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>
      <c r="A839" s="44"/>
      <c r="B839" s="44"/>
      <c r="C839" s="45"/>
      <c r="D839" s="44"/>
      <c r="E839" s="44"/>
      <c r="F839" s="44"/>
      <c r="G839" s="44"/>
      <c r="H839" s="44"/>
      <c r="I839" s="44"/>
      <c r="J839" s="44"/>
      <c r="K839" s="44"/>
      <c r="L839" s="44"/>
      <c r="M839" s="46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>
      <c r="A840" s="44"/>
      <c r="B840" s="44"/>
      <c r="C840" s="45"/>
      <c r="D840" s="44"/>
      <c r="E840" s="44"/>
      <c r="F840" s="44"/>
      <c r="G840" s="44"/>
      <c r="H840" s="44"/>
      <c r="I840" s="44"/>
      <c r="J840" s="44"/>
      <c r="K840" s="44"/>
      <c r="L840" s="44"/>
      <c r="M840" s="46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>
      <c r="A841" s="44"/>
      <c r="B841" s="44"/>
      <c r="C841" s="45"/>
      <c r="D841" s="44"/>
      <c r="E841" s="44"/>
      <c r="F841" s="44"/>
      <c r="G841" s="44"/>
      <c r="H841" s="44"/>
      <c r="I841" s="44"/>
      <c r="J841" s="44"/>
      <c r="K841" s="44"/>
      <c r="L841" s="44"/>
      <c r="M841" s="46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>
      <c r="A842" s="44"/>
      <c r="B842" s="44"/>
      <c r="C842" s="45"/>
      <c r="D842" s="44"/>
      <c r="E842" s="44"/>
      <c r="F842" s="44"/>
      <c r="G842" s="44"/>
      <c r="H842" s="44"/>
      <c r="I842" s="44"/>
      <c r="J842" s="44"/>
      <c r="K842" s="44"/>
      <c r="L842" s="44"/>
      <c r="M842" s="46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>
      <c r="A843" s="44"/>
      <c r="B843" s="44"/>
      <c r="C843" s="45"/>
      <c r="D843" s="44"/>
      <c r="E843" s="44"/>
      <c r="F843" s="44"/>
      <c r="G843" s="44"/>
      <c r="H843" s="44"/>
      <c r="I843" s="44"/>
      <c r="J843" s="44"/>
      <c r="K843" s="44"/>
      <c r="L843" s="44"/>
      <c r="M843" s="46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>
      <c r="A844" s="44"/>
      <c r="B844" s="44"/>
      <c r="C844" s="45"/>
      <c r="D844" s="44"/>
      <c r="E844" s="44"/>
      <c r="F844" s="44"/>
      <c r="G844" s="44"/>
      <c r="H844" s="44"/>
      <c r="I844" s="44"/>
      <c r="J844" s="44"/>
      <c r="K844" s="44"/>
      <c r="L844" s="44"/>
      <c r="M844" s="46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>
      <c r="A845" s="44"/>
      <c r="B845" s="44"/>
      <c r="C845" s="45"/>
      <c r="D845" s="44"/>
      <c r="E845" s="44"/>
      <c r="F845" s="44"/>
      <c r="G845" s="44"/>
      <c r="H845" s="44"/>
      <c r="I845" s="44"/>
      <c r="J845" s="44"/>
      <c r="K845" s="44"/>
      <c r="L845" s="44"/>
      <c r="M845" s="46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>
      <c r="A846" s="44"/>
      <c r="B846" s="44"/>
      <c r="C846" s="45"/>
      <c r="D846" s="44"/>
      <c r="E846" s="44"/>
      <c r="F846" s="44"/>
      <c r="G846" s="44"/>
      <c r="H846" s="44"/>
      <c r="I846" s="44"/>
      <c r="J846" s="44"/>
      <c r="K846" s="44"/>
      <c r="L846" s="44"/>
      <c r="M846" s="46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>
      <c r="A847" s="44"/>
      <c r="B847" s="44"/>
      <c r="C847" s="45"/>
      <c r="D847" s="44"/>
      <c r="E847" s="44"/>
      <c r="F847" s="44"/>
      <c r="G847" s="44"/>
      <c r="H847" s="44"/>
      <c r="I847" s="44"/>
      <c r="J847" s="44"/>
      <c r="K847" s="44"/>
      <c r="L847" s="44"/>
      <c r="M847" s="46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>
      <c r="A848" s="44"/>
      <c r="B848" s="44"/>
      <c r="C848" s="45"/>
      <c r="D848" s="44"/>
      <c r="E848" s="44"/>
      <c r="F848" s="44"/>
      <c r="G848" s="44"/>
      <c r="H848" s="44"/>
      <c r="I848" s="44"/>
      <c r="J848" s="44"/>
      <c r="K848" s="44"/>
      <c r="L848" s="44"/>
      <c r="M848" s="46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>
      <c r="A849" s="44"/>
      <c r="B849" s="44"/>
      <c r="C849" s="45"/>
      <c r="D849" s="44"/>
      <c r="E849" s="44"/>
      <c r="F849" s="44"/>
      <c r="G849" s="44"/>
      <c r="H849" s="44"/>
      <c r="I849" s="44"/>
      <c r="J849" s="44"/>
      <c r="K849" s="44"/>
      <c r="L849" s="44"/>
      <c r="M849" s="46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>
      <c r="A850" s="44"/>
      <c r="B850" s="44"/>
      <c r="C850" s="45"/>
      <c r="D850" s="44"/>
      <c r="E850" s="44"/>
      <c r="F850" s="44"/>
      <c r="G850" s="44"/>
      <c r="H850" s="44"/>
      <c r="I850" s="44"/>
      <c r="J850" s="44"/>
      <c r="K850" s="44"/>
      <c r="L850" s="44"/>
      <c r="M850" s="46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>
      <c r="A851" s="44"/>
      <c r="B851" s="44"/>
      <c r="C851" s="45"/>
      <c r="D851" s="44"/>
      <c r="E851" s="44"/>
      <c r="F851" s="44"/>
      <c r="G851" s="44"/>
      <c r="H851" s="44"/>
      <c r="I851" s="44"/>
      <c r="J851" s="44"/>
      <c r="K851" s="44"/>
      <c r="L851" s="44"/>
      <c r="M851" s="46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>
      <c r="A852" s="44"/>
      <c r="B852" s="44"/>
      <c r="C852" s="45"/>
      <c r="D852" s="44"/>
      <c r="E852" s="44"/>
      <c r="F852" s="44"/>
      <c r="G852" s="44"/>
      <c r="H852" s="44"/>
      <c r="I852" s="44"/>
      <c r="J852" s="44"/>
      <c r="K852" s="44"/>
      <c r="L852" s="44"/>
      <c r="M852" s="46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>
      <c r="A853" s="44"/>
      <c r="B853" s="44"/>
      <c r="C853" s="45"/>
      <c r="D853" s="44"/>
      <c r="E853" s="44"/>
      <c r="F853" s="44"/>
      <c r="G853" s="44"/>
      <c r="H853" s="44"/>
      <c r="I853" s="44"/>
      <c r="J853" s="44"/>
      <c r="K853" s="44"/>
      <c r="L853" s="44"/>
      <c r="M853" s="46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>
      <c r="A854" s="44"/>
      <c r="B854" s="44"/>
      <c r="C854" s="45"/>
      <c r="D854" s="44"/>
      <c r="E854" s="44"/>
      <c r="F854" s="44"/>
      <c r="G854" s="44"/>
      <c r="H854" s="44"/>
      <c r="I854" s="44"/>
      <c r="J854" s="44"/>
      <c r="K854" s="44"/>
      <c r="L854" s="44"/>
      <c r="M854" s="46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>
      <c r="A855" s="44"/>
      <c r="B855" s="44"/>
      <c r="C855" s="45"/>
      <c r="D855" s="44"/>
      <c r="E855" s="44"/>
      <c r="F855" s="44"/>
      <c r="G855" s="44"/>
      <c r="H855" s="44"/>
      <c r="I855" s="44"/>
      <c r="J855" s="44"/>
      <c r="K855" s="44"/>
      <c r="L855" s="44"/>
      <c r="M855" s="46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>
      <c r="A856" s="44"/>
      <c r="B856" s="44"/>
      <c r="C856" s="45"/>
      <c r="D856" s="44"/>
      <c r="E856" s="44"/>
      <c r="F856" s="44"/>
      <c r="G856" s="44"/>
      <c r="H856" s="44"/>
      <c r="I856" s="44"/>
      <c r="J856" s="44"/>
      <c r="K856" s="44"/>
      <c r="L856" s="44"/>
      <c r="M856" s="46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>
      <c r="A857" s="44"/>
      <c r="B857" s="44"/>
      <c r="C857" s="45"/>
      <c r="D857" s="44"/>
      <c r="E857" s="44"/>
      <c r="F857" s="44"/>
      <c r="G857" s="44"/>
      <c r="H857" s="44"/>
      <c r="I857" s="44"/>
      <c r="J857" s="44"/>
      <c r="K857" s="44"/>
      <c r="L857" s="44"/>
      <c r="M857" s="46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>
      <c r="A858" s="44"/>
      <c r="B858" s="44"/>
      <c r="C858" s="45"/>
      <c r="D858" s="44"/>
      <c r="E858" s="44"/>
      <c r="F858" s="44"/>
      <c r="G858" s="44"/>
      <c r="H858" s="44"/>
      <c r="I858" s="44"/>
      <c r="J858" s="44"/>
      <c r="K858" s="44"/>
      <c r="L858" s="44"/>
      <c r="M858" s="46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>
      <c r="A859" s="44"/>
      <c r="B859" s="44"/>
      <c r="C859" s="45"/>
      <c r="D859" s="44"/>
      <c r="E859" s="44"/>
      <c r="F859" s="44"/>
      <c r="G859" s="44"/>
      <c r="H859" s="44"/>
      <c r="I859" s="44"/>
      <c r="J859" s="44"/>
      <c r="K859" s="44"/>
      <c r="L859" s="44"/>
      <c r="M859" s="46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>
      <c r="A860" s="44"/>
      <c r="B860" s="44"/>
      <c r="C860" s="45"/>
      <c r="D860" s="44"/>
      <c r="E860" s="44"/>
      <c r="F860" s="44"/>
      <c r="G860" s="44"/>
      <c r="H860" s="44"/>
      <c r="I860" s="44"/>
      <c r="J860" s="44"/>
      <c r="K860" s="44"/>
      <c r="L860" s="44"/>
      <c r="M860" s="46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>
      <c r="A861" s="44"/>
      <c r="B861" s="44"/>
      <c r="C861" s="45"/>
      <c r="D861" s="44"/>
      <c r="E861" s="44"/>
      <c r="F861" s="44"/>
      <c r="G861" s="44"/>
      <c r="H861" s="44"/>
      <c r="I861" s="44"/>
      <c r="J861" s="44"/>
      <c r="K861" s="44"/>
      <c r="L861" s="44"/>
      <c r="M861" s="46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>
      <c r="A862" s="44"/>
      <c r="B862" s="44"/>
      <c r="C862" s="45"/>
      <c r="D862" s="44"/>
      <c r="E862" s="44"/>
      <c r="F862" s="44"/>
      <c r="G862" s="44"/>
      <c r="H862" s="44"/>
      <c r="I862" s="44"/>
      <c r="J862" s="44"/>
      <c r="K862" s="44"/>
      <c r="L862" s="44"/>
      <c r="M862" s="46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>
      <c r="A863" s="44"/>
      <c r="B863" s="44"/>
      <c r="C863" s="45"/>
      <c r="D863" s="44"/>
      <c r="E863" s="44"/>
      <c r="F863" s="44"/>
      <c r="G863" s="44"/>
      <c r="H863" s="44"/>
      <c r="I863" s="44"/>
      <c r="J863" s="44"/>
      <c r="K863" s="44"/>
      <c r="L863" s="44"/>
      <c r="M863" s="46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>
      <c r="A864" s="44"/>
      <c r="B864" s="44"/>
      <c r="C864" s="45"/>
      <c r="D864" s="44"/>
      <c r="E864" s="44"/>
      <c r="F864" s="44"/>
      <c r="G864" s="44"/>
      <c r="H864" s="44"/>
      <c r="I864" s="44"/>
      <c r="J864" s="44"/>
      <c r="K864" s="44"/>
      <c r="L864" s="44"/>
      <c r="M864" s="46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>
      <c r="A865" s="44"/>
      <c r="B865" s="44"/>
      <c r="C865" s="45"/>
      <c r="D865" s="44"/>
      <c r="E865" s="44"/>
      <c r="F865" s="44"/>
      <c r="G865" s="44"/>
      <c r="H865" s="44"/>
      <c r="I865" s="44"/>
      <c r="J865" s="44"/>
      <c r="K865" s="44"/>
      <c r="L865" s="44"/>
      <c r="M865" s="46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>
      <c r="A866" s="44"/>
      <c r="B866" s="44"/>
      <c r="C866" s="45"/>
      <c r="D866" s="44"/>
      <c r="E866" s="44"/>
      <c r="F866" s="44"/>
      <c r="G866" s="44"/>
      <c r="H866" s="44"/>
      <c r="I866" s="44"/>
      <c r="J866" s="44"/>
      <c r="K866" s="44"/>
      <c r="L866" s="44"/>
      <c r="M866" s="46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>
      <c r="A867" s="44"/>
      <c r="B867" s="44"/>
      <c r="C867" s="45"/>
      <c r="D867" s="44"/>
      <c r="E867" s="44"/>
      <c r="F867" s="44"/>
      <c r="G867" s="44"/>
      <c r="H867" s="44"/>
      <c r="I867" s="44"/>
      <c r="J867" s="44"/>
      <c r="K867" s="44"/>
      <c r="L867" s="44"/>
      <c r="M867" s="46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>
      <c r="A868" s="44"/>
      <c r="B868" s="44"/>
      <c r="C868" s="45"/>
      <c r="D868" s="44"/>
      <c r="E868" s="44"/>
      <c r="F868" s="44"/>
      <c r="G868" s="44"/>
      <c r="H868" s="44"/>
      <c r="I868" s="44"/>
      <c r="J868" s="44"/>
      <c r="K868" s="44"/>
      <c r="L868" s="44"/>
      <c r="M868" s="46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>
      <c r="A869" s="44"/>
      <c r="B869" s="44"/>
      <c r="C869" s="45"/>
      <c r="D869" s="44"/>
      <c r="E869" s="44"/>
      <c r="F869" s="44"/>
      <c r="G869" s="44"/>
      <c r="H869" s="44"/>
      <c r="I869" s="44"/>
      <c r="J869" s="44"/>
      <c r="K869" s="44"/>
      <c r="L869" s="44"/>
      <c r="M869" s="46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>
      <c r="A870" s="44"/>
      <c r="B870" s="44"/>
      <c r="C870" s="45"/>
      <c r="D870" s="44"/>
      <c r="E870" s="44"/>
      <c r="F870" s="44"/>
      <c r="G870" s="44"/>
      <c r="H870" s="44"/>
      <c r="I870" s="44"/>
      <c r="J870" s="44"/>
      <c r="K870" s="44"/>
      <c r="L870" s="44"/>
      <c r="M870" s="46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>
      <c r="A871" s="44"/>
      <c r="B871" s="44"/>
      <c r="C871" s="45"/>
      <c r="D871" s="44"/>
      <c r="E871" s="44"/>
      <c r="F871" s="44"/>
      <c r="G871" s="44"/>
      <c r="H871" s="44"/>
      <c r="I871" s="44"/>
      <c r="J871" s="44"/>
      <c r="K871" s="44"/>
      <c r="L871" s="44"/>
      <c r="M871" s="46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>
      <c r="A872" s="44"/>
      <c r="B872" s="44"/>
      <c r="C872" s="45"/>
      <c r="D872" s="44"/>
      <c r="E872" s="44"/>
      <c r="F872" s="44"/>
      <c r="G872" s="44"/>
      <c r="H872" s="44"/>
      <c r="I872" s="44"/>
      <c r="J872" s="44"/>
      <c r="K872" s="44"/>
      <c r="L872" s="44"/>
      <c r="M872" s="46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>
      <c r="A873" s="44"/>
      <c r="B873" s="44"/>
      <c r="C873" s="45"/>
      <c r="D873" s="44"/>
      <c r="E873" s="44"/>
      <c r="F873" s="44"/>
      <c r="G873" s="44"/>
      <c r="H873" s="44"/>
      <c r="I873" s="44"/>
      <c r="J873" s="44"/>
      <c r="K873" s="44"/>
      <c r="L873" s="44"/>
      <c r="M873" s="46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>
      <c r="A874" s="44"/>
      <c r="B874" s="44"/>
      <c r="C874" s="45"/>
      <c r="D874" s="44"/>
      <c r="E874" s="44"/>
      <c r="F874" s="44"/>
      <c r="G874" s="44"/>
      <c r="H874" s="44"/>
      <c r="I874" s="44"/>
      <c r="J874" s="44"/>
      <c r="K874" s="44"/>
      <c r="L874" s="44"/>
      <c r="M874" s="46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>
      <c r="A875" s="44"/>
      <c r="B875" s="44"/>
      <c r="C875" s="45"/>
      <c r="D875" s="44"/>
      <c r="E875" s="44"/>
      <c r="F875" s="44"/>
      <c r="G875" s="44"/>
      <c r="H875" s="44"/>
      <c r="I875" s="44"/>
      <c r="J875" s="44"/>
      <c r="K875" s="44"/>
      <c r="L875" s="44"/>
      <c r="M875" s="46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>
      <c r="A876" s="44"/>
      <c r="B876" s="44"/>
      <c r="C876" s="45"/>
      <c r="D876" s="44"/>
      <c r="E876" s="44"/>
      <c r="F876" s="44"/>
      <c r="G876" s="44"/>
      <c r="H876" s="44"/>
      <c r="I876" s="44"/>
      <c r="J876" s="44"/>
      <c r="K876" s="44"/>
      <c r="L876" s="44"/>
      <c r="M876" s="46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>
      <c r="A877" s="44"/>
      <c r="B877" s="44"/>
      <c r="C877" s="45"/>
      <c r="D877" s="44"/>
      <c r="E877" s="44"/>
      <c r="F877" s="44"/>
      <c r="G877" s="44"/>
      <c r="H877" s="44"/>
      <c r="I877" s="44"/>
      <c r="J877" s="44"/>
      <c r="K877" s="44"/>
      <c r="L877" s="44"/>
      <c r="M877" s="46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>
      <c r="A878" s="44"/>
      <c r="B878" s="44"/>
      <c r="C878" s="45"/>
      <c r="D878" s="44"/>
      <c r="E878" s="44"/>
      <c r="F878" s="44"/>
      <c r="G878" s="44"/>
      <c r="H878" s="44"/>
      <c r="I878" s="44"/>
      <c r="J878" s="44"/>
      <c r="K878" s="44"/>
      <c r="L878" s="44"/>
      <c r="M878" s="46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>
      <c r="A879" s="44"/>
      <c r="B879" s="44"/>
      <c r="C879" s="45"/>
      <c r="D879" s="44"/>
      <c r="E879" s="44"/>
      <c r="F879" s="44"/>
      <c r="G879" s="44"/>
      <c r="H879" s="44"/>
      <c r="I879" s="44"/>
      <c r="J879" s="44"/>
      <c r="K879" s="44"/>
      <c r="L879" s="44"/>
      <c r="M879" s="46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>
      <c r="A880" s="44"/>
      <c r="B880" s="44"/>
      <c r="C880" s="45"/>
      <c r="D880" s="44"/>
      <c r="E880" s="44"/>
      <c r="F880" s="44"/>
      <c r="G880" s="44"/>
      <c r="H880" s="44"/>
      <c r="I880" s="44"/>
      <c r="J880" s="44"/>
      <c r="K880" s="44"/>
      <c r="L880" s="44"/>
      <c r="M880" s="46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>
      <c r="A881" s="44"/>
      <c r="B881" s="44"/>
      <c r="C881" s="45"/>
      <c r="D881" s="44"/>
      <c r="E881" s="44"/>
      <c r="F881" s="44"/>
      <c r="G881" s="44"/>
      <c r="H881" s="44"/>
      <c r="I881" s="44"/>
      <c r="J881" s="44"/>
      <c r="K881" s="44"/>
      <c r="L881" s="44"/>
      <c r="M881" s="46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>
      <c r="A882" s="44"/>
      <c r="B882" s="44"/>
      <c r="C882" s="45"/>
      <c r="D882" s="44"/>
      <c r="E882" s="44"/>
      <c r="F882" s="44"/>
      <c r="G882" s="44"/>
      <c r="H882" s="44"/>
      <c r="I882" s="44"/>
      <c r="J882" s="44"/>
      <c r="K882" s="44"/>
      <c r="L882" s="44"/>
      <c r="M882" s="46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>
      <c r="A883" s="44"/>
      <c r="B883" s="44"/>
      <c r="C883" s="45"/>
      <c r="D883" s="44"/>
      <c r="E883" s="44"/>
      <c r="F883" s="44"/>
      <c r="G883" s="44"/>
      <c r="H883" s="44"/>
      <c r="I883" s="44"/>
      <c r="J883" s="44"/>
      <c r="K883" s="44"/>
      <c r="L883" s="44"/>
      <c r="M883" s="46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>
      <c r="A884" s="44"/>
      <c r="B884" s="44"/>
      <c r="C884" s="45"/>
      <c r="D884" s="44"/>
      <c r="E884" s="44"/>
      <c r="F884" s="44"/>
      <c r="G884" s="44"/>
      <c r="H884" s="44"/>
      <c r="I884" s="44"/>
      <c r="J884" s="44"/>
      <c r="K884" s="44"/>
      <c r="L884" s="44"/>
      <c r="M884" s="46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>
      <c r="A885" s="44"/>
      <c r="B885" s="44"/>
      <c r="C885" s="45"/>
      <c r="D885" s="44"/>
      <c r="E885" s="44"/>
      <c r="F885" s="44"/>
      <c r="G885" s="44"/>
      <c r="H885" s="44"/>
      <c r="I885" s="44"/>
      <c r="J885" s="44"/>
      <c r="K885" s="44"/>
      <c r="L885" s="44"/>
      <c r="M885" s="46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>
      <c r="A886" s="44"/>
      <c r="B886" s="44"/>
      <c r="C886" s="45"/>
      <c r="D886" s="44"/>
      <c r="E886" s="44"/>
      <c r="F886" s="44"/>
      <c r="G886" s="44"/>
      <c r="H886" s="44"/>
      <c r="I886" s="44"/>
      <c r="J886" s="44"/>
      <c r="K886" s="44"/>
      <c r="L886" s="44"/>
      <c r="M886" s="46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>
      <c r="A887" s="44"/>
      <c r="B887" s="44"/>
      <c r="C887" s="45"/>
      <c r="D887" s="44"/>
      <c r="E887" s="44"/>
      <c r="F887" s="44"/>
      <c r="G887" s="44"/>
      <c r="H887" s="44"/>
      <c r="I887" s="44"/>
      <c r="J887" s="44"/>
      <c r="K887" s="44"/>
      <c r="L887" s="44"/>
      <c r="M887" s="46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>
      <c r="A888" s="44"/>
      <c r="B888" s="44"/>
      <c r="C888" s="45"/>
      <c r="D888" s="44"/>
      <c r="E888" s="44"/>
      <c r="F888" s="44"/>
      <c r="G888" s="44"/>
      <c r="H888" s="44"/>
      <c r="I888" s="44"/>
      <c r="J888" s="44"/>
      <c r="K888" s="44"/>
      <c r="L888" s="44"/>
      <c r="M888" s="46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>
      <c r="A889" s="44"/>
      <c r="B889" s="44"/>
      <c r="C889" s="45"/>
      <c r="D889" s="44"/>
      <c r="E889" s="44"/>
      <c r="F889" s="44"/>
      <c r="G889" s="44"/>
      <c r="H889" s="44"/>
      <c r="I889" s="44"/>
      <c r="J889" s="44"/>
      <c r="K889" s="44"/>
      <c r="L889" s="44"/>
      <c r="M889" s="46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>
      <c r="A890" s="44"/>
      <c r="B890" s="44"/>
      <c r="C890" s="45"/>
      <c r="D890" s="44"/>
      <c r="E890" s="44"/>
      <c r="F890" s="44"/>
      <c r="G890" s="44"/>
      <c r="H890" s="44"/>
      <c r="I890" s="44"/>
      <c r="J890" s="44"/>
      <c r="K890" s="44"/>
      <c r="L890" s="44"/>
      <c r="M890" s="46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>
      <c r="A891" s="44"/>
      <c r="B891" s="44"/>
      <c r="C891" s="45"/>
      <c r="D891" s="44"/>
      <c r="E891" s="44"/>
      <c r="F891" s="44"/>
      <c r="G891" s="44"/>
      <c r="H891" s="44"/>
      <c r="I891" s="44"/>
      <c r="J891" s="44"/>
      <c r="K891" s="44"/>
      <c r="L891" s="44"/>
      <c r="M891" s="46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>
      <c r="A892" s="44"/>
      <c r="B892" s="44"/>
      <c r="C892" s="45"/>
      <c r="D892" s="44"/>
      <c r="E892" s="44"/>
      <c r="F892" s="44"/>
      <c r="G892" s="44"/>
      <c r="H892" s="44"/>
      <c r="I892" s="44"/>
      <c r="J892" s="44"/>
      <c r="K892" s="44"/>
      <c r="L892" s="44"/>
      <c r="M892" s="46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>
      <c r="A893" s="44"/>
      <c r="B893" s="44"/>
      <c r="C893" s="45"/>
      <c r="D893" s="44"/>
      <c r="E893" s="44"/>
      <c r="F893" s="44"/>
      <c r="G893" s="44"/>
      <c r="H893" s="44"/>
      <c r="I893" s="44"/>
      <c r="J893" s="44"/>
      <c r="K893" s="44"/>
      <c r="L893" s="44"/>
      <c r="M893" s="46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>
      <c r="A894" s="44"/>
      <c r="B894" s="44"/>
      <c r="C894" s="45"/>
      <c r="D894" s="44"/>
      <c r="E894" s="44"/>
      <c r="F894" s="44"/>
      <c r="G894" s="44"/>
      <c r="H894" s="44"/>
      <c r="I894" s="44"/>
      <c r="J894" s="44"/>
      <c r="K894" s="44"/>
      <c r="L894" s="44"/>
      <c r="M894" s="46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>
      <c r="A895" s="44"/>
      <c r="B895" s="44"/>
      <c r="C895" s="45"/>
      <c r="D895" s="44"/>
      <c r="E895" s="44"/>
      <c r="F895" s="44"/>
      <c r="G895" s="44"/>
      <c r="H895" s="44"/>
      <c r="I895" s="44"/>
      <c r="J895" s="44"/>
      <c r="K895" s="44"/>
      <c r="L895" s="44"/>
      <c r="M895" s="46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>
      <c r="A896" s="44"/>
      <c r="B896" s="44"/>
      <c r="C896" s="45"/>
      <c r="D896" s="44"/>
      <c r="E896" s="44"/>
      <c r="F896" s="44"/>
      <c r="G896" s="44"/>
      <c r="H896" s="44"/>
      <c r="I896" s="44"/>
      <c r="J896" s="44"/>
      <c r="K896" s="44"/>
      <c r="L896" s="44"/>
      <c r="M896" s="46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>
      <c r="A897" s="44"/>
      <c r="B897" s="44"/>
      <c r="C897" s="45"/>
      <c r="D897" s="44"/>
      <c r="E897" s="44"/>
      <c r="F897" s="44"/>
      <c r="G897" s="44"/>
      <c r="H897" s="44"/>
      <c r="I897" s="44"/>
      <c r="J897" s="44"/>
      <c r="K897" s="44"/>
      <c r="L897" s="44"/>
      <c r="M897" s="46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>
      <c r="A898" s="44"/>
      <c r="B898" s="44"/>
      <c r="C898" s="45"/>
      <c r="D898" s="44"/>
      <c r="E898" s="44"/>
      <c r="F898" s="44"/>
      <c r="G898" s="44"/>
      <c r="H898" s="44"/>
      <c r="I898" s="44"/>
      <c r="J898" s="44"/>
      <c r="K898" s="44"/>
      <c r="L898" s="44"/>
      <c r="M898" s="46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>
      <c r="A899" s="44"/>
      <c r="B899" s="44"/>
      <c r="C899" s="45"/>
      <c r="D899" s="44"/>
      <c r="E899" s="44"/>
      <c r="F899" s="44"/>
      <c r="G899" s="44"/>
      <c r="H899" s="44"/>
      <c r="I899" s="44"/>
      <c r="J899" s="44"/>
      <c r="K899" s="44"/>
      <c r="L899" s="44"/>
      <c r="M899" s="46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>
      <c r="A900" s="44"/>
      <c r="B900" s="44"/>
      <c r="C900" s="45"/>
      <c r="D900" s="44"/>
      <c r="E900" s="44"/>
      <c r="F900" s="44"/>
      <c r="G900" s="44"/>
      <c r="H900" s="44"/>
      <c r="I900" s="44"/>
      <c r="J900" s="44"/>
      <c r="K900" s="44"/>
      <c r="L900" s="44"/>
      <c r="M900" s="46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>
      <c r="A901" s="44"/>
      <c r="B901" s="44"/>
      <c r="C901" s="45"/>
      <c r="D901" s="44"/>
      <c r="E901" s="44"/>
      <c r="F901" s="44"/>
      <c r="G901" s="44"/>
      <c r="H901" s="44"/>
      <c r="I901" s="44"/>
      <c r="J901" s="44"/>
      <c r="K901" s="44"/>
      <c r="L901" s="44"/>
      <c r="M901" s="46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>
      <c r="A902" s="44"/>
      <c r="B902" s="44"/>
      <c r="C902" s="45"/>
      <c r="D902" s="44"/>
      <c r="E902" s="44"/>
      <c r="F902" s="44"/>
      <c r="G902" s="44"/>
      <c r="H902" s="44"/>
      <c r="I902" s="44"/>
      <c r="J902" s="44"/>
      <c r="K902" s="44"/>
      <c r="L902" s="44"/>
      <c r="M902" s="46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>
      <c r="A903" s="44"/>
      <c r="B903" s="44"/>
      <c r="C903" s="45"/>
      <c r="D903" s="44"/>
      <c r="E903" s="44"/>
      <c r="F903" s="44"/>
      <c r="G903" s="44"/>
      <c r="H903" s="44"/>
      <c r="I903" s="44"/>
      <c r="J903" s="44"/>
      <c r="K903" s="44"/>
      <c r="L903" s="44"/>
      <c r="M903" s="46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>
      <c r="A904" s="44"/>
      <c r="B904" s="44"/>
      <c r="C904" s="45"/>
      <c r="D904" s="44"/>
      <c r="E904" s="44"/>
      <c r="F904" s="44"/>
      <c r="G904" s="44"/>
      <c r="H904" s="44"/>
      <c r="I904" s="44"/>
      <c r="J904" s="44"/>
      <c r="K904" s="44"/>
      <c r="L904" s="44"/>
      <c r="M904" s="46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>
      <c r="A905" s="44"/>
      <c r="B905" s="44"/>
      <c r="C905" s="45"/>
      <c r="D905" s="44"/>
      <c r="E905" s="44"/>
      <c r="F905" s="44"/>
      <c r="G905" s="44"/>
      <c r="H905" s="44"/>
      <c r="I905" s="44"/>
      <c r="J905" s="44"/>
      <c r="K905" s="44"/>
      <c r="L905" s="44"/>
      <c r="M905" s="46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>
      <c r="A906" s="44"/>
      <c r="B906" s="44"/>
      <c r="C906" s="45"/>
      <c r="D906" s="44"/>
      <c r="E906" s="44"/>
      <c r="F906" s="44"/>
      <c r="G906" s="44"/>
      <c r="H906" s="44"/>
      <c r="I906" s="44"/>
      <c r="J906" s="44"/>
      <c r="K906" s="44"/>
      <c r="L906" s="44"/>
      <c r="M906" s="46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>
      <c r="A907" s="44"/>
      <c r="B907" s="44"/>
      <c r="C907" s="45"/>
      <c r="D907" s="44"/>
      <c r="E907" s="44"/>
      <c r="F907" s="44"/>
      <c r="G907" s="44"/>
      <c r="H907" s="44"/>
      <c r="I907" s="44"/>
      <c r="J907" s="44"/>
      <c r="K907" s="44"/>
      <c r="L907" s="44"/>
      <c r="M907" s="46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>
      <c r="A908" s="44"/>
      <c r="B908" s="44"/>
      <c r="C908" s="45"/>
      <c r="D908" s="44"/>
      <c r="E908" s="44"/>
      <c r="F908" s="44"/>
      <c r="G908" s="44"/>
      <c r="H908" s="44"/>
      <c r="I908" s="44"/>
      <c r="J908" s="44"/>
      <c r="K908" s="44"/>
      <c r="L908" s="44"/>
      <c r="M908" s="46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>
      <c r="A909" s="44"/>
      <c r="B909" s="44"/>
      <c r="C909" s="45"/>
      <c r="D909" s="44"/>
      <c r="E909" s="44"/>
      <c r="F909" s="44"/>
      <c r="G909" s="44"/>
      <c r="H909" s="44"/>
      <c r="I909" s="44"/>
      <c r="J909" s="44"/>
      <c r="K909" s="44"/>
      <c r="L909" s="44"/>
      <c r="M909" s="46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>
      <c r="A910" s="44"/>
      <c r="B910" s="44"/>
      <c r="C910" s="45"/>
      <c r="D910" s="44"/>
      <c r="E910" s="44"/>
      <c r="F910" s="44"/>
      <c r="G910" s="44"/>
      <c r="H910" s="44"/>
      <c r="I910" s="44"/>
      <c r="J910" s="44"/>
      <c r="K910" s="44"/>
      <c r="L910" s="44"/>
      <c r="M910" s="46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>
      <c r="A911" s="44"/>
      <c r="B911" s="44"/>
      <c r="C911" s="45"/>
      <c r="D911" s="44"/>
      <c r="E911" s="44"/>
      <c r="F911" s="44"/>
      <c r="G911" s="44"/>
      <c r="H911" s="44"/>
      <c r="I911" s="44"/>
      <c r="J911" s="44"/>
      <c r="K911" s="44"/>
      <c r="L911" s="44"/>
      <c r="M911" s="46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>
      <c r="A912" s="44"/>
      <c r="B912" s="44"/>
      <c r="C912" s="45"/>
      <c r="D912" s="44"/>
      <c r="E912" s="44"/>
      <c r="F912" s="44"/>
      <c r="G912" s="44"/>
      <c r="H912" s="44"/>
      <c r="I912" s="44"/>
      <c r="J912" s="44"/>
      <c r="K912" s="44"/>
      <c r="L912" s="44"/>
      <c r="M912" s="46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>
      <c r="A913" s="44"/>
      <c r="B913" s="44"/>
      <c r="C913" s="45"/>
      <c r="D913" s="44"/>
      <c r="E913" s="44"/>
      <c r="F913" s="44"/>
      <c r="G913" s="44"/>
      <c r="H913" s="44"/>
      <c r="I913" s="44"/>
      <c r="J913" s="44"/>
      <c r="K913" s="44"/>
      <c r="L913" s="44"/>
      <c r="M913" s="46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>
      <c r="A914" s="44"/>
      <c r="B914" s="44"/>
      <c r="C914" s="45"/>
      <c r="D914" s="44"/>
      <c r="E914" s="44"/>
      <c r="F914" s="44"/>
      <c r="G914" s="44"/>
      <c r="H914" s="44"/>
      <c r="I914" s="44"/>
      <c r="J914" s="44"/>
      <c r="K914" s="44"/>
      <c r="L914" s="44"/>
      <c r="M914" s="46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>
      <c r="A915" s="44"/>
      <c r="B915" s="44"/>
      <c r="C915" s="45"/>
      <c r="D915" s="44"/>
      <c r="E915" s="44"/>
      <c r="F915" s="44"/>
      <c r="G915" s="44"/>
      <c r="H915" s="44"/>
      <c r="I915" s="44"/>
      <c r="J915" s="44"/>
      <c r="K915" s="44"/>
      <c r="L915" s="44"/>
      <c r="M915" s="46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>
      <c r="A916" s="44"/>
      <c r="B916" s="44"/>
      <c r="C916" s="45"/>
      <c r="D916" s="44"/>
      <c r="E916" s="44"/>
      <c r="F916" s="44"/>
      <c r="G916" s="44"/>
      <c r="H916" s="44"/>
      <c r="I916" s="44"/>
      <c r="J916" s="44"/>
      <c r="K916" s="44"/>
      <c r="L916" s="44"/>
      <c r="M916" s="46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>
      <c r="A917" s="44"/>
      <c r="B917" s="44"/>
      <c r="C917" s="45"/>
      <c r="D917" s="44"/>
      <c r="E917" s="44"/>
      <c r="F917" s="44"/>
      <c r="G917" s="44"/>
      <c r="H917" s="44"/>
      <c r="I917" s="44"/>
      <c r="J917" s="44"/>
      <c r="K917" s="44"/>
      <c r="L917" s="44"/>
      <c r="M917" s="46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>
      <c r="A918" s="44"/>
      <c r="B918" s="44"/>
      <c r="C918" s="45"/>
      <c r="D918" s="44"/>
      <c r="E918" s="44"/>
      <c r="F918" s="44"/>
      <c r="G918" s="44"/>
      <c r="H918" s="44"/>
      <c r="I918" s="44"/>
      <c r="J918" s="44"/>
      <c r="K918" s="44"/>
      <c r="L918" s="44"/>
      <c r="M918" s="46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>
      <c r="A919" s="44"/>
      <c r="B919" s="44"/>
      <c r="C919" s="45"/>
      <c r="D919" s="44"/>
      <c r="E919" s="44"/>
      <c r="F919" s="44"/>
      <c r="G919" s="44"/>
      <c r="H919" s="44"/>
      <c r="I919" s="44"/>
      <c r="J919" s="44"/>
      <c r="K919" s="44"/>
      <c r="L919" s="44"/>
      <c r="M919" s="46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>
      <c r="A920" s="44"/>
      <c r="B920" s="44"/>
      <c r="C920" s="45"/>
      <c r="D920" s="44"/>
      <c r="E920" s="44"/>
      <c r="F920" s="44"/>
      <c r="G920" s="44"/>
      <c r="H920" s="44"/>
      <c r="I920" s="44"/>
      <c r="J920" s="44"/>
      <c r="K920" s="44"/>
      <c r="L920" s="44"/>
      <c r="M920" s="46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>
      <c r="A921" s="44"/>
      <c r="B921" s="44"/>
      <c r="C921" s="45"/>
      <c r="D921" s="44"/>
      <c r="E921" s="44"/>
      <c r="F921" s="44"/>
      <c r="G921" s="44"/>
      <c r="H921" s="44"/>
      <c r="I921" s="44"/>
      <c r="J921" s="44"/>
      <c r="K921" s="44"/>
      <c r="L921" s="44"/>
      <c r="M921" s="46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>
      <c r="A922" s="44"/>
      <c r="B922" s="44"/>
      <c r="C922" s="45"/>
      <c r="D922" s="44"/>
      <c r="E922" s="44"/>
      <c r="F922" s="44"/>
      <c r="G922" s="44"/>
      <c r="H922" s="44"/>
      <c r="I922" s="44"/>
      <c r="J922" s="44"/>
      <c r="K922" s="44"/>
      <c r="L922" s="44"/>
      <c r="M922" s="46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>
      <c r="A923" s="44"/>
      <c r="B923" s="44"/>
      <c r="C923" s="45"/>
      <c r="D923" s="44"/>
      <c r="E923" s="44"/>
      <c r="F923" s="44"/>
      <c r="G923" s="44"/>
      <c r="H923" s="44"/>
      <c r="I923" s="44"/>
      <c r="J923" s="44"/>
      <c r="K923" s="44"/>
      <c r="L923" s="44"/>
      <c r="M923" s="46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>
      <c r="A924" s="44"/>
      <c r="B924" s="44"/>
      <c r="C924" s="45"/>
      <c r="D924" s="44"/>
      <c r="E924" s="44"/>
      <c r="F924" s="44"/>
      <c r="G924" s="44"/>
      <c r="H924" s="44"/>
      <c r="I924" s="44"/>
      <c r="J924" s="44"/>
      <c r="K924" s="44"/>
      <c r="L924" s="44"/>
      <c r="M924" s="46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>
      <c r="A925" s="44"/>
      <c r="B925" s="44"/>
      <c r="C925" s="45"/>
      <c r="D925" s="44"/>
      <c r="E925" s="44"/>
      <c r="F925" s="44"/>
      <c r="G925" s="44"/>
      <c r="H925" s="44"/>
      <c r="I925" s="44"/>
      <c r="J925" s="44"/>
      <c r="K925" s="44"/>
      <c r="L925" s="44"/>
      <c r="M925" s="46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>
      <c r="A926" s="44"/>
      <c r="B926" s="44"/>
      <c r="C926" s="45"/>
      <c r="D926" s="44"/>
      <c r="E926" s="44"/>
      <c r="F926" s="44"/>
      <c r="G926" s="44"/>
      <c r="H926" s="44"/>
      <c r="I926" s="44"/>
      <c r="J926" s="44"/>
      <c r="K926" s="44"/>
      <c r="L926" s="44"/>
      <c r="M926" s="46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>
      <c r="A927" s="44"/>
      <c r="B927" s="44"/>
      <c r="C927" s="45"/>
      <c r="D927" s="44"/>
      <c r="E927" s="44"/>
      <c r="F927" s="44"/>
      <c r="G927" s="44"/>
      <c r="H927" s="44"/>
      <c r="I927" s="44"/>
      <c r="J927" s="44"/>
      <c r="K927" s="44"/>
      <c r="L927" s="44"/>
      <c r="M927" s="46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>
      <c r="A928" s="44"/>
      <c r="B928" s="44"/>
      <c r="C928" s="45"/>
      <c r="D928" s="44"/>
      <c r="E928" s="44"/>
      <c r="F928" s="44"/>
      <c r="G928" s="44"/>
      <c r="H928" s="44"/>
      <c r="I928" s="44"/>
      <c r="J928" s="44"/>
      <c r="K928" s="44"/>
      <c r="L928" s="44"/>
      <c r="M928" s="46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>
      <c r="A929" s="44"/>
      <c r="B929" s="44"/>
      <c r="C929" s="45"/>
      <c r="D929" s="44"/>
      <c r="E929" s="44"/>
      <c r="F929" s="44"/>
      <c r="G929" s="44"/>
      <c r="H929" s="44"/>
      <c r="I929" s="44"/>
      <c r="J929" s="44"/>
      <c r="K929" s="44"/>
      <c r="L929" s="44"/>
      <c r="M929" s="46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>
      <c r="A930" s="44"/>
      <c r="B930" s="44"/>
      <c r="C930" s="45"/>
      <c r="D930" s="44"/>
      <c r="E930" s="44"/>
      <c r="F930" s="44"/>
      <c r="G930" s="44"/>
      <c r="H930" s="44"/>
      <c r="I930" s="44"/>
      <c r="J930" s="44"/>
      <c r="K930" s="44"/>
      <c r="L930" s="44"/>
      <c r="M930" s="46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>
      <c r="A931" s="44"/>
      <c r="B931" s="44"/>
      <c r="C931" s="45"/>
      <c r="D931" s="44"/>
      <c r="E931" s="44"/>
      <c r="F931" s="44"/>
      <c r="G931" s="44"/>
      <c r="H931" s="44"/>
      <c r="I931" s="44"/>
      <c r="J931" s="44"/>
      <c r="K931" s="44"/>
      <c r="L931" s="44"/>
      <c r="M931" s="46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>
      <c r="A932" s="44"/>
      <c r="B932" s="44"/>
      <c r="C932" s="45"/>
      <c r="D932" s="44"/>
      <c r="E932" s="44"/>
      <c r="F932" s="44"/>
      <c r="G932" s="44"/>
      <c r="H932" s="44"/>
      <c r="I932" s="44"/>
      <c r="J932" s="44"/>
      <c r="K932" s="44"/>
      <c r="L932" s="44"/>
      <c r="M932" s="46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>
      <c r="A933" s="44"/>
      <c r="B933" s="44"/>
      <c r="C933" s="45"/>
      <c r="D933" s="44"/>
      <c r="E933" s="44"/>
      <c r="F933" s="44"/>
      <c r="G933" s="44"/>
      <c r="H933" s="44"/>
      <c r="I933" s="44"/>
      <c r="J933" s="44"/>
      <c r="K933" s="44"/>
      <c r="L933" s="44"/>
      <c r="M933" s="46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>
      <c r="A934" s="44"/>
      <c r="B934" s="44"/>
      <c r="C934" s="45"/>
      <c r="D934" s="44"/>
      <c r="E934" s="44"/>
      <c r="F934" s="44"/>
      <c r="G934" s="44"/>
      <c r="H934" s="44"/>
      <c r="I934" s="44"/>
      <c r="J934" s="44"/>
      <c r="K934" s="44"/>
      <c r="L934" s="44"/>
      <c r="M934" s="46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>
      <c r="A935" s="44"/>
      <c r="B935" s="44"/>
      <c r="C935" s="45"/>
      <c r="D935" s="44"/>
      <c r="E935" s="44"/>
      <c r="F935" s="44"/>
      <c r="G935" s="44"/>
      <c r="H935" s="44"/>
      <c r="I935" s="44"/>
      <c r="J935" s="44"/>
      <c r="K935" s="44"/>
      <c r="L935" s="44"/>
      <c r="M935" s="46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>
      <c r="A936" s="44"/>
      <c r="B936" s="44"/>
      <c r="C936" s="45"/>
      <c r="D936" s="44"/>
      <c r="E936" s="44"/>
      <c r="F936" s="44"/>
      <c r="G936" s="44"/>
      <c r="H936" s="44"/>
      <c r="I936" s="44"/>
      <c r="J936" s="44"/>
      <c r="K936" s="44"/>
      <c r="L936" s="44"/>
      <c r="M936" s="46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>
      <c r="A937" s="44"/>
      <c r="B937" s="44"/>
      <c r="C937" s="45"/>
      <c r="D937" s="44"/>
      <c r="E937" s="44"/>
      <c r="F937" s="44"/>
      <c r="G937" s="44"/>
      <c r="H937" s="44"/>
      <c r="I937" s="44"/>
      <c r="J937" s="44"/>
      <c r="K937" s="44"/>
      <c r="L937" s="44"/>
      <c r="M937" s="46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>
      <c r="A938" s="44"/>
      <c r="B938" s="44"/>
      <c r="C938" s="45"/>
      <c r="D938" s="44"/>
      <c r="E938" s="44"/>
      <c r="F938" s="44"/>
      <c r="G938" s="44"/>
      <c r="H938" s="44"/>
      <c r="I938" s="44"/>
      <c r="J938" s="44"/>
      <c r="K938" s="44"/>
      <c r="L938" s="44"/>
      <c r="M938" s="46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>
      <c r="A939" s="44"/>
      <c r="B939" s="44"/>
      <c r="C939" s="45"/>
      <c r="D939" s="44"/>
      <c r="E939" s="44"/>
      <c r="F939" s="44"/>
      <c r="G939" s="44"/>
      <c r="H939" s="44"/>
      <c r="I939" s="44"/>
      <c r="J939" s="44"/>
      <c r="K939" s="44"/>
      <c r="L939" s="44"/>
      <c r="M939" s="46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>
      <c r="A940" s="44"/>
      <c r="B940" s="44"/>
      <c r="C940" s="45"/>
      <c r="D940" s="44"/>
      <c r="E940" s="44"/>
      <c r="F940" s="44"/>
      <c r="G940" s="44"/>
      <c r="H940" s="44"/>
      <c r="I940" s="44"/>
      <c r="J940" s="44"/>
      <c r="K940" s="44"/>
      <c r="L940" s="44"/>
      <c r="M940" s="46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>
      <c r="A941" s="44"/>
      <c r="B941" s="44"/>
      <c r="C941" s="45"/>
      <c r="D941" s="44"/>
      <c r="E941" s="44"/>
      <c r="F941" s="44"/>
      <c r="G941" s="44"/>
      <c r="H941" s="44"/>
      <c r="I941" s="44"/>
      <c r="J941" s="44"/>
      <c r="K941" s="44"/>
      <c r="L941" s="44"/>
      <c r="M941" s="46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>
      <c r="A942" s="44"/>
      <c r="B942" s="44"/>
      <c r="C942" s="45"/>
      <c r="D942" s="44"/>
      <c r="E942" s="44"/>
      <c r="F942" s="44"/>
      <c r="G942" s="44"/>
      <c r="H942" s="44"/>
      <c r="I942" s="44"/>
      <c r="J942" s="44"/>
      <c r="K942" s="44"/>
      <c r="L942" s="44"/>
      <c r="M942" s="46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>
      <c r="A943" s="44"/>
      <c r="B943" s="44"/>
      <c r="C943" s="45"/>
      <c r="D943" s="44"/>
      <c r="E943" s="44"/>
      <c r="F943" s="44"/>
      <c r="G943" s="44"/>
      <c r="H943" s="44"/>
      <c r="I943" s="44"/>
      <c r="J943" s="44"/>
      <c r="K943" s="44"/>
      <c r="L943" s="44"/>
      <c r="M943" s="46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>
      <c r="A944" s="44"/>
      <c r="B944" s="44"/>
      <c r="C944" s="45"/>
      <c r="D944" s="44"/>
      <c r="E944" s="44"/>
      <c r="F944" s="44"/>
      <c r="G944" s="44"/>
      <c r="H944" s="44"/>
      <c r="I944" s="44"/>
      <c r="J944" s="44"/>
      <c r="K944" s="44"/>
      <c r="L944" s="44"/>
      <c r="M944" s="46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>
      <c r="A945" s="44"/>
      <c r="B945" s="44"/>
      <c r="C945" s="45"/>
      <c r="D945" s="44"/>
      <c r="E945" s="44"/>
      <c r="F945" s="44"/>
      <c r="G945" s="44"/>
      <c r="H945" s="44"/>
      <c r="I945" s="44"/>
      <c r="J945" s="44"/>
      <c r="K945" s="44"/>
      <c r="L945" s="44"/>
      <c r="M945" s="46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>
      <c r="A946" s="44"/>
      <c r="B946" s="44"/>
      <c r="C946" s="45"/>
      <c r="D946" s="44"/>
      <c r="E946" s="44"/>
      <c r="F946" s="44"/>
      <c r="G946" s="44"/>
      <c r="H946" s="44"/>
      <c r="I946" s="44"/>
      <c r="J946" s="44"/>
      <c r="K946" s="44"/>
      <c r="L946" s="44"/>
      <c r="M946" s="46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>
      <c r="A947" s="44"/>
      <c r="B947" s="44"/>
      <c r="C947" s="45"/>
      <c r="D947" s="44"/>
      <c r="E947" s="44"/>
      <c r="F947" s="44"/>
      <c r="G947" s="44"/>
      <c r="H947" s="44"/>
      <c r="I947" s="44"/>
      <c r="J947" s="44"/>
      <c r="K947" s="44"/>
      <c r="L947" s="44"/>
      <c r="M947" s="46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>
      <c r="A948" s="44"/>
      <c r="B948" s="44"/>
      <c r="C948" s="45"/>
      <c r="D948" s="44"/>
      <c r="E948" s="44"/>
      <c r="F948" s="44"/>
      <c r="G948" s="44"/>
      <c r="H948" s="44"/>
      <c r="I948" s="44"/>
      <c r="J948" s="44"/>
      <c r="K948" s="44"/>
      <c r="L948" s="44"/>
      <c r="M948" s="46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>
      <c r="A949" s="44"/>
      <c r="B949" s="44"/>
      <c r="C949" s="45"/>
      <c r="D949" s="44"/>
      <c r="E949" s="44"/>
      <c r="F949" s="44"/>
      <c r="G949" s="44"/>
      <c r="H949" s="44"/>
      <c r="I949" s="44"/>
      <c r="J949" s="44"/>
      <c r="K949" s="44"/>
      <c r="L949" s="44"/>
      <c r="M949" s="46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>
      <c r="A950" s="44"/>
      <c r="B950" s="44"/>
      <c r="C950" s="45"/>
      <c r="D950" s="44"/>
      <c r="E950" s="44"/>
      <c r="F950" s="44"/>
      <c r="G950" s="44"/>
      <c r="H950" s="44"/>
      <c r="I950" s="44"/>
      <c r="J950" s="44"/>
      <c r="K950" s="44"/>
      <c r="L950" s="44"/>
      <c r="M950" s="46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>
      <c r="A951" s="44"/>
      <c r="B951" s="44"/>
      <c r="C951" s="45"/>
      <c r="D951" s="44"/>
      <c r="E951" s="44"/>
      <c r="F951" s="44"/>
      <c r="G951" s="44"/>
      <c r="H951" s="44"/>
      <c r="I951" s="44"/>
      <c r="J951" s="44"/>
      <c r="K951" s="44"/>
      <c r="L951" s="44"/>
      <c r="M951" s="46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>
      <c r="A952" s="44"/>
      <c r="B952" s="44"/>
      <c r="C952" s="45"/>
      <c r="D952" s="44"/>
      <c r="E952" s="44"/>
      <c r="F952" s="44"/>
      <c r="G952" s="44"/>
      <c r="H952" s="44"/>
      <c r="I952" s="44"/>
      <c r="J952" s="44"/>
      <c r="K952" s="44"/>
      <c r="L952" s="44"/>
      <c r="M952" s="46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>
      <c r="A953" s="44"/>
      <c r="B953" s="44"/>
      <c r="C953" s="45"/>
      <c r="D953" s="44"/>
      <c r="E953" s="44"/>
      <c r="F953" s="44"/>
      <c r="G953" s="44"/>
      <c r="H953" s="44"/>
      <c r="I953" s="44"/>
      <c r="J953" s="44"/>
      <c r="K953" s="44"/>
      <c r="L953" s="44"/>
      <c r="M953" s="46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>
      <c r="A954" s="44"/>
      <c r="B954" s="44"/>
      <c r="C954" s="45"/>
      <c r="D954" s="44"/>
      <c r="E954" s="44"/>
      <c r="F954" s="44"/>
      <c r="G954" s="44"/>
      <c r="H954" s="44"/>
      <c r="I954" s="44"/>
      <c r="J954" s="44"/>
      <c r="K954" s="44"/>
      <c r="L954" s="44"/>
      <c r="M954" s="46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>
      <c r="A955" s="44"/>
      <c r="B955" s="44"/>
      <c r="C955" s="45"/>
      <c r="D955" s="44"/>
      <c r="E955" s="44"/>
      <c r="F955" s="44"/>
      <c r="G955" s="44"/>
      <c r="H955" s="44"/>
      <c r="I955" s="44"/>
      <c r="J955" s="44"/>
      <c r="K955" s="44"/>
      <c r="L955" s="44"/>
      <c r="M955" s="46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>
      <c r="A956" s="44"/>
      <c r="B956" s="44"/>
      <c r="C956" s="45"/>
      <c r="D956" s="44"/>
      <c r="E956" s="44"/>
      <c r="F956" s="44"/>
      <c r="G956" s="44"/>
      <c r="H956" s="44"/>
      <c r="I956" s="44"/>
      <c r="J956" s="44"/>
      <c r="K956" s="44"/>
      <c r="L956" s="44"/>
      <c r="M956" s="46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>
      <c r="A957" s="44"/>
      <c r="B957" s="44"/>
      <c r="C957" s="45"/>
      <c r="D957" s="44"/>
      <c r="E957" s="44"/>
      <c r="F957" s="44"/>
      <c r="G957" s="44"/>
      <c r="H957" s="44"/>
      <c r="I957" s="44"/>
      <c r="J957" s="44"/>
      <c r="K957" s="44"/>
      <c r="L957" s="44"/>
      <c r="M957" s="46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>
      <c r="A958" s="44"/>
      <c r="B958" s="44"/>
      <c r="C958" s="45"/>
      <c r="D958" s="44"/>
      <c r="E958" s="44"/>
      <c r="F958" s="44"/>
      <c r="G958" s="44"/>
      <c r="H958" s="44"/>
      <c r="I958" s="44"/>
      <c r="J958" s="44"/>
      <c r="K958" s="44"/>
      <c r="L958" s="44"/>
      <c r="M958" s="46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>
      <c r="A959" s="44"/>
      <c r="B959" s="44"/>
      <c r="C959" s="45"/>
      <c r="D959" s="44"/>
      <c r="E959" s="44"/>
      <c r="F959" s="44"/>
      <c r="G959" s="44"/>
      <c r="H959" s="44"/>
      <c r="I959" s="44"/>
      <c r="J959" s="44"/>
      <c r="K959" s="44"/>
      <c r="L959" s="44"/>
      <c r="M959" s="46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>
      <c r="A960" s="44"/>
      <c r="B960" s="44"/>
      <c r="C960" s="45"/>
      <c r="D960" s="44"/>
      <c r="E960" s="44"/>
      <c r="F960" s="44"/>
      <c r="G960" s="44"/>
      <c r="H960" s="44"/>
      <c r="I960" s="44"/>
      <c r="J960" s="44"/>
      <c r="K960" s="44"/>
      <c r="L960" s="44"/>
      <c r="M960" s="46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>
      <c r="A961" s="44"/>
      <c r="B961" s="44"/>
      <c r="C961" s="45"/>
      <c r="D961" s="44"/>
      <c r="E961" s="44"/>
      <c r="F961" s="44"/>
      <c r="G961" s="44"/>
      <c r="H961" s="44"/>
      <c r="I961" s="44"/>
      <c r="J961" s="44"/>
      <c r="K961" s="44"/>
      <c r="L961" s="44"/>
      <c r="M961" s="46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>
      <c r="A962" s="44"/>
      <c r="B962" s="44"/>
      <c r="C962" s="45"/>
      <c r="D962" s="44"/>
      <c r="E962" s="44"/>
      <c r="F962" s="44"/>
      <c r="G962" s="44"/>
      <c r="H962" s="44"/>
      <c r="I962" s="44"/>
      <c r="J962" s="44"/>
      <c r="K962" s="44"/>
      <c r="L962" s="44"/>
      <c r="M962" s="46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>
      <c r="A963" s="44"/>
      <c r="B963" s="44"/>
      <c r="C963" s="45"/>
      <c r="D963" s="44"/>
      <c r="E963" s="44"/>
      <c r="F963" s="44"/>
      <c r="G963" s="44"/>
      <c r="H963" s="44"/>
      <c r="I963" s="44"/>
      <c r="J963" s="44"/>
      <c r="K963" s="44"/>
      <c r="L963" s="44"/>
      <c r="M963" s="46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>
      <c r="A964" s="44"/>
      <c r="B964" s="44"/>
      <c r="C964" s="45"/>
      <c r="D964" s="44"/>
      <c r="E964" s="44"/>
      <c r="F964" s="44"/>
      <c r="G964" s="44"/>
      <c r="H964" s="44"/>
      <c r="I964" s="44"/>
      <c r="J964" s="44"/>
      <c r="K964" s="44"/>
      <c r="L964" s="44"/>
      <c r="M964" s="46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>
      <c r="A965" s="44"/>
      <c r="B965" s="44"/>
      <c r="C965" s="45"/>
      <c r="D965" s="44"/>
      <c r="E965" s="44"/>
      <c r="F965" s="44"/>
      <c r="G965" s="44"/>
      <c r="H965" s="44"/>
      <c r="I965" s="44"/>
      <c r="J965" s="44"/>
      <c r="K965" s="44"/>
      <c r="L965" s="44"/>
      <c r="M965" s="46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>
      <c r="A966" s="44"/>
      <c r="B966" s="44"/>
      <c r="C966" s="45"/>
      <c r="D966" s="44"/>
      <c r="E966" s="44"/>
      <c r="F966" s="44"/>
      <c r="G966" s="44"/>
      <c r="H966" s="44"/>
      <c r="I966" s="44"/>
      <c r="J966" s="44"/>
      <c r="K966" s="44"/>
      <c r="L966" s="44"/>
      <c r="M966" s="46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>
      <c r="A967" s="44"/>
      <c r="B967" s="44"/>
      <c r="C967" s="45"/>
      <c r="D967" s="44"/>
      <c r="E967" s="44"/>
      <c r="F967" s="44"/>
      <c r="G967" s="44"/>
      <c r="H967" s="44"/>
      <c r="I967" s="44"/>
      <c r="J967" s="44"/>
      <c r="K967" s="44"/>
      <c r="L967" s="44"/>
      <c r="M967" s="46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>
      <c r="A968" s="44"/>
      <c r="B968" s="44"/>
      <c r="C968" s="45"/>
      <c r="D968" s="44"/>
      <c r="E968" s="44"/>
      <c r="F968" s="44"/>
      <c r="G968" s="44"/>
      <c r="H968" s="44"/>
      <c r="I968" s="44"/>
      <c r="J968" s="44"/>
      <c r="K968" s="44"/>
      <c r="L968" s="44"/>
      <c r="M968" s="46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>
      <c r="A969" s="44"/>
      <c r="B969" s="44"/>
      <c r="C969" s="45"/>
      <c r="D969" s="44"/>
      <c r="E969" s="44"/>
      <c r="F969" s="44"/>
      <c r="G969" s="44"/>
      <c r="H969" s="44"/>
      <c r="I969" s="44"/>
      <c r="J969" s="44"/>
      <c r="K969" s="44"/>
      <c r="L969" s="44"/>
      <c r="M969" s="46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>
      <c r="A970" s="44"/>
      <c r="B970" s="44"/>
      <c r="C970" s="45"/>
      <c r="D970" s="44"/>
      <c r="E970" s="44"/>
      <c r="F970" s="44"/>
      <c r="G970" s="44"/>
      <c r="H970" s="44"/>
      <c r="I970" s="44"/>
      <c r="J970" s="44"/>
      <c r="K970" s="44"/>
      <c r="L970" s="44"/>
      <c r="M970" s="46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>
      <c r="A971" s="44"/>
      <c r="B971" s="44"/>
      <c r="C971" s="45"/>
      <c r="D971" s="44"/>
      <c r="E971" s="44"/>
      <c r="F971" s="44"/>
      <c r="G971" s="44"/>
      <c r="H971" s="44"/>
      <c r="I971" s="44"/>
      <c r="J971" s="44"/>
      <c r="K971" s="44"/>
      <c r="L971" s="44"/>
      <c r="M971" s="46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>
      <c r="A972" s="44"/>
      <c r="B972" s="44"/>
      <c r="C972" s="45"/>
      <c r="D972" s="44"/>
      <c r="E972" s="44"/>
      <c r="F972" s="44"/>
      <c r="G972" s="44"/>
      <c r="H972" s="44"/>
      <c r="I972" s="44"/>
      <c r="J972" s="44"/>
      <c r="K972" s="44"/>
      <c r="L972" s="44"/>
      <c r="M972" s="46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>
      <c r="A973" s="44"/>
      <c r="B973" s="44"/>
      <c r="C973" s="45"/>
      <c r="D973" s="44"/>
      <c r="E973" s="44"/>
      <c r="F973" s="44"/>
      <c r="G973" s="44"/>
      <c r="H973" s="44"/>
      <c r="I973" s="44"/>
      <c r="J973" s="44"/>
      <c r="K973" s="44"/>
      <c r="L973" s="44"/>
      <c r="M973" s="46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>
      <c r="A974" s="44"/>
      <c r="B974" s="44"/>
      <c r="C974" s="45"/>
      <c r="D974" s="44"/>
      <c r="E974" s="44"/>
      <c r="F974" s="44"/>
      <c r="G974" s="44"/>
      <c r="H974" s="44"/>
      <c r="I974" s="44"/>
      <c r="J974" s="44"/>
      <c r="K974" s="44"/>
      <c r="L974" s="44"/>
      <c r="M974" s="46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>
      <c r="A975" s="44"/>
      <c r="B975" s="44"/>
      <c r="C975" s="45"/>
      <c r="D975" s="44"/>
      <c r="E975" s="44"/>
      <c r="F975" s="44"/>
      <c r="G975" s="44"/>
      <c r="H975" s="44"/>
      <c r="I975" s="44"/>
      <c r="J975" s="44"/>
      <c r="K975" s="44"/>
      <c r="L975" s="44"/>
      <c r="M975" s="46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>
      <c r="A976" s="44"/>
      <c r="B976" s="44"/>
      <c r="C976" s="45"/>
      <c r="D976" s="44"/>
      <c r="E976" s="44"/>
      <c r="F976" s="44"/>
      <c r="G976" s="44"/>
      <c r="H976" s="44"/>
      <c r="I976" s="44"/>
      <c r="J976" s="44"/>
      <c r="K976" s="44"/>
      <c r="L976" s="44"/>
      <c r="M976" s="46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>
      <c r="A977" s="44"/>
      <c r="B977" s="44"/>
      <c r="C977" s="45"/>
      <c r="D977" s="44"/>
      <c r="E977" s="44"/>
      <c r="F977" s="44"/>
      <c r="G977" s="44"/>
      <c r="H977" s="44"/>
      <c r="I977" s="44"/>
      <c r="J977" s="44"/>
      <c r="K977" s="44"/>
      <c r="L977" s="44"/>
      <c r="M977" s="46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>
      <c r="A978" s="44"/>
      <c r="B978" s="44"/>
      <c r="C978" s="45"/>
      <c r="D978" s="44"/>
      <c r="E978" s="44"/>
      <c r="F978" s="44"/>
      <c r="G978" s="44"/>
      <c r="H978" s="44"/>
      <c r="I978" s="44"/>
      <c r="J978" s="44"/>
      <c r="K978" s="44"/>
      <c r="L978" s="44"/>
      <c r="M978" s="46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>
      <c r="A979" s="44"/>
      <c r="B979" s="44"/>
      <c r="C979" s="45"/>
      <c r="D979" s="44"/>
      <c r="E979" s="44"/>
      <c r="F979" s="44"/>
      <c r="G979" s="44"/>
      <c r="H979" s="44"/>
      <c r="I979" s="44"/>
      <c r="J979" s="44"/>
      <c r="K979" s="44"/>
      <c r="L979" s="44"/>
      <c r="M979" s="46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>
      <c r="A980" s="44"/>
      <c r="B980" s="44"/>
      <c r="C980" s="45"/>
      <c r="D980" s="44"/>
      <c r="E980" s="44"/>
      <c r="F980" s="44"/>
      <c r="G980" s="44"/>
      <c r="H980" s="44"/>
      <c r="I980" s="44"/>
      <c r="J980" s="44"/>
      <c r="K980" s="44"/>
      <c r="L980" s="44"/>
      <c r="M980" s="46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>
      <c r="A981" s="44"/>
      <c r="B981" s="44"/>
      <c r="C981" s="45"/>
      <c r="D981" s="44"/>
      <c r="E981" s="44"/>
      <c r="F981" s="44"/>
      <c r="G981" s="44"/>
      <c r="H981" s="44"/>
      <c r="I981" s="44"/>
      <c r="J981" s="44"/>
      <c r="K981" s="44"/>
      <c r="L981" s="44"/>
      <c r="M981" s="46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>
      <c r="A982" s="44"/>
      <c r="B982" s="44"/>
      <c r="C982" s="45"/>
      <c r="D982" s="44"/>
      <c r="E982" s="44"/>
      <c r="F982" s="44"/>
      <c r="G982" s="44"/>
      <c r="H982" s="44"/>
      <c r="I982" s="44"/>
      <c r="J982" s="44"/>
      <c r="K982" s="44"/>
      <c r="L982" s="44"/>
      <c r="M982" s="46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>
      <c r="A983" s="44"/>
      <c r="B983" s="44"/>
      <c r="C983" s="45"/>
      <c r="D983" s="44"/>
      <c r="E983" s="44"/>
      <c r="F983" s="44"/>
      <c r="G983" s="44"/>
      <c r="H983" s="44"/>
      <c r="I983" s="44"/>
      <c r="J983" s="44"/>
      <c r="K983" s="44"/>
      <c r="L983" s="44"/>
      <c r="M983" s="46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>
      <c r="A984" s="44"/>
      <c r="B984" s="44"/>
      <c r="C984" s="45"/>
      <c r="D984" s="44"/>
      <c r="E984" s="44"/>
      <c r="F984" s="44"/>
      <c r="G984" s="44"/>
      <c r="H984" s="44"/>
      <c r="I984" s="44"/>
      <c r="J984" s="44"/>
      <c r="K984" s="44"/>
      <c r="L984" s="44"/>
      <c r="M984" s="46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>
      <c r="A985" s="44"/>
      <c r="B985" s="44"/>
      <c r="C985" s="45"/>
      <c r="D985" s="44"/>
      <c r="E985" s="44"/>
      <c r="F985" s="44"/>
      <c r="G985" s="44"/>
      <c r="H985" s="44"/>
      <c r="I985" s="44"/>
      <c r="J985" s="44"/>
      <c r="K985" s="44"/>
      <c r="L985" s="44"/>
      <c r="M985" s="46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>
      <c r="A986" s="44"/>
      <c r="B986" s="44"/>
      <c r="C986" s="45"/>
      <c r="D986" s="44"/>
      <c r="E986" s="44"/>
      <c r="F986" s="44"/>
      <c r="G986" s="44"/>
      <c r="H986" s="44"/>
      <c r="I986" s="44"/>
      <c r="J986" s="44"/>
      <c r="K986" s="44"/>
      <c r="L986" s="44"/>
      <c r="M986" s="46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>
      <c r="A987" s="44"/>
      <c r="B987" s="44"/>
      <c r="C987" s="45"/>
      <c r="D987" s="44"/>
      <c r="E987" s="44"/>
      <c r="F987" s="44"/>
      <c r="G987" s="44"/>
      <c r="H987" s="44"/>
      <c r="I987" s="44"/>
      <c r="J987" s="44"/>
      <c r="K987" s="44"/>
      <c r="L987" s="44"/>
      <c r="M987" s="46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>
      <c r="A988" s="44"/>
      <c r="B988" s="44"/>
      <c r="C988" s="45"/>
      <c r="D988" s="44"/>
      <c r="E988" s="44"/>
      <c r="F988" s="44"/>
      <c r="G988" s="44"/>
      <c r="H988" s="44"/>
      <c r="I988" s="44"/>
      <c r="J988" s="44"/>
      <c r="K988" s="44"/>
      <c r="L988" s="44"/>
      <c r="M988" s="46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>
      <c r="A989" s="44"/>
      <c r="B989" s="44"/>
      <c r="C989" s="45"/>
      <c r="D989" s="44"/>
      <c r="E989" s="44"/>
      <c r="F989" s="44"/>
      <c r="G989" s="44"/>
      <c r="H989" s="44"/>
      <c r="I989" s="44"/>
      <c r="J989" s="44"/>
      <c r="K989" s="44"/>
      <c r="L989" s="44"/>
      <c r="M989" s="46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>
      <c r="A990" s="44"/>
      <c r="B990" s="44"/>
      <c r="C990" s="45"/>
      <c r="D990" s="44"/>
      <c r="E990" s="44"/>
      <c r="F990" s="44"/>
      <c r="G990" s="44"/>
      <c r="H990" s="44"/>
      <c r="I990" s="44"/>
      <c r="J990" s="44"/>
      <c r="K990" s="44"/>
      <c r="L990" s="44"/>
      <c r="M990" s="46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>
      <c r="A991" s="44"/>
      <c r="B991" s="44"/>
      <c r="C991" s="45"/>
      <c r="D991" s="44"/>
      <c r="E991" s="44"/>
      <c r="F991" s="44"/>
      <c r="G991" s="44"/>
      <c r="H991" s="44"/>
      <c r="I991" s="44"/>
      <c r="J991" s="44"/>
      <c r="K991" s="44"/>
      <c r="L991" s="44"/>
      <c r="M991" s="46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>
      <c r="A992" s="44"/>
      <c r="B992" s="44"/>
      <c r="C992" s="45"/>
      <c r="D992" s="44"/>
      <c r="E992" s="44"/>
      <c r="F992" s="44"/>
      <c r="G992" s="44"/>
      <c r="H992" s="44"/>
      <c r="I992" s="44"/>
      <c r="J992" s="44"/>
      <c r="K992" s="44"/>
      <c r="L992" s="44"/>
      <c r="M992" s="46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>
      <c r="A993" s="44"/>
      <c r="B993" s="44"/>
      <c r="C993" s="45"/>
      <c r="D993" s="44"/>
      <c r="E993" s="44"/>
      <c r="F993" s="44"/>
      <c r="G993" s="44"/>
      <c r="H993" s="44"/>
      <c r="I993" s="44"/>
      <c r="J993" s="44"/>
      <c r="K993" s="44"/>
      <c r="L993" s="44"/>
      <c r="M993" s="46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>
      <c r="A994" s="44"/>
      <c r="B994" s="44"/>
      <c r="C994" s="45"/>
      <c r="D994" s="44"/>
      <c r="E994" s="44"/>
      <c r="F994" s="44"/>
      <c r="G994" s="44"/>
      <c r="H994" s="44"/>
      <c r="I994" s="44"/>
      <c r="J994" s="44"/>
      <c r="K994" s="44"/>
      <c r="L994" s="44"/>
      <c r="M994" s="46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>
      <c r="A995" s="44"/>
      <c r="B995" s="44"/>
      <c r="C995" s="45"/>
      <c r="D995" s="44"/>
      <c r="E995" s="44"/>
      <c r="F995" s="44"/>
      <c r="G995" s="44"/>
      <c r="H995" s="44"/>
      <c r="I995" s="44"/>
      <c r="J995" s="44"/>
      <c r="K995" s="44"/>
      <c r="L995" s="44"/>
      <c r="M995" s="46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>
      <c r="A996" s="44"/>
      <c r="B996" s="44"/>
      <c r="C996" s="45"/>
      <c r="D996" s="44"/>
      <c r="E996" s="44"/>
      <c r="F996" s="44"/>
      <c r="G996" s="44"/>
      <c r="H996" s="44"/>
      <c r="I996" s="44"/>
      <c r="J996" s="44"/>
      <c r="K996" s="44"/>
      <c r="L996" s="44"/>
      <c r="M996" s="46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>
      <c r="A997" s="44"/>
      <c r="B997" s="44"/>
      <c r="C997" s="45"/>
      <c r="D997" s="44"/>
      <c r="E997" s="44"/>
      <c r="F997" s="44"/>
      <c r="G997" s="44"/>
      <c r="H997" s="44"/>
      <c r="I997" s="44"/>
      <c r="J997" s="44"/>
      <c r="K997" s="44"/>
      <c r="L997" s="44"/>
      <c r="M997" s="46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>
      <c r="A998" s="44"/>
      <c r="B998" s="44"/>
      <c r="C998" s="45"/>
      <c r="D998" s="44"/>
      <c r="E998" s="44"/>
      <c r="F998" s="44"/>
      <c r="G998" s="44"/>
      <c r="H998" s="44"/>
      <c r="I998" s="44"/>
      <c r="J998" s="44"/>
      <c r="K998" s="44"/>
      <c r="L998" s="44"/>
      <c r="M998" s="46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>
      <c r="A999" s="44"/>
      <c r="B999" s="44"/>
      <c r="C999" s="45"/>
      <c r="D999" s="44"/>
      <c r="E999" s="44"/>
      <c r="F999" s="44"/>
      <c r="G999" s="44"/>
      <c r="H999" s="44"/>
      <c r="I999" s="44"/>
      <c r="J999" s="44"/>
      <c r="K999" s="44"/>
      <c r="L999" s="44"/>
      <c r="M999" s="46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>
      <c r="A1000" s="44"/>
      <c r="B1000" s="44"/>
      <c r="C1000" s="45"/>
      <c r="D1000" s="44"/>
      <c r="E1000" s="44"/>
      <c r="F1000" s="44"/>
      <c r="G1000" s="44"/>
      <c r="H1000" s="44"/>
      <c r="I1000" s="44"/>
      <c r="J1000" s="44"/>
      <c r="K1000" s="44"/>
      <c r="L1000" s="44"/>
      <c r="M1000" s="46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7">
    <mergeCell ref="A1:B1"/>
    <mergeCell ref="C1:F1"/>
    <mergeCell ref="A2:B3"/>
    <mergeCell ref="C2:L2"/>
    <mergeCell ref="A60:B60"/>
    <mergeCell ref="A86:B86"/>
    <mergeCell ref="A94:B94"/>
  </mergeCells>
  <hyperlinks>
    <hyperlink r:id="rId2" ref="G1"/>
    <hyperlink r:id="rId3" ref="H1"/>
  </hyperlinks>
  <printOptions/>
  <pageMargins bottom="0.0" footer="0.0" header="0.0" left="0.8267716535433072" right="0.0" top="0.0"/>
  <pageSetup fitToWidth="0" paperSize="9" orientation="landscape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31.14"/>
    <col customWidth="1" min="2" max="2" width="7.29"/>
    <col customWidth="1" min="3" max="3" width="18.43"/>
    <col customWidth="1" min="4" max="12" width="15.71"/>
    <col customWidth="1" min="13" max="33" width="8.86"/>
  </cols>
  <sheetData>
    <row r="1">
      <c r="A1" s="132" t="s">
        <v>66</v>
      </c>
      <c r="B1" s="133"/>
      <c r="C1" s="134" t="s">
        <v>67</v>
      </c>
      <c r="D1" s="135"/>
      <c r="E1" s="135"/>
      <c r="F1" s="133"/>
      <c r="G1" s="136" t="s">
        <v>68</v>
      </c>
      <c r="H1" s="137" t="s">
        <v>69</v>
      </c>
      <c r="I1" s="138"/>
      <c r="J1" s="138"/>
      <c r="K1" s="138"/>
      <c r="L1" s="138"/>
      <c r="M1" s="139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</row>
    <row r="2">
      <c r="A2" s="140" t="s">
        <v>27</v>
      </c>
      <c r="B2" s="141" t="str">
        <f>'Data Sheet'!B1</f>
        <v>ITC LTD</v>
      </c>
      <c r="C2" s="5"/>
      <c r="D2" s="5"/>
      <c r="E2" s="5"/>
      <c r="F2" s="5"/>
      <c r="G2" s="5"/>
      <c r="H2" s="5"/>
      <c r="I2" s="5"/>
      <c r="J2" s="5"/>
      <c r="K2" s="5"/>
      <c r="L2" s="6"/>
      <c r="M2" s="142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>
      <c r="A3" s="143"/>
      <c r="B3" s="143"/>
      <c r="C3" s="144">
        <f>'Data Sheet'!B41</f>
        <v>44286</v>
      </c>
      <c r="D3" s="144">
        <f>'Data Sheet'!C41</f>
        <v>44377</v>
      </c>
      <c r="E3" s="144">
        <f>'Data Sheet'!D41</f>
        <v>44469</v>
      </c>
      <c r="F3" s="144">
        <f>'Data Sheet'!E41</f>
        <v>44561</v>
      </c>
      <c r="G3" s="144">
        <f>'Data Sheet'!F41</f>
        <v>44651</v>
      </c>
      <c r="H3" s="144">
        <f>'Data Sheet'!G41</f>
        <v>44742</v>
      </c>
      <c r="I3" s="144">
        <f>'Data Sheet'!H41</f>
        <v>44834</v>
      </c>
      <c r="J3" s="144">
        <f>'Data Sheet'!I41</f>
        <v>44926</v>
      </c>
      <c r="K3" s="144">
        <f>'Data Sheet'!J41</f>
        <v>45016</v>
      </c>
      <c r="L3" s="144">
        <f>'Data Sheet'!K41</f>
        <v>45107</v>
      </c>
      <c r="M3" s="145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</row>
    <row r="4">
      <c r="A4" s="146" t="s">
        <v>131</v>
      </c>
      <c r="B4" s="147"/>
      <c r="C4" s="148"/>
      <c r="D4" s="148"/>
      <c r="E4" s="148"/>
      <c r="F4" s="148"/>
      <c r="G4" s="148"/>
      <c r="H4" s="148"/>
      <c r="I4" s="148"/>
      <c r="J4" s="148"/>
      <c r="K4" s="148"/>
      <c r="L4" s="149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</row>
    <row r="5">
      <c r="A5" s="44" t="s">
        <v>12</v>
      </c>
      <c r="B5" s="44"/>
      <c r="C5" s="151">
        <f>'Data Sheet'!B42</f>
        <v>14342.27</v>
      </c>
      <c r="D5" s="151">
        <f>'Data Sheet'!C42</f>
        <v>13247.25</v>
      </c>
      <c r="E5" s="151">
        <f>'Data Sheet'!D42</f>
        <v>13757.15</v>
      </c>
      <c r="F5" s="151">
        <f>'Data Sheet'!E42</f>
        <v>17108.16</v>
      </c>
      <c r="G5" s="151">
        <f>'Data Sheet'!F42</f>
        <v>16555.53</v>
      </c>
      <c r="H5" s="151">
        <f>'Data Sheet'!G42</f>
        <v>18489.45</v>
      </c>
      <c r="I5" s="151">
        <f>'Data Sheet'!H42</f>
        <v>17107.99</v>
      </c>
      <c r="J5" s="151">
        <f>'Data Sheet'!I42</f>
        <v>17704.52</v>
      </c>
      <c r="K5" s="151">
        <f>'Data Sheet'!J42</f>
        <v>17634.89</v>
      </c>
      <c r="L5" s="151">
        <f>'Data Sheet'!K42</f>
        <v>17164.46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>
      <c r="A6" s="49" t="s">
        <v>132</v>
      </c>
      <c r="B6" s="49"/>
      <c r="C6" s="152"/>
      <c r="D6" s="58">
        <f t="shared" ref="D6:L6" si="1">(D5/C5)-1</f>
        <v>-0.07634914138</v>
      </c>
      <c r="E6" s="58">
        <f t="shared" si="1"/>
        <v>0.03849100757</v>
      </c>
      <c r="F6" s="58">
        <f t="shared" si="1"/>
        <v>0.2435831549</v>
      </c>
      <c r="G6" s="58">
        <f t="shared" si="1"/>
        <v>-0.03230212951</v>
      </c>
      <c r="H6" s="58">
        <f t="shared" si="1"/>
        <v>0.11681414</v>
      </c>
      <c r="I6" s="58">
        <f t="shared" si="1"/>
        <v>-0.0747161219</v>
      </c>
      <c r="J6" s="58">
        <f t="shared" si="1"/>
        <v>0.03486850296</v>
      </c>
      <c r="K6" s="58">
        <f t="shared" si="1"/>
        <v>-0.003932893973</v>
      </c>
      <c r="L6" s="58">
        <f t="shared" si="1"/>
        <v>-0.02667609495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>
      <c r="A7" s="49" t="s">
        <v>74</v>
      </c>
      <c r="B7" s="49"/>
      <c r="C7" s="152"/>
      <c r="D7" s="152"/>
      <c r="E7" s="152"/>
      <c r="F7" s="152"/>
      <c r="G7" s="58">
        <f t="shared" ref="G7:L7" si="2">(G5/C5)-1</f>
        <v>0.1543172733</v>
      </c>
      <c r="H7" s="58">
        <f t="shared" si="2"/>
        <v>0.3957198664</v>
      </c>
      <c r="I7" s="58">
        <f t="shared" si="2"/>
        <v>0.2435707977</v>
      </c>
      <c r="J7" s="58">
        <f t="shared" si="2"/>
        <v>0.0348582197</v>
      </c>
      <c r="K7" s="58">
        <f t="shared" si="2"/>
        <v>0.06519634225</v>
      </c>
      <c r="L7" s="58">
        <f t="shared" si="2"/>
        <v>-0.07166194776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>
      <c r="A8" s="44" t="s">
        <v>28</v>
      </c>
      <c r="B8" s="44"/>
      <c r="C8" s="153">
        <f>'Data Sheet'!B43</f>
        <v>9471.15</v>
      </c>
      <c r="D8" s="153">
        <f>'Data Sheet'!C43</f>
        <v>8803.51</v>
      </c>
      <c r="E8" s="153">
        <f>'Data Sheet'!D43</f>
        <v>8739.55</v>
      </c>
      <c r="F8" s="153">
        <f>'Data Sheet'!E43</f>
        <v>11510.49</v>
      </c>
      <c r="G8" s="153">
        <f>'Data Sheet'!F43</f>
        <v>10956.13</v>
      </c>
      <c r="H8" s="153">
        <f>'Data Sheet'!G43</f>
        <v>12412.32</v>
      </c>
      <c r="I8" s="153">
        <f>'Data Sheet'!H43</f>
        <v>10848.89</v>
      </c>
      <c r="J8" s="153">
        <f>'Data Sheet'!I43</f>
        <v>10999.82</v>
      </c>
      <c r="K8" s="153">
        <f>'Data Sheet'!J43</f>
        <v>11010.89</v>
      </c>
      <c r="L8" s="153">
        <f>'Data Sheet'!K43</f>
        <v>10494.39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>
      <c r="A9" s="44" t="s">
        <v>21</v>
      </c>
      <c r="B9" s="44"/>
      <c r="C9" s="153">
        <f>'Data Sheet'!B45</f>
        <v>408.51</v>
      </c>
      <c r="D9" s="153">
        <f>'Data Sheet'!C45</f>
        <v>414.13</v>
      </c>
      <c r="E9" s="153">
        <f>'Data Sheet'!D45</f>
        <v>421.73</v>
      </c>
      <c r="F9" s="153">
        <f>'Data Sheet'!E45</f>
        <v>429.59</v>
      </c>
      <c r="G9" s="153">
        <f>'Data Sheet'!F45</f>
        <v>466.96</v>
      </c>
      <c r="H9" s="153">
        <f>'Data Sheet'!G45</f>
        <v>438.12</v>
      </c>
      <c r="I9" s="153">
        <f>'Data Sheet'!H45</f>
        <v>462.38</v>
      </c>
      <c r="J9" s="153">
        <f>'Data Sheet'!I45</f>
        <v>447.11</v>
      </c>
      <c r="K9" s="153">
        <f>'Data Sheet'!J45</f>
        <v>461.4</v>
      </c>
      <c r="L9" s="153">
        <f>'Data Sheet'!K45</f>
        <v>442.46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</row>
    <row r="10">
      <c r="A10" s="95" t="s">
        <v>29</v>
      </c>
      <c r="B10" s="95"/>
      <c r="C10" s="154">
        <f t="shared" ref="C10:L10" si="3">C5-C8-C9</f>
        <v>4462.61</v>
      </c>
      <c r="D10" s="154">
        <f t="shared" si="3"/>
        <v>4029.61</v>
      </c>
      <c r="E10" s="154">
        <f t="shared" si="3"/>
        <v>4595.87</v>
      </c>
      <c r="F10" s="154">
        <f t="shared" si="3"/>
        <v>5168.08</v>
      </c>
      <c r="G10" s="154">
        <f t="shared" si="3"/>
        <v>5132.44</v>
      </c>
      <c r="H10" s="154">
        <f t="shared" si="3"/>
        <v>5639.01</v>
      </c>
      <c r="I10" s="154">
        <f t="shared" si="3"/>
        <v>5796.72</v>
      </c>
      <c r="J10" s="154">
        <f t="shared" si="3"/>
        <v>6257.59</v>
      </c>
      <c r="K10" s="154">
        <f t="shared" si="3"/>
        <v>6162.6</v>
      </c>
      <c r="L10" s="154">
        <f t="shared" si="3"/>
        <v>6227.61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>
      <c r="A11" s="49" t="s">
        <v>81</v>
      </c>
      <c r="B11" s="49"/>
      <c r="C11" s="58">
        <f t="shared" ref="C11:L11" si="4">IF(C5&gt;0,C10/C5,"")</f>
        <v>0.3111508848</v>
      </c>
      <c r="D11" s="58">
        <f t="shared" si="4"/>
        <v>0.3041846421</v>
      </c>
      <c r="E11" s="58">
        <f t="shared" si="4"/>
        <v>0.3340713738</v>
      </c>
      <c r="F11" s="58">
        <f t="shared" si="4"/>
        <v>0.3020827488</v>
      </c>
      <c r="G11" s="58">
        <f t="shared" si="4"/>
        <v>0.3100136329</v>
      </c>
      <c r="H11" s="58">
        <f t="shared" si="4"/>
        <v>0.3049852754</v>
      </c>
      <c r="I11" s="58">
        <f t="shared" si="4"/>
        <v>0.3388311543</v>
      </c>
      <c r="J11" s="58">
        <f t="shared" si="4"/>
        <v>0.3534458997</v>
      </c>
      <c r="K11" s="58">
        <f t="shared" si="4"/>
        <v>0.3494549725</v>
      </c>
      <c r="L11" s="58">
        <f t="shared" si="4"/>
        <v>0.3628200363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>
      <c r="A12" s="49" t="s">
        <v>132</v>
      </c>
      <c r="B12" s="155"/>
      <c r="C12" s="156"/>
      <c r="D12" s="58">
        <f t="shared" ref="D12:L12" si="5">(D10/C10)-1</f>
        <v>-0.09702842059</v>
      </c>
      <c r="E12" s="58">
        <f t="shared" si="5"/>
        <v>0.1405247654</v>
      </c>
      <c r="F12" s="58">
        <f t="shared" si="5"/>
        <v>0.1245052623</v>
      </c>
      <c r="G12" s="58">
        <f t="shared" si="5"/>
        <v>-0.006896178078</v>
      </c>
      <c r="H12" s="58">
        <f t="shared" si="5"/>
        <v>0.09869964383</v>
      </c>
      <c r="I12" s="58">
        <f t="shared" si="5"/>
        <v>0.02796767518</v>
      </c>
      <c r="J12" s="58">
        <f t="shared" si="5"/>
        <v>0.07950530645</v>
      </c>
      <c r="K12" s="58">
        <f t="shared" si="5"/>
        <v>-0.01517996545</v>
      </c>
      <c r="L12" s="58">
        <f t="shared" si="5"/>
        <v>0.01054911888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>
      <c r="A13" s="49" t="s">
        <v>74</v>
      </c>
      <c r="B13" s="155"/>
      <c r="C13" s="156"/>
      <c r="D13" s="156"/>
      <c r="E13" s="156"/>
      <c r="F13" s="156"/>
      <c r="G13" s="58">
        <f t="shared" ref="G13:L13" si="6">(G10/C10)-1</f>
        <v>0.1500982609</v>
      </c>
      <c r="H13" s="58">
        <f t="shared" si="6"/>
        <v>0.3993934897</v>
      </c>
      <c r="I13" s="58">
        <f t="shared" si="6"/>
        <v>0.2612889399</v>
      </c>
      <c r="J13" s="58">
        <f t="shared" si="6"/>
        <v>0.2108152351</v>
      </c>
      <c r="K13" s="58">
        <f t="shared" si="6"/>
        <v>0.2007154492</v>
      </c>
      <c r="L13" s="58">
        <f t="shared" si="6"/>
        <v>0.1043800242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</row>
    <row r="14">
      <c r="A14" s="49"/>
      <c r="B14" s="155"/>
      <c r="C14" s="156"/>
      <c r="D14" s="156"/>
      <c r="E14" s="156"/>
      <c r="F14" s="156"/>
      <c r="G14" s="58"/>
      <c r="H14" s="58"/>
      <c r="I14" s="58"/>
      <c r="J14" s="58"/>
      <c r="K14" s="58"/>
      <c r="L14" s="58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</row>
    <row r="15">
      <c r="A15" s="44" t="s">
        <v>20</v>
      </c>
      <c r="B15" s="44"/>
      <c r="C15" s="153">
        <f>'Data Sheet'!B44</f>
        <v>579.49</v>
      </c>
      <c r="D15" s="153">
        <f>'Data Sheet'!C44</f>
        <v>447.04</v>
      </c>
      <c r="E15" s="153">
        <f>'Data Sheet'!D44</f>
        <v>468.77</v>
      </c>
      <c r="F15" s="153">
        <f>'Data Sheet'!E44</f>
        <v>421.92</v>
      </c>
      <c r="G15" s="153">
        <f>'Data Sheet'!F44</f>
        <v>498.62</v>
      </c>
      <c r="H15" s="153">
        <f>'Data Sheet'!G44</f>
        <v>320.73</v>
      </c>
      <c r="I15" s="153">
        <f>'Data Sheet'!H44</f>
        <v>454.68</v>
      </c>
      <c r="J15" s="153">
        <f>'Data Sheet'!I44</f>
        <v>595.43</v>
      </c>
      <c r="K15" s="153">
        <f>'Data Sheet'!J44</f>
        <v>682.52</v>
      </c>
      <c r="L15" s="153">
        <f>'Data Sheet'!K44</f>
        <v>722.3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</row>
    <row r="16">
      <c r="A16" s="44" t="s">
        <v>22</v>
      </c>
      <c r="B16" s="44"/>
      <c r="C16" s="153">
        <f>'Data Sheet'!B46</f>
        <v>2.88</v>
      </c>
      <c r="D16" s="153">
        <f>'Data Sheet'!C46</f>
        <v>9.34</v>
      </c>
      <c r="E16" s="153">
        <f>'Data Sheet'!D46</f>
        <v>9.75</v>
      </c>
      <c r="F16" s="153">
        <f>'Data Sheet'!E46</f>
        <v>9.56</v>
      </c>
      <c r="G16" s="153">
        <f>'Data Sheet'!F46</f>
        <v>10.71</v>
      </c>
      <c r="H16" s="153">
        <f>'Data Sheet'!G46</f>
        <v>9.25</v>
      </c>
      <c r="I16" s="153">
        <f>'Data Sheet'!H46</f>
        <v>12.59</v>
      </c>
      <c r="J16" s="153">
        <f>'Data Sheet'!I46</f>
        <v>9.21</v>
      </c>
      <c r="K16" s="153">
        <f>'Data Sheet'!J46</f>
        <v>12.15</v>
      </c>
      <c r="L16" s="153">
        <f>'Data Sheet'!K46</f>
        <v>9.9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</row>
    <row r="17">
      <c r="A17" s="95" t="s">
        <v>86</v>
      </c>
      <c r="B17" s="95"/>
      <c r="C17" s="154">
        <f>'Data Sheet'!B47</f>
        <v>5039.22</v>
      </c>
      <c r="D17" s="154">
        <f>'Data Sheet'!C47</f>
        <v>4467.31</v>
      </c>
      <c r="E17" s="154">
        <f>'Data Sheet'!D47</f>
        <v>5054.89</v>
      </c>
      <c r="F17" s="154">
        <f>'Data Sheet'!E47</f>
        <v>5580.44</v>
      </c>
      <c r="G17" s="154">
        <f>'Data Sheet'!F47</f>
        <v>5620.35</v>
      </c>
      <c r="H17" s="154">
        <f>'Data Sheet'!G47</f>
        <v>5950.49</v>
      </c>
      <c r="I17" s="154">
        <f>'Data Sheet'!H47</f>
        <v>6238.81</v>
      </c>
      <c r="J17" s="154">
        <f>'Data Sheet'!I47</f>
        <v>6843.81</v>
      </c>
      <c r="K17" s="154">
        <f>'Data Sheet'!J47</f>
        <v>6832.97</v>
      </c>
      <c r="L17" s="154">
        <f>'Data Sheet'!K47</f>
        <v>6940.01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</row>
    <row r="18">
      <c r="A18" s="49" t="s">
        <v>87</v>
      </c>
      <c r="B18" s="49"/>
      <c r="C18" s="58">
        <f t="shared" ref="C18:L18" si="7">C17/C5</f>
        <v>0.351354423</v>
      </c>
      <c r="D18" s="58">
        <f t="shared" si="7"/>
        <v>0.3372254619</v>
      </c>
      <c r="E18" s="58">
        <f t="shared" si="7"/>
        <v>0.3674372962</v>
      </c>
      <c r="F18" s="58">
        <f t="shared" si="7"/>
        <v>0.3261858669</v>
      </c>
      <c r="G18" s="58">
        <f t="shared" si="7"/>
        <v>0.3394847522</v>
      </c>
      <c r="H18" s="58">
        <f t="shared" si="7"/>
        <v>0.3218316391</v>
      </c>
      <c r="I18" s="58">
        <f t="shared" si="7"/>
        <v>0.3646722964</v>
      </c>
      <c r="J18" s="58">
        <f t="shared" si="7"/>
        <v>0.3865572182</v>
      </c>
      <c r="K18" s="58">
        <f t="shared" si="7"/>
        <v>0.3874688189</v>
      </c>
      <c r="L18" s="58">
        <f t="shared" si="7"/>
        <v>0.4043244005</v>
      </c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</row>
    <row r="19">
      <c r="A19" s="49" t="s">
        <v>132</v>
      </c>
      <c r="B19" s="47"/>
      <c r="C19" s="65"/>
      <c r="D19" s="58">
        <f t="shared" ref="D19:L19" si="8">(D17/C17)-1</f>
        <v>-0.1134917706</v>
      </c>
      <c r="E19" s="58">
        <f t="shared" si="8"/>
        <v>0.1315288171</v>
      </c>
      <c r="F19" s="58">
        <f t="shared" si="8"/>
        <v>0.1039686324</v>
      </c>
      <c r="G19" s="58">
        <f t="shared" si="8"/>
        <v>0.007151765811</v>
      </c>
      <c r="H19" s="58">
        <f t="shared" si="8"/>
        <v>0.05874011405</v>
      </c>
      <c r="I19" s="58">
        <f t="shared" si="8"/>
        <v>0.0484531526</v>
      </c>
      <c r="J19" s="58">
        <f t="shared" si="8"/>
        <v>0.09697362157</v>
      </c>
      <c r="K19" s="58">
        <f t="shared" si="8"/>
        <v>-0.001583913054</v>
      </c>
      <c r="L19" s="58">
        <f t="shared" si="8"/>
        <v>0.01566522318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</row>
    <row r="20">
      <c r="A20" s="49" t="s">
        <v>74</v>
      </c>
      <c r="B20" s="47"/>
      <c r="C20" s="65"/>
      <c r="D20" s="65"/>
      <c r="E20" s="65"/>
      <c r="F20" s="65"/>
      <c r="G20" s="157">
        <f t="shared" ref="G20:L20" si="9">(G17/C17)-1</f>
        <v>0.1153214188</v>
      </c>
      <c r="H20" s="157">
        <f t="shared" si="9"/>
        <v>0.3320074049</v>
      </c>
      <c r="I20" s="157">
        <f t="shared" si="9"/>
        <v>0.2342128118</v>
      </c>
      <c r="J20" s="157">
        <f t="shared" si="9"/>
        <v>0.2263925425</v>
      </c>
      <c r="K20" s="157">
        <f t="shared" si="9"/>
        <v>0.2157552466</v>
      </c>
      <c r="L20" s="157">
        <f t="shared" si="9"/>
        <v>0.1662921877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</row>
    <row r="21">
      <c r="A21" s="49"/>
      <c r="B21" s="47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</row>
    <row r="22">
      <c r="A22" s="44" t="s">
        <v>24</v>
      </c>
      <c r="B22" s="44"/>
      <c r="C22" s="153">
        <f>'Data Sheet'!B48</f>
        <v>1222.38</v>
      </c>
      <c r="D22" s="153">
        <f>'Data Sheet'!C48</f>
        <v>1123.87</v>
      </c>
      <c r="E22" s="153">
        <f>'Data Sheet'!D48</f>
        <v>1291.16</v>
      </c>
      <c r="F22" s="153">
        <f>'Data Sheet'!E48</f>
        <v>1461.64</v>
      </c>
      <c r="G22" s="153">
        <f>'Data Sheet'!F48</f>
        <v>1360.67</v>
      </c>
      <c r="H22" s="153">
        <f>'Data Sheet'!G48</f>
        <v>1488.24</v>
      </c>
      <c r="I22" s="153">
        <f>'Data Sheet'!H48</f>
        <v>1568.49</v>
      </c>
      <c r="J22" s="153">
        <f>'Data Sheet'!I48</f>
        <v>1773.72</v>
      </c>
      <c r="K22" s="153">
        <f>'Data Sheet'!J48</f>
        <v>1607.95</v>
      </c>
      <c r="L22" s="153">
        <f>'Data Sheet'!K48</f>
        <v>1759.89</v>
      </c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</row>
    <row r="23">
      <c r="A23" s="95" t="s">
        <v>25</v>
      </c>
      <c r="B23" s="95"/>
      <c r="C23" s="154">
        <f>'Data Sheet'!B49</f>
        <v>3755.47</v>
      </c>
      <c r="D23" s="154">
        <f>'Data Sheet'!C49</f>
        <v>3276.48</v>
      </c>
      <c r="E23" s="154">
        <f>'Data Sheet'!D49</f>
        <v>3713.76</v>
      </c>
      <c r="F23" s="154">
        <f>'Data Sheet'!E49</f>
        <v>4056.73</v>
      </c>
      <c r="G23" s="154">
        <f>'Data Sheet'!F49</f>
        <v>4195.69</v>
      </c>
      <c r="H23" s="154">
        <f>'Data Sheet'!G49</f>
        <v>4389.76</v>
      </c>
      <c r="I23" s="154">
        <f>'Data Sheet'!H49</f>
        <v>4619.77</v>
      </c>
      <c r="J23" s="154">
        <f>'Data Sheet'!I49</f>
        <v>5006.65</v>
      </c>
      <c r="K23" s="154">
        <f>'Data Sheet'!J49</f>
        <v>5175.48</v>
      </c>
      <c r="L23" s="154">
        <f>'Data Sheet'!K49</f>
        <v>5104.93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>
      <c r="A24" s="49" t="s">
        <v>90</v>
      </c>
      <c r="B24" s="44"/>
      <c r="C24" s="157">
        <f t="shared" ref="C24:L24" si="10">C23/C5</f>
        <v>0.2618462768</v>
      </c>
      <c r="D24" s="157">
        <f t="shared" si="10"/>
        <v>0.2473328427</v>
      </c>
      <c r="E24" s="157">
        <f t="shared" si="10"/>
        <v>0.2699512617</v>
      </c>
      <c r="F24" s="157">
        <f t="shared" si="10"/>
        <v>0.2371225193</v>
      </c>
      <c r="G24" s="157">
        <f t="shared" si="10"/>
        <v>0.2534313308</v>
      </c>
      <c r="H24" s="157">
        <f t="shared" si="10"/>
        <v>0.2374197177</v>
      </c>
      <c r="I24" s="157">
        <f t="shared" si="10"/>
        <v>0.2700358137</v>
      </c>
      <c r="J24" s="157">
        <f t="shared" si="10"/>
        <v>0.2827893668</v>
      </c>
      <c r="K24" s="157">
        <f t="shared" si="10"/>
        <v>0.2934795737</v>
      </c>
      <c r="L24" s="157">
        <f t="shared" si="10"/>
        <v>0.2974127936</v>
      </c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>
      <c r="A25" s="49" t="s">
        <v>132</v>
      </c>
      <c r="B25" s="44"/>
      <c r="C25" s="44"/>
      <c r="D25" s="157">
        <f t="shared" ref="D25:L25" si="11">(D23/C23)-1</f>
        <v>-0.1275446216</v>
      </c>
      <c r="E25" s="157">
        <f t="shared" si="11"/>
        <v>0.1334602989</v>
      </c>
      <c r="F25" s="157">
        <f t="shared" si="11"/>
        <v>0.09235114816</v>
      </c>
      <c r="G25" s="157">
        <f t="shared" si="11"/>
        <v>0.03425418995</v>
      </c>
      <c r="H25" s="157">
        <f t="shared" si="11"/>
        <v>0.0462546089</v>
      </c>
      <c r="I25" s="157">
        <f t="shared" si="11"/>
        <v>0.05239694197</v>
      </c>
      <c r="J25" s="157">
        <f t="shared" si="11"/>
        <v>0.08374442884</v>
      </c>
      <c r="K25" s="157">
        <f t="shared" si="11"/>
        <v>0.03372115087</v>
      </c>
      <c r="L25" s="157">
        <f t="shared" si="11"/>
        <v>-0.01363158586</v>
      </c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</row>
    <row r="26">
      <c r="A26" s="49" t="s">
        <v>74</v>
      </c>
      <c r="B26" s="109"/>
      <c r="C26" s="109"/>
      <c r="D26" s="109"/>
      <c r="E26" s="109"/>
      <c r="F26" s="109"/>
      <c r="G26" s="158">
        <f t="shared" ref="G26:L26" si="12">(G23/C23)-1</f>
        <v>0.1172210136</v>
      </c>
      <c r="H26" s="158">
        <f t="shared" si="12"/>
        <v>0.3397792753</v>
      </c>
      <c r="I26" s="158">
        <f t="shared" si="12"/>
        <v>0.243960299</v>
      </c>
      <c r="J26" s="158">
        <f t="shared" si="12"/>
        <v>0.2341590394</v>
      </c>
      <c r="K26" s="158">
        <f t="shared" si="12"/>
        <v>0.2335229724</v>
      </c>
      <c r="L26" s="158">
        <f t="shared" si="12"/>
        <v>0.1629177905</v>
      </c>
      <c r="M26" s="109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</row>
    <row r="28">
      <c r="A28" s="146" t="s">
        <v>133</v>
      </c>
      <c r="B28" s="147"/>
      <c r="C28" s="148"/>
      <c r="D28" s="148"/>
      <c r="E28" s="148"/>
      <c r="F28" s="148"/>
      <c r="G28" s="148"/>
      <c r="H28" s="148"/>
      <c r="I28" s="148"/>
      <c r="J28" s="148"/>
      <c r="K28" s="148"/>
      <c r="L28" s="159"/>
      <c r="M28" s="160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</row>
    <row r="29" ht="15.75" customHeight="1">
      <c r="A29" s="161"/>
      <c r="B29" s="162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</row>
    <row r="30">
      <c r="A30" s="44"/>
      <c r="B30" s="44"/>
      <c r="C30" s="164" t="s">
        <v>134</v>
      </c>
      <c r="D30" s="5"/>
      <c r="E30" s="6"/>
      <c r="F30" s="44"/>
      <c r="G30" s="165" t="s">
        <v>135</v>
      </c>
      <c r="H30" s="135"/>
      <c r="I30" s="166"/>
      <c r="J30" s="167"/>
      <c r="K30" s="165" t="s">
        <v>136</v>
      </c>
      <c r="L30" s="135"/>
      <c r="M30" s="166"/>
      <c r="N30" s="109"/>
      <c r="O30" s="109"/>
      <c r="P30" s="109"/>
      <c r="Q30" s="109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</row>
    <row r="31">
      <c r="A31" s="44"/>
      <c r="B31" s="44"/>
      <c r="C31" s="168">
        <f>L3</f>
        <v>45107</v>
      </c>
      <c r="D31" s="168">
        <f>H3</f>
        <v>44742</v>
      </c>
      <c r="E31" s="169" t="s">
        <v>137</v>
      </c>
      <c r="F31" s="44"/>
      <c r="G31" s="168" t="s">
        <v>138</v>
      </c>
      <c r="H31" s="168" t="s">
        <v>139</v>
      </c>
      <c r="I31" s="169" t="s">
        <v>137</v>
      </c>
      <c r="J31" s="44"/>
      <c r="K31" s="168" t="s">
        <v>138</v>
      </c>
      <c r="L31" s="168" t="s">
        <v>139</v>
      </c>
      <c r="M31" s="169" t="s">
        <v>137</v>
      </c>
      <c r="N31" s="109"/>
      <c r="O31" s="109"/>
      <c r="P31" s="109"/>
      <c r="Q31" s="109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</row>
    <row r="32">
      <c r="A32" s="65" t="s">
        <v>12</v>
      </c>
      <c r="B32" s="65"/>
      <c r="C32" s="170">
        <f>L5</f>
        <v>17164.46</v>
      </c>
      <c r="D32" s="170">
        <f>H5</f>
        <v>18489.45</v>
      </c>
      <c r="E32" s="50">
        <f>(C32/D32)-1</f>
        <v>-0.07166194776</v>
      </c>
      <c r="F32" s="153"/>
      <c r="G32" s="170">
        <f>SUM(K5:L5)</f>
        <v>34799.35</v>
      </c>
      <c r="H32" s="170">
        <f>SUM(G5:H5)</f>
        <v>35044.98</v>
      </c>
      <c r="I32" s="50">
        <f>(G32/H32)-1</f>
        <v>-0.007008992443</v>
      </c>
      <c r="J32" s="44"/>
      <c r="K32" s="153">
        <f>SUM(J5:L5)</f>
        <v>52503.87</v>
      </c>
      <c r="L32" s="153">
        <f>SUM(F5:H5)</f>
        <v>52153.14</v>
      </c>
      <c r="M32" s="157">
        <f>(K32/L32)-1</f>
        <v>0.00672500256</v>
      </c>
      <c r="N32" s="109"/>
      <c r="O32" s="109"/>
      <c r="P32" s="109"/>
      <c r="Q32" s="109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>
      <c r="A33" s="65" t="s">
        <v>28</v>
      </c>
      <c r="B33" s="65"/>
      <c r="C33" s="170">
        <f t="shared" ref="C33:C34" si="13">L8</f>
        <v>10494.39</v>
      </c>
      <c r="D33" s="170">
        <f t="shared" ref="D33:D34" si="14">H8</f>
        <v>12412.32</v>
      </c>
      <c r="E33" s="50"/>
      <c r="F33" s="153"/>
      <c r="G33" s="170">
        <f t="shared" ref="G33:G34" si="15">SUM(K8:L8)</f>
        <v>21505.28</v>
      </c>
      <c r="H33" s="170">
        <f t="shared" ref="H33:H34" si="16">SUM(G8:H8)</f>
        <v>23368.45</v>
      </c>
      <c r="I33" s="171"/>
      <c r="J33" s="44"/>
      <c r="K33" s="153">
        <f t="shared" ref="K33:K34" si="17">SUM(J8:L8)</f>
        <v>32505.1</v>
      </c>
      <c r="L33" s="153">
        <f t="shared" ref="L33:L34" si="18">SUM(F8:H8)</f>
        <v>34878.94</v>
      </c>
      <c r="M33" s="157"/>
      <c r="N33" s="109"/>
      <c r="O33" s="109"/>
      <c r="P33" s="109"/>
      <c r="Q33" s="109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>
      <c r="A34" s="65" t="s">
        <v>21</v>
      </c>
      <c r="B34" s="65"/>
      <c r="C34" s="170">
        <f t="shared" si="13"/>
        <v>442.46</v>
      </c>
      <c r="D34" s="170">
        <f t="shared" si="14"/>
        <v>438.12</v>
      </c>
      <c r="E34" s="172"/>
      <c r="F34" s="109"/>
      <c r="G34" s="170">
        <f t="shared" si="15"/>
        <v>903.86</v>
      </c>
      <c r="H34" s="170">
        <f t="shared" si="16"/>
        <v>905.08</v>
      </c>
      <c r="I34" s="171"/>
      <c r="J34" s="109"/>
      <c r="K34" s="153">
        <f t="shared" si="17"/>
        <v>1350.97</v>
      </c>
      <c r="L34" s="153">
        <f t="shared" si="18"/>
        <v>1334.67</v>
      </c>
      <c r="M34" s="157"/>
      <c r="N34" s="109"/>
      <c r="O34" s="109"/>
      <c r="P34" s="109"/>
      <c r="Q34" s="109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>
      <c r="A35" s="94" t="s">
        <v>29</v>
      </c>
      <c r="B35" s="94"/>
      <c r="C35" s="173">
        <f t="shared" ref="C35:D35" si="19">C32-C33-C34</f>
        <v>6227.61</v>
      </c>
      <c r="D35" s="173">
        <f t="shared" si="19"/>
        <v>5639.01</v>
      </c>
      <c r="E35" s="174">
        <f>(C35/D35)-1</f>
        <v>0.1043800242</v>
      </c>
      <c r="F35" s="154"/>
      <c r="G35" s="173">
        <f t="shared" ref="G35:H35" si="20">G32-G33-G34</f>
        <v>12390.21</v>
      </c>
      <c r="H35" s="173">
        <f t="shared" si="20"/>
        <v>10771.45</v>
      </c>
      <c r="I35" s="174">
        <f>(G35/H35)-1</f>
        <v>0.1502824597</v>
      </c>
      <c r="J35" s="95"/>
      <c r="K35" s="154">
        <f t="shared" ref="K35:L35" si="21">K32-K33-K34</f>
        <v>18647.8</v>
      </c>
      <c r="L35" s="154">
        <f t="shared" si="21"/>
        <v>15939.53</v>
      </c>
      <c r="M35" s="175">
        <f>(K35/L35)-1</f>
        <v>0.1699090249</v>
      </c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</row>
    <row r="36">
      <c r="A36" s="167"/>
      <c r="B36" s="167"/>
      <c r="C36" s="176"/>
      <c r="D36" s="176"/>
      <c r="E36" s="157"/>
      <c r="F36" s="153"/>
      <c r="G36" s="176"/>
      <c r="H36" s="176"/>
      <c r="I36" s="157"/>
      <c r="J36" s="44"/>
      <c r="K36" s="176"/>
      <c r="L36" s="176"/>
      <c r="M36" s="157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>
      <c r="A37" s="65" t="s">
        <v>20</v>
      </c>
      <c r="B37" s="65"/>
      <c r="C37" s="153">
        <f t="shared" ref="C37:C39" si="22">L15</f>
        <v>722.3</v>
      </c>
      <c r="D37" s="153">
        <f t="shared" ref="D37:D39" si="23">H15</f>
        <v>320.73</v>
      </c>
      <c r="E37" s="157"/>
      <c r="F37" s="153"/>
      <c r="G37" s="153">
        <f t="shared" ref="G37:G39" si="24">SUM(K15:L15)</f>
        <v>1404.82</v>
      </c>
      <c r="H37" s="153">
        <f t="shared" ref="H37:H39" si="25">SUM(G15:H15)</f>
        <v>819.35</v>
      </c>
      <c r="I37" s="157"/>
      <c r="J37" s="44"/>
      <c r="K37" s="153">
        <f t="shared" ref="K37:K39" si="26">SUM(J15:L15)</f>
        <v>2000.25</v>
      </c>
      <c r="L37" s="153">
        <f t="shared" ref="L37:L39" si="27">SUM(F15:H15)</f>
        <v>1241.27</v>
      </c>
      <c r="M37" s="157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>
      <c r="A38" s="65" t="s">
        <v>22</v>
      </c>
      <c r="B38" s="65"/>
      <c r="C38" s="153">
        <f t="shared" si="22"/>
        <v>9.9</v>
      </c>
      <c r="D38" s="153">
        <f t="shared" si="23"/>
        <v>9.25</v>
      </c>
      <c r="E38" s="157"/>
      <c r="F38" s="153"/>
      <c r="G38" s="153">
        <f t="shared" si="24"/>
        <v>22.05</v>
      </c>
      <c r="H38" s="153">
        <f t="shared" si="25"/>
        <v>19.96</v>
      </c>
      <c r="I38" s="157"/>
      <c r="J38" s="44"/>
      <c r="K38" s="153">
        <f t="shared" si="26"/>
        <v>31.26</v>
      </c>
      <c r="L38" s="153">
        <f t="shared" si="27"/>
        <v>29.52</v>
      </c>
      <c r="M38" s="157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>
      <c r="A39" s="65" t="s">
        <v>23</v>
      </c>
      <c r="B39" s="65"/>
      <c r="C39" s="153">
        <f t="shared" si="22"/>
        <v>6940.01</v>
      </c>
      <c r="D39" s="153">
        <f t="shared" si="23"/>
        <v>5950.49</v>
      </c>
      <c r="E39" s="157"/>
      <c r="F39" s="153"/>
      <c r="G39" s="153">
        <f t="shared" si="24"/>
        <v>13772.98</v>
      </c>
      <c r="H39" s="153">
        <f t="shared" si="25"/>
        <v>11570.84</v>
      </c>
      <c r="I39" s="153"/>
      <c r="J39" s="153"/>
      <c r="K39" s="153">
        <f t="shared" si="26"/>
        <v>20616.79</v>
      </c>
      <c r="L39" s="153">
        <f t="shared" si="27"/>
        <v>17151.28</v>
      </c>
      <c r="M39" s="157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</row>
    <row r="40">
      <c r="A40" s="65" t="s">
        <v>24</v>
      </c>
      <c r="B40" s="109"/>
      <c r="C40" s="153">
        <f>L22</f>
        <v>1759.89</v>
      </c>
      <c r="D40" s="153">
        <f>H22</f>
        <v>1488.24</v>
      </c>
      <c r="E40" s="157"/>
      <c r="F40" s="153"/>
      <c r="G40" s="153">
        <f>SUM(K22:L22)</f>
        <v>3367.84</v>
      </c>
      <c r="H40" s="153">
        <f>SUM(G22:H22)</f>
        <v>2848.91</v>
      </c>
      <c r="I40" s="157"/>
      <c r="J40" s="44"/>
      <c r="K40" s="153">
        <f>SUM(J22:L22)</f>
        <v>5141.56</v>
      </c>
      <c r="L40" s="153">
        <f>SUM(F22:H22)</f>
        <v>4310.55</v>
      </c>
      <c r="M40" s="157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>
      <c r="A41" s="94" t="s">
        <v>25</v>
      </c>
      <c r="B41" s="94"/>
      <c r="C41" s="177">
        <f t="shared" ref="C41:D41" si="28">C39-C40</f>
        <v>5180.12</v>
      </c>
      <c r="D41" s="154">
        <f t="shared" si="28"/>
        <v>4462.25</v>
      </c>
      <c r="E41" s="175">
        <f>(C41/D41)-1</f>
        <v>0.1608762396</v>
      </c>
      <c r="F41" s="154"/>
      <c r="G41" s="154">
        <f t="shared" ref="G41:H41" si="29">G39-G40</f>
        <v>10405.14</v>
      </c>
      <c r="H41" s="154">
        <f t="shared" si="29"/>
        <v>8721.93</v>
      </c>
      <c r="I41" s="175">
        <f>(G41/H41)-1</f>
        <v>0.1929859561</v>
      </c>
      <c r="J41" s="95"/>
      <c r="K41" s="154">
        <f t="shared" ref="K41:L41" si="30">K39-K40</f>
        <v>15475.23</v>
      </c>
      <c r="L41" s="154">
        <f t="shared" si="30"/>
        <v>12840.73</v>
      </c>
      <c r="M41" s="175">
        <f>(K41/L41)-1</f>
        <v>0.2051674632</v>
      </c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>
      <c r="A43" s="47" t="s">
        <v>85</v>
      </c>
      <c r="B43" s="47"/>
      <c r="C43" s="157">
        <f t="shared" ref="C43:D43" si="31">C35/C32</f>
        <v>0.3628200363</v>
      </c>
      <c r="D43" s="157">
        <f t="shared" si="31"/>
        <v>0.3049852754</v>
      </c>
      <c r="E43" s="157"/>
      <c r="F43" s="157"/>
      <c r="G43" s="157">
        <f t="shared" ref="G43:H43" si="32">G35/G32</f>
        <v>0.3560471675</v>
      </c>
      <c r="H43" s="157">
        <f t="shared" si="32"/>
        <v>0.3073607119</v>
      </c>
      <c r="I43" s="157"/>
      <c r="J43" s="157"/>
      <c r="K43" s="157">
        <f t="shared" ref="K43:L43" si="33">K35/K32</f>
        <v>0.3551700094</v>
      </c>
      <c r="L43" s="157">
        <f t="shared" si="33"/>
        <v>0.3056293447</v>
      </c>
      <c r="M43" s="157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>
      <c r="A44" s="47" t="s">
        <v>140</v>
      </c>
      <c r="B44" s="47"/>
      <c r="C44" s="157">
        <f t="shared" ref="C44:D44" si="34">(C35+C34)/C32</f>
        <v>0.3885977188</v>
      </c>
      <c r="D44" s="157">
        <f t="shared" si="34"/>
        <v>0.3286809505</v>
      </c>
      <c r="E44" s="157"/>
      <c r="F44" s="157"/>
      <c r="G44" s="157">
        <f t="shared" ref="G44:H44" si="35">(G35+G34)/G32</f>
        <v>0.3820206412</v>
      </c>
      <c r="H44" s="157">
        <f t="shared" si="35"/>
        <v>0.33318695</v>
      </c>
      <c r="I44" s="157"/>
      <c r="J44" s="157"/>
      <c r="K44" s="157">
        <f t="shared" ref="K44:L44" si="36">(K35+K34)/K32</f>
        <v>0.3809008745</v>
      </c>
      <c r="L44" s="157">
        <f t="shared" si="36"/>
        <v>0.3312207089</v>
      </c>
      <c r="M44" s="157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>
      <c r="A45" s="47" t="s">
        <v>141</v>
      </c>
      <c r="B45" s="47"/>
      <c r="C45" s="157">
        <f t="shared" ref="C45:D45" si="37">C41/C32</f>
        <v>0.3017933567</v>
      </c>
      <c r="D45" s="157">
        <f t="shared" si="37"/>
        <v>0.2413403319</v>
      </c>
      <c r="E45" s="157"/>
      <c r="F45" s="157"/>
      <c r="G45" s="157">
        <f t="shared" ref="G45:H45" si="38">G41/G32</f>
        <v>0.2990038607</v>
      </c>
      <c r="H45" s="157">
        <f t="shared" si="38"/>
        <v>0.248878156</v>
      </c>
      <c r="I45" s="157"/>
      <c r="J45" s="157"/>
      <c r="K45" s="157">
        <f t="shared" ref="K45:L45" si="39">K41/K32</f>
        <v>0.2947445588</v>
      </c>
      <c r="L45" s="157">
        <f t="shared" si="39"/>
        <v>0.246212021</v>
      </c>
      <c r="M45" s="157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>
      <c r="A47" s="44"/>
      <c r="B47" s="44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>
      <c r="A48" s="44"/>
      <c r="B48" s="44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>
      <c r="A49" s="44"/>
      <c r="B49" s="44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>
      <c r="A50" s="44"/>
      <c r="B50" s="44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>
      <c r="A51" s="44"/>
      <c r="B51" s="44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44"/>
      <c r="O51" s="109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>
      <c r="A52" s="44"/>
      <c r="B52" s="44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6">
    <mergeCell ref="A1:B1"/>
    <mergeCell ref="C1:F1"/>
    <mergeCell ref="B2:L2"/>
    <mergeCell ref="C30:E30"/>
    <mergeCell ref="G30:I30"/>
    <mergeCell ref="K30:M30"/>
  </mergeCells>
  <hyperlinks>
    <hyperlink r:id="rId1" ref="G1"/>
    <hyperlink r:id="rId2" ref="H1"/>
  </hyperlinks>
  <printOptions horizontalCentered="1" verticalCentered="1"/>
  <pageMargins bottom="0.75" footer="0.0" header="0.0" left="0.25" right="0.25" top="0.75"/>
  <pageSetup fitToWidth="0" paperSize="9" orientation="landscape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38.86"/>
    <col customWidth="1" min="2" max="11" width="10.71"/>
    <col customWidth="1" min="12" max="12" width="15.43"/>
    <col customWidth="1" min="13" max="13" width="8.43"/>
    <col customWidth="1" min="14" max="14" width="11.57"/>
    <col customWidth="1" min="15" max="15" width="6.71"/>
    <col customWidth="1" min="16" max="16" width="6.14"/>
    <col customWidth="1" min="17" max="121" width="9.14"/>
  </cols>
  <sheetData>
    <row r="1">
      <c r="A1" s="178" t="s">
        <v>66</v>
      </c>
      <c r="B1" s="179" t="s">
        <v>67</v>
      </c>
      <c r="C1" s="135"/>
      <c r="D1" s="135"/>
      <c r="E1" s="135"/>
      <c r="F1" s="133"/>
      <c r="G1" s="180" t="s">
        <v>68</v>
      </c>
      <c r="H1" s="181" t="s">
        <v>69</v>
      </c>
      <c r="I1" s="182"/>
      <c r="J1" s="182"/>
      <c r="K1" s="182"/>
      <c r="L1" s="182"/>
      <c r="M1" s="183"/>
      <c r="N1" s="182"/>
      <c r="O1" s="182"/>
      <c r="P1" s="184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</row>
    <row r="2">
      <c r="A2" s="186" t="s">
        <v>142</v>
      </c>
      <c r="B2" s="26" t="str">
        <f>'Data Sheet'!B1</f>
        <v>ITC LTD</v>
      </c>
      <c r="C2" s="5"/>
      <c r="D2" s="5"/>
      <c r="E2" s="5"/>
      <c r="F2" s="5"/>
      <c r="G2" s="5"/>
      <c r="H2" s="5"/>
      <c r="I2" s="5"/>
      <c r="J2" s="5"/>
      <c r="K2" s="187"/>
      <c r="L2" s="188"/>
      <c r="M2" s="188"/>
      <c r="N2" s="188"/>
      <c r="O2" s="188"/>
      <c r="P2" s="188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</row>
    <row r="3">
      <c r="A3" s="189"/>
      <c r="B3" s="190">
        <v>2014.0</v>
      </c>
      <c r="C3" s="190">
        <f t="shared" ref="C3:K3" si="1">B3+1</f>
        <v>2015</v>
      </c>
      <c r="D3" s="190">
        <f t="shared" si="1"/>
        <v>2016</v>
      </c>
      <c r="E3" s="190">
        <f t="shared" si="1"/>
        <v>2017</v>
      </c>
      <c r="F3" s="190">
        <f t="shared" si="1"/>
        <v>2018</v>
      </c>
      <c r="G3" s="190">
        <f t="shared" si="1"/>
        <v>2019</v>
      </c>
      <c r="H3" s="190">
        <f t="shared" si="1"/>
        <v>2020</v>
      </c>
      <c r="I3" s="190">
        <f t="shared" si="1"/>
        <v>2021</v>
      </c>
      <c r="J3" s="190">
        <f t="shared" si="1"/>
        <v>2022</v>
      </c>
      <c r="K3" s="191">
        <f t="shared" si="1"/>
        <v>2023</v>
      </c>
      <c r="L3" s="192" t="s">
        <v>143</v>
      </c>
      <c r="M3" s="193" t="s">
        <v>144</v>
      </c>
      <c r="N3" s="193" t="s">
        <v>145</v>
      </c>
      <c r="O3" s="193" t="s">
        <v>146</v>
      </c>
      <c r="P3" s="193" t="s">
        <v>147</v>
      </c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</row>
    <row r="4">
      <c r="A4" s="194"/>
      <c r="B4" s="36"/>
      <c r="C4" s="36"/>
      <c r="D4" s="36"/>
      <c r="E4" s="36"/>
      <c r="F4" s="36"/>
      <c r="G4" s="36"/>
      <c r="H4" s="36"/>
      <c r="I4" s="36"/>
      <c r="J4" s="36"/>
      <c r="K4" s="36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</row>
    <row r="5">
      <c r="A5" s="195" t="s">
        <v>148</v>
      </c>
      <c r="B5" s="196"/>
      <c r="C5" s="196"/>
      <c r="D5" s="196"/>
      <c r="E5" s="196"/>
      <c r="F5" s="196"/>
      <c r="G5" s="196"/>
      <c r="H5" s="196"/>
      <c r="I5" s="196"/>
      <c r="J5" s="196"/>
      <c r="K5" s="197"/>
      <c r="L5" s="196"/>
      <c r="M5" s="196"/>
      <c r="N5" s="196"/>
      <c r="O5" s="196"/>
      <c r="P5" s="198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</row>
    <row r="6" ht="14.25" customHeight="1">
      <c r="A6" s="44" t="s">
        <v>149</v>
      </c>
      <c r="B6" s="199"/>
      <c r="C6" s="200">
        <f>IF('Finanical Statment'!D53&gt;0,'Finanical Statment'!D7/AVERAGE('Finanical Statment'!C53:D53),0)</f>
        <v>4.609535266</v>
      </c>
      <c r="D6" s="199">
        <f>IF('Finanical Statment'!E53&gt;0,'Finanical Statment'!E7/AVERAGE('Finanical Statment'!D53:E53),0)</f>
        <v>4.441290342</v>
      </c>
      <c r="E6" s="199">
        <f>IF('Finanical Statment'!F53&gt;0,'Finanical Statment'!F7/AVERAGE('Finanical Statment'!E53:F53),0)</f>
        <v>4.979287702</v>
      </c>
      <c r="F6" s="199">
        <f>IF('Finanical Statment'!G53&gt;0,'Finanical Statment'!G7/AVERAGE('Finanical Statment'!F53:G53),0)</f>
        <v>5.566384113</v>
      </c>
      <c r="G6" s="199">
        <f>IF('Finanical Statment'!H53&gt;0,'Finanical Statment'!H7/AVERAGE('Finanical Statment'!G53:H53),0)</f>
        <v>6.296409231</v>
      </c>
      <c r="H6" s="199">
        <f>IF('Finanical Statment'!I53&gt;0,'Finanical Statment'!I7/AVERAGE('Finanical Statment'!H53:I53),0)</f>
        <v>5.900952811</v>
      </c>
      <c r="I6" s="199">
        <f>IF('Finanical Statment'!J53&gt;0,'Finanical Statment'!J7/AVERAGE('Finanical Statment'!I53:J53),0)</f>
        <v>5.110624393</v>
      </c>
      <c r="J6" s="199">
        <f>IF('Finanical Statment'!K53&gt;0,'Finanical Statment'!K7/AVERAGE('Finanical Statment'!J53:K53),0)</f>
        <v>5.704685177</v>
      </c>
      <c r="K6" s="199">
        <f>IF('Finanical Statment'!L53&gt;0,'Finanical Statment'!L7/AVERAGE('Finanical Statment'!K53:L53),0)</f>
        <v>6.266230063</v>
      </c>
      <c r="L6" s="199"/>
      <c r="M6" s="200">
        <f t="shared" ref="M6:M17" si="3">AVERAGE(C6:K6)</f>
        <v>5.4305999</v>
      </c>
      <c r="N6" s="200">
        <f t="shared" ref="N6:N17" si="4">MEDIAN(C6:J6)</f>
        <v>5.338504253</v>
      </c>
      <c r="O6" s="200">
        <f t="shared" ref="O6:O17" si="5">MAX(C6:K6)</f>
        <v>6.296409231</v>
      </c>
      <c r="P6" s="200">
        <f t="shared" ref="P6:P17" si="6">MIN(C6:K6)</f>
        <v>4.441290342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</row>
    <row r="7" ht="14.25" customHeight="1">
      <c r="A7" s="44" t="s">
        <v>150</v>
      </c>
      <c r="B7" s="199"/>
      <c r="C7" s="200">
        <f t="shared" ref="C7:K7" si="2">IF(C6=0,0,365/C6)</f>
        <v>79.18368749</v>
      </c>
      <c r="D7" s="200">
        <f t="shared" si="2"/>
        <v>82.1833233</v>
      </c>
      <c r="E7" s="200">
        <f t="shared" si="2"/>
        <v>73.30365744</v>
      </c>
      <c r="F7" s="200">
        <f t="shared" si="2"/>
        <v>65.5721906</v>
      </c>
      <c r="G7" s="200">
        <f t="shared" si="2"/>
        <v>57.96954845</v>
      </c>
      <c r="H7" s="200">
        <f t="shared" si="2"/>
        <v>61.8544177</v>
      </c>
      <c r="I7" s="200">
        <f t="shared" si="2"/>
        <v>71.41984461</v>
      </c>
      <c r="J7" s="200">
        <f t="shared" si="2"/>
        <v>63.98249661</v>
      </c>
      <c r="K7" s="200">
        <f t="shared" si="2"/>
        <v>58.24873909</v>
      </c>
      <c r="L7" s="199"/>
      <c r="M7" s="200">
        <f t="shared" si="3"/>
        <v>68.19087837</v>
      </c>
      <c r="N7" s="200">
        <f t="shared" si="4"/>
        <v>68.49601761</v>
      </c>
      <c r="O7" s="200">
        <f t="shared" si="5"/>
        <v>82.1833233</v>
      </c>
      <c r="P7" s="200">
        <f t="shared" si="6"/>
        <v>57.96954845</v>
      </c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</row>
    <row r="8">
      <c r="A8" s="44" t="s">
        <v>151</v>
      </c>
      <c r="B8" s="199"/>
      <c r="C8" s="200">
        <f>IF('Finanical Statment'!D52&gt;0,'Finanical Statment'!D7/AVERAGE('Finanical Statment'!C52:D52),0)</f>
        <v>17.55923624</v>
      </c>
      <c r="D8" s="199">
        <f>IF('Finanical Statment'!E52&gt;0,'Finanical Statment'!E7/AVERAGE('Finanical Statment'!E52),0)</f>
        <v>20.44257712</v>
      </c>
      <c r="E8" s="199">
        <f>IF('Finanical Statment'!F52&gt;0,'Finanical Statment'!F7/AVERAGE('Finanical Statment'!F52),0)</f>
        <v>17.28479685</v>
      </c>
      <c r="F8" s="199">
        <f>IF('Finanical Statment'!G52&gt;0,'Finanical Statment'!G7/AVERAGE('Finanical Statment'!G52),0)</f>
        <v>16.19844983</v>
      </c>
      <c r="G8" s="199">
        <f>IF('Finanical Statment'!H52&gt;0,'Finanical Statment'!H7/AVERAGE('Finanical Statment'!H52),0)</f>
        <v>11.97923812</v>
      </c>
      <c r="H8" s="199">
        <f>IF('Finanical Statment'!I52&gt;0,'Finanical Statment'!I7/AVERAGE('Finanical Statment'!I52),0)</f>
        <v>19.27339921</v>
      </c>
      <c r="I8" s="199">
        <f>IF('Finanical Statment'!J52&gt;0,'Finanical Statment'!J7/AVERAGE('Finanical Statment'!J52),0)</f>
        <v>19.68959108</v>
      </c>
      <c r="J8" s="199">
        <f>IF('Finanical Statment'!K52&gt;0,'Finanical Statment'!K7/AVERAGE('Finanical Statment'!K52),0)</f>
        <v>24.63322637</v>
      </c>
      <c r="K8" s="199">
        <f>IF('Finanical Statment'!L52&gt;0,'Finanical Statment'!L7/AVERAGE('Finanical Statment'!L52),0)</f>
        <v>23.9901731</v>
      </c>
      <c r="L8" s="199"/>
      <c r="M8" s="200">
        <f t="shared" si="3"/>
        <v>19.00563199</v>
      </c>
      <c r="N8" s="200">
        <f t="shared" si="4"/>
        <v>18.41631772</v>
      </c>
      <c r="O8" s="200">
        <f t="shared" si="5"/>
        <v>24.63322637</v>
      </c>
      <c r="P8" s="200">
        <f t="shared" si="6"/>
        <v>11.97923812</v>
      </c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</row>
    <row r="9">
      <c r="A9" s="44" t="s">
        <v>152</v>
      </c>
      <c r="B9" s="199"/>
      <c r="C9" s="200">
        <f t="shared" ref="C9:K9" si="7">IF(C8=0,0,365/C8)</f>
        <v>20.7867811</v>
      </c>
      <c r="D9" s="200">
        <f t="shared" si="7"/>
        <v>17.85489167</v>
      </c>
      <c r="E9" s="200">
        <f t="shared" si="7"/>
        <v>21.11682325</v>
      </c>
      <c r="F9" s="200">
        <f t="shared" si="7"/>
        <v>22.53302037</v>
      </c>
      <c r="G9" s="200">
        <f t="shared" si="7"/>
        <v>30.46938347</v>
      </c>
      <c r="H9" s="200">
        <f t="shared" si="7"/>
        <v>18.93801898</v>
      </c>
      <c r="I9" s="200">
        <f t="shared" si="7"/>
        <v>18.53771358</v>
      </c>
      <c r="J9" s="200">
        <f t="shared" si="7"/>
        <v>14.81738504</v>
      </c>
      <c r="K9" s="200">
        <f t="shared" si="7"/>
        <v>15.214563</v>
      </c>
      <c r="L9" s="199"/>
      <c r="M9" s="200">
        <f t="shared" si="3"/>
        <v>20.02984228</v>
      </c>
      <c r="N9" s="200">
        <f t="shared" si="4"/>
        <v>19.86240004</v>
      </c>
      <c r="O9" s="200">
        <f t="shared" si="5"/>
        <v>30.46938347</v>
      </c>
      <c r="P9" s="200">
        <f t="shared" si="6"/>
        <v>14.81738504</v>
      </c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</row>
    <row r="10">
      <c r="A10" s="44" t="s">
        <v>153</v>
      </c>
      <c r="B10" s="44"/>
      <c r="C10" s="72">
        <f>IF('Finanical Statment'!D60&gt;0,('Finanical Statment'!D7/AVERAGE('Finanical Statment'!C60:D60)),"0")</f>
        <v>18.81587494</v>
      </c>
      <c r="D10" s="74">
        <f>IF('Finanical Statment'!E60&gt;0,('Finanical Statment'!E7/AVERAGE('Finanical Statment'!D60:E60)),"0")</f>
        <v>17.98215187</v>
      </c>
      <c r="E10" s="74">
        <f>IF('Finanical Statment'!F60&gt;0,('Finanical Statment'!F7/AVERAGE('Finanical Statment'!E60:F60)),"0")</f>
        <v>17.11388555</v>
      </c>
      <c r="F10" s="74">
        <f>IF('Finanical Statment'!G60&gt;0,('Finanical Statment'!G7/AVERAGE('Finanical Statment'!F60:G60)),"0")</f>
        <v>14.11825833</v>
      </c>
      <c r="G10" s="74">
        <f>IF('Finanical Statment'!H60&gt;0,('Finanical Statment'!H7/AVERAGE('Finanical Statment'!G60:H60)),"0")</f>
        <v>13.79948045</v>
      </c>
      <c r="H10" s="74">
        <f>IF('Finanical Statment'!I60&gt;0,('Finanical Statment'!I7/AVERAGE('Finanical Statment'!H60:I60)),"0")</f>
        <v>13.83408964</v>
      </c>
      <c r="I10" s="74">
        <f>IF('Finanical Statment'!J60&gt;0,('Finanical Statment'!J7/AVERAGE('Finanical Statment'!I60:J60)),"0")</f>
        <v>12.39337024</v>
      </c>
      <c r="J10" s="74">
        <f>IF('Finanical Statment'!K60&gt;0,('Finanical Statment'!K7/AVERAGE('Finanical Statment'!J60:K60)),"0")</f>
        <v>13.88382326</v>
      </c>
      <c r="K10" s="74">
        <f>IF('Finanical Statment'!L60&gt;0,('Finanical Statment'!L7/AVERAGE('Finanical Statment'!K60:L60)),"0")</f>
        <v>15.62781622</v>
      </c>
      <c r="L10" s="199"/>
      <c r="M10" s="200">
        <f t="shared" si="3"/>
        <v>15.28541672</v>
      </c>
      <c r="N10" s="200">
        <f t="shared" si="4"/>
        <v>14.00104079</v>
      </c>
      <c r="O10" s="200">
        <f t="shared" si="5"/>
        <v>18.81587494</v>
      </c>
      <c r="P10" s="200">
        <f t="shared" si="6"/>
        <v>12.39337024</v>
      </c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</row>
    <row r="11">
      <c r="A11" s="44" t="s">
        <v>154</v>
      </c>
      <c r="B11" s="44"/>
      <c r="C11" s="200">
        <f>IF('Finanical Statment'!C60=0,0,(IF(C10=0,0,365/C10)))</f>
        <v>19.39851329</v>
      </c>
      <c r="D11" s="200">
        <f>IF('Finanical Statment'!D60=0,0,(IF(D10=0,0,365/D10)))</f>
        <v>20.29790442</v>
      </c>
      <c r="E11" s="200">
        <f>IF('Finanical Statment'!E60=0,0,(IF(E10=0,0,365/E10)))</f>
        <v>21.3277107</v>
      </c>
      <c r="F11" s="200">
        <f>IF('Finanical Statment'!F60=0,0,(IF(F10=0,0,365/F10)))</f>
        <v>25.85304728</v>
      </c>
      <c r="G11" s="200">
        <f>IF('Finanical Statment'!G60=0,0,(IF(G10=0,0,365/G10)))</f>
        <v>26.45027119</v>
      </c>
      <c r="H11" s="200">
        <f>IF('Finanical Statment'!H60=0,0,(IF(H10=0,0,365/H10)))</f>
        <v>26.38409968</v>
      </c>
      <c r="I11" s="200">
        <f>IF('Finanical Statment'!I60=0,0,(IF(I10=0,0,365/I10)))</f>
        <v>29.45123022</v>
      </c>
      <c r="J11" s="200">
        <f>IF('Finanical Statment'!J60=0,0,(IF(J10=0,0,365/J10)))</f>
        <v>26.28958848</v>
      </c>
      <c r="K11" s="200">
        <f>IF('Finanical Statment'!K60=0,0,(IF(K10=0,0,365/K10)))</f>
        <v>23.3557904</v>
      </c>
      <c r="L11" s="199"/>
      <c r="M11" s="200">
        <f t="shared" si="3"/>
        <v>24.31201729</v>
      </c>
      <c r="N11" s="200">
        <f t="shared" si="4"/>
        <v>26.07131788</v>
      </c>
      <c r="O11" s="200">
        <f t="shared" si="5"/>
        <v>29.45123022</v>
      </c>
      <c r="P11" s="200">
        <f t="shared" si="6"/>
        <v>19.39851329</v>
      </c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</row>
    <row r="12">
      <c r="A12" s="44" t="s">
        <v>155</v>
      </c>
      <c r="B12" s="199"/>
      <c r="C12" s="199">
        <f>IF('Finanical Statment'!D7=0,0,'Finanical Statment'!D7/('Finanical Statment'!D66+'Finanical Statment'!D67+'Finanical Statment'!D59))</f>
        <v>1.212873337</v>
      </c>
      <c r="D12" s="199">
        <f>IF(D7=0,0,'Finanical Statment'!E7/('Finanical Statment'!E66+'Finanical Statment'!E67+'Finanical Statment'!E59))</f>
        <v>0.9164891391</v>
      </c>
      <c r="E12" s="199">
        <f>IF(E7=0,0,'Finanical Statment'!F7/('Finanical Statment'!F66+'Finanical Statment'!F67+'Finanical Statment'!F59))</f>
        <v>0.9205519317</v>
      </c>
      <c r="F12" s="199">
        <f>IF(F7=0,0,'Finanical Statment'!G7/('Finanical Statment'!G66+'Finanical Statment'!G67+'Finanical Statment'!G59))</f>
        <v>0.8268738856</v>
      </c>
      <c r="G12" s="199">
        <f>IF(G7=0,0,'Finanical Statment'!H7/('Finanical Statment'!H66+'Finanical Statment'!H67+'Finanical Statment'!H59))</f>
        <v>0.8171776494</v>
      </c>
      <c r="H12" s="199">
        <f>IF(H7=0,0,'Finanical Statment'!I7/('Finanical Statment'!I66+'Finanical Statment'!I67+'Finanical Statment'!I59))</f>
        <v>0.7534273847</v>
      </c>
      <c r="I12" s="199">
        <f>IF(I7=0,0,'Finanical Statment'!J7/('Finanical Statment'!J66+'Finanical Statment'!J67+'Finanical Statment'!J59))</f>
        <v>0.8125855663</v>
      </c>
      <c r="J12" s="199">
        <f>IF(J7=0,0,'Finanical Statment'!K7/('Finanical Statment'!K66+'Finanical Statment'!K67+'Finanical Statment'!K59))</f>
        <v>0.9671402652</v>
      </c>
      <c r="K12" s="199">
        <f>IF(K7=0,0,'Finanical Statment'!L7/('Finanical Statment'!L66+'Finanical Statment'!L67+'Finanical Statment'!L59))</f>
        <v>1.020986218</v>
      </c>
      <c r="L12" s="199"/>
      <c r="M12" s="200">
        <f t="shared" si="3"/>
        <v>0.916456153</v>
      </c>
      <c r="N12" s="200">
        <f t="shared" si="4"/>
        <v>0.8716815123</v>
      </c>
      <c r="O12" s="200">
        <f t="shared" si="5"/>
        <v>1.212873337</v>
      </c>
      <c r="P12" s="200">
        <f t="shared" si="6"/>
        <v>0.7534273847</v>
      </c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</row>
    <row r="13">
      <c r="A13" s="44" t="s">
        <v>156</v>
      </c>
      <c r="B13" s="199"/>
      <c r="C13" s="199">
        <f t="shared" ref="C13:K13" si="8">IF(C14=0,0,365/C14)</f>
        <v>4.530112228</v>
      </c>
      <c r="D13" s="199">
        <f t="shared" si="8"/>
        <v>4.577358647</v>
      </c>
      <c r="E13" s="199">
        <f t="shared" si="8"/>
        <v>4.993653956</v>
      </c>
      <c r="F13" s="199">
        <f t="shared" si="8"/>
        <v>5.86325002</v>
      </c>
      <c r="G13" s="199">
        <f t="shared" si="8"/>
        <v>5.88817367</v>
      </c>
      <c r="H13" s="199">
        <f t="shared" si="8"/>
        <v>6.708530717</v>
      </c>
      <c r="I13" s="199">
        <f t="shared" si="8"/>
        <v>6.032426892</v>
      </c>
      <c r="J13" s="199">
        <f t="shared" si="8"/>
        <v>6.951018132</v>
      </c>
      <c r="K13" s="199">
        <f t="shared" si="8"/>
        <v>7.284336972</v>
      </c>
      <c r="L13" s="199"/>
      <c r="M13" s="200">
        <f t="shared" si="3"/>
        <v>5.86987347</v>
      </c>
      <c r="N13" s="200">
        <f t="shared" si="4"/>
        <v>5.875711845</v>
      </c>
      <c r="O13" s="200">
        <f t="shared" si="5"/>
        <v>7.284336972</v>
      </c>
      <c r="P13" s="200">
        <f t="shared" si="6"/>
        <v>4.530112228</v>
      </c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</row>
    <row r="14">
      <c r="A14" s="44" t="s">
        <v>157</v>
      </c>
      <c r="B14" s="199"/>
      <c r="C14" s="200">
        <f t="shared" ref="C14:K14" si="9">C7+C9-C11</f>
        <v>80.57195531</v>
      </c>
      <c r="D14" s="199">
        <f t="shared" si="9"/>
        <v>79.74031055</v>
      </c>
      <c r="E14" s="199">
        <f t="shared" si="9"/>
        <v>73.09276999</v>
      </c>
      <c r="F14" s="199">
        <f t="shared" si="9"/>
        <v>62.25216369</v>
      </c>
      <c r="G14" s="199">
        <f t="shared" si="9"/>
        <v>61.98866074</v>
      </c>
      <c r="H14" s="199">
        <f t="shared" si="9"/>
        <v>54.40833699</v>
      </c>
      <c r="I14" s="199">
        <f t="shared" si="9"/>
        <v>60.50632798</v>
      </c>
      <c r="J14" s="199">
        <f t="shared" si="9"/>
        <v>52.51029318</v>
      </c>
      <c r="K14" s="199">
        <f t="shared" si="9"/>
        <v>50.10751169</v>
      </c>
      <c r="L14" s="199"/>
      <c r="M14" s="200">
        <f t="shared" si="3"/>
        <v>63.90870335</v>
      </c>
      <c r="N14" s="200">
        <f t="shared" si="4"/>
        <v>62.12041222</v>
      </c>
      <c r="O14" s="200">
        <f t="shared" si="5"/>
        <v>80.57195531</v>
      </c>
      <c r="P14" s="200">
        <f t="shared" si="6"/>
        <v>50.10751169</v>
      </c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</row>
    <row r="15">
      <c r="A15" s="44" t="s">
        <v>158</v>
      </c>
      <c r="B15" s="199"/>
      <c r="C15" s="200">
        <f t="shared" ref="C15:K15" si="10">IF(C14=0,0,365/C14)</f>
        <v>4.530112228</v>
      </c>
      <c r="D15" s="200">
        <f t="shared" si="10"/>
        <v>4.577358647</v>
      </c>
      <c r="E15" s="200">
        <f t="shared" si="10"/>
        <v>4.993653956</v>
      </c>
      <c r="F15" s="200">
        <f t="shared" si="10"/>
        <v>5.86325002</v>
      </c>
      <c r="G15" s="200">
        <f t="shared" si="10"/>
        <v>5.88817367</v>
      </c>
      <c r="H15" s="200">
        <f t="shared" si="10"/>
        <v>6.708530717</v>
      </c>
      <c r="I15" s="200">
        <f t="shared" si="10"/>
        <v>6.032426892</v>
      </c>
      <c r="J15" s="200">
        <f t="shared" si="10"/>
        <v>6.951018132</v>
      </c>
      <c r="K15" s="200">
        <f t="shared" si="10"/>
        <v>7.284336972</v>
      </c>
      <c r="L15" s="199"/>
      <c r="M15" s="200">
        <f t="shared" si="3"/>
        <v>5.86987347</v>
      </c>
      <c r="N15" s="200">
        <f t="shared" si="4"/>
        <v>5.875711845</v>
      </c>
      <c r="O15" s="200">
        <f t="shared" si="5"/>
        <v>7.284336972</v>
      </c>
      <c r="P15" s="200">
        <f t="shared" si="6"/>
        <v>4.530112228</v>
      </c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</row>
    <row r="16">
      <c r="A16" s="44" t="s">
        <v>159</v>
      </c>
      <c r="B16" s="199"/>
      <c r="C16" s="200">
        <f>IF('Finanical Statment'!D7=0,0,'Finanical Statment'!D7/(AVERAGE('Finanical Statment'!C49:D49)+AVERAGE('Finanical Statment'!C50:D50)))</f>
        <v>2.280534573</v>
      </c>
      <c r="D16" s="200">
        <f>IF('Finanical Statment'!E7=0,0,'Finanical Statment'!E7/(AVERAGE('Finanical Statment'!D49:E49)+AVERAGE('Finanical Statment'!D50:E50)))</f>
        <v>2.197492951</v>
      </c>
      <c r="E16" s="200">
        <f>IF('Finanical Statment'!F7=0,0,'Finanical Statment'!F7/(AVERAGE('Finanical Statment'!E49:F49)+AVERAGE('Finanical Statment'!E50:F50)))</f>
        <v>2.29380108</v>
      </c>
      <c r="F16" s="200">
        <f>IF('Finanical Statment'!G7=0,0,'Finanical Statment'!G7/(AVERAGE('Finanical Statment'!F49:G49)+AVERAGE('Finanical Statment'!F50:G50)))</f>
        <v>2.086100184</v>
      </c>
      <c r="G16" s="200">
        <f>IF('Finanical Statment'!H7=0,0,'Finanical Statment'!H7/(AVERAGE('Finanical Statment'!G49:H49)+AVERAGE('Finanical Statment'!G50:H50)))</f>
        <v>2.122815192</v>
      </c>
      <c r="H16" s="200">
        <f>IF('Finanical Statment'!I7=0,0,'Finanical Statment'!I7/(AVERAGE('Finanical Statment'!H49:I49)+AVERAGE('Finanical Statment'!H50:I50)))</f>
        <v>2.037429139</v>
      </c>
      <c r="I16" s="200">
        <f>IF('Finanical Statment'!J7=0,0,'Finanical Statment'!J7/(AVERAGE('Finanical Statment'!I49:J49)+AVERAGE('Finanical Statment'!I50:J50)))</f>
        <v>1.884386195</v>
      </c>
      <c r="J16" s="200">
        <f>IF('Finanical Statment'!K7=0,0,'Finanical Statment'!K7/(AVERAGE('Finanical Statment'!J49:K49)+AVERAGE('Finanical Statment'!J50:K50)))</f>
        <v>2.214642056</v>
      </c>
      <c r="K16" s="200">
        <f>IF('Finanical Statment'!L7=0,0,'Finanical Statment'!L7/(AVERAGE('Finanical Statment'!K49:L49)+AVERAGE('Finanical Statment'!K50:L50)))</f>
        <v>2.518802664</v>
      </c>
      <c r="L16" s="199"/>
      <c r="M16" s="200">
        <f t="shared" si="3"/>
        <v>2.181778226</v>
      </c>
      <c r="N16" s="200">
        <f t="shared" si="4"/>
        <v>2.160154072</v>
      </c>
      <c r="O16" s="200">
        <f t="shared" si="5"/>
        <v>2.518802664</v>
      </c>
      <c r="P16" s="200">
        <f t="shared" si="6"/>
        <v>1.884386195</v>
      </c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</row>
    <row r="17">
      <c r="A17" s="44" t="s">
        <v>160</v>
      </c>
      <c r="B17" s="199">
        <f>IF('Finanical Statment'!C56=0,0,'Finanical Statment'!C7/'Finanical Statment'!C56)</f>
        <v>0.8643281342</v>
      </c>
      <c r="C17" s="199">
        <f>IF('Finanical Statment'!D56=0,0,'Finanical Statment'!D7/'Finanical Statment'!D56)</f>
        <v>0.8447285028</v>
      </c>
      <c r="D17" s="199">
        <f>IF('Finanical Statment'!E56=0,0,'Finanical Statment'!E7/'Finanical Statment'!E56)</f>
        <v>0.7587818632</v>
      </c>
      <c r="E17" s="199">
        <f>IF('Finanical Statment'!F56=0,0,'Finanical Statment'!F7/'Finanical Statment'!F56)</f>
        <v>0.7650963392</v>
      </c>
      <c r="F17" s="199">
        <f>IF('Finanical Statment'!G56=0,0,'Finanical Statment'!G7/'Finanical Statment'!G56)</f>
        <v>0.6763440974</v>
      </c>
      <c r="G17" s="199">
        <f>IF('Finanical Statment'!H56=0,0,'Finanical Statment'!H7/'Finanical Statment'!H56)</f>
        <v>0.6738252979</v>
      </c>
      <c r="H17" s="199">
        <f>IF('Finanical Statment'!I56=0,0,'Finanical Statment'!I7/'Finanical Statment'!I56)</f>
        <v>0.6388206039</v>
      </c>
      <c r="I17" s="199">
        <f>IF('Finanical Statment'!J56=0,0,'Finanical Statment'!J7/'Finanical Statment'!J56)</f>
        <v>0.6678001962</v>
      </c>
      <c r="J17" s="199">
        <f>IF('Finanical Statment'!K56=0,0,'Finanical Statment'!K7/'Finanical Statment'!K56)</f>
        <v>0.785591537</v>
      </c>
      <c r="K17" s="199">
        <f>IF('Finanical Statment'!L56=0,0,'Finanical Statment'!L7/'Finanical Statment'!L56)</f>
        <v>0.8262639728</v>
      </c>
      <c r="L17" s="199"/>
      <c r="M17" s="200">
        <f t="shared" si="3"/>
        <v>0.73747249</v>
      </c>
      <c r="N17" s="200">
        <f t="shared" si="4"/>
        <v>0.7175629803</v>
      </c>
      <c r="O17" s="200">
        <f t="shared" si="5"/>
        <v>0.8447285028</v>
      </c>
      <c r="P17" s="200">
        <f t="shared" si="6"/>
        <v>0.6388206039</v>
      </c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</row>
    <row r="18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200"/>
      <c r="N18" s="200"/>
      <c r="O18" s="200"/>
      <c r="P18" s="200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</row>
    <row r="19">
      <c r="A19" s="195" t="s">
        <v>161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8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</row>
    <row r="20">
      <c r="A20" s="44" t="s">
        <v>162</v>
      </c>
      <c r="B20" s="199">
        <f>IF('Finanical Statment'!C7=0,0,SUM('Finanical Statment'!C52:C55)/'Finanical Statment'!C61)</f>
        <v>1.556038157</v>
      </c>
      <c r="C20" s="199">
        <f>IF('Finanical Statment'!D7=0,0,SUM('Finanical Statment'!D52:D55)/'Finanical Statment'!D61)</f>
        <v>1.761074218</v>
      </c>
      <c r="D20" s="199">
        <f>IF('Finanical Statment'!E7=0,0,SUM('Finanical Statment'!E52:E55)/'Finanical Statment'!E61)</f>
        <v>3.395520565</v>
      </c>
      <c r="E20" s="199">
        <f>IF('Finanical Statment'!F7=0,0,SUM('Finanical Statment'!F52:F55)/'Finanical Statment'!F61)</f>
        <v>2.756891281</v>
      </c>
      <c r="F20" s="199">
        <f>IF('Finanical Statment'!G7=0,0,SUM('Finanical Statment'!G52:G55)/'Finanical Statment'!G61)</f>
        <v>2.458360624</v>
      </c>
      <c r="G20" s="199">
        <f>IF('Finanical Statment'!H7=0,0,SUM('Finanical Statment'!H52:H55)/'Finanical Statment'!H61)</f>
        <v>2.554890338</v>
      </c>
      <c r="H20" s="199">
        <f>IF('Finanical Statment'!I7=0,0,SUM('Finanical Statment'!I52:I55)/'Finanical Statment'!I61)</f>
        <v>2.912359595</v>
      </c>
      <c r="I20" s="199">
        <f>IF('Finanical Statment'!J7=0,0,SUM('Finanical Statment'!J52:J55)/'Finanical Statment'!J61)</f>
        <v>2.445730139</v>
      </c>
      <c r="J20" s="199">
        <f>IF('Finanical Statment'!K7=0,0,SUM('Finanical Statment'!K52:K55)/'Finanical Statment'!K61)</f>
        <v>2.471496455</v>
      </c>
      <c r="K20" s="199">
        <f>IF('Finanical Statment'!L7=0,0,SUM('Finanical Statment'!L52:L55)/'Finanical Statment'!L61)</f>
        <v>2.353528324</v>
      </c>
      <c r="L20" s="199"/>
      <c r="M20" s="200">
        <f t="shared" ref="M20:M22" si="11">AVERAGE(C20:K20)</f>
        <v>2.567761282</v>
      </c>
      <c r="N20" s="200">
        <f t="shared" ref="N20:N22" si="12">MEDIAN(C20:J20)</f>
        <v>2.513193397</v>
      </c>
      <c r="O20" s="200">
        <f t="shared" ref="O20:O22" si="13">MAX(C20:K20)</f>
        <v>3.395520565</v>
      </c>
      <c r="P20" s="200">
        <f t="shared" ref="P20:P22" si="14">MIN(C20:K20)</f>
        <v>1.761074218</v>
      </c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</row>
    <row r="21">
      <c r="A21" s="44" t="s">
        <v>163</v>
      </c>
      <c r="B21" s="199">
        <f>IF('Finanical Statment'!C7=0,0,SUM('Finanical Statment'!C52,'Finanical Statment'!C54,'Finanical Statment'!C55)/'Finanical Statment'!C61)</f>
        <v>0.8230886155</v>
      </c>
      <c r="C21" s="199">
        <f>IF('Finanical Statment'!D7=0,0,SUM('Finanical Statment'!D52,'Finanical Statment'!D54,'Finanical Statment'!D55)/'Finanical Statment'!D61)</f>
        <v>1.041178142</v>
      </c>
      <c r="D21" s="199">
        <f>IF('Finanical Statment'!E7=0,0,SUM('Finanical Statment'!E52,'Finanical Statment'!E54,'Finanical Statment'!E55)/'Finanical Statment'!E61)</f>
        <v>2.011791041</v>
      </c>
      <c r="E21" s="199">
        <f>IF('Finanical Statment'!F7=0,0,SUM('Finanical Statment'!F52,'Finanical Statment'!F54,'Finanical Statment'!F55)/'Finanical Statment'!F61)</f>
        <v>1.559944666</v>
      </c>
      <c r="F21" s="199">
        <f>IF('Finanical Statment'!G7=0,0,SUM('Finanical Statment'!G52,'Finanical Statment'!G54,'Finanical Statment'!G55)/'Finanical Statment'!G61)</f>
        <v>1.544197052</v>
      </c>
      <c r="G21" s="199">
        <f>IF('Finanical Statment'!H7=0,0,SUM('Finanical Statment'!H52,'Finanical Statment'!H54,'Finanical Statment'!H55)/'Finanical Statment'!H61)</f>
        <v>1.688797353</v>
      </c>
      <c r="H21" s="199">
        <f>IF('Finanical Statment'!I7=0,0,SUM('Finanical Statment'!I52,'Finanical Statment'!I54,'Finanical Statment'!I55)/'Finanical Statment'!I61)</f>
        <v>1.820196457</v>
      </c>
      <c r="I21" s="199">
        <f>IF('Finanical Statment'!J7=0,0,SUM('Finanical Statment'!J52,'Finanical Statment'!J54,'Finanical Statment'!J55)/'Finanical Statment'!J61)</f>
        <v>1.267393431</v>
      </c>
      <c r="J21" s="199">
        <f>IF('Finanical Statment'!K7=0,0,SUM('Finanical Statment'!K52,'Finanical Statment'!K54,'Finanical Statment'!K55)/'Finanical Statment'!K61)</f>
        <v>1.393062941</v>
      </c>
      <c r="K21" s="199">
        <f>IF('Finanical Statment'!L7=0,0,SUM('Finanical Statment'!L52,'Finanical Statment'!L54,'Finanical Statment'!L55)/'Finanical Statment'!L61)</f>
        <v>1.348362091</v>
      </c>
      <c r="L21" s="199"/>
      <c r="M21" s="200">
        <f t="shared" si="11"/>
        <v>1.519435908</v>
      </c>
      <c r="N21" s="200">
        <f t="shared" si="12"/>
        <v>1.552070859</v>
      </c>
      <c r="O21" s="200">
        <f t="shared" si="13"/>
        <v>2.011791041</v>
      </c>
      <c r="P21" s="200">
        <f t="shared" si="14"/>
        <v>1.041178142</v>
      </c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</row>
    <row r="22">
      <c r="A22" s="44" t="s">
        <v>164</v>
      </c>
      <c r="B22" s="199">
        <f>IF('Finanical Statment'!C7=0,0,SUM('Finanical Statment'!C54,'Finanical Statment'!C55)/'Finanical Statment'!C61)</f>
        <v>0.6065209748</v>
      </c>
      <c r="C22" s="199">
        <f>IF('Finanical Statment'!D7=0,0,SUM('Finanical Statment'!D54,'Finanical Statment'!D55)/'Finanical Statment'!D61)</f>
        <v>0.8750076501</v>
      </c>
      <c r="D22" s="199">
        <f>IF('Finanical Statment'!E7=0,0,SUM('Finanical Statment'!E54,'Finanical Statment'!E55)/'Finanical Statment'!E61)</f>
        <v>1.719048899</v>
      </c>
      <c r="E22" s="199">
        <f>IF('Finanical Statment'!F7=0,0,SUM('Finanical Statment'!F54,'Finanical Statment'!F55)/'Finanical Statment'!F61)</f>
        <v>1.195041198</v>
      </c>
      <c r="F22" s="199">
        <f>IF('Finanical Statment'!G7=0,0,SUM('Finanical Statment'!G54,'Finanical Statment'!G55)/'Finanical Statment'!G61)</f>
        <v>1.217042634</v>
      </c>
      <c r="G22" s="199">
        <f>IF('Finanical Statment'!H7=0,0,SUM('Finanical Statment'!H54,'Finanical Statment'!H55)/'Finanical Statment'!H61)</f>
        <v>1.24412517</v>
      </c>
      <c r="H22" s="199">
        <f>IF('Finanical Statment'!I7=0,0,SUM('Finanical Statment'!I54,'Finanical Statment'!I55)/'Finanical Statment'!I61)</f>
        <v>1.505009815</v>
      </c>
      <c r="I22" s="199">
        <f>IF('Finanical Statment'!J7=0,0,SUM('Finanical Statment'!J54,'Finanical Statment'!J55)/'Finanical Statment'!J61)</f>
        <v>0.9838693774</v>
      </c>
      <c r="J22" s="199">
        <f>IF('Finanical Statment'!K7=0,0,SUM('Finanical Statment'!K54,'Finanical Statment'!K55)/'Finanical Statment'!K61)</f>
        <v>1.148681607</v>
      </c>
      <c r="K22" s="199">
        <f>IF('Finanical Statment'!L7=0,0,SUM('Finanical Statment'!L54,'Finanical Statment'!L55)/'Finanical Statment'!L61)</f>
        <v>1.095927984</v>
      </c>
      <c r="L22" s="199"/>
      <c r="M22" s="200">
        <f t="shared" si="11"/>
        <v>1.220417148</v>
      </c>
      <c r="N22" s="200">
        <f t="shared" si="12"/>
        <v>1.206041916</v>
      </c>
      <c r="O22" s="200">
        <f t="shared" si="13"/>
        <v>1.719048899</v>
      </c>
      <c r="P22" s="200">
        <f t="shared" si="14"/>
        <v>0.8750076501</v>
      </c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</row>
    <row r="23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199" t="str">
        <f t="array" ref="L23">SPARKLINE('Key ratios'!B23:K23, {"charttype","line";"color","#000000";"empty","ignore";"nan","convert"})</f>
        <v>#N/A</v>
      </c>
      <c r="M23" s="200"/>
      <c r="N23" s="200"/>
      <c r="O23" s="200"/>
      <c r="P23" s="200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</row>
    <row r="24">
      <c r="A24" s="195" t="s">
        <v>165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201" t="str">
        <f t="array" ref="L24">SPARKLINE('Key ratios'!B24:K24, {"charttype","line";"color","#000000";"empty","ignore";"nan","convert"})</f>
        <v>#N/A</v>
      </c>
      <c r="M24" s="201" t="str">
        <f t="array" ref="M24">SPARKLINE('Key ratios'!C24:L24, {"charttype","line";"color","#000000";"empty","ignore";"nan","convert"})</f>
        <v>#N/A</v>
      </c>
      <c r="N24" s="201" t="str">
        <f t="array" ref="N24">SPARKLINE('Key ratios'!D24:M24, {"charttype","line";"color","#000000";"empty","ignore";"nan","convert"})</f>
        <v>#N/A</v>
      </c>
      <c r="O24" s="201" t="str">
        <f t="array" ref="O24">SPARKLINE('Key ratios'!E24:N24, {"charttype","line";"color","#000000";"empty","ignore";"nan","convert"})</f>
        <v>#N/A</v>
      </c>
      <c r="P24" s="202" t="str">
        <f t="array" ref="P24">SPARKLINE('Key ratios'!F24:O24, {"charttype","line";"color","#000000";"empty","ignore";"nan","convert"})</f>
        <v>#N/A</v>
      </c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</row>
    <row r="25">
      <c r="A25" s="44" t="s">
        <v>166</v>
      </c>
      <c r="B25" s="199">
        <f>IF('Finanical Statment'!C68=0,0,'Finanical Statment'!C59/'Finanical Statment'!C68)</f>
        <v>0.008900038771</v>
      </c>
      <c r="C25" s="199">
        <f>IF('Finanical Statment'!D68=0,0,'Finanical Statment'!D59/'Finanical Statment'!D68)</f>
        <v>0.008470012595</v>
      </c>
      <c r="D25" s="199">
        <f>IF('Finanical Statment'!E68=0,0,'Finanical Statment'!E59/'Finanical Statment'!E68)</f>
        <v>0.001963002396</v>
      </c>
      <c r="E25" s="199">
        <f>IF('Finanical Statment'!F68=0,0,'Finanical Statment'!F59/'Finanical Statment'!F68)</f>
        <v>0.0009850703242</v>
      </c>
      <c r="F25" s="199">
        <f>IF('Finanical Statment'!G68=0,0,'Finanical Statment'!G59/'Finanical Statment'!G68)</f>
        <v>0.000684058746</v>
      </c>
      <c r="G25" s="199">
        <f>IF('Finanical Statment'!H68=0,0,'Finanical Statment'!H59/'Finanical Statment'!H68)</f>
        <v>0.0002272540123</v>
      </c>
      <c r="H25" s="199">
        <f>IF('Finanical Statment'!I68=0,0,'Finanical Statment'!I59/'Finanical Statment'!I68)</f>
        <v>0.004250592049</v>
      </c>
      <c r="I25" s="199">
        <f>IF('Finanical Statment'!J68=0,0,'Finanical Statment'!J59/'Finanical Statment'!J68)</f>
        <v>0.004487853151</v>
      </c>
      <c r="J25" s="199">
        <f>IF('Finanical Statment'!K68=0,0,'Finanical Statment'!K59/'Finanical Statment'!K68)</f>
        <v>0.003993879169</v>
      </c>
      <c r="K25" s="199">
        <f>IF('Finanical Statment'!L68=0,0,'Finanical Statment'!L59/'Finanical Statment'!L68)</f>
        <v>0.004425404517</v>
      </c>
      <c r="L25" s="199"/>
      <c r="M25" s="200">
        <f t="shared" ref="M25:M31" si="15">AVERAGE(C25:K25)</f>
        <v>0.00327634744</v>
      </c>
      <c r="N25" s="200">
        <f t="shared" ref="N25:N31" si="16">MEDIAN(C25:J25)</f>
        <v>0.002978440782</v>
      </c>
      <c r="O25" s="200">
        <f t="shared" ref="O25:O31" si="17">MAX(C25:K25)</f>
        <v>0.008470012595</v>
      </c>
      <c r="P25" s="200">
        <f t="shared" ref="P25:P31" si="18">MIN(C25:K25)</f>
        <v>0.0002272540123</v>
      </c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</row>
    <row r="26">
      <c r="A26" s="44" t="s">
        <v>167</v>
      </c>
      <c r="B26" s="199">
        <f>IF('Finanical Statment'!C7=0,0,'Finanical Statment'!C59/('Finanical Statment'!C59+'Finanical Statment'!C66))</f>
        <v>0.2335964075</v>
      </c>
      <c r="C26" s="199">
        <f>IF('Finanical Statment'!D7=0,0,'Finanical Statment'!D59/('Finanical Statment'!D59+'Finanical Statment'!D66))</f>
        <v>0.251132807</v>
      </c>
      <c r="D26" s="199">
        <f>IF('Finanical Statment'!E7=0,0,'Finanical Statment'!E59/('Finanical Statment'!E59+'Finanical Statment'!E66))</f>
        <v>0.09429375352</v>
      </c>
      <c r="E26" s="199">
        <f>IF('Finanical Statment'!F7=0,0,'Finanical Statment'!F59/('Finanical Statment'!F59+'Finanical Statment'!F66))</f>
        <v>0.03627247195</v>
      </c>
      <c r="F26" s="199">
        <f>IF('Finanical Statment'!G7=0,0,'Finanical Statment'!G59/('Finanical Statment'!G59+'Finanical Statment'!G66))</f>
        <v>0.02859075894</v>
      </c>
      <c r="G26" s="199">
        <f>IF('Finanical Statment'!H7=0,0,'Finanical Statment'!H59/('Finanical Statment'!H59+'Finanical Statment'!H66))</f>
        <v>0.01084483176</v>
      </c>
      <c r="H26" s="199">
        <f>IF('Finanical Statment'!I7=0,0,'Finanical Statment'!I59/('Finanical Statment'!I59+'Finanical Statment'!I66))</f>
        <v>0.1841478227</v>
      </c>
      <c r="I26" s="199">
        <f>IF('Finanical Statment'!J7=0,0,'Finanical Statment'!J59/('Finanical Statment'!J59+'Finanical Statment'!J66))</f>
        <v>0.1803477369</v>
      </c>
      <c r="J26" s="199">
        <f>IF('Finanical Statment'!K7=0,0,'Finanical Statment'!K59/('Finanical Statment'!K59+'Finanical Statment'!K66))</f>
        <v>0.1683392159</v>
      </c>
      <c r="K26" s="199">
        <f>IF('Finanical Statment'!L7=0,0,'Finanical Statment'!L59/('Finanical Statment'!L59+'Finanical Statment'!L66))</f>
        <v>0.1975930374</v>
      </c>
      <c r="L26" s="199"/>
      <c r="M26" s="200">
        <f t="shared" si="15"/>
        <v>0.1279513818</v>
      </c>
      <c r="N26" s="200">
        <f t="shared" si="16"/>
        <v>0.1313164847</v>
      </c>
      <c r="O26" s="200">
        <f t="shared" si="17"/>
        <v>0.251132807</v>
      </c>
      <c r="P26" s="200">
        <f t="shared" si="18"/>
        <v>0.01084483176</v>
      </c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</row>
    <row r="27">
      <c r="A27" s="44" t="s">
        <v>168</v>
      </c>
      <c r="B27" s="199">
        <f>IF('Finanical Statment'!C56=0,0,'Finanical Statment'!C59/'Finanical Statment'!C56)</f>
        <v>0.00593438031</v>
      </c>
      <c r="C27" s="199">
        <f>IF('Finanical Statment'!D56=0,0,'Finanical Statment'!D59/'Finanical Statment'!D56)</f>
        <v>0.005849554167</v>
      </c>
      <c r="D27" s="199">
        <f>IF('Finanical Statment'!E56=0,0,'Finanical Statment'!E59/'Finanical Statment'!E56)</f>
        <v>0.001622029554</v>
      </c>
      <c r="E27" s="199">
        <f>IF('Finanical Statment'!F56=0,0,'Finanical Statment'!F59/'Finanical Statment'!F56)</f>
        <v>0.000817913669</v>
      </c>
      <c r="F27" s="199">
        <f>IF('Finanical Statment'!G56=0,0,'Finanical Statment'!G59/'Finanical Statment'!G56)</f>
        <v>0.0005591455161</v>
      </c>
      <c r="G27" s="199">
        <f>IF('Finanical Statment'!H56=0,0,'Finanical Statment'!H59/'Finanical Statment'!H56)</f>
        <v>0.0001873456907</v>
      </c>
      <c r="H27" s="199">
        <f>IF('Finanical Statment'!I56=0,0,'Finanical Statment'!I59/'Finanical Statment'!I56)</f>
        <v>0.003588763529</v>
      </c>
      <c r="I27" s="199">
        <f>IF('Finanical Statment'!J56=0,0,'Finanical Statment'!J59/'Finanical Statment'!J56)</f>
        <v>0.003671735486</v>
      </c>
      <c r="J27" s="199">
        <f>IF('Finanical Statment'!K56=0,0,'Finanical Statment'!K59/'Finanical Statment'!K56)</f>
        <v>0.003231254668</v>
      </c>
      <c r="K27" s="199">
        <f>IF('Finanical Statment'!L56=0,0,'Finanical Statment'!L59/'Finanical Statment'!L56)</f>
        <v>0.003565613154</v>
      </c>
      <c r="L27" s="199"/>
      <c r="M27" s="200">
        <f t="shared" si="15"/>
        <v>0.002565928382</v>
      </c>
      <c r="N27" s="200">
        <f t="shared" si="16"/>
        <v>0.002426642111</v>
      </c>
      <c r="O27" s="200">
        <f t="shared" si="17"/>
        <v>0.005849554167</v>
      </c>
      <c r="P27" s="200">
        <f t="shared" si="18"/>
        <v>0.0001873456907</v>
      </c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</row>
    <row r="28">
      <c r="A28" s="44" t="s">
        <v>169</v>
      </c>
      <c r="B28" s="199">
        <f>IF('Finanical Statment'!C56=0,0,'Finanical Statment'!C56/'Finanical Statment'!C68)</f>
        <v>1.499741895</v>
      </c>
      <c r="C28" s="199">
        <f>IF('Finanical Statment'!D56=0,0,'Finanical Statment'!D56/'Finanical Statment'!D68)</f>
        <v>1.447975752</v>
      </c>
      <c r="D28" s="199">
        <f>IF('Finanical Statment'!E56=0,0,'Finanical Statment'!E56/'Finanical Statment'!E68)</f>
        <v>1.210213704</v>
      </c>
      <c r="E28" s="199">
        <f>IF('Finanical Statment'!F56=0,0,'Finanical Statment'!F56/'Finanical Statment'!F68)</f>
        <v>1.204369558</v>
      </c>
      <c r="F28" s="199">
        <f>IF('Finanical Statment'!G56=0,0,'Finanical Statment'!G56/'Finanical Statment'!G68)</f>
        <v>1.223400218</v>
      </c>
      <c r="G28" s="199">
        <f>IF('Finanical Statment'!H56=0,0,'Finanical Statment'!H56/'Finanical Statment'!H68)</f>
        <v>1.213019693</v>
      </c>
      <c r="H28" s="199">
        <f>IF('Finanical Statment'!I56=0,0,'Finanical Statment'!I56/'Finanical Statment'!I68)</f>
        <v>1.184416865</v>
      </c>
      <c r="I28" s="199">
        <f>IF('Finanical Statment'!J56=0,0,'Finanical Statment'!J56/'Finanical Statment'!J68)</f>
        <v>1.222270277</v>
      </c>
      <c r="J28" s="199">
        <f>IF('Finanical Statment'!K56=0,0,'Finanical Statment'!K56/'Finanical Statment'!K68)</f>
        <v>1.236014978</v>
      </c>
      <c r="K28" s="199">
        <f>IF('Finanical Statment'!L56=0,0,'Finanical Statment'!L56/'Finanical Statment'!L68)</f>
        <v>1.241134225</v>
      </c>
      <c r="L28" s="199"/>
      <c r="M28" s="200">
        <f t="shared" si="15"/>
        <v>1.24253503</v>
      </c>
      <c r="N28" s="200">
        <f t="shared" si="16"/>
        <v>1.217644985</v>
      </c>
      <c r="O28" s="200">
        <f t="shared" si="17"/>
        <v>1.447975752</v>
      </c>
      <c r="P28" s="200">
        <f t="shared" si="18"/>
        <v>1.184416865</v>
      </c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</row>
    <row r="29">
      <c r="A29" s="44" t="s">
        <v>170</v>
      </c>
      <c r="B29" s="199">
        <f>IF('Finanical Statment'!C7=0,0,('Finanical Statment'!C28+'Finanical Statment'!C27)/'Finanical Statment'!C27)</f>
        <v>448.4305794</v>
      </c>
      <c r="C29" s="199">
        <f>IF('Finanical Statment'!D7=0,0,('Finanical Statment'!D28+'Finanical Statment'!D27)/'Finanical Statment'!D27)</f>
        <v>158.8941293</v>
      </c>
      <c r="D29" s="199">
        <f>IF('Finanical Statment'!E7=0,0,('Finanical Statment'!E28+'Finanical Statment'!E27)/'Finanical Statment'!E27)</f>
        <v>191.1839242</v>
      </c>
      <c r="E29" s="199">
        <f>IF('Finanical Statment'!F7=0,0,('Finanical Statment'!F28+'Finanical Statment'!F27)/'Finanical Statment'!F27)</f>
        <v>327.8676321</v>
      </c>
      <c r="F29" s="199">
        <f>IF('Finanical Statment'!G7=0,0,('Finanical Statment'!G28+'Finanical Statment'!G27)/'Finanical Statment'!G27)</f>
        <v>152.3704026</v>
      </c>
      <c r="G29" s="199">
        <f>IF('Finanical Statment'!H7=0,0,('Finanical Statment'!H28+'Finanical Statment'!H27)/'Finanical Statment'!H27)</f>
        <v>269.2047619</v>
      </c>
      <c r="H29" s="199">
        <f>IF('Finanical Statment'!I7=0,0,('Finanical Statment'!I28+'Finanical Statment'!I27)/'Finanical Statment'!I27)</f>
        <v>247.1854264</v>
      </c>
      <c r="I29" s="199">
        <f>IF('Finanical Statment'!J7=0,0,('Finanical Statment'!J28+'Finanical Statment'!J27)/'Finanical Statment'!J27)</f>
        <v>310.4388477</v>
      </c>
      <c r="J29" s="199">
        <f>IF('Finanical Statment'!K7=0,0,('Finanical Statment'!K28+'Finanical Statment'!K27)/'Finanical Statment'!K27)</f>
        <v>346.732122</v>
      </c>
      <c r="K29" s="199">
        <f>IF('Finanical Statment'!L7=0,0,('Finanical Statment'!L28+'Finanical Statment'!L27)/'Finanical Statment'!L27)</f>
        <v>334.2277228</v>
      </c>
      <c r="L29" s="199"/>
      <c r="M29" s="200">
        <f t="shared" si="15"/>
        <v>259.789441</v>
      </c>
      <c r="N29" s="200">
        <f t="shared" si="16"/>
        <v>258.1950941</v>
      </c>
      <c r="O29" s="200">
        <f t="shared" si="17"/>
        <v>346.732122</v>
      </c>
      <c r="P29" s="200">
        <f t="shared" si="18"/>
        <v>152.3704026</v>
      </c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</row>
    <row r="30">
      <c r="A30" s="44" t="s">
        <v>171</v>
      </c>
      <c r="B30" s="199">
        <f>IF('Finanical Statment'!C16=0,0,'Finanical Statment'!C59/'Finanical Statment'!C16)</f>
        <v>0.01853301631</v>
      </c>
      <c r="C30" s="199">
        <f>IF('Finanical Statment'!D16=0,0,'Finanical Statment'!D59/'Finanical Statment'!D16)</f>
        <v>0.0188610137</v>
      </c>
      <c r="D30" s="199">
        <f>IF('Finanical Statment'!E16=0,0,'Finanical Statment'!E59/'Finanical Statment'!E16)</f>
        <v>0.005765410154</v>
      </c>
      <c r="E30" s="199">
        <f>IF('Finanical Statment'!F16=0,0,'Finanical Statment'!F59/'Finanical Statment'!F16)</f>
        <v>0.002955491156</v>
      </c>
      <c r="F30" s="199">
        <f>IF('Finanical Statment'!G16=0,0,'Finanical Statment'!G59/'Finanical Statment'!G16)</f>
        <v>0.002174256488</v>
      </c>
      <c r="G30" s="199">
        <f>IF('Finanical Statment'!H16=0,0,'Finanical Statment'!H59/'Finanical Statment'!H16)</f>
        <v>0.0007250211599</v>
      </c>
      <c r="H30" s="199">
        <f>IF('Finanical Statment'!I16=0,0,'Finanical Statment'!I59/'Finanical Statment'!I16)</f>
        <v>0.0143432898</v>
      </c>
      <c r="I30" s="199">
        <f>IF('Finanical Statment'!J16=0,0,'Finanical Statment'!J59/'Finanical Statment'!J16)</f>
        <v>0.01587069977</v>
      </c>
      <c r="J30" s="199">
        <f>IF('Finanical Statment'!K16=0,0,'Finanical Statment'!K59/'Finanical Statment'!K16)</f>
        <v>0.0120951455</v>
      </c>
      <c r="K30" s="199">
        <f>IF('Finanical Statment'!L16=0,0,'Finanical Statment'!L59/'Finanical Statment'!L16)</f>
        <v>0.01190619765</v>
      </c>
      <c r="L30" s="199"/>
      <c r="M30" s="200">
        <f t="shared" si="15"/>
        <v>0.009410725042</v>
      </c>
      <c r="N30" s="200">
        <f t="shared" si="16"/>
        <v>0.008930277829</v>
      </c>
      <c r="O30" s="200">
        <f t="shared" si="17"/>
        <v>0.0188610137</v>
      </c>
      <c r="P30" s="200">
        <f t="shared" si="18"/>
        <v>0.0007250211599</v>
      </c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</row>
    <row r="31">
      <c r="A31" s="44" t="s">
        <v>172</v>
      </c>
      <c r="B31" s="157">
        <f>IF('Finanical Statment'!C59=0,0,'Finanical Statment'!C27/'Finanical Statment'!C59)</f>
        <v>0.1203333196</v>
      </c>
      <c r="C31" s="157">
        <f>IF('Finanical Statment'!D59=0,0,'Finanical Statment'!D27/'Finanical Statment'!D59)</f>
        <v>0.3383928571</v>
      </c>
      <c r="D31" s="157">
        <f>IF('Finanical Statment'!E59=0,0,'Finanical Statment'!E27/'Finanical Statment'!E59)</f>
        <v>0.9325614705</v>
      </c>
      <c r="E31" s="157">
        <f>IF('Finanical Statment'!F59=0,0,'Finanical Statment'!F27/'Finanical Statment'!F59)</f>
        <v>1.0723972</v>
      </c>
      <c r="F31" s="157">
        <f>IF('Finanical Statment'!G59=0,0,'Finanical Statment'!G27/'Finanical Statment'!G59)</f>
        <v>3.201837416</v>
      </c>
      <c r="G31" s="157">
        <f>IF('Finanical Statment'!H59=0,0,'Finanical Statment'!H27/'Finanical Statment'!H59)</f>
        <v>5.3125</v>
      </c>
      <c r="H31" s="157">
        <f>IF('Finanical Statment'!I59=0,0,'Finanical Statment'!I27/'Finanical Statment'!I59)</f>
        <v>0.2933141107</v>
      </c>
      <c r="I31" s="157">
        <f>IF('Finanical Statment'!J59=0,0,'Finanical Statment'!J27/'Finanical Statment'!J59)</f>
        <v>0.2140457113</v>
      </c>
      <c r="J31" s="157">
        <f>IF('Finanical Statment'!K59=0,0,'Finanical Statment'!K27/'Finanical Statment'!K59)</f>
        <v>0.2404987171</v>
      </c>
      <c r="K31" s="157">
        <f>IF('Finanical Statment'!L59=0,0,'Finanical Statment'!L27/'Finanical Statment'!L59)</f>
        <v>0.2541171089</v>
      </c>
      <c r="L31" s="199"/>
      <c r="M31" s="200">
        <f t="shared" si="15"/>
        <v>1.31774051</v>
      </c>
      <c r="N31" s="200">
        <f t="shared" si="16"/>
        <v>0.6354771638</v>
      </c>
      <c r="O31" s="200">
        <f t="shared" si="17"/>
        <v>5.3125</v>
      </c>
      <c r="P31" s="200">
        <f t="shared" si="18"/>
        <v>0.2140457113</v>
      </c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</row>
    <row r="3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199" t="str">
        <f t="array" ref="L32">SPARKLINE('Key ratios'!B32:K32, {"charttype","line";"color","#000000";"empty","ignore";"nan","convert"})</f>
        <v>#N/A</v>
      </c>
      <c r="M32" s="200"/>
      <c r="N32" s="200"/>
      <c r="O32" s="200"/>
      <c r="P32" s="200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</row>
    <row r="33">
      <c r="A33" s="195" t="s">
        <v>173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201" t="str">
        <f t="array" ref="L33">SPARKLINE('Key ratios'!B33:K33, {"charttype","line";"color","#000000";"empty","ignore";"nan","convert"})</f>
        <v>#N/A</v>
      </c>
      <c r="M33" s="201" t="str">
        <f t="array" ref="M33">SPARKLINE('Key ratios'!C33:L33, {"charttype","line";"color","#000000";"empty","ignore";"nan","convert"})</f>
        <v>#N/A</v>
      </c>
      <c r="N33" s="201" t="str">
        <f t="array" ref="N33">SPARKLINE('Key ratios'!D33:M33, {"charttype","line";"color","#000000";"empty","ignore";"nan","convert"})</f>
        <v>#N/A</v>
      </c>
      <c r="O33" s="201" t="str">
        <f t="array" ref="O33">SPARKLINE('Key ratios'!E33:N33, {"charttype","line";"color","#000000";"empty","ignore";"nan","convert"})</f>
        <v>#N/A</v>
      </c>
      <c r="P33" s="202" t="str">
        <f t="array" ref="P33">SPARKLINE('Key ratios'!F33:O33, {"charttype","line";"color","#000000";"empty","ignore";"nan","convert"})</f>
        <v>#N/A</v>
      </c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</row>
    <row r="34">
      <c r="A34" s="44" t="s">
        <v>77</v>
      </c>
      <c r="B34" s="157">
        <f>'Finanical Statment'!C11</f>
        <v>0.5671944176</v>
      </c>
      <c r="C34" s="157">
        <f>'Finanical Statment'!D11</f>
        <v>0.5642106646</v>
      </c>
      <c r="D34" s="157">
        <f>'Finanical Statment'!E11</f>
        <v>0.5988484924</v>
      </c>
      <c r="E34" s="157">
        <f>'Finanical Statment'!F11</f>
        <v>0.5716993706</v>
      </c>
      <c r="F34" s="157">
        <f>'Finanical Statment'!G11</f>
        <v>0.5809656116</v>
      </c>
      <c r="G34" s="157">
        <f>'Finanical Statment'!H11</f>
        <v>0.5854728154</v>
      </c>
      <c r="H34" s="157">
        <f>'Finanical Statment'!I11</f>
        <v>0.5943400887</v>
      </c>
      <c r="I34" s="157">
        <f>'Finanical Statment'!J11</f>
        <v>0.5448773739</v>
      </c>
      <c r="J34" s="157">
        <f>'Finanical Statment'!K11</f>
        <v>0.519123898</v>
      </c>
      <c r="K34" s="157">
        <f>'Finanical Statment'!L11</f>
        <v>0.540801531</v>
      </c>
      <c r="L34" s="199"/>
      <c r="M34" s="200">
        <f t="shared" ref="M34:M38" si="19">AVERAGE(C34:K34)</f>
        <v>0.5667044274</v>
      </c>
      <c r="N34" s="200">
        <f t="shared" ref="N34:N38" si="20">MEDIAN(C34:J34)</f>
        <v>0.5763324911</v>
      </c>
      <c r="O34" s="200">
        <f t="shared" ref="O34:O38" si="21">MAX(C34:K34)</f>
        <v>0.5988484924</v>
      </c>
      <c r="P34" s="200">
        <f t="shared" ref="P34:P38" si="22">MIN(C34:K34)</f>
        <v>0.519123898</v>
      </c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</row>
    <row r="35">
      <c r="A35" s="44" t="s">
        <v>174</v>
      </c>
      <c r="B35" s="157">
        <f>'Finanical Statment'!C17</f>
        <v>0.3704679289</v>
      </c>
      <c r="C35" s="157">
        <f>'Finanical Statment'!D17</f>
        <v>0.3671475108</v>
      </c>
      <c r="D35" s="157">
        <f>'Finanical Statment'!E17</f>
        <v>0.3707759982</v>
      </c>
      <c r="E35" s="157">
        <f>'Finanical Statment'!F17</f>
        <v>0.3617109681</v>
      </c>
      <c r="F35" s="157">
        <f>'Finanical Statment'!G17</f>
        <v>0.3802299895</v>
      </c>
      <c r="G35" s="157">
        <f>'Finanical Statment'!H17</f>
        <v>0.3834826451</v>
      </c>
      <c r="H35" s="157">
        <f>'Finanical Statment'!I17</f>
        <v>0.391667156</v>
      </c>
      <c r="I35" s="157">
        <f>'Finanical Statment'!J17</f>
        <v>0.3464405892</v>
      </c>
      <c r="J35" s="157">
        <f>'Finanical Statment'!K17</f>
        <v>0.3400660637</v>
      </c>
      <c r="K35" s="157">
        <f>'Finanical Statment'!L17</f>
        <v>0.3624451716</v>
      </c>
      <c r="L35" s="199"/>
      <c r="M35" s="200">
        <f t="shared" si="19"/>
        <v>0.3671073436</v>
      </c>
      <c r="N35" s="200">
        <f t="shared" si="20"/>
        <v>0.3689617545</v>
      </c>
      <c r="O35" s="200">
        <f t="shared" si="21"/>
        <v>0.391667156</v>
      </c>
      <c r="P35" s="200">
        <f t="shared" si="22"/>
        <v>0.3400660637</v>
      </c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</row>
    <row r="36">
      <c r="A36" s="44" t="s">
        <v>85</v>
      </c>
      <c r="B36" s="157">
        <f>'Finanical Statment'!C24</f>
        <v>0.3704911542</v>
      </c>
      <c r="C36" s="157">
        <f>'Finanical Statment'!D24</f>
        <v>0.3723356815</v>
      </c>
      <c r="D36" s="157">
        <f>'Finanical Statment'!E24</f>
        <v>0.3811278293</v>
      </c>
      <c r="E36" s="157">
        <f>'Finanical Statment'!F24</f>
        <v>0.375876832</v>
      </c>
      <c r="F36" s="157">
        <f>'Finanical Statment'!G24</f>
        <v>0.4033267555</v>
      </c>
      <c r="G36" s="157">
        <f>'Finanical Statment'!H24</f>
        <v>0.3976290237</v>
      </c>
      <c r="H36" s="157">
        <f>'Finanical Statment'!I24</f>
        <v>0.4073068801</v>
      </c>
      <c r="I36" s="157">
        <f>'Finanical Statment'!J24</f>
        <v>0.3653485919</v>
      </c>
      <c r="J36" s="157">
        <f>'Finanical Statment'!K24</f>
        <v>0.3429898223</v>
      </c>
      <c r="K36" s="157">
        <f>'Finanical Statment'!L24</f>
        <v>0.3665150242</v>
      </c>
      <c r="L36" s="199"/>
      <c r="M36" s="200">
        <f t="shared" si="19"/>
        <v>0.3791618267</v>
      </c>
      <c r="N36" s="200">
        <f t="shared" si="20"/>
        <v>0.3785023307</v>
      </c>
      <c r="O36" s="200">
        <f t="shared" si="21"/>
        <v>0.4073068801</v>
      </c>
      <c r="P36" s="200">
        <f t="shared" si="22"/>
        <v>0.3429898223</v>
      </c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</row>
    <row r="37">
      <c r="A37" s="44" t="s">
        <v>87</v>
      </c>
      <c r="B37" s="157">
        <f>Quarters!C18</f>
        <v>0.351354423</v>
      </c>
      <c r="C37" s="157">
        <f>Quarters!D18</f>
        <v>0.3372254619</v>
      </c>
      <c r="D37" s="157">
        <f>Quarters!E18</f>
        <v>0.3674372962</v>
      </c>
      <c r="E37" s="157">
        <f>Quarters!F18</f>
        <v>0.3261858669</v>
      </c>
      <c r="F37" s="157">
        <f>Quarters!G18</f>
        <v>0.3394847522</v>
      </c>
      <c r="G37" s="157">
        <f>Quarters!H18</f>
        <v>0.3218316391</v>
      </c>
      <c r="H37" s="157">
        <f>Quarters!I18</f>
        <v>0.3646722964</v>
      </c>
      <c r="I37" s="157">
        <f>Quarters!J18</f>
        <v>0.3865572182</v>
      </c>
      <c r="J37" s="157">
        <f>Quarters!K18</f>
        <v>0.3874688189</v>
      </c>
      <c r="K37" s="157">
        <f>Quarters!L18</f>
        <v>0.4043244005</v>
      </c>
      <c r="L37" s="199"/>
      <c r="M37" s="200">
        <f t="shared" si="19"/>
        <v>0.3594653056</v>
      </c>
      <c r="N37" s="200">
        <f t="shared" si="20"/>
        <v>0.3520785243</v>
      </c>
      <c r="O37" s="200">
        <f t="shared" si="21"/>
        <v>0.4043244005</v>
      </c>
      <c r="P37" s="200">
        <f t="shared" si="22"/>
        <v>0.3218316391</v>
      </c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</row>
    <row r="38">
      <c r="A38" s="44" t="s">
        <v>90</v>
      </c>
      <c r="B38" s="157">
        <f>'Finanical Statment'!C35</f>
        <v>0.2546454003</v>
      </c>
      <c r="C38" s="157">
        <f>'Finanical Statment'!D35</f>
        <v>0.2515802938</v>
      </c>
      <c r="D38" s="157">
        <f>'Finanical Statment'!E35</f>
        <v>0.2424177321</v>
      </c>
      <c r="E38" s="157">
        <f>'Finanical Statment'!F35</f>
        <v>0.244980546</v>
      </c>
      <c r="F38" s="157">
        <f>'Finanical Statment'!G35</f>
        <v>0.2645100203</v>
      </c>
      <c r="G38" s="157">
        <f>'Finanical Statment'!H35</f>
        <v>0.2655360266</v>
      </c>
      <c r="H38" s="157">
        <f>'Finanical Statment'!I35</f>
        <v>0.3157219308</v>
      </c>
      <c r="I38" s="157">
        <f>'Finanical Statment'!J35</f>
        <v>0.2716925054</v>
      </c>
      <c r="J38" s="157">
        <f>'Finanical Statment'!K35</f>
        <v>0.255639337</v>
      </c>
      <c r="K38" s="157">
        <f>'Finanical Statment'!L35</f>
        <v>0.2746331979</v>
      </c>
      <c r="L38" s="199"/>
      <c r="M38" s="200">
        <f t="shared" si="19"/>
        <v>0.2651901767</v>
      </c>
      <c r="N38" s="200">
        <f t="shared" si="20"/>
        <v>0.2600746786</v>
      </c>
      <c r="O38" s="200">
        <f t="shared" si="21"/>
        <v>0.3157219308</v>
      </c>
      <c r="P38" s="200">
        <f t="shared" si="22"/>
        <v>0.2424177321</v>
      </c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</row>
    <row r="39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199" t="str">
        <f t="array" ref="L39">SPARKLINE('Key ratios'!B39:K39, {"charttype","line";"color","#000000";"empty","ignore";"nan","convert"})</f>
        <v>#N/A</v>
      </c>
      <c r="M39" s="200"/>
      <c r="N39" s="200"/>
      <c r="O39" s="200"/>
      <c r="P39" s="200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 t="s">
        <v>175</v>
      </c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 t="s">
        <v>175</v>
      </c>
    </row>
    <row r="40">
      <c r="A40" s="195" t="s">
        <v>176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1" t="str">
        <f t="array" ref="L40">SPARKLINE('Key ratios'!B40:K40, {"charttype","line";"color","#000000";"empty","ignore";"nan","convert"})</f>
        <v>#N/A</v>
      </c>
      <c r="M40" s="201" t="str">
        <f t="array" ref="M40">SPARKLINE('Key ratios'!C40:L40, {"charttype","line";"color","#000000";"empty","ignore";"nan","convert"})</f>
        <v>#N/A</v>
      </c>
      <c r="N40" s="201" t="str">
        <f t="array" ref="N40">SPARKLINE('Key ratios'!D40:M40, {"charttype","line";"color","#000000";"empty","ignore";"nan","convert"})</f>
        <v>#N/A</v>
      </c>
      <c r="O40" s="201" t="str">
        <f t="array" ref="O40">SPARKLINE('Key ratios'!E40:N40, {"charttype","line";"color","#000000";"empty","ignore";"nan","convert"})</f>
        <v>#N/A</v>
      </c>
      <c r="P40" s="202" t="str">
        <f t="array" ref="P40">SPARKLINE('Key ratios'!F40:O40, {"charttype","line";"color","#000000";"empty","ignore";"nan","convert"})</f>
        <v>#N/A</v>
      </c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</row>
    <row r="41">
      <c r="A41" s="44" t="s">
        <v>177</v>
      </c>
      <c r="B41" s="157">
        <f>IF('Finanical Statment'!C7=0,0,'Finanical Statment'!C34/AVERAGE('Finanical Statment'!C56))</f>
        <v>0.2200971837</v>
      </c>
      <c r="C41" s="157">
        <f>IF('Finanical Statment'!C7=0,0,'Finanical Statment'!D34/AVERAGE('Finanical Statment'!C56:D56))</f>
        <v>0.225012883</v>
      </c>
      <c r="D41" s="157">
        <f>IF('Finanical Statment'!D7=0,0,'Finanical Statment'!E34/AVERAGE('Finanical Statment'!D56:E56))</f>
        <v>0.194682653</v>
      </c>
      <c r="E41" s="157">
        <f>IF('Finanical Statment'!E7=0,0,'Finanical Statment'!F34/AVERAGE('Finanical Statment'!E56:F56))</f>
        <v>0.1948352045</v>
      </c>
      <c r="F41" s="157">
        <f>IF('Finanical Statment'!F7=0,0,'Finanical Statment'!G34/AVERAGE('Finanical Statment'!F56:G56))</f>
        <v>0.1913227323</v>
      </c>
      <c r="G41" s="157">
        <f>IF('Finanical Statment'!G7=0,0,'Finanical Statment'!H34/AVERAGE('Finanical Statment'!G56:H56))</f>
        <v>0.1887911097</v>
      </c>
      <c r="H41" s="157">
        <f>IF('Finanical Statment'!H7=0,0,'Finanical Statment'!I34/AVERAGE('Finanical Statment'!H56:I56))</f>
        <v>0.2092291442</v>
      </c>
      <c r="I41" s="157">
        <f>IF('Finanical Statment'!I7=0,0,'Finanical Statment'!J34/AVERAGE('Finanical Statment'!I56:J56))</f>
        <v>0.1771727839</v>
      </c>
      <c r="J41" s="157">
        <f>IF('Finanical Statment'!J7=0,0,'Finanical Statment'!K34/AVERAGE('Finanical Statment'!J56:K56))</f>
        <v>0.2053982603</v>
      </c>
      <c r="K41" s="157">
        <f>IF('Finanical Statment'!K7=0,0,'Finanical Statment'!L34/AVERAGE('Finanical Statment'!K56:L56))</f>
        <v>0.23893861</v>
      </c>
      <c r="L41" s="199"/>
      <c r="M41" s="200">
        <f t="shared" ref="M41:M45" si="23">AVERAGE(C41:K41)</f>
        <v>0.2028203757</v>
      </c>
      <c r="N41" s="200">
        <f t="shared" ref="N41:N45" si="24">MEDIAN(C41:J41)</f>
        <v>0.1947589287</v>
      </c>
      <c r="O41" s="200">
        <f t="shared" ref="O41:O45" si="25">MAX(C41:K41)</f>
        <v>0.23893861</v>
      </c>
      <c r="P41" s="200">
        <f t="shared" ref="P41:P45" si="26">MIN(C41:K41)</f>
        <v>0.1771727839</v>
      </c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</row>
    <row r="42">
      <c r="A42" s="44" t="s">
        <v>178</v>
      </c>
      <c r="B42" s="157">
        <f>IF('Finanical Statment'!C7=0,0,('Finanical Statment'!C28+'Finanical Statment'!C27)/AVERAGE('Finanical Statment'!C56))</f>
        <v>0.320225928</v>
      </c>
      <c r="C42" s="157">
        <f>IF('Finanical Statment'!C7=0,0,('Finanical Statment'!D28+'Finanical Statment'!D27)/AVERAGE('Finanical Statment'!C56:D56))</f>
        <v>0.3330162465</v>
      </c>
      <c r="D42" s="157">
        <f>IF('Finanical Statment'!D7=0,0,('Finanical Statment'!E28+'Finanical Statment'!E27)/AVERAGE('Finanical Statment'!D56:E56))</f>
        <v>0.3060789996</v>
      </c>
      <c r="E42" s="157">
        <f>IF('Finanical Statment'!E7=0,0,('Finanical Statment'!F28+'Finanical Statment'!F27)/AVERAGE('Finanical Statment'!E56:F56))</f>
        <v>0.2989381835</v>
      </c>
      <c r="F42" s="157">
        <f>IF('Finanical Statment'!F7=0,0,('Finanical Statment'!G28+'Finanical Statment'!G27)/AVERAGE('Finanical Statment'!F56:G56))</f>
        <v>0.2917302596</v>
      </c>
      <c r="G42" s="157">
        <f>IF('Finanical Statment'!G7=0,0,('Finanical Statment'!H28+'Finanical Statment'!H27)/AVERAGE('Finanical Statment'!G56:H56))</f>
        <v>0.2827067408</v>
      </c>
      <c r="H42" s="157">
        <f>IF('Finanical Statment'!H7=0,0,('Finanical Statment'!I28+'Finanical Statment'!I27)/AVERAGE('Finanical Statment'!H56:I56))</f>
        <v>0.2699225541</v>
      </c>
      <c r="I42" s="157">
        <f>IF('Finanical Statment'!I7=0,0,('Finanical Statment'!J28+'Finanical Statment'!J27)/AVERAGE('Finanical Statment'!I56:J56))</f>
        <v>0.2382466423</v>
      </c>
      <c r="J42" s="157">
        <f>IF('Finanical Statment'!J7=0,0,('Finanical Statment'!K28+'Finanical Statment'!K27)/AVERAGE('Finanical Statment'!J56:K56))</f>
        <v>0.2755816599</v>
      </c>
      <c r="K42" s="157">
        <f>IF('Finanical Statment'!K7=0,0,('Finanical Statment'!L28+'Finanical Statment'!L27)/AVERAGE('Finanical Statment'!K56:L56))</f>
        <v>0.3188783844</v>
      </c>
      <c r="L42" s="199"/>
      <c r="M42" s="200">
        <f t="shared" si="23"/>
        <v>0.2905666301</v>
      </c>
      <c r="N42" s="200">
        <f t="shared" si="24"/>
        <v>0.2872185002</v>
      </c>
      <c r="O42" s="200">
        <f t="shared" si="25"/>
        <v>0.3330162465</v>
      </c>
      <c r="P42" s="200">
        <f t="shared" si="26"/>
        <v>0.2382466423</v>
      </c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</row>
    <row r="43">
      <c r="A43" s="44" t="s">
        <v>179</v>
      </c>
      <c r="B43" s="157">
        <f>IF('Finanical Statment'!C7=0,0,'Finanical Statment'!C34/'Finanical Statment'!C68)</f>
        <v>0.3300889673</v>
      </c>
      <c r="C43" s="157">
        <f>IF('Finanical Statment'!D7=0,0,'Finanical Statment'!D34/'Finanical Statment'!D68)</f>
        <v>0.3077195279</v>
      </c>
      <c r="D43" s="157">
        <f>IF('Finanical Statment'!E7=0,0,'Finanical Statment'!E34/'Finanical Statment'!E68)</f>
        <v>0.2226093452</v>
      </c>
      <c r="E43" s="157">
        <f>IF('Finanical Statment'!F7=0,0,'Finanical Statment'!F34/'Finanical Statment'!F68)</f>
        <v>0.2257394653</v>
      </c>
      <c r="F43" s="157">
        <f>IF('Finanical Statment'!G7=0,0,'Finanical Statment'!G34/'Finanical Statment'!G68)</f>
        <v>0.2188660431</v>
      </c>
      <c r="G43" s="157">
        <f>IF('Finanical Statment'!H7=0,0,'Finanical Statment'!H34/'Finanical Statment'!H68)</f>
        <v>0.2170394179</v>
      </c>
      <c r="H43" s="157">
        <f>IF('Finanical Statment'!I7=0,0,'Finanical Statment'!I34/'Finanical Statment'!I68)</f>
        <v>0.238884652</v>
      </c>
      <c r="I43" s="157">
        <f>IF('Finanical Statment'!J7=0,0,'Finanical Statment'!J34/'Finanical Statment'!J68)</f>
        <v>0.221764207</v>
      </c>
      <c r="J43" s="157">
        <f>IF('Finanical Statment'!K7=0,0,'Finanical Statment'!K34/'Finanical Statment'!K68)</f>
        <v>0.2482265393</v>
      </c>
      <c r="K43" s="157">
        <f>IF('Finanical Statment'!L7=0,0,'Finanical Statment'!L34/'Finanical Statment'!L68)</f>
        <v>0.281637579</v>
      </c>
      <c r="L43" s="199"/>
      <c r="M43" s="200">
        <f t="shared" si="23"/>
        <v>0.2424985307</v>
      </c>
      <c r="N43" s="200">
        <f t="shared" si="24"/>
        <v>0.2241744052</v>
      </c>
      <c r="O43" s="200">
        <f t="shared" si="25"/>
        <v>0.3077195279</v>
      </c>
      <c r="P43" s="200">
        <f t="shared" si="26"/>
        <v>0.2170394179</v>
      </c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</row>
    <row r="44">
      <c r="A44" s="44" t="s">
        <v>180</v>
      </c>
      <c r="B44" s="157"/>
      <c r="C44" s="157">
        <f>IF('Finanical Statment'!C7=0,0,('Finanical Statment'!D28+'Finanical Statment'!D27)*2/('Finanical Statment'!D59+'Finanical Statment'!D66+'Finanical Statment'!D67+'Finanical Statment'!C59+'Finanical Statment'!C66+'Finanical Statment'!C67))</f>
        <v>0.4859489144</v>
      </c>
      <c r="D44" s="157">
        <f>IF('Finanical Statment'!D7=0,0,('Finanical Statment'!E28+'Finanical Statment'!E27)*2/('Finanical Statment'!E59+'Finanical Statment'!E66+'Finanical Statment'!E67+'Finanical Statment'!D59+'Finanical Statment'!D66+'Finanical Statment'!D67))</f>
        <v>0.3995635007</v>
      </c>
      <c r="E44" s="157">
        <f>IF('Finanical Statment'!E7=0,0,('Finanical Statment'!F28+'Finanical Statment'!F27)*2/('Finanical Statment'!F59+'Finanical Statment'!F66+'Finanical Statment'!F67+'Finanical Statment'!E59+'Finanical Statment'!E66+'Finanical Statment'!E67))</f>
        <v>0.3603451841</v>
      </c>
      <c r="F44" s="157">
        <f>IF('Finanical Statment'!F7=0,0,('Finanical Statment'!G28+'Finanical Statment'!G27)*2/('Finanical Statment'!G59+'Finanical Statment'!G66+'Finanical Statment'!G67+'Finanical Statment'!F59+'Finanical Statment'!F66+'Finanical Statment'!F67))</f>
        <v>0.3540058914</v>
      </c>
      <c r="G44" s="157">
        <f>IF('Finanical Statment'!G7=0,0,('Finanical Statment'!H28+'Finanical Statment'!H27)*2/('Finanical Statment'!H59+'Finanical Statment'!H66+'Finanical Statment'!H67+'Finanical Statment'!G59+'Finanical Statment'!G66+'Finanical Statment'!G67))</f>
        <v>0.3441568754</v>
      </c>
      <c r="H44" s="157">
        <f>IF('Finanical Statment'!H7=0,0,('Finanical Statment'!I28+'Finanical Statment'!I27)*2/('Finanical Statment'!I59+'Finanical Statment'!I66+'Finanical Statment'!I67+'Finanical Statment'!H59+'Finanical Statment'!H66+'Finanical Statment'!H67))</f>
        <v>0.3226165234</v>
      </c>
      <c r="I44" s="157">
        <f>IF('Finanical Statment'!I7=0,0,('Finanical Statment'!J28+'Finanical Statment'!J27)*2/('Finanical Statment'!J59+'Finanical Statment'!J66+'Finanical Statment'!J67+'Finanical Statment'!I59+'Finanical Statment'!I66+'Finanical Statment'!I67))</f>
        <v>0.2852706626</v>
      </c>
      <c r="J44" s="157">
        <f>IF('Finanical Statment'!J7=0,0,('Finanical Statment'!K28+'Finanical Statment'!K27)*2/('Finanical Statment'!K59+'Finanical Statment'!K66+'Finanical Statment'!K67+'Finanical Statment'!J59+'Finanical Statment'!J66+'Finanical Statment'!J67))</f>
        <v>0.3373325274</v>
      </c>
      <c r="K44" s="157">
        <f>IF('Finanical Statment'!K7=0,0,('Finanical Statment'!L28+'Finanical Statment'!L27)*2/('Finanical Statment'!L59+'Finanical Statment'!L66+'Finanical Statment'!L67+'Finanical Statment'!K59+'Finanical Statment'!K66+'Finanical Statment'!K67))</f>
        <v>0.393336093</v>
      </c>
      <c r="L44" s="199"/>
      <c r="M44" s="200">
        <f t="shared" si="23"/>
        <v>0.3647306858</v>
      </c>
      <c r="N44" s="200">
        <f t="shared" si="24"/>
        <v>0.3490813834</v>
      </c>
      <c r="O44" s="200">
        <f t="shared" si="25"/>
        <v>0.4859489144</v>
      </c>
      <c r="P44" s="200">
        <f t="shared" si="26"/>
        <v>0.2852706626</v>
      </c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</row>
    <row r="45">
      <c r="A45" s="44" t="s">
        <v>181</v>
      </c>
      <c r="B45" s="157">
        <f>IF('Finanical Statment'!C7=0,0,('Finanical Statment'!C28+'Finanical Statment'!C27)*(1-'Finanical Statment'!C33)/('Finanical Statment'!C59+'Finanical Statment'!C66+'Finanical Statment'!C67-'Finanical Statment'!C54))</f>
        <v>0.3756157521</v>
      </c>
      <c r="C45" s="157">
        <f>IF('Finanical Statment'!D7=0,0,('Finanical Statment'!D28+'Finanical Statment'!D27)*(1-'Finanical Statment'!D33)/('Finanical Statment'!D59+'Finanical Statment'!D66+'Finanical Statment'!D67-'Finanical Statment'!D54))</f>
        <v>0.40764272</v>
      </c>
      <c r="D45" s="157">
        <f>IF('Finanical Statment'!E7=0,0,('Finanical Statment'!E28+'Finanical Statment'!E27)*(1-'Finanical Statment'!E33)/('Finanical Statment'!E59+'Finanical Statment'!E66+'Finanical Statment'!E67-'Finanical Statment'!E54))</f>
        <v>0.2602402226</v>
      </c>
      <c r="E45" s="157">
        <f>IF('Finanical Statment'!F7=0,0,('Finanical Statment'!F28+'Finanical Statment'!F27)*(1-'Finanical Statment'!F33)/('Finanical Statment'!F59+'Finanical Statment'!F66+'Finanical Statment'!F67-'Finanical Statment'!F54))</f>
        <v>0.2416413286</v>
      </c>
      <c r="F45" s="157">
        <f>IF('Finanical Statment'!G7=0,0,('Finanical Statment'!G28+'Finanical Statment'!G27)*(1-'Finanical Statment'!G33)/('Finanical Statment'!G59+'Finanical Statment'!G66+'Finanical Statment'!G67-'Finanical Statment'!G54))</f>
        <v>0.2330198611</v>
      </c>
      <c r="G45" s="157">
        <f>IF('Finanical Statment'!H7=0,0,('Finanical Statment'!H28+'Finanical Statment'!H27)*(1-'Finanical Statment'!H33)/('Finanical Statment'!H59+'Finanical Statment'!H66+'Finanical Statment'!H67-'Finanical Statment'!H54))</f>
        <v>0.2342404457</v>
      </c>
      <c r="H45" s="157">
        <f>IF('Finanical Statment'!I7=0,0,('Finanical Statment'!I28+'Finanical Statment'!I27)*(1-'Finanical Statment'!I33)/('Finanical Statment'!I59+'Finanical Statment'!I66+'Finanical Statment'!I67-'Finanical Statment'!I54))</f>
        <v>0.2686667605</v>
      </c>
      <c r="I45" s="157">
        <f>IF('Finanical Statment'!J7=0,0,('Finanical Statment'!J28+'Finanical Statment'!J27)*(1-'Finanical Statment'!J33)/('Finanical Statment'!J59+'Finanical Statment'!J66+'Finanical Statment'!J67-'Finanical Statment'!J54))</f>
        <v>0.2399273196</v>
      </c>
      <c r="J45" s="157">
        <f>IF('Finanical Statment'!K7=0,0,('Finanical Statment'!K28+'Finanical Statment'!K27)*(1-'Finanical Statment'!K33)/('Finanical Statment'!K59+'Finanical Statment'!K66+'Finanical Statment'!K67-'Finanical Statment'!K54))</f>
        <v>0.2678348566</v>
      </c>
      <c r="K45" s="157">
        <f>IF('Finanical Statment'!L7=0,0,('Finanical Statment'!L28+'Finanical Statment'!L27)*(1-'Finanical Statment'!L33)/('Finanical Statment'!L59+'Finanical Statment'!L66+'Finanical Statment'!L67-'Finanical Statment'!L54))</f>
        <v>0.3024904446</v>
      </c>
      <c r="L45" s="199"/>
      <c r="M45" s="200">
        <f t="shared" si="23"/>
        <v>0.2728559955</v>
      </c>
      <c r="N45" s="200">
        <f t="shared" si="24"/>
        <v>0.2509407756</v>
      </c>
      <c r="O45" s="200">
        <f t="shared" si="25"/>
        <v>0.40764272</v>
      </c>
      <c r="P45" s="200">
        <f t="shared" si="26"/>
        <v>0.2330198611</v>
      </c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</row>
    <row r="46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199" t="str">
        <f t="array" ref="L46">SPARKLINE('Key ratios'!B46:K46, {"charttype","line";"color","#000000";"empty","ignore";"nan","convert"})</f>
        <v>#N/A</v>
      </c>
      <c r="M46" s="200"/>
      <c r="N46" s="200"/>
      <c r="O46" s="200"/>
      <c r="P46" s="200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</row>
    <row r="47">
      <c r="A47" s="195" t="s">
        <v>182</v>
      </c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L47" s="201" t="str">
        <f t="array" ref="L47">SPARKLINE('Key ratios'!B47:K47, {"charttype","line";"color","#000000";"empty","ignore";"nan","convert"})</f>
        <v>#N/A</v>
      </c>
      <c r="M47" s="201" t="str">
        <f t="array" ref="M47">SPARKLINE('Key ratios'!C47:L47, {"charttype","line";"color","#000000";"empty","ignore";"nan","convert"})</f>
        <v>#N/A</v>
      </c>
      <c r="N47" s="201" t="str">
        <f t="array" ref="N47">SPARKLINE('Key ratios'!D47:M47, {"charttype","line";"color","#000000";"empty","ignore";"nan","convert"})</f>
        <v>#N/A</v>
      </c>
      <c r="O47" s="201" t="str">
        <f t="array" ref="O47">SPARKLINE('Key ratios'!E47:N47, {"charttype","line";"color","#000000";"empty","ignore";"nan","convert"})</f>
        <v>#N/A</v>
      </c>
      <c r="P47" s="202" t="str">
        <f t="array" ref="P47">SPARKLINE('Key ratios'!F47:O47, {"charttype","line";"color","#000000";"empty","ignore";"nan","convert"})</f>
        <v>#N/A</v>
      </c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</row>
    <row r="48">
      <c r="A48" s="44" t="s">
        <v>183</v>
      </c>
      <c r="B48" s="200">
        <f>IF('Finanical Statment'!C7=0,0,'Finanical Statment'!C98/'Finanical Statment'!C43)</f>
        <v>31.21305154</v>
      </c>
      <c r="C48" s="200">
        <f>IF('Finanical Statment'!D7=0,0,'Finanical Statment'!D98/'Finanical Statment'!D43)</f>
        <v>26.74503805</v>
      </c>
      <c r="D48" s="200">
        <f>IF('Finanical Statment'!E7=0,0,'Finanical Statment'!E98/'Finanical Statment'!E43)</f>
        <v>27.80225331</v>
      </c>
      <c r="E48" s="200">
        <f>IF('Finanical Statment'!F7=0,0,'Finanical Statment'!F98/'Finanical Statment'!F43)</f>
        <v>32.4982483</v>
      </c>
      <c r="F48" s="200">
        <f>IF('Finanical Statment'!G7=0,0,'Finanical Statment'!G98/'Finanical Statment'!G43)</f>
        <v>27.132041</v>
      </c>
      <c r="G48" s="200">
        <f>IF('Finanical Statment'!H7=0,0,'Finanical Statment'!H98/'Finanical Statment'!H43)</f>
        <v>28.38810563</v>
      </c>
      <c r="H48" s="200">
        <f>IF('Finanical Statment'!I7=0,0,'Finanical Statment'!I98/'Finanical Statment'!I43)</f>
        <v>13.53556415</v>
      </c>
      <c r="I48" s="200">
        <f>IF('Finanical Statment'!J7=0,0,'Finanical Statment'!J98/'Finanical Statment'!J43)</f>
        <v>20.0963679</v>
      </c>
      <c r="J48" s="200">
        <f>IF('Finanical Statment'!K7=0,0,'Finanical Statment'!K98/'Finanical Statment'!K43)</f>
        <v>19.92394533</v>
      </c>
      <c r="K48" s="200">
        <f>IF('Finanical Statment'!L7=0,0,'Finanical Statment'!L98/'Finanical Statment'!L43)</f>
        <v>24.47094788</v>
      </c>
      <c r="L48" s="199"/>
      <c r="M48" s="200">
        <f t="shared" ref="M48:M54" si="27">AVERAGE(C48:K48)</f>
        <v>24.51027906</v>
      </c>
      <c r="N48" s="200">
        <f t="shared" ref="N48:N54" si="28">MEDIAN(C48:J48)</f>
        <v>26.93853953</v>
      </c>
      <c r="O48" s="200">
        <f t="shared" ref="O48:O54" si="29">MAX(C48:K48)</f>
        <v>32.4982483</v>
      </c>
      <c r="P48" s="200">
        <f t="shared" ref="P48:P54" si="30">MIN(C48:K48)</f>
        <v>13.53556415</v>
      </c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</row>
    <row r="49">
      <c r="A49" s="44" t="s">
        <v>184</v>
      </c>
      <c r="B49" s="204">
        <f>IF('Finanical Statment'!C7=0,0,'Finanical Statment'!C98/'Finanical Statment'!C102)</f>
        <v>10.30308395</v>
      </c>
      <c r="C49" s="204">
        <f>IF('Finanical Statment'!D7=0,0,'Finanical Statment'!D98/'Finanical Statment'!D102)</f>
        <v>8.229970481</v>
      </c>
      <c r="D49" s="204">
        <f>IF('Finanical Statment'!E7=0,0,'Finanical Statment'!E98/'Finanical Statment'!E102)</f>
        <v>6.189041404</v>
      </c>
      <c r="E49" s="204">
        <f>IF('Finanical Statment'!F7=0,0,'Finanical Statment'!F98/'Finanical Statment'!F102)</f>
        <v>7.336137193</v>
      </c>
      <c r="F49" s="204">
        <f>IF('Finanical Statment'!G7=0,0,'Finanical Statment'!G98/'Finanical Statment'!G102)</f>
        <v>5.938282456</v>
      </c>
      <c r="G49" s="204">
        <f>IF('Finanical Statment'!H7=0,0,'Finanical Statment'!H98/'Finanical Statment'!H102)</f>
        <v>6.161337921</v>
      </c>
      <c r="H49" s="204">
        <f>IF('Finanical Statment'!I7=0,0,'Finanical Statment'!I98/'Finanical Statment'!I102)</f>
        <v>3.233438532</v>
      </c>
      <c r="I49" s="204">
        <f>IF('Finanical Statment'!J7=0,0,'Finanical Statment'!J98/'Finanical Statment'!J102)</f>
        <v>4.45665509</v>
      </c>
      <c r="J49" s="204">
        <f>IF('Finanical Statment'!K7=0,0,'Finanical Statment'!K98/'Finanical Statment'!K102)</f>
        <v>4.945651997</v>
      </c>
      <c r="K49" s="204">
        <f>IF('Finanical Statment'!L7=0,0,'Finanical Statment'!L98/'Finanical Statment'!L102)</f>
        <v>6.891938516</v>
      </c>
      <c r="L49" s="199"/>
      <c r="M49" s="200">
        <f t="shared" si="27"/>
        <v>5.931383732</v>
      </c>
      <c r="N49" s="200">
        <f t="shared" si="28"/>
        <v>6.049810189</v>
      </c>
      <c r="O49" s="200">
        <f t="shared" si="29"/>
        <v>8.229970481</v>
      </c>
      <c r="P49" s="200">
        <f t="shared" si="30"/>
        <v>3.233438532</v>
      </c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</row>
    <row r="50">
      <c r="A50" s="44" t="s">
        <v>185</v>
      </c>
      <c r="B50" s="200">
        <f>IF('Finanical Statment'!C7=0,0,'Finanical Statment'!C100/'Finanical Statment'!C78)</f>
        <v>38.21360772</v>
      </c>
      <c r="C50" s="200">
        <f>IF('Finanical Statment'!D7=0,0,'Finanical Statment'!D100/'Finanical Statment'!D78)</f>
        <v>26.53427197</v>
      </c>
      <c r="D50" s="200">
        <f>IF('Finanical Statment'!E7=0,0,'Finanical Statment'!E100/'Finanical Statment'!E78)</f>
        <v>26.95624433</v>
      </c>
      <c r="E50" s="200">
        <f>IF('Finanical Statment'!F7=0,0,'Finanical Statment'!F100/'Finanical Statment'!F78)</f>
        <v>32.03930458</v>
      </c>
      <c r="F50" s="200">
        <f>IF('Finanical Statment'!G7=0,0,'Finanical Statment'!G100/'Finanical Statment'!G78)</f>
        <v>23.67760604</v>
      </c>
      <c r="G50" s="200">
        <f>IF('Finanical Statment'!H7=0,0,'Finanical Statment'!H100/'Finanical Statment'!H78)</f>
        <v>28.95772171</v>
      </c>
      <c r="H50" s="200">
        <f>IF('Finanical Statment'!I7=0,0,'Finanical Statment'!I100/'Finanical Statment'!I78)</f>
        <v>14.36773036</v>
      </c>
      <c r="I50" s="200">
        <f>IF('Finanical Statment'!J7=0,0,'Finanical Statment'!J100/'Finanical Statment'!J78)</f>
        <v>21.46945989</v>
      </c>
      <c r="J50" s="200">
        <f>IF('Finanical Statment'!K7=0,0,'Finanical Statment'!K100/'Finanical Statment'!K78)</f>
        <v>19.57993843</v>
      </c>
      <c r="K50" s="200">
        <f>IF('Finanical Statment'!L7=0,0,'Finanical Statment'!L100/'Finanical Statment'!L78)</f>
        <v>25.24765131</v>
      </c>
      <c r="L50" s="199"/>
      <c r="M50" s="200">
        <f t="shared" si="27"/>
        <v>24.31443652</v>
      </c>
      <c r="N50" s="200">
        <f t="shared" si="28"/>
        <v>25.10593901</v>
      </c>
      <c r="O50" s="200">
        <f t="shared" si="29"/>
        <v>32.03930458</v>
      </c>
      <c r="P50" s="200">
        <f t="shared" si="30"/>
        <v>14.36773036</v>
      </c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</row>
    <row r="51">
      <c r="A51" s="44" t="s">
        <v>186</v>
      </c>
      <c r="B51" s="200">
        <f>IF('Finanical Statment'!C7=0,0,'Finanical Statment'!C100/'Finanical Statment'!C7)</f>
        <v>7.948260002</v>
      </c>
      <c r="C51" s="200">
        <f>IF('Finanical Statment'!D7=0,0,'Finanical Statment'!D100/'Finanical Statment'!D7)</f>
        <v>6.728524528</v>
      </c>
      <c r="D51" s="200">
        <f>IF('Finanical Statment'!E7=0,0,'Finanical Statment'!E100/'Finanical Statment'!E7)</f>
        <v>6.739759196</v>
      </c>
      <c r="E51" s="200">
        <f>IF('Finanical Statment'!F7=0,0,'Finanical Statment'!F100/'Finanical Statment'!F7)</f>
        <v>7.961438612</v>
      </c>
      <c r="F51" s="200">
        <f>IF('Finanical Statment'!G7=0,0,'Finanical Statment'!G100/'Finanical Statment'!G7)</f>
        <v>7.176696716</v>
      </c>
      <c r="G51" s="200">
        <f>IF('Finanical Statment'!H7=0,0,'Finanical Statment'!H100/'Finanical Statment'!H7)</f>
        <v>7.53806477</v>
      </c>
      <c r="H51" s="200">
        <f>IF('Finanical Statment'!I7=0,0,'Finanical Statment'!I100/'Finanical Statment'!I7)</f>
        <v>4.273474448</v>
      </c>
      <c r="I51" s="200">
        <f>IF('Finanical Statment'!J7=0,0,'Finanical Statment'!J100/'Finanical Statment'!J7)</f>
        <v>5.460032543</v>
      </c>
      <c r="J51" s="200">
        <f>IF('Finanical Statment'!K7=0,0,'Finanical Statment'!K100/'Finanical Statment'!K7)</f>
        <v>5.093344174</v>
      </c>
      <c r="K51" s="200">
        <f>IF('Finanical Statment'!L7=0,0,'Finanical Statment'!L100/'Finanical Statment'!L7)</f>
        <v>6.720534672</v>
      </c>
      <c r="L51" s="199"/>
      <c r="M51" s="200">
        <f t="shared" si="27"/>
        <v>6.41020774</v>
      </c>
      <c r="N51" s="200">
        <f t="shared" si="28"/>
        <v>6.734141862</v>
      </c>
      <c r="O51" s="200">
        <f t="shared" si="29"/>
        <v>7.961438612</v>
      </c>
      <c r="P51" s="200">
        <f t="shared" si="30"/>
        <v>4.273474448</v>
      </c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</row>
    <row r="52">
      <c r="A52" s="44" t="s">
        <v>187</v>
      </c>
      <c r="B52" s="200">
        <f>IF('Finanical Statment'!C7=0,0,'Finanical Statment'!C100/'Finanical Statment'!C78)</f>
        <v>38.21360772</v>
      </c>
      <c r="C52" s="200">
        <f>IF('Finanical Statment'!D7=0,0,'Finanical Statment'!D100/'Finanical Statment'!D78)</f>
        <v>26.53427197</v>
      </c>
      <c r="D52" s="200">
        <f>IF('Finanical Statment'!E7=0,0,'Finanical Statment'!E100/'Finanical Statment'!E78)</f>
        <v>26.95624433</v>
      </c>
      <c r="E52" s="200">
        <f>IF('Finanical Statment'!F7=0,0,'Finanical Statment'!F100/'Finanical Statment'!F78)</f>
        <v>32.03930458</v>
      </c>
      <c r="F52" s="200">
        <f>IF('Finanical Statment'!G7=0,0,'Finanical Statment'!G100/'Finanical Statment'!G78)</f>
        <v>23.67760604</v>
      </c>
      <c r="G52" s="200">
        <f>IF('Finanical Statment'!H7=0,0,'Finanical Statment'!H100/'Finanical Statment'!H78)</f>
        <v>28.95772171</v>
      </c>
      <c r="H52" s="200">
        <f>IF('Finanical Statment'!I7=0,0,'Finanical Statment'!I100/'Finanical Statment'!I78)</f>
        <v>14.36773036</v>
      </c>
      <c r="I52" s="200">
        <f>IF('Finanical Statment'!J7=0,0,'Finanical Statment'!J100/'Finanical Statment'!J78)</f>
        <v>21.46945989</v>
      </c>
      <c r="J52" s="200">
        <f>IF('Finanical Statment'!K7=0,0,'Finanical Statment'!K100/'Finanical Statment'!K78)</f>
        <v>19.57993843</v>
      </c>
      <c r="K52" s="200">
        <f>IF('Finanical Statment'!L7=0,0,'Finanical Statment'!L100/'Finanical Statment'!L78)</f>
        <v>25.24765131</v>
      </c>
      <c r="L52" s="199"/>
      <c r="M52" s="200">
        <f t="shared" si="27"/>
        <v>24.31443652</v>
      </c>
      <c r="N52" s="200">
        <f t="shared" si="28"/>
        <v>25.10593901</v>
      </c>
      <c r="O52" s="200">
        <f t="shared" si="29"/>
        <v>32.03930458</v>
      </c>
      <c r="P52" s="200">
        <f t="shared" si="30"/>
        <v>14.36773036</v>
      </c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</row>
    <row r="53">
      <c r="A53" s="44" t="s">
        <v>188</v>
      </c>
      <c r="B53" s="200">
        <f> IF('Finanical Statment'!C7=0,0,'Finanical Statment'!C101/'Finanical Statment'!C16)</f>
        <v>21.7029538</v>
      </c>
      <c r="C53" s="200">
        <f> IF('Finanical Statment'!D7=0,0,'Finanical Statment'!D101/'Finanical Statment'!D16)</f>
        <v>18.86168491</v>
      </c>
      <c r="D53" s="200">
        <f> IF('Finanical Statment'!E7=0,0,'Finanical Statment'!E101/'Finanical Statment'!E16)</f>
        <v>18.58892904</v>
      </c>
      <c r="E53" s="200">
        <f> IF('Finanical Statment'!F7=0,0,'Finanical Statment'!F101/'Finanical Statment'!F16)</f>
        <v>22.1993652</v>
      </c>
      <c r="F53" s="200">
        <f> IF('Finanical Statment'!G7=0,0,'Finanical Statment'!G101/'Finanical Statment'!G16)</f>
        <v>19.04796045</v>
      </c>
      <c r="G53" s="200">
        <f> IF('Finanical Statment'!H7=0,0,'Finanical Statment'!H101/'Finanical Statment'!H16)</f>
        <v>19.88011662</v>
      </c>
      <c r="H53" s="200">
        <f> IF('Finanical Statment'!I7=0,0,'Finanical Statment'!I101/'Finanical Statment'!I16)</f>
        <v>11.27285719</v>
      </c>
      <c r="I53" s="200">
        <f> IF('Finanical Statment'!J7=0,0,'Finanical Statment'!J101/'Finanical Statment'!J16)</f>
        <v>16.01752088</v>
      </c>
      <c r="J53" s="200">
        <f> IF('Finanical Statment'!K7=0,0,'Finanical Statment'!K101/'Finanical Statment'!K16)</f>
        <v>15.19110778</v>
      </c>
      <c r="K53" s="200">
        <f> IF('Finanical Statment'!L7=0,0,'Finanical Statment'!L101/'Finanical Statment'!L16)</f>
        <v>18.72016351</v>
      </c>
      <c r="L53" s="199"/>
      <c r="M53" s="200">
        <f t="shared" si="27"/>
        <v>17.75330062</v>
      </c>
      <c r="N53" s="200">
        <f t="shared" si="28"/>
        <v>18.72530697</v>
      </c>
      <c r="O53" s="200">
        <f t="shared" si="29"/>
        <v>22.1993652</v>
      </c>
      <c r="P53" s="200">
        <f t="shared" si="30"/>
        <v>11.27285719</v>
      </c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</row>
    <row r="54">
      <c r="A54" s="44" t="s">
        <v>189</v>
      </c>
      <c r="B54" s="200">
        <f>IF('Finanical Statment'!C7=0,0,'Finanical Statment'!C68/'Finanical Statment'!C99)</f>
        <v>22.83102818</v>
      </c>
      <c r="C54" s="200">
        <f>IF('Finanical Statment'!D7=0,0,'Finanical Statment'!D68/'Finanical Statment'!D99)</f>
        <v>26.39499139</v>
      </c>
      <c r="D54" s="200">
        <f>IF('Finanical Statment'!E7=0,0,'Finanical Statment'!E68/'Finanical Statment'!E99)</f>
        <v>35.35765649</v>
      </c>
      <c r="E54" s="200">
        <f>IF('Finanical Statment'!F7=0,0,'Finanical Statment'!F68/'Finanical Statment'!F99)</f>
        <v>38.20811861</v>
      </c>
      <c r="F54" s="200">
        <f>IF('Finanical Statment'!G7=0,0,'Finanical Statment'!G68/'Finanical Statment'!G99)</f>
        <v>43.0259089</v>
      </c>
      <c r="G54" s="200">
        <f>IF('Finanical Statment'!H7=0,0,'Finanical Statment'!H68/'Finanical Statment'!H99)</f>
        <v>48.24439169</v>
      </c>
      <c r="H54" s="200">
        <f>IF('Finanical Statment'!I7=0,0,'Finanical Statment'!I68/'Finanical Statment'!I99)</f>
        <v>53.10136509</v>
      </c>
      <c r="I54" s="200">
        <f>IF('Finanical Statment'!J7=0,0,'Finanical Statment'!J68/'Finanical Statment'!J99)</f>
        <v>49.02780125</v>
      </c>
      <c r="J54" s="200">
        <f>IF('Finanical Statment'!K7=0,0,'Finanical Statment'!K68/'Finanical Statment'!K99)</f>
        <v>50.68088093</v>
      </c>
      <c r="K54" s="200">
        <f>IF('Finanical Statment'!L7=0,0,'Finanical Statment'!L68/'Finanical Statment'!L99)</f>
        <v>55.6447216</v>
      </c>
      <c r="L54" s="199"/>
      <c r="M54" s="200">
        <f t="shared" si="27"/>
        <v>44.40953733</v>
      </c>
      <c r="N54" s="200">
        <f t="shared" si="28"/>
        <v>45.6351503</v>
      </c>
      <c r="O54" s="200">
        <f t="shared" si="29"/>
        <v>55.6447216</v>
      </c>
      <c r="P54" s="200">
        <f t="shared" si="30"/>
        <v>26.39499139</v>
      </c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</row>
    <row r="5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199" t="str">
        <f t="array" ref="L55">SPARKLINE('Key ratios'!B55:K55, {"charttype","line";"color","#000000";"empty","ignore";"nan","convert"})</f>
        <v>#N/A</v>
      </c>
      <c r="M55" s="200"/>
      <c r="N55" s="200"/>
      <c r="O55" s="200"/>
      <c r="P55" s="200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</row>
    <row r="56">
      <c r="A56" s="195" t="s">
        <v>190</v>
      </c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1" t="str">
        <f t="array" ref="L56">SPARKLINE('Key ratios'!B56:K56, {"charttype","line";"color","#000000";"empty","ignore";"nan","convert"})</f>
        <v>#N/A</v>
      </c>
      <c r="M56" s="201" t="str">
        <f t="array" ref="M56">SPARKLINE('Key ratios'!C56:L56, {"charttype","line";"color","#000000";"empty","ignore";"nan","convert"})</f>
        <v>#N/A</v>
      </c>
      <c r="N56" s="201" t="str">
        <f t="array" ref="N56">SPARKLINE('Key ratios'!D56:M56, {"charttype","line";"color","#000000";"empty","ignore";"nan","convert"})</f>
        <v>#N/A</v>
      </c>
      <c r="O56" s="201" t="str">
        <f t="array" ref="O56">SPARKLINE('Key ratios'!E56:N56, {"charttype","line";"color","#000000";"empty","ignore";"nan","convert"})</f>
        <v>#N/A</v>
      </c>
      <c r="P56" s="202" t="str">
        <f t="array" ref="P56">SPARKLINE('Key ratios'!F56:O56, {"charttype","line";"color","#000000";"empty","ignore";"nan","convert"})</f>
        <v>#N/A</v>
      </c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</row>
    <row r="57">
      <c r="A57" s="44" t="s">
        <v>191</v>
      </c>
      <c r="B57" s="157">
        <f>IF('Finanical Statment'!C7=0,0,'Finanical Statment'!C78/'Finanical Statment'!C34)</f>
        <v>0.8168046253</v>
      </c>
      <c r="C57" s="157">
        <f>IF('Finanical Statment'!D7=0,0,'Finanical Statment'!D78/'Finanical Statment'!D34)</f>
        <v>1.007943164</v>
      </c>
      <c r="D57" s="157">
        <f>IF('Finanical Statment'!E7=0,0,'Finanical Statment'!E78/'Finanical Statment'!E34)</f>
        <v>1.031384527</v>
      </c>
      <c r="E57" s="157">
        <f>IF('Finanical Statment'!F7=0,0,'Finanical Statment'!F78/'Finanical Statment'!F34)</f>
        <v>1.014324397</v>
      </c>
      <c r="F57" s="157">
        <f>IF('Finanical Statment'!G7=0,0,'Finanical Statment'!G78/'Finanical Statment'!G34)</f>
        <v>1.145894604</v>
      </c>
      <c r="G57" s="157">
        <f>IF('Finanical Statment'!H7=0,0,'Finanical Statment'!H78/'Finanical Statment'!H34)</f>
        <v>0.9803293887</v>
      </c>
      <c r="H57" s="157">
        <f>IF('Finanical Statment'!I7=0,0,'Finanical Statment'!I78/'Finanical Statment'!I34)</f>
        <v>0.9420808862</v>
      </c>
      <c r="I57" s="157">
        <f>IF('Finanical Statment'!J7=0,0,'Finanical Statment'!J78/'Finanical Statment'!J34)</f>
        <v>0.936044409</v>
      </c>
      <c r="J57" s="157">
        <f>IF('Finanical Statment'!K7=0,0,'Finanical Statment'!K78/'Finanical Statment'!K34)</f>
        <v>1.017569355</v>
      </c>
      <c r="K57" s="157">
        <f>IF('Finanical Statment'!L7=0,0,'Finanical Statment'!L78/'Finanical Statment'!L34)</f>
        <v>0.9692366066</v>
      </c>
      <c r="L57" s="199"/>
      <c r="M57" s="200">
        <f t="shared" ref="M57:M62" si="31">AVERAGE(C57:K57)</f>
        <v>1.004978593</v>
      </c>
      <c r="N57" s="200">
        <f t="shared" ref="N57:N62" si="32">MEDIAN(C57:J57)</f>
        <v>1.01113378</v>
      </c>
      <c r="O57" s="200">
        <f t="shared" ref="O57:O62" si="33">MAX(C57:K57)</f>
        <v>1.145894604</v>
      </c>
      <c r="P57" s="200">
        <f t="shared" ref="P57:P62" si="34">MIN(C57:K57)</f>
        <v>0.936044409</v>
      </c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</row>
    <row r="58">
      <c r="A58" s="44" t="s">
        <v>192</v>
      </c>
      <c r="B58" s="157">
        <f>IF('Finanical Statment'!C7=0,0,'Finanical Statment'!C78/'Finanical Statment'!C16)</f>
        <v>0.5614400722</v>
      </c>
      <c r="C58" s="157">
        <f>IF('Finanical Statment'!D7=0,0,'Finanical Statment'!D78/'Finanical Statment'!D16)</f>
        <v>0.6906723587</v>
      </c>
      <c r="D58" s="157">
        <f>IF('Finanical Statment'!E7=0,0,'Finanical Statment'!E78/'Finanical Statment'!E16)</f>
        <v>0.6743314003</v>
      </c>
      <c r="E58" s="157">
        <f>IF('Finanical Statment'!F7=0,0,'Finanical Statment'!F78/'Finanical Statment'!F16)</f>
        <v>0.6869842678</v>
      </c>
      <c r="F58" s="157">
        <f>IF('Finanical Statment'!G7=0,0,'Finanical Statment'!G78/'Finanical Statment'!G16)</f>
        <v>0.7971507071</v>
      </c>
      <c r="G58" s="157">
        <f>IF('Finanical Statment'!H7=0,0,'Finanical Statment'!H78/'Finanical Statment'!H16)</f>
        <v>0.6788123894</v>
      </c>
      <c r="H58" s="157">
        <f>IF('Finanical Statment'!I7=0,0,'Finanical Statment'!I78/'Finanical Statment'!I16)</f>
        <v>0.7594090844</v>
      </c>
      <c r="I58" s="157">
        <f>IF('Finanical Statment'!J7=0,0,'Finanical Statment'!J78/'Finanical Statment'!J16)</f>
        <v>0.7340832991</v>
      </c>
      <c r="J58" s="157">
        <f>IF('Finanical Statment'!K7=0,0,'Finanical Statment'!K78/'Finanical Statment'!K16)</f>
        <v>0.7649418251</v>
      </c>
      <c r="K58" s="157">
        <f>IF('Finanical Statment'!L7=0,0,'Finanical Statment'!L78/'Finanical Statment'!L16)</f>
        <v>0.734413284</v>
      </c>
      <c r="L58" s="199"/>
      <c r="M58" s="200">
        <f t="shared" si="31"/>
        <v>0.7245331795</v>
      </c>
      <c r="N58" s="200">
        <f t="shared" si="32"/>
        <v>0.7123778289</v>
      </c>
      <c r="O58" s="200">
        <f t="shared" si="33"/>
        <v>0.7971507071</v>
      </c>
      <c r="P58" s="200">
        <f t="shared" si="34"/>
        <v>0.6743314003</v>
      </c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</row>
    <row r="59">
      <c r="A59" s="44" t="s">
        <v>193</v>
      </c>
      <c r="B59" s="44"/>
      <c r="C59" s="157">
        <f>IF('Finanical Statment'!D7=0,0,'Finanical Statment'!D86/'Finanical Statment'!D78)</f>
        <v>0.6929747671</v>
      </c>
      <c r="D59" s="157">
        <f>IF('Finanical Statment'!E7=0,0,'Finanical Statment'!E86/'Finanical Statment'!E78)</f>
        <v>0.9216072358</v>
      </c>
      <c r="E59" s="157">
        <f>IF('Finanical Statment'!F7=0,0,'Finanical Statment'!F86/'Finanical Statment'!F78)</f>
        <v>0.7057602944</v>
      </c>
      <c r="F59" s="157">
        <f>IF('Finanical Statment'!G7=0,0,'Finanical Statment'!G86/'Finanical Statment'!G78)</f>
        <v>0.7202540907</v>
      </c>
      <c r="G59" s="157">
        <f>IF('Finanical Statment'!H7=0,0,'Finanical Statment'!H86/'Finanical Statment'!H78)</f>
        <v>0.7696537412</v>
      </c>
      <c r="H59" s="157">
        <f>IF('Finanical Statment'!I7=0,0,'Finanical Statment'!I86/'Finanical Statment'!I78)</f>
        <v>0.7874666631</v>
      </c>
      <c r="I59" s="157">
        <f>IF('Finanical Statment'!J7=0,0,'Finanical Statment'!J86/'Finanical Statment'!J78)</f>
        <v>0.6806313792</v>
      </c>
      <c r="J59" s="157">
        <f>IF('Finanical Statment'!K7=0,0,'Finanical Statment'!K86/'Finanical Statment'!K78)</f>
        <v>0.8792337903</v>
      </c>
      <c r="K59" s="157">
        <f>IF('Finanical Statment'!L7=0,0,'Finanical Statment'!L86/'Finanical Statment'!L78)</f>
        <v>0.8246954016</v>
      </c>
      <c r="L59" s="199"/>
      <c r="M59" s="200">
        <f t="shared" si="31"/>
        <v>0.7758085959</v>
      </c>
      <c r="N59" s="200">
        <f t="shared" si="32"/>
        <v>0.7449539159</v>
      </c>
      <c r="O59" s="200">
        <f t="shared" si="33"/>
        <v>0.9216072358</v>
      </c>
      <c r="P59" s="200">
        <f t="shared" si="34"/>
        <v>0.6806313792</v>
      </c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</row>
    <row r="60">
      <c r="A60" s="44" t="s">
        <v>194</v>
      </c>
      <c r="B60" s="44"/>
      <c r="C60" s="157">
        <f>IF('Finanical Statment'!D7=0,0,'Finanical Statment'!D94/'Finanical Statment'!D78)</f>
        <v>0.6893723586</v>
      </c>
      <c r="D60" s="157">
        <f>IF('Finanical Statment'!E7=0,0,'Finanical Statment'!E94/'Finanical Statment'!E78)</f>
        <v>0.8976277268</v>
      </c>
      <c r="E60" s="157">
        <f>IF('Finanical Statment'!F7=0,0,'Finanical Statment'!F94/'Finanical Statment'!F78)</f>
        <v>0.6991628173</v>
      </c>
      <c r="F60" s="157">
        <f>IF('Finanical Statment'!G7=0,0,'Finanical Statment'!G94/'Finanical Statment'!G78)</f>
        <v>0.7137447416</v>
      </c>
      <c r="G60" s="157">
        <f>IF('Finanical Statment'!H7=0,0,'Finanical Statment'!H94/'Finanical Statment'!H78)</f>
        <v>0.764063954</v>
      </c>
      <c r="H60" s="157">
        <f>IF('Finanical Statment'!I7=0,0,'Finanical Statment'!I94/'Finanical Statment'!I78)</f>
        <v>0.8011274597</v>
      </c>
      <c r="I60" s="157">
        <f>IF('Finanical Statment'!J7=0,0,'Finanical Statment'!J94/'Finanical Statment'!J78)</f>
        <v>0.676650459</v>
      </c>
      <c r="J60" s="157">
        <f>IF('Finanical Statment'!K7=0,0,'Finanical Statment'!K94/'Finanical Statment'!K78)</f>
        <v>0.8750354188</v>
      </c>
      <c r="K60" s="157">
        <f>IF('Finanical Statment'!L7=0,0,'Finanical Statment'!L94/'Finanical Statment'!L78)</f>
        <v>0.8245974716</v>
      </c>
      <c r="L60" s="199"/>
      <c r="M60" s="200">
        <f t="shared" si="31"/>
        <v>0.7712647119</v>
      </c>
      <c r="N60" s="200">
        <f t="shared" si="32"/>
        <v>0.7389043478</v>
      </c>
      <c r="O60" s="200">
        <f t="shared" si="33"/>
        <v>0.8976277268</v>
      </c>
      <c r="P60" s="200">
        <f t="shared" si="34"/>
        <v>0.676650459</v>
      </c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</row>
    <row r="61">
      <c r="A61" s="44" t="s">
        <v>195</v>
      </c>
      <c r="B61" s="44"/>
      <c r="C61" s="157">
        <f>IF('Finanical Statment'!D7=0,0,('Finanical Statment'!D84/'Finanical Statment'!D78))</f>
        <v>0.3040677828</v>
      </c>
      <c r="D61" s="157">
        <f>IF('Finanical Statment'!E7=0,0,('Finanical Statment'!E84/'Finanical Statment'!E78))</f>
        <v>0.07551760172</v>
      </c>
      <c r="E61" s="157">
        <f>IF('Finanical Statment'!F7=0,0,('Finanical Statment'!F84/'Finanical Statment'!F78))</f>
        <v>0.2926422585</v>
      </c>
      <c r="F61" s="157">
        <f>IF('Finanical Statment'!G7=0,0,('Finanical Statment'!G84/'Finanical Statment'!G78))</f>
        <v>0.2767779853</v>
      </c>
      <c r="G61" s="157">
        <f>IF('Finanical Statment'!H7=0,0,('Finanical Statment'!H84/'Finanical Statment'!H78))</f>
        <v>0.2284754292</v>
      </c>
      <c r="H61" s="157">
        <f>IF('Finanical Statment'!I7=0,0,('Finanical Statment'!I84/'Finanical Statment'!I78))</f>
        <v>0.2113050949</v>
      </c>
      <c r="I61" s="157">
        <f>IF('Finanical Statment'!J7=0,0,('Finanical Statment'!J84/'Finanical Statment'!J78))</f>
        <v>0.3181934658</v>
      </c>
      <c r="J61" s="157">
        <f>IF('Finanical Statment'!K7=0,0,('Finanical Statment'!K84/'Finanical Statment'!K78))</f>
        <v>0.1198059524</v>
      </c>
      <c r="K61" s="157">
        <f>IF('Finanical Statment'!L7=0,0,('Finanical Statment'!L84/'Finanical Statment'!L78))</f>
        <v>0.1742810905</v>
      </c>
      <c r="L61" s="199"/>
      <c r="M61" s="200">
        <f t="shared" si="31"/>
        <v>0.2223407401</v>
      </c>
      <c r="N61" s="200">
        <f t="shared" si="32"/>
        <v>0.2526267072</v>
      </c>
      <c r="O61" s="200">
        <f t="shared" si="33"/>
        <v>0.3181934658</v>
      </c>
      <c r="P61" s="200">
        <f t="shared" si="34"/>
        <v>0.07551760172</v>
      </c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</row>
    <row r="62">
      <c r="A62" s="44" t="s">
        <v>196</v>
      </c>
      <c r="B62" s="44"/>
      <c r="C62" s="157">
        <f>IF('Finanical Statment'!D7=0,0,'Finanical Statment'!D86/'Finanical Statment'!D7)</f>
        <v>0.1757235971</v>
      </c>
      <c r="D62" s="157">
        <f>IF('Finanical Statment'!E7=0,0,'Finanical Statment'!E86/'Finanical Statment'!E7)</f>
        <v>0.2304256768</v>
      </c>
      <c r="E62" s="157">
        <f>IF('Finanical Statment'!F7=0,0,'Finanical Statment'!F86/'Finanical Statment'!F7)</f>
        <v>0.1753741953</v>
      </c>
      <c r="F62" s="157">
        <f>IF('Finanical Statment'!G7=0,0,'Finanical Statment'!G86/'Finanical Statment'!G7)</f>
        <v>0.2183094506</v>
      </c>
      <c r="G62" s="157">
        <f>IF('Finanical Statment'!H7=0,0,'Finanical Statment'!H86/'Finanical Statment'!H7)</f>
        <v>0.2003506978</v>
      </c>
      <c r="H62" s="157">
        <f>IF('Finanical Statment'!I7=0,0,'Finanical Statment'!I86/'Finanical Statment'!I7)</f>
        <v>0.2342206165</v>
      </c>
      <c r="I62" s="157">
        <f>IF('Finanical Statment'!J7=0,0,'Finanical Statment'!J86/'Finanical Statment'!J7)</f>
        <v>0.1730956204</v>
      </c>
      <c r="J62" s="157">
        <f>IF('Finanical Statment'!K7=0,0,'Finanical Statment'!K86/'Finanical Statment'!K7)</f>
        <v>0.22871575</v>
      </c>
      <c r="K62" s="157">
        <f>IF('Finanical Statment'!L7=0,0,'Finanical Statment'!L86/'Finanical Statment'!L7)</f>
        <v>0.2195211733</v>
      </c>
      <c r="L62" s="199"/>
      <c r="M62" s="200">
        <f t="shared" si="31"/>
        <v>0.2061929753</v>
      </c>
      <c r="N62" s="200">
        <f t="shared" si="32"/>
        <v>0.2093300742</v>
      </c>
      <c r="O62" s="200">
        <f t="shared" si="33"/>
        <v>0.2342206165</v>
      </c>
      <c r="P62" s="200">
        <f t="shared" si="34"/>
        <v>0.1730956204</v>
      </c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00"/>
      <c r="N63" s="200"/>
      <c r="O63" s="200"/>
      <c r="P63" s="200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</row>
    <row r="64">
      <c r="A64" s="195" t="s">
        <v>197</v>
      </c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 t="s">
        <v>198</v>
      </c>
      <c r="M64" s="203"/>
      <c r="N64" s="203"/>
      <c r="O64" s="203"/>
      <c r="P64" s="205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</row>
    <row r="65">
      <c r="A65" s="44" t="s">
        <v>199</v>
      </c>
      <c r="B65" s="199">
        <f>IF('Finanical Statment'!C7=0,0,'Finanical Statment'!C73/'Finanical Statment'!C56)</f>
        <v>0.1533151474</v>
      </c>
      <c r="C65" s="199">
        <f>IF('Finanical Statment'!D7=0,0,'Finanical Statment'!D73/'Finanical Statment'!D56)</f>
        <v>0.197553894</v>
      </c>
      <c r="D65" s="199">
        <f>IF('Finanical Statment'!E7=0,0,'Finanical Statment'!E73/'Finanical Statment'!E56)</f>
        <v>0.3037357792</v>
      </c>
      <c r="E65" s="199">
        <f>IF('Finanical Statment'!F7=0,0,'Finanical Statment'!F73/'Finanical Statment'!F56)</f>
        <v>0.2131173173</v>
      </c>
      <c r="F65" s="199">
        <f>IF('Finanical Statment'!G7=0,0,'Finanical Statment'!G73/'Finanical Statment'!G56)</f>
        <v>0.1861257193</v>
      </c>
      <c r="G65" s="199">
        <f>IF('Finanical Statment'!H7=0,0,'Finanical Statment'!H73/'Finanical Statment'!H56)</f>
        <v>0.1966880237</v>
      </c>
      <c r="H65" s="199">
        <f>IF('Finanical Statment'!I7=0,0,'Finanical Statment'!I73/'Finanical Statment'!I56)</f>
        <v>0.2011047623</v>
      </c>
      <c r="I65" s="199">
        <f>IF('Finanical Statment'!J7=0,0,'Finanical Statment'!J73/'Finanical Statment'!J56)</f>
        <v>0.172944666</v>
      </c>
      <c r="J65" s="199">
        <f>IF('Finanical Statment'!K7=0,0,'Finanical Statment'!K73/'Finanical Statment'!K56)</f>
        <v>0.1920289414</v>
      </c>
      <c r="K65" s="199">
        <f>IF('Finanical Statment'!L7=0,0,'Finanical Statment'!L73/'Finanical Statment'!L56)</f>
        <v>0.1846735723</v>
      </c>
      <c r="L65" s="44">
        <v>1.2</v>
      </c>
      <c r="M65" s="200">
        <f t="shared" ref="M65:M70" si="35">AVERAGE(C65:K65)</f>
        <v>0.2053302973</v>
      </c>
      <c r="N65" s="200">
        <f t="shared" ref="N65:N70" si="36">MEDIAN(C65:J65)</f>
        <v>0.1971209589</v>
      </c>
      <c r="O65" s="200">
        <f t="shared" ref="O65:O70" si="37">MAX(C65:K65)</f>
        <v>0.3037357792</v>
      </c>
      <c r="P65" s="200">
        <f t="shared" ref="P65:P70" si="38">MIN(C65:K65)</f>
        <v>0.172944666</v>
      </c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</row>
    <row r="66">
      <c r="A66" s="44" t="s">
        <v>200</v>
      </c>
      <c r="B66" s="199">
        <f>IF('Finanical Statment'!C7=0,0,'Finanical Statment'!C41/'Finanical Statment'!C56)</f>
        <v>0.1032769697</v>
      </c>
      <c r="C66" s="199">
        <f>IF('Finanical Statment'!D7=0,0,'Finanical Statment'!D41/'Finanical Statment'!D56)</f>
        <v>0.1034975024</v>
      </c>
      <c r="D66" s="199">
        <f>IF('Finanical Statment'!E7=0,0,'Finanical Statment'!E41/'Finanical Statment'!E56)</f>
        <v>0.05151347477</v>
      </c>
      <c r="E66" s="199">
        <f>IF('Finanical Statment'!F7=0,0,'Finanical Statment'!F41/'Finanical Statment'!F56)</f>
        <v>0.08421022313</v>
      </c>
      <c r="F66" s="199">
        <f>IF('Finanical Statment'!G7=0,0,'Finanical Statment'!G41/'Finanical Statment'!G56)</f>
        <v>0.08106162307</v>
      </c>
      <c r="G66" s="199">
        <f>IF('Finanical Statment'!H7=0,0,'Finanical Statment'!H41/'Finanical Statment'!H56)</f>
        <v>0.0806701623</v>
      </c>
      <c r="H66" s="199">
        <f>IF('Finanical Statment'!I7=0,0,'Finanical Statment'!I41/'Finanical Statment'!I56)</f>
        <v>0.04030746048</v>
      </c>
      <c r="I66" s="199">
        <f>IF('Finanical Statment'!J7=0,0,'Finanical Statment'!J41/'Finanical Statment'!J56)</f>
        <v>0.002046074363</v>
      </c>
      <c r="J66" s="199">
        <f>IF('Finanical Statment'!K7=0,0,'Finanical Statment'!K41/'Finanical Statment'!K56)</f>
        <v>0.01724609637</v>
      </c>
      <c r="K66" s="199">
        <f>IF('Finanical Statment'!L7=0,0,'Finanical Statment'!L41/'Finanical Statment'!L56)</f>
        <v>0.002485350275</v>
      </c>
      <c r="L66" s="44">
        <v>1.4</v>
      </c>
      <c r="M66" s="200">
        <f t="shared" si="35"/>
        <v>0.05144866302</v>
      </c>
      <c r="N66" s="200">
        <f t="shared" si="36"/>
        <v>0.06609181854</v>
      </c>
      <c r="O66" s="200">
        <f t="shared" si="37"/>
        <v>0.1034975024</v>
      </c>
      <c r="P66" s="200">
        <f t="shared" si="38"/>
        <v>0.002046074363</v>
      </c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</row>
    <row r="67">
      <c r="A67" s="44" t="s">
        <v>201</v>
      </c>
      <c r="B67" s="199">
        <f>IF('Finanical Statment'!C7=0,0,'Finanical Statment'!C23/'Finanical Statment'!C56)</f>
        <v>0.320225928</v>
      </c>
      <c r="C67" s="199">
        <f>IF('Finanical Statment'!D7=0,0,'Finanical Statment'!D23/'Finanical Statment'!D56)</f>
        <v>0.3145225628</v>
      </c>
      <c r="D67" s="199">
        <f>IF('Finanical Statment'!E7=0,0,'Finanical Statment'!E23/'Finanical Statment'!E56)</f>
        <v>0.2891928844</v>
      </c>
      <c r="E67" s="199">
        <f>IF('Finanical Statment'!F7=0,0,'Finanical Statment'!F23/'Finanical Statment'!F56)</f>
        <v>0.2875819882</v>
      </c>
      <c r="F67" s="199">
        <f>IF('Finanical Statment'!G7=0,0,'Finanical Statment'!G23/'Finanical Statment'!G56)</f>
        <v>0.2727876704</v>
      </c>
      <c r="G67" s="199">
        <f>IF('Finanical Statment'!H7=0,0,'Finanical Statment'!H23/'Finanical Statment'!H56)</f>
        <v>0.2679324953</v>
      </c>
      <c r="H67" s="199">
        <f>IF('Finanical Statment'!I7=0,0,'Finanical Statment'!I23/'Finanical Statment'!I56)</f>
        <v>0.2601960271</v>
      </c>
      <c r="I67" s="199">
        <f>IF('Finanical Statment'!J7=0,0,'Finanical Statment'!J23/'Finanical Statment'!J56)</f>
        <v>0.2439798614</v>
      </c>
      <c r="J67" s="199">
        <f>IF('Finanical Statment'!K7=0,0,'Finanical Statment'!K23/'Finanical Statment'!K56)</f>
        <v>0.2694499017</v>
      </c>
      <c r="K67" s="199">
        <f>IF('Finanical Statment'!L7=0,0,'Finanical Statment'!L23/'Finanical Statment'!L56)</f>
        <v>0.30283816</v>
      </c>
      <c r="L67" s="44">
        <v>3.3</v>
      </c>
      <c r="M67" s="200">
        <f t="shared" si="35"/>
        <v>0.2787201724</v>
      </c>
      <c r="N67" s="200">
        <f t="shared" si="36"/>
        <v>0.271118786</v>
      </c>
      <c r="O67" s="200">
        <f t="shared" si="37"/>
        <v>0.3145225628</v>
      </c>
      <c r="P67" s="200">
        <f t="shared" si="38"/>
        <v>0.2439798614</v>
      </c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</row>
    <row r="68">
      <c r="A68" s="44" t="s">
        <v>202</v>
      </c>
      <c r="B68" s="199">
        <f>IF('Finanical Statment'!C7=0,0,'Finanical Statment'!C100/'Finanical Statment'!C56)</f>
        <v>6.869904738</v>
      </c>
      <c r="C68" s="199">
        <f>IF('Finanical Statment'!D7=0,0,'Finanical Statment'!D100/'Finanical Statment'!D56)</f>
        <v>5.683776451</v>
      </c>
      <c r="D68" s="199">
        <f>IF('Finanical Statment'!E7=0,0,'Finanical Statment'!E100/'Finanical Statment'!E56)</f>
        <v>5.11400704</v>
      </c>
      <c r="E68" s="199">
        <f>IF('Finanical Statment'!F7=0,0,'Finanical Statment'!F100/'Finanical Statment'!F56)</f>
        <v>6.091267537</v>
      </c>
      <c r="F68" s="199">
        <f>IF('Finanical Statment'!G7=0,0,'Finanical Statment'!G100/'Finanical Statment'!G56)</f>
        <v>4.853916463</v>
      </c>
      <c r="G68" s="199">
        <f>IF('Finanical Statment'!H7=0,0,'Finanical Statment'!H100/'Finanical Statment'!H56)</f>
        <v>5.079338739</v>
      </c>
      <c r="H68" s="199">
        <f>IF('Finanical Statment'!I7=0,0,'Finanical Statment'!I100/'Finanical Statment'!I56)</f>
        <v>2.729983528</v>
      </c>
      <c r="I68" s="199">
        <f>IF('Finanical Statment'!J7=0,0,'Finanical Statment'!J100/'Finanical Statment'!J56)</f>
        <v>3.646210804</v>
      </c>
      <c r="J68" s="199">
        <f>IF('Finanical Statment'!K7=0,0,'Finanical Statment'!K100/'Finanical Statment'!K56)</f>
        <v>4.001288078</v>
      </c>
      <c r="K68" s="199">
        <f>IF('Finanical Statment'!L7=0,0,'Finanical Statment'!L100/'Finanical Statment'!L56)</f>
        <v>5.552935677</v>
      </c>
      <c r="L68" s="44">
        <v>0.6</v>
      </c>
      <c r="M68" s="200">
        <f t="shared" si="35"/>
        <v>4.750302702</v>
      </c>
      <c r="N68" s="200">
        <f t="shared" si="36"/>
        <v>4.966627601</v>
      </c>
      <c r="O68" s="200">
        <f t="shared" si="37"/>
        <v>6.091267537</v>
      </c>
      <c r="P68" s="200">
        <f t="shared" si="38"/>
        <v>2.729983528</v>
      </c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</row>
    <row r="69">
      <c r="A69" s="44" t="s">
        <v>203</v>
      </c>
      <c r="B69" s="199">
        <f>IF('Finanical Statment'!C7=0,0,'Finanical Statment'!C7/'Finanical Statment'!C56)</f>
        <v>0.8643281342</v>
      </c>
      <c r="C69" s="199">
        <f>IF('Finanical Statment'!D7=0,0,'Finanical Statment'!D7/'Finanical Statment'!D56)</f>
        <v>0.8447285028</v>
      </c>
      <c r="D69" s="199">
        <f>IF('Finanical Statment'!E7=0,0,'Finanical Statment'!E7/'Finanical Statment'!E56)</f>
        <v>0.7587818632</v>
      </c>
      <c r="E69" s="199">
        <f>IF('Finanical Statment'!F7=0,0,'Finanical Statment'!F7/'Finanical Statment'!F56)</f>
        <v>0.7650963392</v>
      </c>
      <c r="F69" s="199">
        <f>IF('Finanical Statment'!G7=0,0,'Finanical Statment'!G7/'Finanical Statment'!G56)</f>
        <v>0.6763440974</v>
      </c>
      <c r="G69" s="199">
        <f>IF('Finanical Statment'!H7=0,0,'Finanical Statment'!H7/'Finanical Statment'!H56)</f>
        <v>0.6738252979</v>
      </c>
      <c r="H69" s="199">
        <f>IF('Finanical Statment'!I7=0,0,'Finanical Statment'!I7/'Finanical Statment'!I56)</f>
        <v>0.6388206039</v>
      </c>
      <c r="I69" s="199">
        <f>IF('Finanical Statment'!J7=0,0,'Finanical Statment'!J7/'Finanical Statment'!J56)</f>
        <v>0.6678001962</v>
      </c>
      <c r="J69" s="199">
        <f>IF('Finanical Statment'!K7=0,0,'Finanical Statment'!K7/'Finanical Statment'!K56)</f>
        <v>0.785591537</v>
      </c>
      <c r="K69" s="199">
        <f>IF('Finanical Statment'!L7=0,0,'Finanical Statment'!L7/'Finanical Statment'!L56)</f>
        <v>0.8262639728</v>
      </c>
      <c r="L69" s="44">
        <v>1.0</v>
      </c>
      <c r="M69" s="200">
        <f t="shared" si="35"/>
        <v>0.73747249</v>
      </c>
      <c r="N69" s="200">
        <f t="shared" si="36"/>
        <v>0.7175629803</v>
      </c>
      <c r="O69" s="200">
        <f t="shared" si="37"/>
        <v>0.8447285028</v>
      </c>
      <c r="P69" s="200">
        <f t="shared" si="38"/>
        <v>0.6388206039</v>
      </c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</row>
    <row r="70">
      <c r="A70" s="44" t="s">
        <v>204</v>
      </c>
      <c r="B70" s="199">
        <f t="shared" ref="B70:K70" si="39">B65*$L$65+B66*$L$66+B67*$L$67+B68*$L$68+B69*$L$69</f>
        <v>6.371582474</v>
      </c>
      <c r="C70" s="199">
        <f t="shared" si="39"/>
        <v>5.674880007</v>
      </c>
      <c r="D70" s="199">
        <f t="shared" si="39"/>
        <v>5.218124406</v>
      </c>
      <c r="E70" s="199">
        <f t="shared" si="39"/>
        <v>5.742512516</v>
      </c>
      <c r="F70" s="199">
        <f t="shared" si="39"/>
        <v>4.825730423</v>
      </c>
      <c r="G70" s="199">
        <f t="shared" si="39"/>
        <v>4.954569632</v>
      </c>
      <c r="H70" s="199">
        <f t="shared" si="39"/>
        <v>3.433213769</v>
      </c>
      <c r="I70" s="199">
        <f t="shared" si="39"/>
        <v>3.871058324</v>
      </c>
      <c r="J70" s="199">
        <f t="shared" si="39"/>
        <v>4.330128324</v>
      </c>
      <c r="K70" s="199">
        <f t="shared" si="39"/>
        <v>5.382479084</v>
      </c>
      <c r="L70" s="199"/>
      <c r="M70" s="200">
        <f t="shared" si="35"/>
        <v>4.825855165</v>
      </c>
      <c r="N70" s="200">
        <f t="shared" si="36"/>
        <v>4.890150027</v>
      </c>
      <c r="O70" s="200">
        <f t="shared" si="37"/>
        <v>5.742512516</v>
      </c>
      <c r="P70" s="200">
        <f t="shared" si="38"/>
        <v>3.433213769</v>
      </c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</row>
    <row r="7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</row>
    <row r="7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</row>
    <row r="73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</row>
    <row r="74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</row>
    <row r="7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</row>
    <row r="76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</row>
    <row r="77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</row>
    <row r="78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</row>
    <row r="79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</row>
    <row r="80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</row>
    <row r="8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</row>
    <row r="8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</row>
    <row r="8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</row>
    <row r="86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</row>
    <row r="87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</row>
    <row r="88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</row>
    <row r="89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</row>
    <row r="90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</row>
    <row r="94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</row>
    <row r="9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</row>
    <row r="96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</row>
    <row r="97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</row>
    <row r="98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</row>
    <row r="99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44"/>
      <c r="DC359" s="44"/>
      <c r="DD359" s="44"/>
      <c r="DE359" s="44"/>
      <c r="DF359" s="44"/>
      <c r="DG359" s="44"/>
      <c r="DH359" s="44"/>
      <c r="DI359" s="44"/>
      <c r="DJ359" s="44"/>
      <c r="DK359" s="44"/>
      <c r="DL359" s="44"/>
      <c r="DM359" s="44"/>
      <c r="DN359" s="44"/>
      <c r="DO359" s="44"/>
      <c r="DP359" s="44"/>
      <c r="DQ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44"/>
      <c r="DC360" s="44"/>
      <c r="DD360" s="44"/>
      <c r="DE360" s="44"/>
      <c r="DF360" s="44"/>
      <c r="DG360" s="44"/>
      <c r="DH360" s="44"/>
      <c r="DI360" s="44"/>
      <c r="DJ360" s="44"/>
      <c r="DK360" s="44"/>
      <c r="DL360" s="44"/>
      <c r="DM360" s="44"/>
      <c r="DN360" s="44"/>
      <c r="DO360" s="44"/>
      <c r="DP360" s="44"/>
      <c r="DQ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44"/>
      <c r="DC361" s="44"/>
      <c r="DD361" s="44"/>
      <c r="DE361" s="44"/>
      <c r="DF361" s="44"/>
      <c r="DG361" s="44"/>
      <c r="DH361" s="44"/>
      <c r="DI361" s="44"/>
      <c r="DJ361" s="44"/>
      <c r="DK361" s="44"/>
      <c r="DL361" s="44"/>
      <c r="DM361" s="44"/>
      <c r="DN361" s="44"/>
      <c r="DO361" s="44"/>
      <c r="DP361" s="44"/>
      <c r="DQ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44"/>
      <c r="DC362" s="44"/>
      <c r="DD362" s="44"/>
      <c r="DE362" s="44"/>
      <c r="DF362" s="44"/>
      <c r="DG362" s="44"/>
      <c r="DH362" s="44"/>
      <c r="DI362" s="44"/>
      <c r="DJ362" s="44"/>
      <c r="DK362" s="44"/>
      <c r="DL362" s="44"/>
      <c r="DM362" s="44"/>
      <c r="DN362" s="44"/>
      <c r="DO362" s="44"/>
      <c r="DP362" s="44"/>
      <c r="DQ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44"/>
      <c r="DC363" s="44"/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44"/>
      <c r="DP363" s="44"/>
      <c r="DQ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44"/>
      <c r="DC364" s="44"/>
      <c r="DD364" s="44"/>
      <c r="DE364" s="44"/>
      <c r="DF364" s="44"/>
      <c r="DG364" s="44"/>
      <c r="DH364" s="44"/>
      <c r="DI364" s="44"/>
      <c r="DJ364" s="44"/>
      <c r="DK364" s="44"/>
      <c r="DL364" s="44"/>
      <c r="DM364" s="44"/>
      <c r="DN364" s="44"/>
      <c r="DO364" s="44"/>
      <c r="DP364" s="44"/>
      <c r="DQ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44"/>
      <c r="DC365" s="44"/>
      <c r="DD365" s="44"/>
      <c r="DE365" s="44"/>
      <c r="DF365" s="44"/>
      <c r="DG365" s="44"/>
      <c r="DH365" s="44"/>
      <c r="DI365" s="44"/>
      <c r="DJ365" s="44"/>
      <c r="DK365" s="44"/>
      <c r="DL365" s="44"/>
      <c r="DM365" s="44"/>
      <c r="DN365" s="44"/>
      <c r="DO365" s="44"/>
      <c r="DP365" s="44"/>
      <c r="DQ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44"/>
      <c r="DC366" s="44"/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44"/>
      <c r="DP366" s="44"/>
      <c r="DQ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H368" s="44"/>
      <c r="DI368" s="44"/>
      <c r="DJ368" s="44"/>
      <c r="DK368" s="44"/>
      <c r="DL368" s="44"/>
      <c r="DM368" s="44"/>
      <c r="DN368" s="44"/>
      <c r="DO368" s="44"/>
      <c r="DP368" s="44"/>
      <c r="DQ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H369" s="44"/>
      <c r="DI369" s="44"/>
      <c r="DJ369" s="44"/>
      <c r="DK369" s="44"/>
      <c r="DL369" s="44"/>
      <c r="DM369" s="44"/>
      <c r="DN369" s="44"/>
      <c r="DO369" s="44"/>
      <c r="DP369" s="44"/>
      <c r="DQ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44"/>
      <c r="DP370" s="44"/>
      <c r="DQ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44"/>
      <c r="DP371" s="44"/>
      <c r="DQ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H372" s="44"/>
      <c r="DI372" s="44"/>
      <c r="DJ372" s="44"/>
      <c r="DK372" s="44"/>
      <c r="DL372" s="44"/>
      <c r="DM372" s="44"/>
      <c r="DN372" s="44"/>
      <c r="DO372" s="44"/>
      <c r="DP372" s="44"/>
      <c r="DQ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H374" s="44"/>
      <c r="DI374" s="44"/>
      <c r="DJ374" s="44"/>
      <c r="DK374" s="44"/>
      <c r="DL374" s="44"/>
      <c r="DM374" s="44"/>
      <c r="DN374" s="44"/>
      <c r="DO374" s="44"/>
      <c r="DP374" s="44"/>
      <c r="DQ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44"/>
      <c r="DC379" s="44"/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44"/>
      <c r="DP379" s="44"/>
      <c r="DQ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44"/>
      <c r="DC380" s="44"/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44"/>
      <c r="DP380" s="44"/>
      <c r="DQ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44"/>
      <c r="DC381" s="44"/>
      <c r="DD381" s="44"/>
      <c r="DE381" s="44"/>
      <c r="DF381" s="44"/>
      <c r="DG381" s="44"/>
      <c r="DH381" s="44"/>
      <c r="DI381" s="44"/>
      <c r="DJ381" s="44"/>
      <c r="DK381" s="44"/>
      <c r="DL381" s="44"/>
      <c r="DM381" s="44"/>
      <c r="DN381" s="44"/>
      <c r="DO381" s="44"/>
      <c r="DP381" s="44"/>
      <c r="DQ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44"/>
      <c r="DC382" s="44"/>
      <c r="DD382" s="44"/>
      <c r="DE382" s="44"/>
      <c r="DF382" s="44"/>
      <c r="DG382" s="44"/>
      <c r="DH382" s="44"/>
      <c r="DI382" s="44"/>
      <c r="DJ382" s="44"/>
      <c r="DK382" s="44"/>
      <c r="DL382" s="44"/>
      <c r="DM382" s="44"/>
      <c r="DN382" s="44"/>
      <c r="DO382" s="44"/>
      <c r="DP382" s="44"/>
      <c r="DQ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  <c r="DM389" s="44"/>
      <c r="DN389" s="44"/>
      <c r="DO389" s="44"/>
      <c r="DP389" s="44"/>
      <c r="DQ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44"/>
      <c r="DC390" s="44"/>
      <c r="DD390" s="44"/>
      <c r="DE390" s="44"/>
      <c r="DF390" s="44"/>
      <c r="DG390" s="44"/>
      <c r="DH390" s="44"/>
      <c r="DI390" s="44"/>
      <c r="DJ390" s="44"/>
      <c r="DK390" s="44"/>
      <c r="DL390" s="44"/>
      <c r="DM390" s="44"/>
      <c r="DN390" s="44"/>
      <c r="DO390" s="44"/>
      <c r="DP390" s="44"/>
      <c r="DQ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44"/>
      <c r="DC391" s="44"/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44"/>
      <c r="DP391" s="44"/>
      <c r="DQ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44"/>
      <c r="DC392" s="44"/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44"/>
      <c r="DP392" s="44"/>
      <c r="DQ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44"/>
      <c r="DC396" s="44"/>
      <c r="DD396" s="44"/>
      <c r="DE396" s="44"/>
      <c r="DF396" s="44"/>
      <c r="DG396" s="44"/>
      <c r="DH396" s="44"/>
      <c r="DI396" s="44"/>
      <c r="DJ396" s="44"/>
      <c r="DK396" s="44"/>
      <c r="DL396" s="44"/>
      <c r="DM396" s="44"/>
      <c r="DN396" s="44"/>
      <c r="DO396" s="44"/>
      <c r="DP396" s="44"/>
      <c r="DQ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44"/>
      <c r="DC398" s="44"/>
      <c r="DD398" s="44"/>
      <c r="DE398" s="44"/>
      <c r="DF398" s="44"/>
      <c r="DG398" s="44"/>
      <c r="DH398" s="44"/>
      <c r="DI398" s="44"/>
      <c r="DJ398" s="44"/>
      <c r="DK398" s="44"/>
      <c r="DL398" s="44"/>
      <c r="DM398" s="44"/>
      <c r="DN398" s="44"/>
      <c r="DO398" s="44"/>
      <c r="DP398" s="44"/>
      <c r="DQ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44"/>
      <c r="DC399" s="44"/>
      <c r="DD399" s="44"/>
      <c r="DE399" s="44"/>
      <c r="DF399" s="44"/>
      <c r="DG399" s="44"/>
      <c r="DH399" s="44"/>
      <c r="DI399" s="44"/>
      <c r="DJ399" s="44"/>
      <c r="DK399" s="44"/>
      <c r="DL399" s="44"/>
      <c r="DM399" s="44"/>
      <c r="DN399" s="44"/>
      <c r="DO399" s="44"/>
      <c r="DP399" s="44"/>
      <c r="DQ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44"/>
      <c r="DC401" s="44"/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44"/>
      <c r="DP401" s="44"/>
      <c r="DQ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44"/>
      <c r="DC403" s="44"/>
      <c r="DD403" s="44"/>
      <c r="DE403" s="44"/>
      <c r="DF403" s="44"/>
      <c r="DG403" s="44"/>
      <c r="DH403" s="44"/>
      <c r="DI403" s="44"/>
      <c r="DJ403" s="44"/>
      <c r="DK403" s="44"/>
      <c r="DL403" s="44"/>
      <c r="DM403" s="44"/>
      <c r="DN403" s="44"/>
      <c r="DO403" s="44"/>
      <c r="DP403" s="44"/>
      <c r="DQ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44"/>
      <c r="DC406" s="44"/>
      <c r="DD406" s="44"/>
      <c r="DE406" s="44"/>
      <c r="DF406" s="44"/>
      <c r="DG406" s="44"/>
      <c r="DH406" s="44"/>
      <c r="DI406" s="44"/>
      <c r="DJ406" s="44"/>
      <c r="DK406" s="44"/>
      <c r="DL406" s="44"/>
      <c r="DM406" s="44"/>
      <c r="DN406" s="44"/>
      <c r="DO406" s="44"/>
      <c r="DP406" s="44"/>
      <c r="DQ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44"/>
      <c r="DC408" s="44"/>
      <c r="DD408" s="44"/>
      <c r="DE408" s="44"/>
      <c r="DF408" s="44"/>
      <c r="DG408" s="44"/>
      <c r="DH408" s="44"/>
      <c r="DI408" s="44"/>
      <c r="DJ408" s="44"/>
      <c r="DK408" s="44"/>
      <c r="DL408" s="44"/>
      <c r="DM408" s="44"/>
      <c r="DN408" s="44"/>
      <c r="DO408" s="44"/>
      <c r="DP408" s="44"/>
      <c r="DQ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44"/>
      <c r="DC409" s="44"/>
      <c r="DD409" s="44"/>
      <c r="DE409" s="44"/>
      <c r="DF409" s="44"/>
      <c r="DG409" s="44"/>
      <c r="DH409" s="44"/>
      <c r="DI409" s="44"/>
      <c r="DJ409" s="44"/>
      <c r="DK409" s="44"/>
      <c r="DL409" s="44"/>
      <c r="DM409" s="44"/>
      <c r="DN409" s="44"/>
      <c r="DO409" s="44"/>
      <c r="DP409" s="44"/>
      <c r="DQ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44"/>
      <c r="DC410" s="44"/>
      <c r="DD410" s="44"/>
      <c r="DE410" s="44"/>
      <c r="DF410" s="44"/>
      <c r="DG410" s="44"/>
      <c r="DH410" s="44"/>
      <c r="DI410" s="44"/>
      <c r="DJ410" s="44"/>
      <c r="DK410" s="44"/>
      <c r="DL410" s="44"/>
      <c r="DM410" s="44"/>
      <c r="DN410" s="44"/>
      <c r="DO410" s="44"/>
      <c r="DP410" s="44"/>
      <c r="DQ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44"/>
      <c r="DC411" s="44"/>
      <c r="DD411" s="44"/>
      <c r="DE411" s="44"/>
      <c r="DF411" s="44"/>
      <c r="DG411" s="44"/>
      <c r="DH411" s="44"/>
      <c r="DI411" s="44"/>
      <c r="DJ411" s="44"/>
      <c r="DK411" s="44"/>
      <c r="DL411" s="44"/>
      <c r="DM411" s="44"/>
      <c r="DN411" s="44"/>
      <c r="DO411" s="44"/>
      <c r="DP411" s="44"/>
      <c r="DQ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44"/>
      <c r="DC412" s="44"/>
      <c r="DD412" s="44"/>
      <c r="DE412" s="44"/>
      <c r="DF412" s="44"/>
      <c r="DG412" s="44"/>
      <c r="DH412" s="44"/>
      <c r="DI412" s="44"/>
      <c r="DJ412" s="44"/>
      <c r="DK412" s="44"/>
      <c r="DL412" s="44"/>
      <c r="DM412" s="44"/>
      <c r="DN412" s="44"/>
      <c r="DO412" s="44"/>
      <c r="DP412" s="44"/>
      <c r="DQ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44"/>
      <c r="DC413" s="44"/>
      <c r="DD413" s="44"/>
      <c r="DE413" s="44"/>
      <c r="DF413" s="44"/>
      <c r="DG413" s="44"/>
      <c r="DH413" s="44"/>
      <c r="DI413" s="44"/>
      <c r="DJ413" s="44"/>
      <c r="DK413" s="44"/>
      <c r="DL413" s="44"/>
      <c r="DM413" s="44"/>
      <c r="DN413" s="44"/>
      <c r="DO413" s="44"/>
      <c r="DP413" s="44"/>
      <c r="DQ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44"/>
      <c r="DC414" s="44"/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44"/>
      <c r="DP414" s="44"/>
      <c r="DQ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44"/>
      <c r="DC415" s="44"/>
      <c r="DD415" s="44"/>
      <c r="DE415" s="44"/>
      <c r="DF415" s="44"/>
      <c r="DG415" s="44"/>
      <c r="DH415" s="44"/>
      <c r="DI415" s="44"/>
      <c r="DJ415" s="44"/>
      <c r="DK415" s="44"/>
      <c r="DL415" s="44"/>
      <c r="DM415" s="44"/>
      <c r="DN415" s="44"/>
      <c r="DO415" s="44"/>
      <c r="DP415" s="44"/>
      <c r="DQ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44"/>
      <c r="DC416" s="44"/>
      <c r="DD416" s="44"/>
      <c r="DE416" s="44"/>
      <c r="DF416" s="44"/>
      <c r="DG416" s="44"/>
      <c r="DH416" s="44"/>
      <c r="DI416" s="44"/>
      <c r="DJ416" s="44"/>
      <c r="DK416" s="44"/>
      <c r="DL416" s="44"/>
      <c r="DM416" s="44"/>
      <c r="DN416" s="44"/>
      <c r="DO416" s="44"/>
      <c r="DP416" s="44"/>
      <c r="DQ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44"/>
      <c r="DC417" s="44"/>
      <c r="DD417" s="44"/>
      <c r="DE417" s="44"/>
      <c r="DF417" s="44"/>
      <c r="DG417" s="44"/>
      <c r="DH417" s="44"/>
      <c r="DI417" s="44"/>
      <c r="DJ417" s="44"/>
      <c r="DK417" s="44"/>
      <c r="DL417" s="44"/>
      <c r="DM417" s="44"/>
      <c r="DN417" s="44"/>
      <c r="DO417" s="44"/>
      <c r="DP417" s="44"/>
      <c r="DQ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44"/>
      <c r="DC419" s="44"/>
      <c r="DD419" s="44"/>
      <c r="DE419" s="44"/>
      <c r="DF419" s="44"/>
      <c r="DG419" s="44"/>
      <c r="DH419" s="44"/>
      <c r="DI419" s="44"/>
      <c r="DJ419" s="44"/>
      <c r="DK419" s="44"/>
      <c r="DL419" s="44"/>
      <c r="DM419" s="44"/>
      <c r="DN419" s="44"/>
      <c r="DO419" s="44"/>
      <c r="DP419" s="44"/>
      <c r="DQ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44"/>
      <c r="DC423" s="44"/>
      <c r="DD423" s="44"/>
      <c r="DE423" s="44"/>
      <c r="DF423" s="44"/>
      <c r="DG423" s="44"/>
      <c r="DH423" s="44"/>
      <c r="DI423" s="44"/>
      <c r="DJ423" s="44"/>
      <c r="DK423" s="44"/>
      <c r="DL423" s="44"/>
      <c r="DM423" s="44"/>
      <c r="DN423" s="44"/>
      <c r="DO423" s="44"/>
      <c r="DP423" s="44"/>
      <c r="DQ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44"/>
      <c r="DC424" s="44"/>
      <c r="DD424" s="44"/>
      <c r="DE424" s="44"/>
      <c r="DF424" s="44"/>
      <c r="DG424" s="44"/>
      <c r="DH424" s="44"/>
      <c r="DI424" s="44"/>
      <c r="DJ424" s="44"/>
      <c r="DK424" s="44"/>
      <c r="DL424" s="44"/>
      <c r="DM424" s="44"/>
      <c r="DN424" s="44"/>
      <c r="DO424" s="44"/>
      <c r="DP424" s="44"/>
      <c r="DQ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44"/>
      <c r="DC426" s="44"/>
      <c r="DD426" s="44"/>
      <c r="DE426" s="44"/>
      <c r="DF426" s="44"/>
      <c r="DG426" s="44"/>
      <c r="DH426" s="44"/>
      <c r="DI426" s="44"/>
      <c r="DJ426" s="44"/>
      <c r="DK426" s="44"/>
      <c r="DL426" s="44"/>
      <c r="DM426" s="44"/>
      <c r="DN426" s="44"/>
      <c r="DO426" s="44"/>
      <c r="DP426" s="44"/>
      <c r="DQ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44"/>
      <c r="DC427" s="44"/>
      <c r="DD427" s="44"/>
      <c r="DE427" s="44"/>
      <c r="DF427" s="44"/>
      <c r="DG427" s="44"/>
      <c r="DH427" s="44"/>
      <c r="DI427" s="44"/>
      <c r="DJ427" s="44"/>
      <c r="DK427" s="44"/>
      <c r="DL427" s="44"/>
      <c r="DM427" s="44"/>
      <c r="DN427" s="44"/>
      <c r="DO427" s="44"/>
      <c r="DP427" s="44"/>
      <c r="DQ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44"/>
      <c r="DC428" s="44"/>
      <c r="DD428" s="44"/>
      <c r="DE428" s="44"/>
      <c r="DF428" s="44"/>
      <c r="DG428" s="44"/>
      <c r="DH428" s="44"/>
      <c r="DI428" s="44"/>
      <c r="DJ428" s="44"/>
      <c r="DK428" s="44"/>
      <c r="DL428" s="44"/>
      <c r="DM428" s="44"/>
      <c r="DN428" s="44"/>
      <c r="DO428" s="44"/>
      <c r="DP428" s="44"/>
      <c r="DQ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44"/>
      <c r="DC446" s="44"/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/>
      <c r="DO446" s="44"/>
      <c r="DP446" s="44"/>
      <c r="DQ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44"/>
      <c r="DC449" s="44"/>
      <c r="DD449" s="44"/>
      <c r="DE449" s="44"/>
      <c r="DF449" s="44"/>
      <c r="DG449" s="44"/>
      <c r="DH449" s="44"/>
      <c r="DI449" s="44"/>
      <c r="DJ449" s="44"/>
      <c r="DK449" s="44"/>
      <c r="DL449" s="44"/>
      <c r="DM449" s="44"/>
      <c r="DN449" s="44"/>
      <c r="DO449" s="44"/>
      <c r="DP449" s="44"/>
      <c r="DQ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44"/>
      <c r="DC450" s="44"/>
      <c r="DD450" s="44"/>
      <c r="DE450" s="44"/>
      <c r="DF450" s="44"/>
      <c r="DG450" s="44"/>
      <c r="DH450" s="44"/>
      <c r="DI450" s="44"/>
      <c r="DJ450" s="44"/>
      <c r="DK450" s="44"/>
      <c r="DL450" s="44"/>
      <c r="DM450" s="44"/>
      <c r="DN450" s="44"/>
      <c r="DO450" s="44"/>
      <c r="DP450" s="44"/>
      <c r="DQ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  <c r="DM453" s="44"/>
      <c r="DN453" s="44"/>
      <c r="DO453" s="44"/>
      <c r="DP453" s="44"/>
      <c r="DQ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44"/>
      <c r="DC455" s="44"/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44"/>
      <c r="DP455" s="44"/>
      <c r="DQ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44"/>
      <c r="DC456" s="44"/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44"/>
      <c r="DP456" s="44"/>
      <c r="DQ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44"/>
      <c r="DC458" s="44"/>
      <c r="DD458" s="44"/>
      <c r="DE458" s="44"/>
      <c r="DF458" s="44"/>
      <c r="DG458" s="44"/>
      <c r="DH458" s="44"/>
      <c r="DI458" s="44"/>
      <c r="DJ458" s="44"/>
      <c r="DK458" s="44"/>
      <c r="DL458" s="44"/>
      <c r="DM458" s="44"/>
      <c r="DN458" s="44"/>
      <c r="DO458" s="44"/>
      <c r="DP458" s="44"/>
      <c r="DQ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44"/>
      <c r="DC459" s="44"/>
      <c r="DD459" s="44"/>
      <c r="DE459" s="44"/>
      <c r="DF459" s="44"/>
      <c r="DG459" s="44"/>
      <c r="DH459" s="44"/>
      <c r="DI459" s="44"/>
      <c r="DJ459" s="44"/>
      <c r="DK459" s="44"/>
      <c r="DL459" s="44"/>
      <c r="DM459" s="44"/>
      <c r="DN459" s="44"/>
      <c r="DO459" s="44"/>
      <c r="DP459" s="44"/>
      <c r="DQ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44"/>
      <c r="DC460" s="44"/>
      <c r="DD460" s="44"/>
      <c r="DE460" s="44"/>
      <c r="DF460" s="44"/>
      <c r="DG460" s="44"/>
      <c r="DH460" s="44"/>
      <c r="DI460" s="44"/>
      <c r="DJ460" s="44"/>
      <c r="DK460" s="44"/>
      <c r="DL460" s="44"/>
      <c r="DM460" s="44"/>
      <c r="DN460" s="44"/>
      <c r="DO460" s="44"/>
      <c r="DP460" s="44"/>
      <c r="DQ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44"/>
      <c r="DC462" s="44"/>
      <c r="DD462" s="44"/>
      <c r="DE462" s="44"/>
      <c r="DF462" s="44"/>
      <c r="DG462" s="44"/>
      <c r="DH462" s="44"/>
      <c r="DI462" s="44"/>
      <c r="DJ462" s="44"/>
      <c r="DK462" s="44"/>
      <c r="DL462" s="44"/>
      <c r="DM462" s="44"/>
      <c r="DN462" s="44"/>
      <c r="DO462" s="44"/>
      <c r="DP462" s="44"/>
      <c r="DQ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44"/>
      <c r="DC464" s="44"/>
      <c r="DD464" s="44"/>
      <c r="DE464" s="44"/>
      <c r="DF464" s="44"/>
      <c r="DG464" s="44"/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44"/>
      <c r="DC465" s="44"/>
      <c r="DD465" s="44"/>
      <c r="DE465" s="44"/>
      <c r="DF465" s="44"/>
      <c r="DG465" s="44"/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4"/>
      <c r="DF466" s="44"/>
      <c r="DG466" s="44"/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44"/>
      <c r="DC467" s="44"/>
      <c r="DD467" s="44"/>
      <c r="DE467" s="44"/>
      <c r="DF467" s="44"/>
      <c r="DG467" s="44"/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44"/>
      <c r="DC468" s="44"/>
      <c r="DD468" s="44"/>
      <c r="DE468" s="44"/>
      <c r="DF468" s="44"/>
      <c r="DG468" s="44"/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44"/>
      <c r="DC469" s="44"/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44"/>
      <c r="DC471" s="44"/>
      <c r="DD471" s="44"/>
      <c r="DE471" s="44"/>
      <c r="DF471" s="44"/>
      <c r="DG471" s="44"/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44"/>
      <c r="DC472" s="44"/>
      <c r="DD472" s="44"/>
      <c r="DE472" s="44"/>
      <c r="DF472" s="44"/>
      <c r="DG472" s="44"/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44"/>
      <c r="DC479" s="44"/>
      <c r="DD479" s="44"/>
      <c r="DE479" s="44"/>
      <c r="DF479" s="44"/>
      <c r="DG479" s="44"/>
      <c r="DH479" s="44"/>
      <c r="DI479" s="44"/>
      <c r="DJ479" s="44"/>
      <c r="DK479" s="44"/>
      <c r="DL479" s="44"/>
      <c r="DM479" s="44"/>
      <c r="DN479" s="44"/>
      <c r="DO479" s="44"/>
      <c r="DP479" s="44"/>
      <c r="DQ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44"/>
      <c r="DC480" s="44"/>
      <c r="DD480" s="44"/>
      <c r="DE480" s="44"/>
      <c r="DF480" s="44"/>
      <c r="DG480" s="44"/>
      <c r="DH480" s="44"/>
      <c r="DI480" s="44"/>
      <c r="DJ480" s="44"/>
      <c r="DK480" s="44"/>
      <c r="DL480" s="44"/>
      <c r="DM480" s="44"/>
      <c r="DN480" s="44"/>
      <c r="DO480" s="44"/>
      <c r="DP480" s="44"/>
      <c r="DQ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44"/>
      <c r="DC481" s="44"/>
      <c r="DD481" s="44"/>
      <c r="DE481" s="44"/>
      <c r="DF481" s="44"/>
      <c r="DG481" s="44"/>
      <c r="DH481" s="44"/>
      <c r="DI481" s="44"/>
      <c r="DJ481" s="44"/>
      <c r="DK481" s="44"/>
      <c r="DL481" s="44"/>
      <c r="DM481" s="44"/>
      <c r="DN481" s="44"/>
      <c r="DO481" s="44"/>
      <c r="DP481" s="44"/>
      <c r="DQ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44"/>
      <c r="DC482" s="44"/>
      <c r="DD482" s="44"/>
      <c r="DE482" s="44"/>
      <c r="DF482" s="44"/>
      <c r="DG482" s="44"/>
      <c r="DH482" s="44"/>
      <c r="DI482" s="44"/>
      <c r="DJ482" s="44"/>
      <c r="DK482" s="44"/>
      <c r="DL482" s="44"/>
      <c r="DM482" s="44"/>
      <c r="DN482" s="44"/>
      <c r="DO482" s="44"/>
      <c r="DP482" s="44"/>
      <c r="DQ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44"/>
      <c r="DC483" s="44"/>
      <c r="DD483" s="44"/>
      <c r="DE483" s="44"/>
      <c r="DF483" s="44"/>
      <c r="DG483" s="44"/>
      <c r="DH483" s="44"/>
      <c r="DI483" s="44"/>
      <c r="DJ483" s="44"/>
      <c r="DK483" s="44"/>
      <c r="DL483" s="44"/>
      <c r="DM483" s="44"/>
      <c r="DN483" s="44"/>
      <c r="DO483" s="44"/>
      <c r="DP483" s="44"/>
      <c r="DQ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44"/>
      <c r="DC484" s="44"/>
      <c r="DD484" s="44"/>
      <c r="DE484" s="44"/>
      <c r="DF484" s="44"/>
      <c r="DG484" s="44"/>
      <c r="DH484" s="44"/>
      <c r="DI484" s="44"/>
      <c r="DJ484" s="44"/>
      <c r="DK484" s="44"/>
      <c r="DL484" s="44"/>
      <c r="DM484" s="44"/>
      <c r="DN484" s="44"/>
      <c r="DO484" s="44"/>
      <c r="DP484" s="44"/>
      <c r="DQ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44"/>
      <c r="DC485" s="44"/>
      <c r="DD485" s="44"/>
      <c r="DE485" s="44"/>
      <c r="DF485" s="44"/>
      <c r="DG485" s="44"/>
      <c r="DH485" s="44"/>
      <c r="DI485" s="44"/>
      <c r="DJ485" s="44"/>
      <c r="DK485" s="44"/>
      <c r="DL485" s="44"/>
      <c r="DM485" s="44"/>
      <c r="DN485" s="44"/>
      <c r="DO485" s="44"/>
      <c r="DP485" s="44"/>
      <c r="DQ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44"/>
      <c r="DC486" s="44"/>
      <c r="DD486" s="44"/>
      <c r="DE486" s="44"/>
      <c r="DF486" s="44"/>
      <c r="DG486" s="44"/>
      <c r="DH486" s="44"/>
      <c r="DI486" s="44"/>
      <c r="DJ486" s="44"/>
      <c r="DK486" s="44"/>
      <c r="DL486" s="44"/>
      <c r="DM486" s="44"/>
      <c r="DN486" s="44"/>
      <c r="DO486" s="44"/>
      <c r="DP486" s="44"/>
      <c r="DQ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44"/>
      <c r="DC487" s="44"/>
      <c r="DD487" s="44"/>
      <c r="DE487" s="44"/>
      <c r="DF487" s="44"/>
      <c r="DG487" s="44"/>
      <c r="DH487" s="44"/>
      <c r="DI487" s="44"/>
      <c r="DJ487" s="44"/>
      <c r="DK487" s="44"/>
      <c r="DL487" s="44"/>
      <c r="DM487" s="44"/>
      <c r="DN487" s="44"/>
      <c r="DO487" s="44"/>
      <c r="DP487" s="44"/>
      <c r="DQ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44"/>
      <c r="DC488" s="44"/>
      <c r="DD488" s="44"/>
      <c r="DE488" s="44"/>
      <c r="DF488" s="44"/>
      <c r="DG488" s="44"/>
      <c r="DH488" s="44"/>
      <c r="DI488" s="44"/>
      <c r="DJ488" s="44"/>
      <c r="DK488" s="44"/>
      <c r="DL488" s="44"/>
      <c r="DM488" s="44"/>
      <c r="DN488" s="44"/>
      <c r="DO488" s="44"/>
      <c r="DP488" s="44"/>
      <c r="DQ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44"/>
      <c r="DC489" s="44"/>
      <c r="DD489" s="44"/>
      <c r="DE489" s="44"/>
      <c r="DF489" s="44"/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44"/>
      <c r="DC490" s="44"/>
      <c r="DD490" s="44"/>
      <c r="DE490" s="44"/>
      <c r="DF490" s="44"/>
      <c r="DG490" s="44"/>
      <c r="DH490" s="44"/>
      <c r="DI490" s="44"/>
      <c r="DJ490" s="44"/>
      <c r="DK490" s="44"/>
      <c r="DL490" s="44"/>
      <c r="DM490" s="44"/>
      <c r="DN490" s="44"/>
      <c r="DO490" s="44"/>
      <c r="DP490" s="44"/>
      <c r="DQ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44"/>
      <c r="DC491" s="44"/>
      <c r="DD491" s="44"/>
      <c r="DE491" s="44"/>
      <c r="DF491" s="44"/>
      <c r="DG491" s="44"/>
      <c r="DH491" s="44"/>
      <c r="DI491" s="44"/>
      <c r="DJ491" s="44"/>
      <c r="DK491" s="44"/>
      <c r="DL491" s="44"/>
      <c r="DM491" s="44"/>
      <c r="DN491" s="44"/>
      <c r="DO491" s="44"/>
      <c r="DP491" s="44"/>
      <c r="DQ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44"/>
      <c r="DC492" s="44"/>
      <c r="DD492" s="44"/>
      <c r="DE492" s="44"/>
      <c r="DF492" s="44"/>
      <c r="DG492" s="44"/>
      <c r="DH492" s="44"/>
      <c r="DI492" s="44"/>
      <c r="DJ492" s="44"/>
      <c r="DK492" s="44"/>
      <c r="DL492" s="44"/>
      <c r="DM492" s="44"/>
      <c r="DN492" s="44"/>
      <c r="DO492" s="44"/>
      <c r="DP492" s="44"/>
      <c r="DQ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44"/>
      <c r="DC493" s="44"/>
      <c r="DD493" s="44"/>
      <c r="DE493" s="44"/>
      <c r="DF493" s="44"/>
      <c r="DG493" s="44"/>
      <c r="DH493" s="44"/>
      <c r="DI493" s="44"/>
      <c r="DJ493" s="44"/>
      <c r="DK493" s="44"/>
      <c r="DL493" s="44"/>
      <c r="DM493" s="44"/>
      <c r="DN493" s="44"/>
      <c r="DO493" s="44"/>
      <c r="DP493" s="44"/>
      <c r="DQ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44"/>
      <c r="DC494" s="44"/>
      <c r="DD494" s="44"/>
      <c r="DE494" s="44"/>
      <c r="DF494" s="44"/>
      <c r="DG494" s="44"/>
      <c r="DH494" s="44"/>
      <c r="DI494" s="44"/>
      <c r="DJ494" s="44"/>
      <c r="DK494" s="44"/>
      <c r="DL494" s="44"/>
      <c r="DM494" s="44"/>
      <c r="DN494" s="44"/>
      <c r="DO494" s="44"/>
      <c r="DP494" s="44"/>
      <c r="DQ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44"/>
      <c r="DC495" s="44"/>
      <c r="DD495" s="44"/>
      <c r="DE495" s="44"/>
      <c r="DF495" s="44"/>
      <c r="DG495" s="44"/>
      <c r="DH495" s="44"/>
      <c r="DI495" s="44"/>
      <c r="DJ495" s="44"/>
      <c r="DK495" s="44"/>
      <c r="DL495" s="44"/>
      <c r="DM495" s="44"/>
      <c r="DN495" s="44"/>
      <c r="DO495" s="44"/>
      <c r="DP495" s="44"/>
      <c r="DQ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44"/>
      <c r="DC496" s="44"/>
      <c r="DD496" s="44"/>
      <c r="DE496" s="44"/>
      <c r="DF496" s="44"/>
      <c r="DG496" s="44"/>
      <c r="DH496" s="44"/>
      <c r="DI496" s="44"/>
      <c r="DJ496" s="44"/>
      <c r="DK496" s="44"/>
      <c r="DL496" s="44"/>
      <c r="DM496" s="44"/>
      <c r="DN496" s="44"/>
      <c r="DO496" s="44"/>
      <c r="DP496" s="44"/>
      <c r="DQ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44"/>
      <c r="DC497" s="44"/>
      <c r="DD497" s="44"/>
      <c r="DE497" s="44"/>
      <c r="DF497" s="44"/>
      <c r="DG497" s="44"/>
      <c r="DH497" s="44"/>
      <c r="DI497" s="44"/>
      <c r="DJ497" s="44"/>
      <c r="DK497" s="44"/>
      <c r="DL497" s="44"/>
      <c r="DM497" s="44"/>
      <c r="DN497" s="44"/>
      <c r="DO497" s="44"/>
      <c r="DP497" s="44"/>
      <c r="DQ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44"/>
      <c r="DC498" s="44"/>
      <c r="DD498" s="44"/>
      <c r="DE498" s="44"/>
      <c r="DF498" s="44"/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44"/>
      <c r="DC499" s="44"/>
      <c r="DD499" s="44"/>
      <c r="DE499" s="44"/>
      <c r="DF499" s="44"/>
      <c r="DG499" s="44"/>
      <c r="DH499" s="44"/>
      <c r="DI499" s="44"/>
      <c r="DJ499" s="44"/>
      <c r="DK499" s="44"/>
      <c r="DL499" s="44"/>
      <c r="DM499" s="44"/>
      <c r="DN499" s="44"/>
      <c r="DO499" s="44"/>
      <c r="DP499" s="44"/>
      <c r="DQ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44"/>
      <c r="DC500" s="44"/>
      <c r="DD500" s="44"/>
      <c r="DE500" s="44"/>
      <c r="DF500" s="44"/>
      <c r="DG500" s="44"/>
      <c r="DH500" s="44"/>
      <c r="DI500" s="44"/>
      <c r="DJ500" s="44"/>
      <c r="DK500" s="44"/>
      <c r="DL500" s="44"/>
      <c r="DM500" s="44"/>
      <c r="DN500" s="44"/>
      <c r="DO500" s="44"/>
      <c r="DP500" s="44"/>
      <c r="DQ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44"/>
      <c r="DC501" s="44"/>
      <c r="DD501" s="44"/>
      <c r="DE501" s="44"/>
      <c r="DF501" s="44"/>
      <c r="DG501" s="44"/>
      <c r="DH501" s="44"/>
      <c r="DI501" s="44"/>
      <c r="DJ501" s="44"/>
      <c r="DK501" s="44"/>
      <c r="DL501" s="44"/>
      <c r="DM501" s="44"/>
      <c r="DN501" s="44"/>
      <c r="DO501" s="44"/>
      <c r="DP501" s="44"/>
      <c r="DQ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44"/>
      <c r="DC502" s="44"/>
      <c r="DD502" s="44"/>
      <c r="DE502" s="44"/>
      <c r="DF502" s="44"/>
      <c r="DG502" s="44"/>
      <c r="DH502" s="44"/>
      <c r="DI502" s="44"/>
      <c r="DJ502" s="44"/>
      <c r="DK502" s="44"/>
      <c r="DL502" s="44"/>
      <c r="DM502" s="44"/>
      <c r="DN502" s="44"/>
      <c r="DO502" s="44"/>
      <c r="DP502" s="44"/>
      <c r="DQ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44"/>
      <c r="DC503" s="44"/>
      <c r="DD503" s="44"/>
      <c r="DE503" s="44"/>
      <c r="DF503" s="44"/>
      <c r="DG503" s="44"/>
      <c r="DH503" s="44"/>
      <c r="DI503" s="44"/>
      <c r="DJ503" s="44"/>
      <c r="DK503" s="44"/>
      <c r="DL503" s="44"/>
      <c r="DM503" s="44"/>
      <c r="DN503" s="44"/>
      <c r="DO503" s="44"/>
      <c r="DP503" s="44"/>
      <c r="DQ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44"/>
      <c r="DC504" s="44"/>
      <c r="DD504" s="44"/>
      <c r="DE504" s="44"/>
      <c r="DF504" s="44"/>
      <c r="DG504" s="44"/>
      <c r="DH504" s="44"/>
      <c r="DI504" s="44"/>
      <c r="DJ504" s="44"/>
      <c r="DK504" s="44"/>
      <c r="DL504" s="44"/>
      <c r="DM504" s="44"/>
      <c r="DN504" s="44"/>
      <c r="DO504" s="44"/>
      <c r="DP504" s="44"/>
      <c r="DQ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44"/>
      <c r="DC505" s="44"/>
      <c r="DD505" s="44"/>
      <c r="DE505" s="44"/>
      <c r="DF505" s="44"/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44"/>
      <c r="DC506" s="44"/>
      <c r="DD506" s="44"/>
      <c r="DE506" s="44"/>
      <c r="DF506" s="44"/>
      <c r="DG506" s="44"/>
      <c r="DH506" s="44"/>
      <c r="DI506" s="44"/>
      <c r="DJ506" s="44"/>
      <c r="DK506" s="44"/>
      <c r="DL506" s="44"/>
      <c r="DM506" s="44"/>
      <c r="DN506" s="44"/>
      <c r="DO506" s="44"/>
      <c r="DP506" s="44"/>
      <c r="DQ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44"/>
      <c r="DC507" s="44"/>
      <c r="DD507" s="44"/>
      <c r="DE507" s="44"/>
      <c r="DF507" s="44"/>
      <c r="DG507" s="44"/>
      <c r="DH507" s="44"/>
      <c r="DI507" s="44"/>
      <c r="DJ507" s="44"/>
      <c r="DK507" s="44"/>
      <c r="DL507" s="44"/>
      <c r="DM507" s="44"/>
      <c r="DN507" s="44"/>
      <c r="DO507" s="44"/>
      <c r="DP507" s="44"/>
      <c r="DQ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44"/>
      <c r="DC508" s="44"/>
      <c r="DD508" s="44"/>
      <c r="DE508" s="44"/>
      <c r="DF508" s="44"/>
      <c r="DG508" s="44"/>
      <c r="DH508" s="44"/>
      <c r="DI508" s="44"/>
      <c r="DJ508" s="44"/>
      <c r="DK508" s="44"/>
      <c r="DL508" s="44"/>
      <c r="DM508" s="44"/>
      <c r="DN508" s="44"/>
      <c r="DO508" s="44"/>
      <c r="DP508" s="44"/>
      <c r="DQ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44"/>
      <c r="DC509" s="44"/>
      <c r="DD509" s="44"/>
      <c r="DE509" s="44"/>
      <c r="DF509" s="44"/>
      <c r="DG509" s="44"/>
      <c r="DH509" s="44"/>
      <c r="DI509" s="44"/>
      <c r="DJ509" s="44"/>
      <c r="DK509" s="44"/>
      <c r="DL509" s="44"/>
      <c r="DM509" s="44"/>
      <c r="DN509" s="44"/>
      <c r="DO509" s="44"/>
      <c r="DP509" s="44"/>
      <c r="DQ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44"/>
      <c r="DC510" s="44"/>
      <c r="DD510" s="44"/>
      <c r="DE510" s="44"/>
      <c r="DF510" s="44"/>
      <c r="DG510" s="44"/>
      <c r="DH510" s="44"/>
      <c r="DI510" s="44"/>
      <c r="DJ510" s="44"/>
      <c r="DK510" s="44"/>
      <c r="DL510" s="44"/>
      <c r="DM510" s="44"/>
      <c r="DN510" s="44"/>
      <c r="DO510" s="44"/>
      <c r="DP510" s="44"/>
      <c r="DQ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44"/>
      <c r="DC511" s="44"/>
      <c r="DD511" s="44"/>
      <c r="DE511" s="44"/>
      <c r="DF511" s="44"/>
      <c r="DG511" s="44"/>
      <c r="DH511" s="44"/>
      <c r="DI511" s="44"/>
      <c r="DJ511" s="44"/>
      <c r="DK511" s="44"/>
      <c r="DL511" s="44"/>
      <c r="DM511" s="44"/>
      <c r="DN511" s="44"/>
      <c r="DO511" s="44"/>
      <c r="DP511" s="44"/>
      <c r="DQ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44"/>
      <c r="DC512" s="44"/>
      <c r="DD512" s="44"/>
      <c r="DE512" s="44"/>
      <c r="DF512" s="44"/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44"/>
      <c r="DC513" s="44"/>
      <c r="DD513" s="44"/>
      <c r="DE513" s="44"/>
      <c r="DF513" s="44"/>
      <c r="DG513" s="44"/>
      <c r="DH513" s="44"/>
      <c r="DI513" s="44"/>
      <c r="DJ513" s="44"/>
      <c r="DK513" s="44"/>
      <c r="DL513" s="44"/>
      <c r="DM513" s="44"/>
      <c r="DN513" s="44"/>
      <c r="DO513" s="44"/>
      <c r="DP513" s="44"/>
      <c r="DQ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44"/>
      <c r="DC514" s="44"/>
      <c r="DD514" s="44"/>
      <c r="DE514" s="44"/>
      <c r="DF514" s="44"/>
      <c r="DG514" s="44"/>
      <c r="DH514" s="44"/>
      <c r="DI514" s="44"/>
      <c r="DJ514" s="44"/>
      <c r="DK514" s="44"/>
      <c r="DL514" s="44"/>
      <c r="DM514" s="44"/>
      <c r="DN514" s="44"/>
      <c r="DO514" s="44"/>
      <c r="DP514" s="44"/>
      <c r="DQ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44"/>
      <c r="DC515" s="44"/>
      <c r="DD515" s="44"/>
      <c r="DE515" s="44"/>
      <c r="DF515" s="44"/>
      <c r="DG515" s="44"/>
      <c r="DH515" s="44"/>
      <c r="DI515" s="44"/>
      <c r="DJ515" s="44"/>
      <c r="DK515" s="44"/>
      <c r="DL515" s="44"/>
      <c r="DM515" s="44"/>
      <c r="DN515" s="44"/>
      <c r="DO515" s="44"/>
      <c r="DP515" s="44"/>
      <c r="DQ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44"/>
      <c r="DC516" s="44"/>
      <c r="DD516" s="44"/>
      <c r="DE516" s="44"/>
      <c r="DF516" s="44"/>
      <c r="DG516" s="44"/>
      <c r="DH516" s="44"/>
      <c r="DI516" s="44"/>
      <c r="DJ516" s="44"/>
      <c r="DK516" s="44"/>
      <c r="DL516" s="44"/>
      <c r="DM516" s="44"/>
      <c r="DN516" s="44"/>
      <c r="DO516" s="44"/>
      <c r="DP516" s="44"/>
      <c r="DQ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44"/>
      <c r="DC517" s="44"/>
      <c r="DD517" s="44"/>
      <c r="DE517" s="44"/>
      <c r="DF517" s="44"/>
      <c r="DG517" s="44"/>
      <c r="DH517" s="44"/>
      <c r="DI517" s="44"/>
      <c r="DJ517" s="44"/>
      <c r="DK517" s="44"/>
      <c r="DL517" s="44"/>
      <c r="DM517" s="44"/>
      <c r="DN517" s="44"/>
      <c r="DO517" s="44"/>
      <c r="DP517" s="44"/>
      <c r="DQ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44"/>
      <c r="DC518" s="44"/>
      <c r="DD518" s="44"/>
      <c r="DE518" s="44"/>
      <c r="DF518" s="44"/>
      <c r="DG518" s="44"/>
      <c r="DH518" s="44"/>
      <c r="DI518" s="44"/>
      <c r="DJ518" s="44"/>
      <c r="DK518" s="44"/>
      <c r="DL518" s="44"/>
      <c r="DM518" s="44"/>
      <c r="DN518" s="44"/>
      <c r="DO518" s="44"/>
      <c r="DP518" s="44"/>
      <c r="DQ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44"/>
      <c r="DC519" s="44"/>
      <c r="DD519" s="44"/>
      <c r="DE519" s="44"/>
      <c r="DF519" s="44"/>
      <c r="DG519" s="44"/>
      <c r="DH519" s="44"/>
      <c r="DI519" s="44"/>
      <c r="DJ519" s="44"/>
      <c r="DK519" s="44"/>
      <c r="DL519" s="44"/>
      <c r="DM519" s="44"/>
      <c r="DN519" s="44"/>
      <c r="DO519" s="44"/>
      <c r="DP519" s="44"/>
      <c r="DQ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44"/>
      <c r="DC520" s="44"/>
      <c r="DD520" s="44"/>
      <c r="DE520" s="44"/>
      <c r="DF520" s="44"/>
      <c r="DG520" s="44"/>
      <c r="DH520" s="44"/>
      <c r="DI520" s="44"/>
      <c r="DJ520" s="44"/>
      <c r="DK520" s="44"/>
      <c r="DL520" s="44"/>
      <c r="DM520" s="44"/>
      <c r="DN520" s="44"/>
      <c r="DO520" s="44"/>
      <c r="DP520" s="44"/>
      <c r="DQ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44"/>
      <c r="DC521" s="44"/>
      <c r="DD521" s="44"/>
      <c r="DE521" s="44"/>
      <c r="DF521" s="44"/>
      <c r="DG521" s="44"/>
      <c r="DH521" s="44"/>
      <c r="DI521" s="44"/>
      <c r="DJ521" s="44"/>
      <c r="DK521" s="44"/>
      <c r="DL521" s="44"/>
      <c r="DM521" s="44"/>
      <c r="DN521" s="44"/>
      <c r="DO521" s="44"/>
      <c r="DP521" s="44"/>
      <c r="DQ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44"/>
      <c r="DC522" s="44"/>
      <c r="DD522" s="44"/>
      <c r="DE522" s="44"/>
      <c r="DF522" s="44"/>
      <c r="DG522" s="44"/>
      <c r="DH522" s="44"/>
      <c r="DI522" s="44"/>
      <c r="DJ522" s="44"/>
      <c r="DK522" s="44"/>
      <c r="DL522" s="44"/>
      <c r="DM522" s="44"/>
      <c r="DN522" s="44"/>
      <c r="DO522" s="44"/>
      <c r="DP522" s="44"/>
      <c r="DQ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44"/>
      <c r="DC523" s="44"/>
      <c r="DD523" s="44"/>
      <c r="DE523" s="44"/>
      <c r="DF523" s="44"/>
      <c r="DG523" s="44"/>
      <c r="DH523" s="44"/>
      <c r="DI523" s="44"/>
      <c r="DJ523" s="44"/>
      <c r="DK523" s="44"/>
      <c r="DL523" s="44"/>
      <c r="DM523" s="44"/>
      <c r="DN523" s="44"/>
      <c r="DO523" s="44"/>
      <c r="DP523" s="44"/>
      <c r="DQ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44"/>
      <c r="DC524" s="44"/>
      <c r="DD524" s="44"/>
      <c r="DE524" s="44"/>
      <c r="DF524" s="44"/>
      <c r="DG524" s="44"/>
      <c r="DH524" s="44"/>
      <c r="DI524" s="44"/>
      <c r="DJ524" s="44"/>
      <c r="DK524" s="44"/>
      <c r="DL524" s="44"/>
      <c r="DM524" s="44"/>
      <c r="DN524" s="44"/>
      <c r="DO524" s="44"/>
      <c r="DP524" s="44"/>
      <c r="DQ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44"/>
      <c r="DC525" s="44"/>
      <c r="DD525" s="44"/>
      <c r="DE525" s="44"/>
      <c r="DF525" s="44"/>
      <c r="DG525" s="44"/>
      <c r="DH525" s="44"/>
      <c r="DI525" s="44"/>
      <c r="DJ525" s="44"/>
      <c r="DK525" s="44"/>
      <c r="DL525" s="44"/>
      <c r="DM525" s="44"/>
      <c r="DN525" s="44"/>
      <c r="DO525" s="44"/>
      <c r="DP525" s="44"/>
      <c r="DQ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44"/>
      <c r="DC526" s="44"/>
      <c r="DD526" s="44"/>
      <c r="DE526" s="44"/>
      <c r="DF526" s="44"/>
      <c r="DG526" s="44"/>
      <c r="DH526" s="44"/>
      <c r="DI526" s="44"/>
      <c r="DJ526" s="44"/>
      <c r="DK526" s="44"/>
      <c r="DL526" s="44"/>
      <c r="DM526" s="44"/>
      <c r="DN526" s="44"/>
      <c r="DO526" s="44"/>
      <c r="DP526" s="44"/>
      <c r="DQ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44"/>
      <c r="DC527" s="44"/>
      <c r="DD527" s="44"/>
      <c r="DE527" s="44"/>
      <c r="DF527" s="44"/>
      <c r="DG527" s="44"/>
      <c r="DH527" s="44"/>
      <c r="DI527" s="44"/>
      <c r="DJ527" s="44"/>
      <c r="DK527" s="44"/>
      <c r="DL527" s="44"/>
      <c r="DM527" s="44"/>
      <c r="DN527" s="44"/>
      <c r="DO527" s="44"/>
      <c r="DP527" s="44"/>
      <c r="DQ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44"/>
      <c r="DC528" s="44"/>
      <c r="DD528" s="44"/>
      <c r="DE528" s="44"/>
      <c r="DF528" s="44"/>
      <c r="DG528" s="44"/>
      <c r="DH528" s="44"/>
      <c r="DI528" s="44"/>
      <c r="DJ528" s="44"/>
      <c r="DK528" s="44"/>
      <c r="DL528" s="44"/>
      <c r="DM528" s="44"/>
      <c r="DN528" s="44"/>
      <c r="DO528" s="44"/>
      <c r="DP528" s="44"/>
      <c r="DQ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44"/>
      <c r="DC529" s="44"/>
      <c r="DD529" s="44"/>
      <c r="DE529" s="44"/>
      <c r="DF529" s="44"/>
      <c r="DG529" s="44"/>
      <c r="DH529" s="44"/>
      <c r="DI529" s="44"/>
      <c r="DJ529" s="44"/>
      <c r="DK529" s="44"/>
      <c r="DL529" s="44"/>
      <c r="DM529" s="44"/>
      <c r="DN529" s="44"/>
      <c r="DO529" s="44"/>
      <c r="DP529" s="44"/>
      <c r="DQ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44"/>
      <c r="DC530" s="44"/>
      <c r="DD530" s="44"/>
      <c r="DE530" s="44"/>
      <c r="DF530" s="44"/>
      <c r="DG530" s="44"/>
      <c r="DH530" s="44"/>
      <c r="DI530" s="44"/>
      <c r="DJ530" s="44"/>
      <c r="DK530" s="44"/>
      <c r="DL530" s="44"/>
      <c r="DM530" s="44"/>
      <c r="DN530" s="44"/>
      <c r="DO530" s="44"/>
      <c r="DP530" s="44"/>
      <c r="DQ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44"/>
      <c r="DC531" s="44"/>
      <c r="DD531" s="44"/>
      <c r="DE531" s="44"/>
      <c r="DF531" s="44"/>
      <c r="DG531" s="44"/>
      <c r="DH531" s="44"/>
      <c r="DI531" s="44"/>
      <c r="DJ531" s="44"/>
      <c r="DK531" s="44"/>
      <c r="DL531" s="44"/>
      <c r="DM531" s="44"/>
      <c r="DN531" s="44"/>
      <c r="DO531" s="44"/>
      <c r="DP531" s="44"/>
      <c r="DQ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44"/>
      <c r="DC532" s="44"/>
      <c r="DD532" s="44"/>
      <c r="DE532" s="44"/>
      <c r="DF532" s="44"/>
      <c r="DG532" s="44"/>
      <c r="DH532" s="44"/>
      <c r="DI532" s="44"/>
      <c r="DJ532" s="44"/>
      <c r="DK532" s="44"/>
      <c r="DL532" s="44"/>
      <c r="DM532" s="44"/>
      <c r="DN532" s="44"/>
      <c r="DO532" s="44"/>
      <c r="DP532" s="44"/>
      <c r="DQ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44"/>
      <c r="DC533" s="44"/>
      <c r="DD533" s="44"/>
      <c r="DE533" s="44"/>
      <c r="DF533" s="44"/>
      <c r="DG533" s="44"/>
      <c r="DH533" s="44"/>
      <c r="DI533" s="44"/>
      <c r="DJ533" s="44"/>
      <c r="DK533" s="44"/>
      <c r="DL533" s="44"/>
      <c r="DM533" s="44"/>
      <c r="DN533" s="44"/>
      <c r="DO533" s="44"/>
      <c r="DP533" s="44"/>
      <c r="DQ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44"/>
      <c r="DC534" s="44"/>
      <c r="DD534" s="44"/>
      <c r="DE534" s="44"/>
      <c r="DF534" s="44"/>
      <c r="DG534" s="44"/>
      <c r="DH534" s="44"/>
      <c r="DI534" s="44"/>
      <c r="DJ534" s="44"/>
      <c r="DK534" s="44"/>
      <c r="DL534" s="44"/>
      <c r="DM534" s="44"/>
      <c r="DN534" s="44"/>
      <c r="DO534" s="44"/>
      <c r="DP534" s="44"/>
      <c r="DQ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44"/>
      <c r="DC535" s="44"/>
      <c r="DD535" s="44"/>
      <c r="DE535" s="44"/>
      <c r="DF535" s="44"/>
      <c r="DG535" s="44"/>
      <c r="DH535" s="44"/>
      <c r="DI535" s="44"/>
      <c r="DJ535" s="44"/>
      <c r="DK535" s="44"/>
      <c r="DL535" s="44"/>
      <c r="DM535" s="44"/>
      <c r="DN535" s="44"/>
      <c r="DO535" s="44"/>
      <c r="DP535" s="44"/>
      <c r="DQ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44"/>
      <c r="DC536" s="44"/>
      <c r="DD536" s="44"/>
      <c r="DE536" s="44"/>
      <c r="DF536" s="44"/>
      <c r="DG536" s="44"/>
      <c r="DH536" s="44"/>
      <c r="DI536" s="44"/>
      <c r="DJ536" s="44"/>
      <c r="DK536" s="44"/>
      <c r="DL536" s="44"/>
      <c r="DM536" s="44"/>
      <c r="DN536" s="44"/>
      <c r="DO536" s="44"/>
      <c r="DP536" s="44"/>
      <c r="DQ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44"/>
      <c r="DC537" s="44"/>
      <c r="DD537" s="44"/>
      <c r="DE537" s="44"/>
      <c r="DF537" s="44"/>
      <c r="DG537" s="44"/>
      <c r="DH537" s="44"/>
      <c r="DI537" s="44"/>
      <c r="DJ537" s="44"/>
      <c r="DK537" s="44"/>
      <c r="DL537" s="44"/>
      <c r="DM537" s="44"/>
      <c r="DN537" s="44"/>
      <c r="DO537" s="44"/>
      <c r="DP537" s="44"/>
      <c r="DQ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44"/>
      <c r="DC538" s="44"/>
      <c r="DD538" s="44"/>
      <c r="DE538" s="44"/>
      <c r="DF538" s="44"/>
      <c r="DG538" s="44"/>
      <c r="DH538" s="44"/>
      <c r="DI538" s="44"/>
      <c r="DJ538" s="44"/>
      <c r="DK538" s="44"/>
      <c r="DL538" s="44"/>
      <c r="DM538" s="44"/>
      <c r="DN538" s="44"/>
      <c r="DO538" s="44"/>
      <c r="DP538" s="44"/>
      <c r="DQ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44"/>
      <c r="DC539" s="44"/>
      <c r="DD539" s="44"/>
      <c r="DE539" s="44"/>
      <c r="DF539" s="44"/>
      <c r="DG539" s="44"/>
      <c r="DH539" s="44"/>
      <c r="DI539" s="44"/>
      <c r="DJ539" s="44"/>
      <c r="DK539" s="44"/>
      <c r="DL539" s="44"/>
      <c r="DM539" s="44"/>
      <c r="DN539" s="44"/>
      <c r="DO539" s="44"/>
      <c r="DP539" s="44"/>
      <c r="DQ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44"/>
      <c r="DC540" s="44"/>
      <c r="DD540" s="44"/>
      <c r="DE540" s="44"/>
      <c r="DF540" s="44"/>
      <c r="DG540" s="44"/>
      <c r="DH540" s="44"/>
      <c r="DI540" s="44"/>
      <c r="DJ540" s="44"/>
      <c r="DK540" s="44"/>
      <c r="DL540" s="44"/>
      <c r="DM540" s="44"/>
      <c r="DN540" s="44"/>
      <c r="DO540" s="44"/>
      <c r="DP540" s="44"/>
      <c r="DQ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44"/>
      <c r="DC541" s="44"/>
      <c r="DD541" s="44"/>
      <c r="DE541" s="44"/>
      <c r="DF541" s="44"/>
      <c r="DG541" s="44"/>
      <c r="DH541" s="44"/>
      <c r="DI541" s="44"/>
      <c r="DJ541" s="44"/>
      <c r="DK541" s="44"/>
      <c r="DL541" s="44"/>
      <c r="DM541" s="44"/>
      <c r="DN541" s="44"/>
      <c r="DO541" s="44"/>
      <c r="DP541" s="44"/>
      <c r="DQ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44"/>
      <c r="DC542" s="44"/>
      <c r="DD542" s="44"/>
      <c r="DE542" s="44"/>
      <c r="DF542" s="44"/>
      <c r="DG542" s="44"/>
      <c r="DH542" s="44"/>
      <c r="DI542" s="44"/>
      <c r="DJ542" s="44"/>
      <c r="DK542" s="44"/>
      <c r="DL542" s="44"/>
      <c r="DM542" s="44"/>
      <c r="DN542" s="44"/>
      <c r="DO542" s="44"/>
      <c r="DP542" s="44"/>
      <c r="DQ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44"/>
      <c r="DC543" s="44"/>
      <c r="DD543" s="44"/>
      <c r="DE543" s="44"/>
      <c r="DF543" s="44"/>
      <c r="DG543" s="44"/>
      <c r="DH543" s="44"/>
      <c r="DI543" s="44"/>
      <c r="DJ543" s="44"/>
      <c r="DK543" s="44"/>
      <c r="DL543" s="44"/>
      <c r="DM543" s="44"/>
      <c r="DN543" s="44"/>
      <c r="DO543" s="44"/>
      <c r="DP543" s="44"/>
      <c r="DQ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44"/>
      <c r="DC544" s="44"/>
      <c r="DD544" s="44"/>
      <c r="DE544" s="44"/>
      <c r="DF544" s="44"/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44"/>
      <c r="DC545" s="44"/>
      <c r="DD545" s="44"/>
      <c r="DE545" s="44"/>
      <c r="DF545" s="44"/>
      <c r="DG545" s="44"/>
      <c r="DH545" s="44"/>
      <c r="DI545" s="44"/>
      <c r="DJ545" s="44"/>
      <c r="DK545" s="44"/>
      <c r="DL545" s="44"/>
      <c r="DM545" s="44"/>
      <c r="DN545" s="44"/>
      <c r="DO545" s="44"/>
      <c r="DP545" s="44"/>
      <c r="DQ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44"/>
      <c r="DC546" s="44"/>
      <c r="DD546" s="44"/>
      <c r="DE546" s="44"/>
      <c r="DF546" s="44"/>
      <c r="DG546" s="44"/>
      <c r="DH546" s="44"/>
      <c r="DI546" s="44"/>
      <c r="DJ546" s="44"/>
      <c r="DK546" s="44"/>
      <c r="DL546" s="44"/>
      <c r="DM546" s="44"/>
      <c r="DN546" s="44"/>
      <c r="DO546" s="44"/>
      <c r="DP546" s="44"/>
      <c r="DQ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44"/>
      <c r="DC547" s="44"/>
      <c r="DD547" s="44"/>
      <c r="DE547" s="44"/>
      <c r="DF547" s="44"/>
      <c r="DG547" s="44"/>
      <c r="DH547" s="44"/>
      <c r="DI547" s="44"/>
      <c r="DJ547" s="44"/>
      <c r="DK547" s="44"/>
      <c r="DL547" s="44"/>
      <c r="DM547" s="44"/>
      <c r="DN547" s="44"/>
      <c r="DO547" s="44"/>
      <c r="DP547" s="44"/>
      <c r="DQ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44"/>
      <c r="DC548" s="44"/>
      <c r="DD548" s="44"/>
      <c r="DE548" s="44"/>
      <c r="DF548" s="44"/>
      <c r="DG548" s="44"/>
      <c r="DH548" s="44"/>
      <c r="DI548" s="44"/>
      <c r="DJ548" s="44"/>
      <c r="DK548" s="44"/>
      <c r="DL548" s="44"/>
      <c r="DM548" s="44"/>
      <c r="DN548" s="44"/>
      <c r="DO548" s="44"/>
      <c r="DP548" s="44"/>
      <c r="DQ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44"/>
      <c r="DC549" s="44"/>
      <c r="DD549" s="44"/>
      <c r="DE549" s="44"/>
      <c r="DF549" s="44"/>
      <c r="DG549" s="44"/>
      <c r="DH549" s="44"/>
      <c r="DI549" s="44"/>
      <c r="DJ549" s="44"/>
      <c r="DK549" s="44"/>
      <c r="DL549" s="44"/>
      <c r="DM549" s="44"/>
      <c r="DN549" s="44"/>
      <c r="DO549" s="44"/>
      <c r="DP549" s="44"/>
      <c r="DQ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44"/>
      <c r="DC550" s="44"/>
      <c r="DD550" s="44"/>
      <c r="DE550" s="44"/>
      <c r="DF550" s="44"/>
      <c r="DG550" s="44"/>
      <c r="DH550" s="44"/>
      <c r="DI550" s="44"/>
      <c r="DJ550" s="44"/>
      <c r="DK550" s="44"/>
      <c r="DL550" s="44"/>
      <c r="DM550" s="44"/>
      <c r="DN550" s="44"/>
      <c r="DO550" s="44"/>
      <c r="DP550" s="44"/>
      <c r="DQ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44"/>
      <c r="DC551" s="44"/>
      <c r="DD551" s="44"/>
      <c r="DE551" s="44"/>
      <c r="DF551" s="44"/>
      <c r="DG551" s="44"/>
      <c r="DH551" s="44"/>
      <c r="DI551" s="44"/>
      <c r="DJ551" s="44"/>
      <c r="DK551" s="44"/>
      <c r="DL551" s="44"/>
      <c r="DM551" s="44"/>
      <c r="DN551" s="44"/>
      <c r="DO551" s="44"/>
      <c r="DP551" s="44"/>
      <c r="DQ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44"/>
      <c r="DC552" s="44"/>
      <c r="DD552" s="44"/>
      <c r="DE552" s="44"/>
      <c r="DF552" s="44"/>
      <c r="DG552" s="44"/>
      <c r="DH552" s="44"/>
      <c r="DI552" s="44"/>
      <c r="DJ552" s="44"/>
      <c r="DK552" s="44"/>
      <c r="DL552" s="44"/>
      <c r="DM552" s="44"/>
      <c r="DN552" s="44"/>
      <c r="DO552" s="44"/>
      <c r="DP552" s="44"/>
      <c r="DQ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44"/>
      <c r="DC553" s="44"/>
      <c r="DD553" s="44"/>
      <c r="DE553" s="44"/>
      <c r="DF553" s="44"/>
      <c r="DG553" s="44"/>
      <c r="DH553" s="44"/>
      <c r="DI553" s="44"/>
      <c r="DJ553" s="44"/>
      <c r="DK553" s="44"/>
      <c r="DL553" s="44"/>
      <c r="DM553" s="44"/>
      <c r="DN553" s="44"/>
      <c r="DO553" s="44"/>
      <c r="DP553" s="44"/>
      <c r="DQ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44"/>
      <c r="DC554" s="44"/>
      <c r="DD554" s="44"/>
      <c r="DE554" s="44"/>
      <c r="DF554" s="44"/>
      <c r="DG554" s="44"/>
      <c r="DH554" s="44"/>
      <c r="DI554" s="44"/>
      <c r="DJ554" s="44"/>
      <c r="DK554" s="44"/>
      <c r="DL554" s="44"/>
      <c r="DM554" s="44"/>
      <c r="DN554" s="44"/>
      <c r="DO554" s="44"/>
      <c r="DP554" s="44"/>
      <c r="DQ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44"/>
      <c r="DC555" s="44"/>
      <c r="DD555" s="44"/>
      <c r="DE555" s="44"/>
      <c r="DF555" s="44"/>
      <c r="DG555" s="44"/>
      <c r="DH555" s="44"/>
      <c r="DI555" s="44"/>
      <c r="DJ555" s="44"/>
      <c r="DK555" s="44"/>
      <c r="DL555" s="44"/>
      <c r="DM555" s="44"/>
      <c r="DN555" s="44"/>
      <c r="DO555" s="44"/>
      <c r="DP555" s="44"/>
      <c r="DQ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44"/>
      <c r="DC556" s="44"/>
      <c r="DD556" s="44"/>
      <c r="DE556" s="44"/>
      <c r="DF556" s="44"/>
      <c r="DG556" s="44"/>
      <c r="DH556" s="44"/>
      <c r="DI556" s="44"/>
      <c r="DJ556" s="44"/>
      <c r="DK556" s="44"/>
      <c r="DL556" s="44"/>
      <c r="DM556" s="44"/>
      <c r="DN556" s="44"/>
      <c r="DO556" s="44"/>
      <c r="DP556" s="44"/>
      <c r="DQ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44"/>
      <c r="DC557" s="44"/>
      <c r="DD557" s="44"/>
      <c r="DE557" s="44"/>
      <c r="DF557" s="44"/>
      <c r="DG557" s="44"/>
      <c r="DH557" s="44"/>
      <c r="DI557" s="44"/>
      <c r="DJ557" s="44"/>
      <c r="DK557" s="44"/>
      <c r="DL557" s="44"/>
      <c r="DM557" s="44"/>
      <c r="DN557" s="44"/>
      <c r="DO557" s="44"/>
      <c r="DP557" s="44"/>
      <c r="DQ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44"/>
      <c r="DC558" s="44"/>
      <c r="DD558" s="44"/>
      <c r="DE558" s="44"/>
      <c r="DF558" s="44"/>
      <c r="DG558" s="44"/>
      <c r="DH558" s="44"/>
      <c r="DI558" s="44"/>
      <c r="DJ558" s="44"/>
      <c r="DK558" s="44"/>
      <c r="DL558" s="44"/>
      <c r="DM558" s="44"/>
      <c r="DN558" s="44"/>
      <c r="DO558" s="44"/>
      <c r="DP558" s="44"/>
      <c r="DQ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44"/>
      <c r="DC559" s="44"/>
      <c r="DD559" s="44"/>
      <c r="DE559" s="44"/>
      <c r="DF559" s="44"/>
      <c r="DG559" s="44"/>
      <c r="DH559" s="44"/>
      <c r="DI559" s="44"/>
      <c r="DJ559" s="44"/>
      <c r="DK559" s="44"/>
      <c r="DL559" s="44"/>
      <c r="DM559" s="44"/>
      <c r="DN559" s="44"/>
      <c r="DO559" s="44"/>
      <c r="DP559" s="44"/>
      <c r="DQ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44"/>
      <c r="DC560" s="44"/>
      <c r="DD560" s="44"/>
      <c r="DE560" s="44"/>
      <c r="DF560" s="44"/>
      <c r="DG560" s="44"/>
      <c r="DH560" s="44"/>
      <c r="DI560" s="44"/>
      <c r="DJ560" s="44"/>
      <c r="DK560" s="44"/>
      <c r="DL560" s="44"/>
      <c r="DM560" s="44"/>
      <c r="DN560" s="44"/>
      <c r="DO560" s="44"/>
      <c r="DP560" s="44"/>
      <c r="DQ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44"/>
      <c r="DC561" s="44"/>
      <c r="DD561" s="44"/>
      <c r="DE561" s="44"/>
      <c r="DF561" s="44"/>
      <c r="DG561" s="44"/>
      <c r="DH561" s="44"/>
      <c r="DI561" s="44"/>
      <c r="DJ561" s="44"/>
      <c r="DK561" s="44"/>
      <c r="DL561" s="44"/>
      <c r="DM561" s="44"/>
      <c r="DN561" s="44"/>
      <c r="DO561" s="44"/>
      <c r="DP561" s="44"/>
      <c r="DQ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44"/>
      <c r="DC562" s="44"/>
      <c r="DD562" s="44"/>
      <c r="DE562" s="44"/>
      <c r="DF562" s="44"/>
      <c r="DG562" s="44"/>
      <c r="DH562" s="44"/>
      <c r="DI562" s="44"/>
      <c r="DJ562" s="44"/>
      <c r="DK562" s="44"/>
      <c r="DL562" s="44"/>
      <c r="DM562" s="44"/>
      <c r="DN562" s="44"/>
      <c r="DO562" s="44"/>
      <c r="DP562" s="44"/>
      <c r="DQ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44"/>
      <c r="DC563" s="44"/>
      <c r="DD563" s="44"/>
      <c r="DE563" s="44"/>
      <c r="DF563" s="44"/>
      <c r="DG563" s="44"/>
      <c r="DH563" s="44"/>
      <c r="DI563" s="44"/>
      <c r="DJ563" s="44"/>
      <c r="DK563" s="44"/>
      <c r="DL563" s="44"/>
      <c r="DM563" s="44"/>
      <c r="DN563" s="44"/>
      <c r="DO563" s="44"/>
      <c r="DP563" s="44"/>
      <c r="DQ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44"/>
      <c r="DC564" s="44"/>
      <c r="DD564" s="44"/>
      <c r="DE564" s="44"/>
      <c r="DF564" s="44"/>
      <c r="DG564" s="44"/>
      <c r="DH564" s="44"/>
      <c r="DI564" s="44"/>
      <c r="DJ564" s="44"/>
      <c r="DK564" s="44"/>
      <c r="DL564" s="44"/>
      <c r="DM564" s="44"/>
      <c r="DN564" s="44"/>
      <c r="DO564" s="44"/>
      <c r="DP564" s="44"/>
      <c r="DQ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44"/>
      <c r="DC565" s="44"/>
      <c r="DD565" s="44"/>
      <c r="DE565" s="44"/>
      <c r="DF565" s="44"/>
      <c r="DG565" s="44"/>
      <c r="DH565" s="44"/>
      <c r="DI565" s="44"/>
      <c r="DJ565" s="44"/>
      <c r="DK565" s="44"/>
      <c r="DL565" s="44"/>
      <c r="DM565" s="44"/>
      <c r="DN565" s="44"/>
      <c r="DO565" s="44"/>
      <c r="DP565" s="44"/>
      <c r="DQ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44"/>
      <c r="DC566" s="44"/>
      <c r="DD566" s="44"/>
      <c r="DE566" s="44"/>
      <c r="DF566" s="44"/>
      <c r="DG566" s="44"/>
      <c r="DH566" s="44"/>
      <c r="DI566" s="44"/>
      <c r="DJ566" s="44"/>
      <c r="DK566" s="44"/>
      <c r="DL566" s="44"/>
      <c r="DM566" s="44"/>
      <c r="DN566" s="44"/>
      <c r="DO566" s="44"/>
      <c r="DP566" s="44"/>
      <c r="DQ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44"/>
      <c r="DC567" s="44"/>
      <c r="DD567" s="44"/>
      <c r="DE567" s="44"/>
      <c r="DF567" s="44"/>
      <c r="DG567" s="44"/>
      <c r="DH567" s="44"/>
      <c r="DI567" s="44"/>
      <c r="DJ567" s="44"/>
      <c r="DK567" s="44"/>
      <c r="DL567" s="44"/>
      <c r="DM567" s="44"/>
      <c r="DN567" s="44"/>
      <c r="DO567" s="44"/>
      <c r="DP567" s="44"/>
      <c r="DQ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44"/>
      <c r="DC568" s="44"/>
      <c r="DD568" s="44"/>
      <c r="DE568" s="44"/>
      <c r="DF568" s="44"/>
      <c r="DG568" s="44"/>
      <c r="DH568" s="44"/>
      <c r="DI568" s="44"/>
      <c r="DJ568" s="44"/>
      <c r="DK568" s="44"/>
      <c r="DL568" s="44"/>
      <c r="DM568" s="44"/>
      <c r="DN568" s="44"/>
      <c r="DO568" s="44"/>
      <c r="DP568" s="44"/>
      <c r="DQ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44"/>
      <c r="DC569" s="44"/>
      <c r="DD569" s="44"/>
      <c r="DE569" s="44"/>
      <c r="DF569" s="44"/>
      <c r="DG569" s="44"/>
      <c r="DH569" s="44"/>
      <c r="DI569" s="44"/>
      <c r="DJ569" s="44"/>
      <c r="DK569" s="44"/>
      <c r="DL569" s="44"/>
      <c r="DM569" s="44"/>
      <c r="DN569" s="44"/>
      <c r="DO569" s="44"/>
      <c r="DP569" s="44"/>
      <c r="DQ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44"/>
      <c r="DC570" s="44"/>
      <c r="DD570" s="44"/>
      <c r="DE570" s="44"/>
      <c r="DF570" s="44"/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44"/>
      <c r="DC571" s="44"/>
      <c r="DD571" s="44"/>
      <c r="DE571" s="44"/>
      <c r="DF571" s="44"/>
      <c r="DG571" s="44"/>
      <c r="DH571" s="44"/>
      <c r="DI571" s="44"/>
      <c r="DJ571" s="44"/>
      <c r="DK571" s="44"/>
      <c r="DL571" s="44"/>
      <c r="DM571" s="44"/>
      <c r="DN571" s="44"/>
      <c r="DO571" s="44"/>
      <c r="DP571" s="44"/>
      <c r="DQ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44"/>
      <c r="DC572" s="44"/>
      <c r="DD572" s="44"/>
      <c r="DE572" s="44"/>
      <c r="DF572" s="44"/>
      <c r="DG572" s="44"/>
      <c r="DH572" s="44"/>
      <c r="DI572" s="44"/>
      <c r="DJ572" s="44"/>
      <c r="DK572" s="44"/>
      <c r="DL572" s="44"/>
      <c r="DM572" s="44"/>
      <c r="DN572" s="44"/>
      <c r="DO572" s="44"/>
      <c r="DP572" s="44"/>
      <c r="DQ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44"/>
      <c r="DC573" s="44"/>
      <c r="DD573" s="44"/>
      <c r="DE573" s="44"/>
      <c r="DF573" s="44"/>
      <c r="DG573" s="44"/>
      <c r="DH573" s="44"/>
      <c r="DI573" s="44"/>
      <c r="DJ573" s="44"/>
      <c r="DK573" s="44"/>
      <c r="DL573" s="44"/>
      <c r="DM573" s="44"/>
      <c r="DN573" s="44"/>
      <c r="DO573" s="44"/>
      <c r="DP573" s="44"/>
      <c r="DQ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44"/>
      <c r="DC574" s="44"/>
      <c r="DD574" s="44"/>
      <c r="DE574" s="44"/>
      <c r="DF574" s="44"/>
      <c r="DG574" s="44"/>
      <c r="DH574" s="44"/>
      <c r="DI574" s="44"/>
      <c r="DJ574" s="44"/>
      <c r="DK574" s="44"/>
      <c r="DL574" s="44"/>
      <c r="DM574" s="44"/>
      <c r="DN574" s="44"/>
      <c r="DO574" s="44"/>
      <c r="DP574" s="44"/>
      <c r="DQ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44"/>
      <c r="DC575" s="44"/>
      <c r="DD575" s="44"/>
      <c r="DE575" s="44"/>
      <c r="DF575" s="44"/>
      <c r="DG575" s="44"/>
      <c r="DH575" s="44"/>
      <c r="DI575" s="44"/>
      <c r="DJ575" s="44"/>
      <c r="DK575" s="44"/>
      <c r="DL575" s="44"/>
      <c r="DM575" s="44"/>
      <c r="DN575" s="44"/>
      <c r="DO575" s="44"/>
      <c r="DP575" s="44"/>
      <c r="DQ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44"/>
      <c r="DC576" s="44"/>
      <c r="DD576" s="44"/>
      <c r="DE576" s="44"/>
      <c r="DF576" s="44"/>
      <c r="DG576" s="44"/>
      <c r="DH576" s="44"/>
      <c r="DI576" s="44"/>
      <c r="DJ576" s="44"/>
      <c r="DK576" s="44"/>
      <c r="DL576" s="44"/>
      <c r="DM576" s="44"/>
      <c r="DN576" s="44"/>
      <c r="DO576" s="44"/>
      <c r="DP576" s="44"/>
      <c r="DQ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44"/>
      <c r="DC577" s="44"/>
      <c r="DD577" s="44"/>
      <c r="DE577" s="44"/>
      <c r="DF577" s="44"/>
      <c r="DG577" s="44"/>
      <c r="DH577" s="44"/>
      <c r="DI577" s="44"/>
      <c r="DJ577" s="44"/>
      <c r="DK577" s="44"/>
      <c r="DL577" s="44"/>
      <c r="DM577" s="44"/>
      <c r="DN577" s="44"/>
      <c r="DO577" s="44"/>
      <c r="DP577" s="44"/>
      <c r="DQ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44"/>
      <c r="DC578" s="44"/>
      <c r="DD578" s="44"/>
      <c r="DE578" s="44"/>
      <c r="DF578" s="44"/>
      <c r="DG578" s="44"/>
      <c r="DH578" s="44"/>
      <c r="DI578" s="44"/>
      <c r="DJ578" s="44"/>
      <c r="DK578" s="44"/>
      <c r="DL578" s="44"/>
      <c r="DM578" s="44"/>
      <c r="DN578" s="44"/>
      <c r="DO578" s="44"/>
      <c r="DP578" s="44"/>
      <c r="DQ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44"/>
      <c r="DC579" s="44"/>
      <c r="DD579" s="44"/>
      <c r="DE579" s="44"/>
      <c r="DF579" s="44"/>
      <c r="DG579" s="44"/>
      <c r="DH579" s="44"/>
      <c r="DI579" s="44"/>
      <c r="DJ579" s="44"/>
      <c r="DK579" s="44"/>
      <c r="DL579" s="44"/>
      <c r="DM579" s="44"/>
      <c r="DN579" s="44"/>
      <c r="DO579" s="44"/>
      <c r="DP579" s="44"/>
      <c r="DQ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44"/>
      <c r="DC580" s="44"/>
      <c r="DD580" s="44"/>
      <c r="DE580" s="44"/>
      <c r="DF580" s="44"/>
      <c r="DG580" s="44"/>
      <c r="DH580" s="44"/>
      <c r="DI580" s="44"/>
      <c r="DJ580" s="44"/>
      <c r="DK580" s="44"/>
      <c r="DL580" s="44"/>
      <c r="DM580" s="44"/>
      <c r="DN580" s="44"/>
      <c r="DO580" s="44"/>
      <c r="DP580" s="44"/>
      <c r="DQ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44"/>
      <c r="DC581" s="44"/>
      <c r="DD581" s="44"/>
      <c r="DE581" s="44"/>
      <c r="DF581" s="44"/>
      <c r="DG581" s="44"/>
      <c r="DH581" s="44"/>
      <c r="DI581" s="44"/>
      <c r="DJ581" s="44"/>
      <c r="DK581" s="44"/>
      <c r="DL581" s="44"/>
      <c r="DM581" s="44"/>
      <c r="DN581" s="44"/>
      <c r="DO581" s="44"/>
      <c r="DP581" s="44"/>
      <c r="DQ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44"/>
      <c r="DC582" s="44"/>
      <c r="DD582" s="44"/>
      <c r="DE582" s="44"/>
      <c r="DF582" s="44"/>
      <c r="DG582" s="44"/>
      <c r="DH582" s="44"/>
      <c r="DI582" s="44"/>
      <c r="DJ582" s="44"/>
      <c r="DK582" s="44"/>
      <c r="DL582" s="44"/>
      <c r="DM582" s="44"/>
      <c r="DN582" s="44"/>
      <c r="DO582" s="44"/>
      <c r="DP582" s="44"/>
      <c r="DQ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44"/>
      <c r="DC583" s="44"/>
      <c r="DD583" s="44"/>
      <c r="DE583" s="44"/>
      <c r="DF583" s="44"/>
      <c r="DG583" s="44"/>
      <c r="DH583" s="44"/>
      <c r="DI583" s="44"/>
      <c r="DJ583" s="44"/>
      <c r="DK583" s="44"/>
      <c r="DL583" s="44"/>
      <c r="DM583" s="44"/>
      <c r="DN583" s="44"/>
      <c r="DO583" s="44"/>
      <c r="DP583" s="44"/>
      <c r="DQ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44"/>
      <c r="DC584" s="44"/>
      <c r="DD584" s="44"/>
      <c r="DE584" s="44"/>
      <c r="DF584" s="44"/>
      <c r="DG584" s="44"/>
      <c r="DH584" s="44"/>
      <c r="DI584" s="44"/>
      <c r="DJ584" s="44"/>
      <c r="DK584" s="44"/>
      <c r="DL584" s="44"/>
      <c r="DM584" s="44"/>
      <c r="DN584" s="44"/>
      <c r="DO584" s="44"/>
      <c r="DP584" s="44"/>
      <c r="DQ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44"/>
      <c r="DC585" s="44"/>
      <c r="DD585" s="44"/>
      <c r="DE585" s="44"/>
      <c r="DF585" s="44"/>
      <c r="DG585" s="44"/>
      <c r="DH585" s="44"/>
      <c r="DI585" s="44"/>
      <c r="DJ585" s="44"/>
      <c r="DK585" s="44"/>
      <c r="DL585" s="44"/>
      <c r="DM585" s="44"/>
      <c r="DN585" s="44"/>
      <c r="DO585" s="44"/>
      <c r="DP585" s="44"/>
      <c r="DQ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44"/>
      <c r="DC586" s="44"/>
      <c r="DD586" s="44"/>
      <c r="DE586" s="44"/>
      <c r="DF586" s="44"/>
      <c r="DG586" s="44"/>
      <c r="DH586" s="44"/>
      <c r="DI586" s="44"/>
      <c r="DJ586" s="44"/>
      <c r="DK586" s="44"/>
      <c r="DL586" s="44"/>
      <c r="DM586" s="44"/>
      <c r="DN586" s="44"/>
      <c r="DO586" s="44"/>
      <c r="DP586" s="44"/>
      <c r="DQ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44"/>
      <c r="DC587" s="44"/>
      <c r="DD587" s="44"/>
      <c r="DE587" s="44"/>
      <c r="DF587" s="44"/>
      <c r="DG587" s="44"/>
      <c r="DH587" s="44"/>
      <c r="DI587" s="44"/>
      <c r="DJ587" s="44"/>
      <c r="DK587" s="44"/>
      <c r="DL587" s="44"/>
      <c r="DM587" s="44"/>
      <c r="DN587" s="44"/>
      <c r="DO587" s="44"/>
      <c r="DP587" s="44"/>
      <c r="DQ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44"/>
      <c r="DC588" s="44"/>
      <c r="DD588" s="44"/>
      <c r="DE588" s="44"/>
      <c r="DF588" s="44"/>
      <c r="DG588" s="44"/>
      <c r="DH588" s="44"/>
      <c r="DI588" s="44"/>
      <c r="DJ588" s="44"/>
      <c r="DK588" s="44"/>
      <c r="DL588" s="44"/>
      <c r="DM588" s="44"/>
      <c r="DN588" s="44"/>
      <c r="DO588" s="44"/>
      <c r="DP588" s="44"/>
      <c r="DQ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44"/>
      <c r="DC589" s="44"/>
      <c r="DD589" s="44"/>
      <c r="DE589" s="44"/>
      <c r="DF589" s="44"/>
      <c r="DG589" s="44"/>
      <c r="DH589" s="44"/>
      <c r="DI589" s="44"/>
      <c r="DJ589" s="44"/>
      <c r="DK589" s="44"/>
      <c r="DL589" s="44"/>
      <c r="DM589" s="44"/>
      <c r="DN589" s="44"/>
      <c r="DO589" s="44"/>
      <c r="DP589" s="44"/>
      <c r="DQ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44"/>
      <c r="DC590" s="44"/>
      <c r="DD590" s="44"/>
      <c r="DE590" s="44"/>
      <c r="DF590" s="44"/>
      <c r="DG590" s="44"/>
      <c r="DH590" s="44"/>
      <c r="DI590" s="44"/>
      <c r="DJ590" s="44"/>
      <c r="DK590" s="44"/>
      <c r="DL590" s="44"/>
      <c r="DM590" s="44"/>
      <c r="DN590" s="44"/>
      <c r="DO590" s="44"/>
      <c r="DP590" s="44"/>
      <c r="DQ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44"/>
      <c r="DC591" s="44"/>
      <c r="DD591" s="44"/>
      <c r="DE591" s="44"/>
      <c r="DF591" s="44"/>
      <c r="DG591" s="44"/>
      <c r="DH591" s="44"/>
      <c r="DI591" s="44"/>
      <c r="DJ591" s="44"/>
      <c r="DK591" s="44"/>
      <c r="DL591" s="44"/>
      <c r="DM591" s="44"/>
      <c r="DN591" s="44"/>
      <c r="DO591" s="44"/>
      <c r="DP591" s="44"/>
      <c r="DQ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44"/>
      <c r="DC592" s="44"/>
      <c r="DD592" s="44"/>
      <c r="DE592" s="44"/>
      <c r="DF592" s="44"/>
      <c r="DG592" s="44"/>
      <c r="DH592" s="44"/>
      <c r="DI592" s="44"/>
      <c r="DJ592" s="44"/>
      <c r="DK592" s="44"/>
      <c r="DL592" s="44"/>
      <c r="DM592" s="44"/>
      <c r="DN592" s="44"/>
      <c r="DO592" s="44"/>
      <c r="DP592" s="44"/>
      <c r="DQ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44"/>
      <c r="DC593" s="44"/>
      <c r="DD593" s="44"/>
      <c r="DE593" s="44"/>
      <c r="DF593" s="44"/>
      <c r="DG593" s="44"/>
      <c r="DH593" s="44"/>
      <c r="DI593" s="44"/>
      <c r="DJ593" s="44"/>
      <c r="DK593" s="44"/>
      <c r="DL593" s="44"/>
      <c r="DM593" s="44"/>
      <c r="DN593" s="44"/>
      <c r="DO593" s="44"/>
      <c r="DP593" s="44"/>
      <c r="DQ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44"/>
      <c r="DC594" s="44"/>
      <c r="DD594" s="44"/>
      <c r="DE594" s="44"/>
      <c r="DF594" s="44"/>
      <c r="DG594" s="44"/>
      <c r="DH594" s="44"/>
      <c r="DI594" s="44"/>
      <c r="DJ594" s="44"/>
      <c r="DK594" s="44"/>
      <c r="DL594" s="44"/>
      <c r="DM594" s="44"/>
      <c r="DN594" s="44"/>
      <c r="DO594" s="44"/>
      <c r="DP594" s="44"/>
      <c r="DQ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44"/>
      <c r="DC595" s="44"/>
      <c r="DD595" s="44"/>
      <c r="DE595" s="44"/>
      <c r="DF595" s="44"/>
      <c r="DG595" s="44"/>
      <c r="DH595" s="44"/>
      <c r="DI595" s="44"/>
      <c r="DJ595" s="44"/>
      <c r="DK595" s="44"/>
      <c r="DL595" s="44"/>
      <c r="DM595" s="44"/>
      <c r="DN595" s="44"/>
      <c r="DO595" s="44"/>
      <c r="DP595" s="44"/>
      <c r="DQ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44"/>
      <c r="DC596" s="44"/>
      <c r="DD596" s="44"/>
      <c r="DE596" s="44"/>
      <c r="DF596" s="44"/>
      <c r="DG596" s="44"/>
      <c r="DH596" s="44"/>
      <c r="DI596" s="44"/>
      <c r="DJ596" s="44"/>
      <c r="DK596" s="44"/>
      <c r="DL596" s="44"/>
      <c r="DM596" s="44"/>
      <c r="DN596" s="44"/>
      <c r="DO596" s="44"/>
      <c r="DP596" s="44"/>
      <c r="DQ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44"/>
      <c r="DC597" s="44"/>
      <c r="DD597" s="44"/>
      <c r="DE597" s="44"/>
      <c r="DF597" s="44"/>
      <c r="DG597" s="44"/>
      <c r="DH597" s="44"/>
      <c r="DI597" s="44"/>
      <c r="DJ597" s="44"/>
      <c r="DK597" s="44"/>
      <c r="DL597" s="44"/>
      <c r="DM597" s="44"/>
      <c r="DN597" s="44"/>
      <c r="DO597" s="44"/>
      <c r="DP597" s="44"/>
      <c r="DQ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44"/>
      <c r="DC598" s="44"/>
      <c r="DD598" s="44"/>
      <c r="DE598" s="44"/>
      <c r="DF598" s="44"/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44"/>
      <c r="DC599" s="44"/>
      <c r="DD599" s="44"/>
      <c r="DE599" s="44"/>
      <c r="DF599" s="44"/>
      <c r="DG599" s="44"/>
      <c r="DH599" s="44"/>
      <c r="DI599" s="44"/>
      <c r="DJ599" s="44"/>
      <c r="DK599" s="44"/>
      <c r="DL599" s="44"/>
      <c r="DM599" s="44"/>
      <c r="DN599" s="44"/>
      <c r="DO599" s="44"/>
      <c r="DP599" s="44"/>
      <c r="DQ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44"/>
      <c r="DC600" s="44"/>
      <c r="DD600" s="44"/>
      <c r="DE600" s="44"/>
      <c r="DF600" s="44"/>
      <c r="DG600" s="44"/>
      <c r="DH600" s="44"/>
      <c r="DI600" s="44"/>
      <c r="DJ600" s="44"/>
      <c r="DK600" s="44"/>
      <c r="DL600" s="44"/>
      <c r="DM600" s="44"/>
      <c r="DN600" s="44"/>
      <c r="DO600" s="44"/>
      <c r="DP600" s="44"/>
      <c r="DQ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44"/>
      <c r="DC601" s="44"/>
      <c r="DD601" s="44"/>
      <c r="DE601" s="44"/>
      <c r="DF601" s="44"/>
      <c r="DG601" s="44"/>
      <c r="DH601" s="44"/>
      <c r="DI601" s="44"/>
      <c r="DJ601" s="44"/>
      <c r="DK601" s="44"/>
      <c r="DL601" s="44"/>
      <c r="DM601" s="44"/>
      <c r="DN601" s="44"/>
      <c r="DO601" s="44"/>
      <c r="DP601" s="44"/>
      <c r="DQ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44"/>
      <c r="DC602" s="44"/>
      <c r="DD602" s="44"/>
      <c r="DE602" s="44"/>
      <c r="DF602" s="44"/>
      <c r="DG602" s="44"/>
      <c r="DH602" s="44"/>
      <c r="DI602" s="44"/>
      <c r="DJ602" s="44"/>
      <c r="DK602" s="44"/>
      <c r="DL602" s="44"/>
      <c r="DM602" s="44"/>
      <c r="DN602" s="44"/>
      <c r="DO602" s="44"/>
      <c r="DP602" s="44"/>
      <c r="DQ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44"/>
      <c r="DC603" s="44"/>
      <c r="DD603" s="44"/>
      <c r="DE603" s="44"/>
      <c r="DF603" s="44"/>
      <c r="DG603" s="44"/>
      <c r="DH603" s="44"/>
      <c r="DI603" s="44"/>
      <c r="DJ603" s="44"/>
      <c r="DK603" s="44"/>
      <c r="DL603" s="44"/>
      <c r="DM603" s="44"/>
      <c r="DN603" s="44"/>
      <c r="DO603" s="44"/>
      <c r="DP603" s="44"/>
      <c r="DQ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44"/>
      <c r="DC604" s="44"/>
      <c r="DD604" s="44"/>
      <c r="DE604" s="44"/>
      <c r="DF604" s="44"/>
      <c r="DG604" s="44"/>
      <c r="DH604" s="44"/>
      <c r="DI604" s="44"/>
      <c r="DJ604" s="44"/>
      <c r="DK604" s="44"/>
      <c r="DL604" s="44"/>
      <c r="DM604" s="44"/>
      <c r="DN604" s="44"/>
      <c r="DO604" s="44"/>
      <c r="DP604" s="44"/>
      <c r="DQ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44"/>
      <c r="DC605" s="44"/>
      <c r="DD605" s="44"/>
      <c r="DE605" s="44"/>
      <c r="DF605" s="44"/>
      <c r="DG605" s="44"/>
      <c r="DH605" s="44"/>
      <c r="DI605" s="44"/>
      <c r="DJ605" s="44"/>
      <c r="DK605" s="44"/>
      <c r="DL605" s="44"/>
      <c r="DM605" s="44"/>
      <c r="DN605" s="44"/>
      <c r="DO605" s="44"/>
      <c r="DP605" s="44"/>
      <c r="DQ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44"/>
      <c r="DC606" s="44"/>
      <c r="DD606" s="44"/>
      <c r="DE606" s="44"/>
      <c r="DF606" s="44"/>
      <c r="DG606" s="44"/>
      <c r="DH606" s="44"/>
      <c r="DI606" s="44"/>
      <c r="DJ606" s="44"/>
      <c r="DK606" s="44"/>
      <c r="DL606" s="44"/>
      <c r="DM606" s="44"/>
      <c r="DN606" s="44"/>
      <c r="DO606" s="44"/>
      <c r="DP606" s="44"/>
      <c r="DQ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44"/>
      <c r="DC607" s="44"/>
      <c r="DD607" s="44"/>
      <c r="DE607" s="44"/>
      <c r="DF607" s="44"/>
      <c r="DG607" s="44"/>
      <c r="DH607" s="44"/>
      <c r="DI607" s="44"/>
      <c r="DJ607" s="44"/>
      <c r="DK607" s="44"/>
      <c r="DL607" s="44"/>
      <c r="DM607" s="44"/>
      <c r="DN607" s="44"/>
      <c r="DO607" s="44"/>
      <c r="DP607" s="44"/>
      <c r="DQ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44"/>
      <c r="DC608" s="44"/>
      <c r="DD608" s="44"/>
      <c r="DE608" s="44"/>
      <c r="DF608" s="44"/>
      <c r="DG608" s="44"/>
      <c r="DH608" s="44"/>
      <c r="DI608" s="44"/>
      <c r="DJ608" s="44"/>
      <c r="DK608" s="44"/>
      <c r="DL608" s="44"/>
      <c r="DM608" s="44"/>
      <c r="DN608" s="44"/>
      <c r="DO608" s="44"/>
      <c r="DP608" s="44"/>
      <c r="DQ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44"/>
      <c r="DC609" s="44"/>
      <c r="DD609" s="44"/>
      <c r="DE609" s="44"/>
      <c r="DF609" s="44"/>
      <c r="DG609" s="44"/>
      <c r="DH609" s="44"/>
      <c r="DI609" s="44"/>
      <c r="DJ609" s="44"/>
      <c r="DK609" s="44"/>
      <c r="DL609" s="44"/>
      <c r="DM609" s="44"/>
      <c r="DN609" s="44"/>
      <c r="DO609" s="44"/>
      <c r="DP609" s="44"/>
      <c r="DQ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44"/>
      <c r="DC610" s="44"/>
      <c r="DD610" s="44"/>
      <c r="DE610" s="44"/>
      <c r="DF610" s="44"/>
      <c r="DG610" s="44"/>
      <c r="DH610" s="44"/>
      <c r="DI610" s="44"/>
      <c r="DJ610" s="44"/>
      <c r="DK610" s="44"/>
      <c r="DL610" s="44"/>
      <c r="DM610" s="44"/>
      <c r="DN610" s="44"/>
      <c r="DO610" s="44"/>
      <c r="DP610" s="44"/>
      <c r="DQ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44"/>
      <c r="DC611" s="44"/>
      <c r="DD611" s="44"/>
      <c r="DE611" s="44"/>
      <c r="DF611" s="44"/>
      <c r="DG611" s="44"/>
      <c r="DH611" s="44"/>
      <c r="DI611" s="44"/>
      <c r="DJ611" s="44"/>
      <c r="DK611" s="44"/>
      <c r="DL611" s="44"/>
      <c r="DM611" s="44"/>
      <c r="DN611" s="44"/>
      <c r="DO611" s="44"/>
      <c r="DP611" s="44"/>
      <c r="DQ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44"/>
      <c r="DC612" s="44"/>
      <c r="DD612" s="44"/>
      <c r="DE612" s="44"/>
      <c r="DF612" s="44"/>
      <c r="DG612" s="44"/>
      <c r="DH612" s="44"/>
      <c r="DI612" s="44"/>
      <c r="DJ612" s="44"/>
      <c r="DK612" s="44"/>
      <c r="DL612" s="44"/>
      <c r="DM612" s="44"/>
      <c r="DN612" s="44"/>
      <c r="DO612" s="44"/>
      <c r="DP612" s="44"/>
      <c r="DQ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44"/>
      <c r="DC613" s="44"/>
      <c r="DD613" s="44"/>
      <c r="DE613" s="44"/>
      <c r="DF613" s="44"/>
      <c r="DG613" s="44"/>
      <c r="DH613" s="44"/>
      <c r="DI613" s="44"/>
      <c r="DJ613" s="44"/>
      <c r="DK613" s="44"/>
      <c r="DL613" s="44"/>
      <c r="DM613" s="44"/>
      <c r="DN613" s="44"/>
      <c r="DO613" s="44"/>
      <c r="DP613" s="44"/>
      <c r="DQ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44"/>
      <c r="DC614" s="44"/>
      <c r="DD614" s="44"/>
      <c r="DE614" s="44"/>
      <c r="DF614" s="44"/>
      <c r="DG614" s="44"/>
      <c r="DH614" s="44"/>
      <c r="DI614" s="44"/>
      <c r="DJ614" s="44"/>
      <c r="DK614" s="44"/>
      <c r="DL614" s="44"/>
      <c r="DM614" s="44"/>
      <c r="DN614" s="44"/>
      <c r="DO614" s="44"/>
      <c r="DP614" s="44"/>
      <c r="DQ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44"/>
      <c r="DC615" s="44"/>
      <c r="DD615" s="44"/>
      <c r="DE615" s="44"/>
      <c r="DF615" s="44"/>
      <c r="DG615" s="44"/>
      <c r="DH615" s="44"/>
      <c r="DI615" s="44"/>
      <c r="DJ615" s="44"/>
      <c r="DK615" s="44"/>
      <c r="DL615" s="44"/>
      <c r="DM615" s="44"/>
      <c r="DN615" s="44"/>
      <c r="DO615" s="44"/>
      <c r="DP615" s="44"/>
      <c r="DQ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44"/>
      <c r="DC616" s="44"/>
      <c r="DD616" s="44"/>
      <c r="DE616" s="44"/>
      <c r="DF616" s="44"/>
      <c r="DG616" s="44"/>
      <c r="DH616" s="44"/>
      <c r="DI616" s="44"/>
      <c r="DJ616" s="44"/>
      <c r="DK616" s="44"/>
      <c r="DL616" s="44"/>
      <c r="DM616" s="44"/>
      <c r="DN616" s="44"/>
      <c r="DO616" s="44"/>
      <c r="DP616" s="44"/>
      <c r="DQ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44"/>
      <c r="DC617" s="44"/>
      <c r="DD617" s="44"/>
      <c r="DE617" s="44"/>
      <c r="DF617" s="44"/>
      <c r="DG617" s="44"/>
      <c r="DH617" s="44"/>
      <c r="DI617" s="44"/>
      <c r="DJ617" s="44"/>
      <c r="DK617" s="44"/>
      <c r="DL617" s="44"/>
      <c r="DM617" s="44"/>
      <c r="DN617" s="44"/>
      <c r="DO617" s="44"/>
      <c r="DP617" s="44"/>
      <c r="DQ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44"/>
      <c r="DC618" s="44"/>
      <c r="DD618" s="44"/>
      <c r="DE618" s="44"/>
      <c r="DF618" s="44"/>
      <c r="DG618" s="44"/>
      <c r="DH618" s="44"/>
      <c r="DI618" s="44"/>
      <c r="DJ618" s="44"/>
      <c r="DK618" s="44"/>
      <c r="DL618" s="44"/>
      <c r="DM618" s="44"/>
      <c r="DN618" s="44"/>
      <c r="DO618" s="44"/>
      <c r="DP618" s="44"/>
      <c r="DQ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44"/>
      <c r="DC619" s="44"/>
      <c r="DD619" s="44"/>
      <c r="DE619" s="44"/>
      <c r="DF619" s="44"/>
      <c r="DG619" s="44"/>
      <c r="DH619" s="44"/>
      <c r="DI619" s="44"/>
      <c r="DJ619" s="44"/>
      <c r="DK619" s="44"/>
      <c r="DL619" s="44"/>
      <c r="DM619" s="44"/>
      <c r="DN619" s="44"/>
      <c r="DO619" s="44"/>
      <c r="DP619" s="44"/>
      <c r="DQ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44"/>
      <c r="DC620" s="44"/>
      <c r="DD620" s="44"/>
      <c r="DE620" s="44"/>
      <c r="DF620" s="44"/>
      <c r="DG620" s="44"/>
      <c r="DH620" s="44"/>
      <c r="DI620" s="44"/>
      <c r="DJ620" s="44"/>
      <c r="DK620" s="44"/>
      <c r="DL620" s="44"/>
      <c r="DM620" s="44"/>
      <c r="DN620" s="44"/>
      <c r="DO620" s="44"/>
      <c r="DP620" s="44"/>
      <c r="DQ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44"/>
      <c r="DC621" s="44"/>
      <c r="DD621" s="44"/>
      <c r="DE621" s="44"/>
      <c r="DF621" s="44"/>
      <c r="DG621" s="44"/>
      <c r="DH621" s="44"/>
      <c r="DI621" s="44"/>
      <c r="DJ621" s="44"/>
      <c r="DK621" s="44"/>
      <c r="DL621" s="44"/>
      <c r="DM621" s="44"/>
      <c r="DN621" s="44"/>
      <c r="DO621" s="44"/>
      <c r="DP621" s="44"/>
      <c r="DQ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44"/>
      <c r="DC622" s="44"/>
      <c r="DD622" s="44"/>
      <c r="DE622" s="44"/>
      <c r="DF622" s="44"/>
      <c r="DG622" s="44"/>
      <c r="DH622" s="44"/>
      <c r="DI622" s="44"/>
      <c r="DJ622" s="44"/>
      <c r="DK622" s="44"/>
      <c r="DL622" s="44"/>
      <c r="DM622" s="44"/>
      <c r="DN622" s="44"/>
      <c r="DO622" s="44"/>
      <c r="DP622" s="44"/>
      <c r="DQ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44"/>
      <c r="DC623" s="44"/>
      <c r="DD623" s="44"/>
      <c r="DE623" s="44"/>
      <c r="DF623" s="44"/>
      <c r="DG623" s="44"/>
      <c r="DH623" s="44"/>
      <c r="DI623" s="44"/>
      <c r="DJ623" s="44"/>
      <c r="DK623" s="44"/>
      <c r="DL623" s="44"/>
      <c r="DM623" s="44"/>
      <c r="DN623" s="44"/>
      <c r="DO623" s="44"/>
      <c r="DP623" s="44"/>
      <c r="DQ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44"/>
      <c r="DC624" s="44"/>
      <c r="DD624" s="44"/>
      <c r="DE624" s="44"/>
      <c r="DF624" s="44"/>
      <c r="DG624" s="44"/>
      <c r="DH624" s="44"/>
      <c r="DI624" s="44"/>
      <c r="DJ624" s="44"/>
      <c r="DK624" s="44"/>
      <c r="DL624" s="44"/>
      <c r="DM624" s="44"/>
      <c r="DN624" s="44"/>
      <c r="DO624" s="44"/>
      <c r="DP624" s="44"/>
      <c r="DQ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44"/>
      <c r="DC625" s="44"/>
      <c r="DD625" s="44"/>
      <c r="DE625" s="44"/>
      <c r="DF625" s="44"/>
      <c r="DG625" s="44"/>
      <c r="DH625" s="44"/>
      <c r="DI625" s="44"/>
      <c r="DJ625" s="44"/>
      <c r="DK625" s="44"/>
      <c r="DL625" s="44"/>
      <c r="DM625" s="44"/>
      <c r="DN625" s="44"/>
      <c r="DO625" s="44"/>
      <c r="DP625" s="44"/>
      <c r="DQ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44"/>
      <c r="DC626" s="44"/>
      <c r="DD626" s="44"/>
      <c r="DE626" s="44"/>
      <c r="DF626" s="44"/>
      <c r="DG626" s="44"/>
      <c r="DH626" s="44"/>
      <c r="DI626" s="44"/>
      <c r="DJ626" s="44"/>
      <c r="DK626" s="44"/>
      <c r="DL626" s="44"/>
      <c r="DM626" s="44"/>
      <c r="DN626" s="44"/>
      <c r="DO626" s="44"/>
      <c r="DP626" s="44"/>
      <c r="DQ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44"/>
      <c r="DC627" s="44"/>
      <c r="DD627" s="44"/>
      <c r="DE627" s="44"/>
      <c r="DF627" s="44"/>
      <c r="DG627" s="44"/>
      <c r="DH627" s="44"/>
      <c r="DI627" s="44"/>
      <c r="DJ627" s="44"/>
      <c r="DK627" s="44"/>
      <c r="DL627" s="44"/>
      <c r="DM627" s="44"/>
      <c r="DN627" s="44"/>
      <c r="DO627" s="44"/>
      <c r="DP627" s="44"/>
      <c r="DQ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44"/>
      <c r="DC628" s="44"/>
      <c r="DD628" s="44"/>
      <c r="DE628" s="44"/>
      <c r="DF628" s="44"/>
      <c r="DG628" s="44"/>
      <c r="DH628" s="44"/>
      <c r="DI628" s="44"/>
      <c r="DJ628" s="44"/>
      <c r="DK628" s="44"/>
      <c r="DL628" s="44"/>
      <c r="DM628" s="44"/>
      <c r="DN628" s="44"/>
      <c r="DO628" s="44"/>
      <c r="DP628" s="44"/>
      <c r="DQ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44"/>
      <c r="DC629" s="44"/>
      <c r="DD629" s="44"/>
      <c r="DE629" s="44"/>
      <c r="DF629" s="44"/>
      <c r="DG629" s="44"/>
      <c r="DH629" s="44"/>
      <c r="DI629" s="44"/>
      <c r="DJ629" s="44"/>
      <c r="DK629" s="44"/>
      <c r="DL629" s="44"/>
      <c r="DM629" s="44"/>
      <c r="DN629" s="44"/>
      <c r="DO629" s="44"/>
      <c r="DP629" s="44"/>
      <c r="DQ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44"/>
      <c r="DC630" s="44"/>
      <c r="DD630" s="44"/>
      <c r="DE630" s="44"/>
      <c r="DF630" s="44"/>
      <c r="DG630" s="44"/>
      <c r="DH630" s="44"/>
      <c r="DI630" s="44"/>
      <c r="DJ630" s="44"/>
      <c r="DK630" s="44"/>
      <c r="DL630" s="44"/>
      <c r="DM630" s="44"/>
      <c r="DN630" s="44"/>
      <c r="DO630" s="44"/>
      <c r="DP630" s="44"/>
      <c r="DQ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44"/>
      <c r="DC631" s="44"/>
      <c r="DD631" s="44"/>
      <c r="DE631" s="44"/>
      <c r="DF631" s="44"/>
      <c r="DG631" s="44"/>
      <c r="DH631" s="44"/>
      <c r="DI631" s="44"/>
      <c r="DJ631" s="44"/>
      <c r="DK631" s="44"/>
      <c r="DL631" s="44"/>
      <c r="DM631" s="44"/>
      <c r="DN631" s="44"/>
      <c r="DO631" s="44"/>
      <c r="DP631" s="44"/>
      <c r="DQ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44"/>
      <c r="DC633" s="44"/>
      <c r="DD633" s="44"/>
      <c r="DE633" s="44"/>
      <c r="DF633" s="44"/>
      <c r="DG633" s="44"/>
      <c r="DH633" s="44"/>
      <c r="DI633" s="44"/>
      <c r="DJ633" s="44"/>
      <c r="DK633" s="44"/>
      <c r="DL633" s="44"/>
      <c r="DM633" s="44"/>
      <c r="DN633" s="44"/>
      <c r="DO633" s="44"/>
      <c r="DP633" s="44"/>
      <c r="DQ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44"/>
      <c r="DC634" s="44"/>
      <c r="DD634" s="44"/>
      <c r="DE634" s="44"/>
      <c r="DF634" s="44"/>
      <c r="DG634" s="44"/>
      <c r="DH634" s="44"/>
      <c r="DI634" s="44"/>
      <c r="DJ634" s="44"/>
      <c r="DK634" s="44"/>
      <c r="DL634" s="44"/>
      <c r="DM634" s="44"/>
      <c r="DN634" s="44"/>
      <c r="DO634" s="44"/>
      <c r="DP634" s="44"/>
      <c r="DQ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44"/>
      <c r="DC635" s="44"/>
      <c r="DD635" s="44"/>
      <c r="DE635" s="44"/>
      <c r="DF635" s="44"/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44"/>
      <c r="DC636" s="44"/>
      <c r="DD636" s="44"/>
      <c r="DE636" s="44"/>
      <c r="DF636" s="44"/>
      <c r="DG636" s="44"/>
      <c r="DH636" s="44"/>
      <c r="DI636" s="44"/>
      <c r="DJ636" s="44"/>
      <c r="DK636" s="44"/>
      <c r="DL636" s="44"/>
      <c r="DM636" s="44"/>
      <c r="DN636" s="44"/>
      <c r="DO636" s="44"/>
      <c r="DP636" s="44"/>
      <c r="DQ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44"/>
      <c r="DC637" s="44"/>
      <c r="DD637" s="44"/>
      <c r="DE637" s="44"/>
      <c r="DF637" s="44"/>
      <c r="DG637" s="44"/>
      <c r="DH637" s="44"/>
      <c r="DI637" s="44"/>
      <c r="DJ637" s="44"/>
      <c r="DK637" s="44"/>
      <c r="DL637" s="44"/>
      <c r="DM637" s="44"/>
      <c r="DN637" s="44"/>
      <c r="DO637" s="44"/>
      <c r="DP637" s="44"/>
      <c r="DQ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44"/>
      <c r="DC638" s="44"/>
      <c r="DD638" s="44"/>
      <c r="DE638" s="44"/>
      <c r="DF638" s="44"/>
      <c r="DG638" s="44"/>
      <c r="DH638" s="44"/>
      <c r="DI638" s="44"/>
      <c r="DJ638" s="44"/>
      <c r="DK638" s="44"/>
      <c r="DL638" s="44"/>
      <c r="DM638" s="44"/>
      <c r="DN638" s="44"/>
      <c r="DO638" s="44"/>
      <c r="DP638" s="44"/>
      <c r="DQ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44"/>
      <c r="DC639" s="44"/>
      <c r="DD639" s="44"/>
      <c r="DE639" s="44"/>
      <c r="DF639" s="44"/>
      <c r="DG639" s="44"/>
      <c r="DH639" s="44"/>
      <c r="DI639" s="44"/>
      <c r="DJ639" s="44"/>
      <c r="DK639" s="44"/>
      <c r="DL639" s="44"/>
      <c r="DM639" s="44"/>
      <c r="DN639" s="44"/>
      <c r="DO639" s="44"/>
      <c r="DP639" s="44"/>
      <c r="DQ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44"/>
      <c r="DC640" s="44"/>
      <c r="DD640" s="44"/>
      <c r="DE640" s="44"/>
      <c r="DF640" s="44"/>
      <c r="DG640" s="44"/>
      <c r="DH640" s="44"/>
      <c r="DI640" s="44"/>
      <c r="DJ640" s="44"/>
      <c r="DK640" s="44"/>
      <c r="DL640" s="44"/>
      <c r="DM640" s="44"/>
      <c r="DN640" s="44"/>
      <c r="DO640" s="44"/>
      <c r="DP640" s="44"/>
      <c r="DQ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44"/>
      <c r="DC641" s="44"/>
      <c r="DD641" s="44"/>
      <c r="DE641" s="44"/>
      <c r="DF641" s="44"/>
      <c r="DG641" s="44"/>
      <c r="DH641" s="44"/>
      <c r="DI641" s="44"/>
      <c r="DJ641" s="44"/>
      <c r="DK641" s="44"/>
      <c r="DL641" s="44"/>
      <c r="DM641" s="44"/>
      <c r="DN641" s="44"/>
      <c r="DO641" s="44"/>
      <c r="DP641" s="44"/>
      <c r="DQ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44"/>
      <c r="DC642" s="44"/>
      <c r="DD642" s="44"/>
      <c r="DE642" s="44"/>
      <c r="DF642" s="44"/>
      <c r="DG642" s="44"/>
      <c r="DH642" s="44"/>
      <c r="DI642" s="44"/>
      <c r="DJ642" s="44"/>
      <c r="DK642" s="44"/>
      <c r="DL642" s="44"/>
      <c r="DM642" s="44"/>
      <c r="DN642" s="44"/>
      <c r="DO642" s="44"/>
      <c r="DP642" s="44"/>
      <c r="DQ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44"/>
      <c r="DC643" s="44"/>
      <c r="DD643" s="44"/>
      <c r="DE643" s="44"/>
      <c r="DF643" s="44"/>
      <c r="DG643" s="44"/>
      <c r="DH643" s="44"/>
      <c r="DI643" s="44"/>
      <c r="DJ643" s="44"/>
      <c r="DK643" s="44"/>
      <c r="DL643" s="44"/>
      <c r="DM643" s="44"/>
      <c r="DN643" s="44"/>
      <c r="DO643" s="44"/>
      <c r="DP643" s="44"/>
      <c r="DQ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44"/>
      <c r="DC644" s="44"/>
      <c r="DD644" s="44"/>
      <c r="DE644" s="44"/>
      <c r="DF644" s="44"/>
      <c r="DG644" s="44"/>
      <c r="DH644" s="44"/>
      <c r="DI644" s="44"/>
      <c r="DJ644" s="44"/>
      <c r="DK644" s="44"/>
      <c r="DL644" s="44"/>
      <c r="DM644" s="44"/>
      <c r="DN644" s="44"/>
      <c r="DO644" s="44"/>
      <c r="DP644" s="44"/>
      <c r="DQ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44"/>
      <c r="DC645" s="44"/>
      <c r="DD645" s="44"/>
      <c r="DE645" s="44"/>
      <c r="DF645" s="44"/>
      <c r="DG645" s="44"/>
      <c r="DH645" s="44"/>
      <c r="DI645" s="44"/>
      <c r="DJ645" s="44"/>
      <c r="DK645" s="44"/>
      <c r="DL645" s="44"/>
      <c r="DM645" s="44"/>
      <c r="DN645" s="44"/>
      <c r="DO645" s="44"/>
      <c r="DP645" s="44"/>
      <c r="DQ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44"/>
      <c r="DC646" s="44"/>
      <c r="DD646" s="44"/>
      <c r="DE646" s="44"/>
      <c r="DF646" s="44"/>
      <c r="DG646" s="44"/>
      <c r="DH646" s="44"/>
      <c r="DI646" s="44"/>
      <c r="DJ646" s="44"/>
      <c r="DK646" s="44"/>
      <c r="DL646" s="44"/>
      <c r="DM646" s="44"/>
      <c r="DN646" s="44"/>
      <c r="DO646" s="44"/>
      <c r="DP646" s="44"/>
      <c r="DQ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44"/>
      <c r="DC647" s="44"/>
      <c r="DD647" s="44"/>
      <c r="DE647" s="44"/>
      <c r="DF647" s="44"/>
      <c r="DG647" s="44"/>
      <c r="DH647" s="44"/>
      <c r="DI647" s="44"/>
      <c r="DJ647" s="44"/>
      <c r="DK647" s="44"/>
      <c r="DL647" s="44"/>
      <c r="DM647" s="44"/>
      <c r="DN647" s="44"/>
      <c r="DO647" s="44"/>
      <c r="DP647" s="44"/>
      <c r="DQ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44"/>
      <c r="DC648" s="44"/>
      <c r="DD648" s="44"/>
      <c r="DE648" s="44"/>
      <c r="DF648" s="44"/>
      <c r="DG648" s="44"/>
      <c r="DH648" s="44"/>
      <c r="DI648" s="44"/>
      <c r="DJ648" s="44"/>
      <c r="DK648" s="44"/>
      <c r="DL648" s="44"/>
      <c r="DM648" s="44"/>
      <c r="DN648" s="44"/>
      <c r="DO648" s="44"/>
      <c r="DP648" s="44"/>
      <c r="DQ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44"/>
      <c r="DC649" s="44"/>
      <c r="DD649" s="44"/>
      <c r="DE649" s="44"/>
      <c r="DF649" s="44"/>
      <c r="DG649" s="44"/>
      <c r="DH649" s="44"/>
      <c r="DI649" s="44"/>
      <c r="DJ649" s="44"/>
      <c r="DK649" s="44"/>
      <c r="DL649" s="44"/>
      <c r="DM649" s="44"/>
      <c r="DN649" s="44"/>
      <c r="DO649" s="44"/>
      <c r="DP649" s="44"/>
      <c r="DQ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44"/>
      <c r="DC650" s="44"/>
      <c r="DD650" s="44"/>
      <c r="DE650" s="44"/>
      <c r="DF650" s="44"/>
      <c r="DG650" s="44"/>
      <c r="DH650" s="44"/>
      <c r="DI650" s="44"/>
      <c r="DJ650" s="44"/>
      <c r="DK650" s="44"/>
      <c r="DL650" s="44"/>
      <c r="DM650" s="44"/>
      <c r="DN650" s="44"/>
      <c r="DO650" s="44"/>
      <c r="DP650" s="44"/>
      <c r="DQ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44"/>
      <c r="DC651" s="44"/>
      <c r="DD651" s="44"/>
      <c r="DE651" s="44"/>
      <c r="DF651" s="44"/>
      <c r="DG651" s="44"/>
      <c r="DH651" s="44"/>
      <c r="DI651" s="44"/>
      <c r="DJ651" s="44"/>
      <c r="DK651" s="44"/>
      <c r="DL651" s="44"/>
      <c r="DM651" s="44"/>
      <c r="DN651" s="44"/>
      <c r="DO651" s="44"/>
      <c r="DP651" s="44"/>
      <c r="DQ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44"/>
      <c r="DC652" s="44"/>
      <c r="DD652" s="44"/>
      <c r="DE652" s="44"/>
      <c r="DF652" s="44"/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44"/>
      <c r="DC653" s="44"/>
      <c r="DD653" s="44"/>
      <c r="DE653" s="44"/>
      <c r="DF653" s="44"/>
      <c r="DG653" s="44"/>
      <c r="DH653" s="44"/>
      <c r="DI653" s="44"/>
      <c r="DJ653" s="44"/>
      <c r="DK653" s="44"/>
      <c r="DL653" s="44"/>
      <c r="DM653" s="44"/>
      <c r="DN653" s="44"/>
      <c r="DO653" s="44"/>
      <c r="DP653" s="44"/>
      <c r="DQ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44"/>
      <c r="DC654" s="44"/>
      <c r="DD654" s="44"/>
      <c r="DE654" s="44"/>
      <c r="DF654" s="44"/>
      <c r="DG654" s="44"/>
      <c r="DH654" s="44"/>
      <c r="DI654" s="44"/>
      <c r="DJ654" s="44"/>
      <c r="DK654" s="44"/>
      <c r="DL654" s="44"/>
      <c r="DM654" s="44"/>
      <c r="DN654" s="44"/>
      <c r="DO654" s="44"/>
      <c r="DP654" s="44"/>
      <c r="DQ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44"/>
      <c r="DC655" s="44"/>
      <c r="DD655" s="44"/>
      <c r="DE655" s="44"/>
      <c r="DF655" s="44"/>
      <c r="DG655" s="44"/>
      <c r="DH655" s="44"/>
      <c r="DI655" s="44"/>
      <c r="DJ655" s="44"/>
      <c r="DK655" s="44"/>
      <c r="DL655" s="44"/>
      <c r="DM655" s="44"/>
      <c r="DN655" s="44"/>
      <c r="DO655" s="44"/>
      <c r="DP655" s="44"/>
      <c r="DQ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44"/>
      <c r="DC656" s="44"/>
      <c r="DD656" s="44"/>
      <c r="DE656" s="44"/>
      <c r="DF656" s="44"/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44"/>
      <c r="DC657" s="44"/>
      <c r="DD657" s="44"/>
      <c r="DE657" s="44"/>
      <c r="DF657" s="44"/>
      <c r="DG657" s="44"/>
      <c r="DH657" s="44"/>
      <c r="DI657" s="44"/>
      <c r="DJ657" s="44"/>
      <c r="DK657" s="44"/>
      <c r="DL657" s="44"/>
      <c r="DM657" s="44"/>
      <c r="DN657" s="44"/>
      <c r="DO657" s="44"/>
      <c r="DP657" s="44"/>
      <c r="DQ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44"/>
      <c r="DC658" s="44"/>
      <c r="DD658" s="44"/>
      <c r="DE658" s="44"/>
      <c r="DF658" s="44"/>
      <c r="DG658" s="44"/>
      <c r="DH658" s="44"/>
      <c r="DI658" s="44"/>
      <c r="DJ658" s="44"/>
      <c r="DK658" s="44"/>
      <c r="DL658" s="44"/>
      <c r="DM658" s="44"/>
      <c r="DN658" s="44"/>
      <c r="DO658" s="44"/>
      <c r="DP658" s="44"/>
      <c r="DQ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44"/>
      <c r="DC659" s="44"/>
      <c r="DD659" s="44"/>
      <c r="DE659" s="44"/>
      <c r="DF659" s="44"/>
      <c r="DG659" s="44"/>
      <c r="DH659" s="44"/>
      <c r="DI659" s="44"/>
      <c r="DJ659" s="44"/>
      <c r="DK659" s="44"/>
      <c r="DL659" s="44"/>
      <c r="DM659" s="44"/>
      <c r="DN659" s="44"/>
      <c r="DO659" s="44"/>
      <c r="DP659" s="44"/>
      <c r="DQ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44"/>
      <c r="DC660" s="44"/>
      <c r="DD660" s="44"/>
      <c r="DE660" s="44"/>
      <c r="DF660" s="44"/>
      <c r="DG660" s="44"/>
      <c r="DH660" s="44"/>
      <c r="DI660" s="44"/>
      <c r="DJ660" s="44"/>
      <c r="DK660" s="44"/>
      <c r="DL660" s="44"/>
      <c r="DM660" s="44"/>
      <c r="DN660" s="44"/>
      <c r="DO660" s="44"/>
      <c r="DP660" s="44"/>
      <c r="DQ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44"/>
      <c r="DC661" s="44"/>
      <c r="DD661" s="44"/>
      <c r="DE661" s="44"/>
      <c r="DF661" s="44"/>
      <c r="DG661" s="44"/>
      <c r="DH661" s="44"/>
      <c r="DI661" s="44"/>
      <c r="DJ661" s="44"/>
      <c r="DK661" s="44"/>
      <c r="DL661" s="44"/>
      <c r="DM661" s="44"/>
      <c r="DN661" s="44"/>
      <c r="DO661" s="44"/>
      <c r="DP661" s="44"/>
      <c r="DQ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44"/>
      <c r="DC662" s="44"/>
      <c r="DD662" s="44"/>
      <c r="DE662" s="44"/>
      <c r="DF662" s="44"/>
      <c r="DG662" s="44"/>
      <c r="DH662" s="44"/>
      <c r="DI662" s="44"/>
      <c r="DJ662" s="44"/>
      <c r="DK662" s="44"/>
      <c r="DL662" s="44"/>
      <c r="DM662" s="44"/>
      <c r="DN662" s="44"/>
      <c r="DO662" s="44"/>
      <c r="DP662" s="44"/>
      <c r="DQ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44"/>
      <c r="DC663" s="44"/>
      <c r="DD663" s="44"/>
      <c r="DE663" s="44"/>
      <c r="DF663" s="44"/>
      <c r="DG663" s="44"/>
      <c r="DH663" s="44"/>
      <c r="DI663" s="44"/>
      <c r="DJ663" s="44"/>
      <c r="DK663" s="44"/>
      <c r="DL663" s="44"/>
      <c r="DM663" s="44"/>
      <c r="DN663" s="44"/>
      <c r="DO663" s="44"/>
      <c r="DP663" s="44"/>
      <c r="DQ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44"/>
      <c r="DC664" s="44"/>
      <c r="DD664" s="44"/>
      <c r="DE664" s="44"/>
      <c r="DF664" s="44"/>
      <c r="DG664" s="44"/>
      <c r="DH664" s="44"/>
      <c r="DI664" s="44"/>
      <c r="DJ664" s="44"/>
      <c r="DK664" s="44"/>
      <c r="DL664" s="44"/>
      <c r="DM664" s="44"/>
      <c r="DN664" s="44"/>
      <c r="DO664" s="44"/>
      <c r="DP664" s="44"/>
      <c r="DQ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44"/>
      <c r="DC665" s="44"/>
      <c r="DD665" s="44"/>
      <c r="DE665" s="44"/>
      <c r="DF665" s="44"/>
      <c r="DG665" s="44"/>
      <c r="DH665" s="44"/>
      <c r="DI665" s="44"/>
      <c r="DJ665" s="44"/>
      <c r="DK665" s="44"/>
      <c r="DL665" s="44"/>
      <c r="DM665" s="44"/>
      <c r="DN665" s="44"/>
      <c r="DO665" s="44"/>
      <c r="DP665" s="44"/>
      <c r="DQ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44"/>
      <c r="DC666" s="44"/>
      <c r="DD666" s="44"/>
      <c r="DE666" s="44"/>
      <c r="DF666" s="44"/>
      <c r="DG666" s="44"/>
      <c r="DH666" s="44"/>
      <c r="DI666" s="44"/>
      <c r="DJ666" s="44"/>
      <c r="DK666" s="44"/>
      <c r="DL666" s="44"/>
      <c r="DM666" s="44"/>
      <c r="DN666" s="44"/>
      <c r="DO666" s="44"/>
      <c r="DP666" s="44"/>
      <c r="DQ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44"/>
      <c r="DC667" s="44"/>
      <c r="DD667" s="44"/>
      <c r="DE667" s="44"/>
      <c r="DF667" s="44"/>
      <c r="DG667" s="44"/>
      <c r="DH667" s="44"/>
      <c r="DI667" s="44"/>
      <c r="DJ667" s="44"/>
      <c r="DK667" s="44"/>
      <c r="DL667" s="44"/>
      <c r="DM667" s="44"/>
      <c r="DN667" s="44"/>
      <c r="DO667" s="44"/>
      <c r="DP667" s="44"/>
      <c r="DQ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44"/>
      <c r="DC668" s="44"/>
      <c r="DD668" s="44"/>
      <c r="DE668" s="44"/>
      <c r="DF668" s="44"/>
      <c r="DG668" s="44"/>
      <c r="DH668" s="44"/>
      <c r="DI668" s="44"/>
      <c r="DJ668" s="44"/>
      <c r="DK668" s="44"/>
      <c r="DL668" s="44"/>
      <c r="DM668" s="44"/>
      <c r="DN668" s="44"/>
      <c r="DO668" s="44"/>
      <c r="DP668" s="44"/>
      <c r="DQ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44"/>
      <c r="DC669" s="44"/>
      <c r="DD669" s="44"/>
      <c r="DE669" s="44"/>
      <c r="DF669" s="44"/>
      <c r="DG669" s="44"/>
      <c r="DH669" s="44"/>
      <c r="DI669" s="44"/>
      <c r="DJ669" s="44"/>
      <c r="DK669" s="44"/>
      <c r="DL669" s="44"/>
      <c r="DM669" s="44"/>
      <c r="DN669" s="44"/>
      <c r="DO669" s="44"/>
      <c r="DP669" s="44"/>
      <c r="DQ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44"/>
      <c r="DC670" s="44"/>
      <c r="DD670" s="44"/>
      <c r="DE670" s="44"/>
      <c r="DF670" s="44"/>
      <c r="DG670" s="44"/>
      <c r="DH670" s="44"/>
      <c r="DI670" s="44"/>
      <c r="DJ670" s="44"/>
      <c r="DK670" s="44"/>
      <c r="DL670" s="44"/>
      <c r="DM670" s="44"/>
      <c r="DN670" s="44"/>
      <c r="DO670" s="44"/>
      <c r="DP670" s="44"/>
      <c r="DQ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44"/>
      <c r="DC671" s="44"/>
      <c r="DD671" s="44"/>
      <c r="DE671" s="44"/>
      <c r="DF671" s="44"/>
      <c r="DG671" s="44"/>
      <c r="DH671" s="44"/>
      <c r="DI671" s="44"/>
      <c r="DJ671" s="44"/>
      <c r="DK671" s="44"/>
      <c r="DL671" s="44"/>
      <c r="DM671" s="44"/>
      <c r="DN671" s="44"/>
      <c r="DO671" s="44"/>
      <c r="DP671" s="44"/>
      <c r="DQ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44"/>
      <c r="DC672" s="44"/>
      <c r="DD672" s="44"/>
      <c r="DE672" s="44"/>
      <c r="DF672" s="44"/>
      <c r="DG672" s="44"/>
      <c r="DH672" s="44"/>
      <c r="DI672" s="44"/>
      <c r="DJ672" s="44"/>
      <c r="DK672" s="44"/>
      <c r="DL672" s="44"/>
      <c r="DM672" s="44"/>
      <c r="DN672" s="44"/>
      <c r="DO672" s="44"/>
      <c r="DP672" s="44"/>
      <c r="DQ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44"/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44"/>
      <c r="DC674" s="44"/>
      <c r="DD674" s="44"/>
      <c r="DE674" s="44"/>
      <c r="DF674" s="44"/>
      <c r="DG674" s="44"/>
      <c r="DH674" s="44"/>
      <c r="DI674" s="44"/>
      <c r="DJ674" s="44"/>
      <c r="DK674" s="44"/>
      <c r="DL674" s="44"/>
      <c r="DM674" s="44"/>
      <c r="DN674" s="44"/>
      <c r="DO674" s="44"/>
      <c r="DP674" s="44"/>
      <c r="DQ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44"/>
      <c r="DC675" s="44"/>
      <c r="DD675" s="44"/>
      <c r="DE675" s="44"/>
      <c r="DF675" s="44"/>
      <c r="DG675" s="44"/>
      <c r="DH675" s="44"/>
      <c r="DI675" s="44"/>
      <c r="DJ675" s="44"/>
      <c r="DK675" s="44"/>
      <c r="DL675" s="44"/>
      <c r="DM675" s="44"/>
      <c r="DN675" s="44"/>
      <c r="DO675" s="44"/>
      <c r="DP675" s="44"/>
      <c r="DQ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44"/>
      <c r="DC676" s="44"/>
      <c r="DD676" s="44"/>
      <c r="DE676" s="44"/>
      <c r="DF676" s="44"/>
      <c r="DG676" s="44"/>
      <c r="DH676" s="44"/>
      <c r="DI676" s="44"/>
      <c r="DJ676" s="44"/>
      <c r="DK676" s="44"/>
      <c r="DL676" s="44"/>
      <c r="DM676" s="44"/>
      <c r="DN676" s="44"/>
      <c r="DO676" s="44"/>
      <c r="DP676" s="44"/>
      <c r="DQ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44"/>
      <c r="DC677" s="44"/>
      <c r="DD677" s="44"/>
      <c r="DE677" s="44"/>
      <c r="DF677" s="44"/>
      <c r="DG677" s="44"/>
      <c r="DH677" s="44"/>
      <c r="DI677" s="44"/>
      <c r="DJ677" s="44"/>
      <c r="DK677" s="44"/>
      <c r="DL677" s="44"/>
      <c r="DM677" s="44"/>
      <c r="DN677" s="44"/>
      <c r="DO677" s="44"/>
      <c r="DP677" s="44"/>
      <c r="DQ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44"/>
      <c r="DC678" s="44"/>
      <c r="DD678" s="44"/>
      <c r="DE678" s="44"/>
      <c r="DF678" s="44"/>
      <c r="DG678" s="44"/>
      <c r="DH678" s="44"/>
      <c r="DI678" s="44"/>
      <c r="DJ678" s="44"/>
      <c r="DK678" s="44"/>
      <c r="DL678" s="44"/>
      <c r="DM678" s="44"/>
      <c r="DN678" s="44"/>
      <c r="DO678" s="44"/>
      <c r="DP678" s="44"/>
      <c r="DQ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44"/>
      <c r="DC679" s="44"/>
      <c r="DD679" s="44"/>
      <c r="DE679" s="44"/>
      <c r="DF679" s="44"/>
      <c r="DG679" s="44"/>
      <c r="DH679" s="44"/>
      <c r="DI679" s="44"/>
      <c r="DJ679" s="44"/>
      <c r="DK679" s="44"/>
      <c r="DL679" s="44"/>
      <c r="DM679" s="44"/>
      <c r="DN679" s="44"/>
      <c r="DO679" s="44"/>
      <c r="DP679" s="44"/>
      <c r="DQ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44"/>
      <c r="DC680" s="44"/>
      <c r="DD680" s="44"/>
      <c r="DE680" s="44"/>
      <c r="DF680" s="44"/>
      <c r="DG680" s="44"/>
      <c r="DH680" s="44"/>
      <c r="DI680" s="44"/>
      <c r="DJ680" s="44"/>
      <c r="DK680" s="44"/>
      <c r="DL680" s="44"/>
      <c r="DM680" s="44"/>
      <c r="DN680" s="44"/>
      <c r="DO680" s="44"/>
      <c r="DP680" s="44"/>
      <c r="DQ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44"/>
      <c r="DC681" s="44"/>
      <c r="DD681" s="44"/>
      <c r="DE681" s="44"/>
      <c r="DF681" s="44"/>
      <c r="DG681" s="44"/>
      <c r="DH681" s="44"/>
      <c r="DI681" s="44"/>
      <c r="DJ681" s="44"/>
      <c r="DK681" s="44"/>
      <c r="DL681" s="44"/>
      <c r="DM681" s="44"/>
      <c r="DN681" s="44"/>
      <c r="DO681" s="44"/>
      <c r="DP681" s="44"/>
      <c r="DQ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44"/>
      <c r="DC682" s="44"/>
      <c r="DD682" s="44"/>
      <c r="DE682" s="44"/>
      <c r="DF682" s="44"/>
      <c r="DG682" s="44"/>
      <c r="DH682" s="44"/>
      <c r="DI682" s="44"/>
      <c r="DJ682" s="44"/>
      <c r="DK682" s="44"/>
      <c r="DL682" s="44"/>
      <c r="DM682" s="44"/>
      <c r="DN682" s="44"/>
      <c r="DO682" s="44"/>
      <c r="DP682" s="44"/>
      <c r="DQ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44"/>
      <c r="DC683" s="44"/>
      <c r="DD683" s="44"/>
      <c r="DE683" s="44"/>
      <c r="DF683" s="44"/>
      <c r="DG683" s="44"/>
      <c r="DH683" s="44"/>
      <c r="DI683" s="44"/>
      <c r="DJ683" s="44"/>
      <c r="DK683" s="44"/>
      <c r="DL683" s="44"/>
      <c r="DM683" s="44"/>
      <c r="DN683" s="44"/>
      <c r="DO683" s="44"/>
      <c r="DP683" s="44"/>
      <c r="DQ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44"/>
      <c r="DC684" s="44"/>
      <c r="DD684" s="44"/>
      <c r="DE684" s="44"/>
      <c r="DF684" s="44"/>
      <c r="DG684" s="44"/>
      <c r="DH684" s="44"/>
      <c r="DI684" s="44"/>
      <c r="DJ684" s="44"/>
      <c r="DK684" s="44"/>
      <c r="DL684" s="44"/>
      <c r="DM684" s="44"/>
      <c r="DN684" s="44"/>
      <c r="DO684" s="44"/>
      <c r="DP684" s="44"/>
      <c r="DQ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44"/>
      <c r="DC685" s="44"/>
      <c r="DD685" s="44"/>
      <c r="DE685" s="44"/>
      <c r="DF685" s="44"/>
      <c r="DG685" s="44"/>
      <c r="DH685" s="44"/>
      <c r="DI685" s="44"/>
      <c r="DJ685" s="44"/>
      <c r="DK685" s="44"/>
      <c r="DL685" s="44"/>
      <c r="DM685" s="44"/>
      <c r="DN685" s="44"/>
      <c r="DO685" s="44"/>
      <c r="DP685" s="44"/>
      <c r="DQ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44"/>
      <c r="DC686" s="44"/>
      <c r="DD686" s="44"/>
      <c r="DE686" s="44"/>
      <c r="DF686" s="44"/>
      <c r="DG686" s="44"/>
      <c r="DH686" s="44"/>
      <c r="DI686" s="44"/>
      <c r="DJ686" s="44"/>
      <c r="DK686" s="44"/>
      <c r="DL686" s="44"/>
      <c r="DM686" s="44"/>
      <c r="DN686" s="44"/>
      <c r="DO686" s="44"/>
      <c r="DP686" s="44"/>
      <c r="DQ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44"/>
      <c r="DC687" s="44"/>
      <c r="DD687" s="44"/>
      <c r="DE687" s="44"/>
      <c r="DF687" s="44"/>
      <c r="DG687" s="44"/>
      <c r="DH687" s="44"/>
      <c r="DI687" s="44"/>
      <c r="DJ687" s="44"/>
      <c r="DK687" s="44"/>
      <c r="DL687" s="44"/>
      <c r="DM687" s="44"/>
      <c r="DN687" s="44"/>
      <c r="DO687" s="44"/>
      <c r="DP687" s="44"/>
      <c r="DQ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44"/>
      <c r="DC688" s="44"/>
      <c r="DD688" s="44"/>
      <c r="DE688" s="44"/>
      <c r="DF688" s="44"/>
      <c r="DG688" s="44"/>
      <c r="DH688" s="44"/>
      <c r="DI688" s="44"/>
      <c r="DJ688" s="44"/>
      <c r="DK688" s="44"/>
      <c r="DL688" s="44"/>
      <c r="DM688" s="44"/>
      <c r="DN688" s="44"/>
      <c r="DO688" s="44"/>
      <c r="DP688" s="44"/>
      <c r="DQ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44"/>
      <c r="DC689" s="44"/>
      <c r="DD689" s="44"/>
      <c r="DE689" s="44"/>
      <c r="DF689" s="44"/>
      <c r="DG689" s="44"/>
      <c r="DH689" s="44"/>
      <c r="DI689" s="44"/>
      <c r="DJ689" s="44"/>
      <c r="DK689" s="44"/>
      <c r="DL689" s="44"/>
      <c r="DM689" s="44"/>
      <c r="DN689" s="44"/>
      <c r="DO689" s="44"/>
      <c r="DP689" s="44"/>
      <c r="DQ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44"/>
      <c r="DC690" s="44"/>
      <c r="DD690" s="44"/>
      <c r="DE690" s="44"/>
      <c r="DF690" s="44"/>
      <c r="DG690" s="44"/>
      <c r="DH690" s="44"/>
      <c r="DI690" s="44"/>
      <c r="DJ690" s="44"/>
      <c r="DK690" s="44"/>
      <c r="DL690" s="44"/>
      <c r="DM690" s="44"/>
      <c r="DN690" s="44"/>
      <c r="DO690" s="44"/>
      <c r="DP690" s="44"/>
      <c r="DQ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44"/>
      <c r="DC691" s="44"/>
      <c r="DD691" s="44"/>
      <c r="DE691" s="44"/>
      <c r="DF691" s="44"/>
      <c r="DG691" s="44"/>
      <c r="DH691" s="44"/>
      <c r="DI691" s="44"/>
      <c r="DJ691" s="44"/>
      <c r="DK691" s="44"/>
      <c r="DL691" s="44"/>
      <c r="DM691" s="44"/>
      <c r="DN691" s="44"/>
      <c r="DO691" s="44"/>
      <c r="DP691" s="44"/>
      <c r="DQ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44"/>
      <c r="DC692" s="44"/>
      <c r="DD692" s="44"/>
      <c r="DE692" s="44"/>
      <c r="DF692" s="44"/>
      <c r="DG692" s="44"/>
      <c r="DH692" s="44"/>
      <c r="DI692" s="44"/>
      <c r="DJ692" s="44"/>
      <c r="DK692" s="44"/>
      <c r="DL692" s="44"/>
      <c r="DM692" s="44"/>
      <c r="DN692" s="44"/>
      <c r="DO692" s="44"/>
      <c r="DP692" s="44"/>
      <c r="DQ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44"/>
      <c r="DC693" s="44"/>
      <c r="DD693" s="44"/>
      <c r="DE693" s="44"/>
      <c r="DF693" s="44"/>
      <c r="DG693" s="44"/>
      <c r="DH693" s="44"/>
      <c r="DI693" s="44"/>
      <c r="DJ693" s="44"/>
      <c r="DK693" s="44"/>
      <c r="DL693" s="44"/>
      <c r="DM693" s="44"/>
      <c r="DN693" s="44"/>
      <c r="DO693" s="44"/>
      <c r="DP693" s="44"/>
      <c r="DQ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44"/>
      <c r="DC694" s="44"/>
      <c r="DD694" s="44"/>
      <c r="DE694" s="44"/>
      <c r="DF694" s="44"/>
      <c r="DG694" s="44"/>
      <c r="DH694" s="44"/>
      <c r="DI694" s="44"/>
      <c r="DJ694" s="44"/>
      <c r="DK694" s="44"/>
      <c r="DL694" s="44"/>
      <c r="DM694" s="44"/>
      <c r="DN694" s="44"/>
      <c r="DO694" s="44"/>
      <c r="DP694" s="44"/>
      <c r="DQ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44"/>
      <c r="DC695" s="44"/>
      <c r="DD695" s="44"/>
      <c r="DE695" s="44"/>
      <c r="DF695" s="44"/>
      <c r="DG695" s="44"/>
      <c r="DH695" s="44"/>
      <c r="DI695" s="44"/>
      <c r="DJ695" s="44"/>
      <c r="DK695" s="44"/>
      <c r="DL695" s="44"/>
      <c r="DM695" s="44"/>
      <c r="DN695" s="44"/>
      <c r="DO695" s="44"/>
      <c r="DP695" s="44"/>
      <c r="DQ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44"/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44"/>
      <c r="DC697" s="44"/>
      <c r="DD697" s="44"/>
      <c r="DE697" s="44"/>
      <c r="DF697" s="44"/>
      <c r="DG697" s="44"/>
      <c r="DH697" s="44"/>
      <c r="DI697" s="44"/>
      <c r="DJ697" s="44"/>
      <c r="DK697" s="44"/>
      <c r="DL697" s="44"/>
      <c r="DM697" s="44"/>
      <c r="DN697" s="44"/>
      <c r="DO697" s="44"/>
      <c r="DP697" s="44"/>
      <c r="DQ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44"/>
      <c r="DC698" s="44"/>
      <c r="DD698" s="44"/>
      <c r="DE698" s="44"/>
      <c r="DF698" s="44"/>
      <c r="DG698" s="44"/>
      <c r="DH698" s="44"/>
      <c r="DI698" s="44"/>
      <c r="DJ698" s="44"/>
      <c r="DK698" s="44"/>
      <c r="DL698" s="44"/>
      <c r="DM698" s="44"/>
      <c r="DN698" s="44"/>
      <c r="DO698" s="44"/>
      <c r="DP698" s="44"/>
      <c r="DQ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44"/>
      <c r="DC699" s="44"/>
      <c r="DD699" s="44"/>
      <c r="DE699" s="44"/>
      <c r="DF699" s="44"/>
      <c r="DG699" s="44"/>
      <c r="DH699" s="44"/>
      <c r="DI699" s="44"/>
      <c r="DJ699" s="44"/>
      <c r="DK699" s="44"/>
      <c r="DL699" s="44"/>
      <c r="DM699" s="44"/>
      <c r="DN699" s="44"/>
      <c r="DO699" s="44"/>
      <c r="DP699" s="44"/>
      <c r="DQ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44"/>
      <c r="DC700" s="44"/>
      <c r="DD700" s="44"/>
      <c r="DE700" s="44"/>
      <c r="DF700" s="44"/>
      <c r="DG700" s="44"/>
      <c r="DH700" s="44"/>
      <c r="DI700" s="44"/>
      <c r="DJ700" s="44"/>
      <c r="DK700" s="44"/>
      <c r="DL700" s="44"/>
      <c r="DM700" s="44"/>
      <c r="DN700" s="44"/>
      <c r="DO700" s="44"/>
      <c r="DP700" s="44"/>
      <c r="DQ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44"/>
      <c r="DC701" s="44"/>
      <c r="DD701" s="44"/>
      <c r="DE701" s="44"/>
      <c r="DF701" s="44"/>
      <c r="DG701" s="44"/>
      <c r="DH701" s="44"/>
      <c r="DI701" s="44"/>
      <c r="DJ701" s="44"/>
      <c r="DK701" s="44"/>
      <c r="DL701" s="44"/>
      <c r="DM701" s="44"/>
      <c r="DN701" s="44"/>
      <c r="DO701" s="44"/>
      <c r="DP701" s="44"/>
      <c r="DQ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44"/>
      <c r="DC702" s="44"/>
      <c r="DD702" s="44"/>
      <c r="DE702" s="44"/>
      <c r="DF702" s="44"/>
      <c r="DG702" s="44"/>
      <c r="DH702" s="44"/>
      <c r="DI702" s="44"/>
      <c r="DJ702" s="44"/>
      <c r="DK702" s="44"/>
      <c r="DL702" s="44"/>
      <c r="DM702" s="44"/>
      <c r="DN702" s="44"/>
      <c r="DO702" s="44"/>
      <c r="DP702" s="44"/>
      <c r="DQ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44"/>
      <c r="DC703" s="44"/>
      <c r="DD703" s="44"/>
      <c r="DE703" s="44"/>
      <c r="DF703" s="44"/>
      <c r="DG703" s="44"/>
      <c r="DH703" s="44"/>
      <c r="DI703" s="44"/>
      <c r="DJ703" s="44"/>
      <c r="DK703" s="44"/>
      <c r="DL703" s="44"/>
      <c r="DM703" s="44"/>
      <c r="DN703" s="44"/>
      <c r="DO703" s="44"/>
      <c r="DP703" s="44"/>
      <c r="DQ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44"/>
      <c r="DC704" s="44"/>
      <c r="DD704" s="44"/>
      <c r="DE704" s="44"/>
      <c r="DF704" s="44"/>
      <c r="DG704" s="44"/>
      <c r="DH704" s="44"/>
      <c r="DI704" s="44"/>
      <c r="DJ704" s="44"/>
      <c r="DK704" s="44"/>
      <c r="DL704" s="44"/>
      <c r="DM704" s="44"/>
      <c r="DN704" s="44"/>
      <c r="DO704" s="44"/>
      <c r="DP704" s="44"/>
      <c r="DQ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44"/>
      <c r="DC705" s="44"/>
      <c r="DD705" s="44"/>
      <c r="DE705" s="44"/>
      <c r="DF705" s="44"/>
      <c r="DG705" s="44"/>
      <c r="DH705" s="44"/>
      <c r="DI705" s="44"/>
      <c r="DJ705" s="44"/>
      <c r="DK705" s="44"/>
      <c r="DL705" s="44"/>
      <c r="DM705" s="44"/>
      <c r="DN705" s="44"/>
      <c r="DO705" s="44"/>
      <c r="DP705" s="44"/>
      <c r="DQ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44"/>
      <c r="DC706" s="44"/>
      <c r="DD706" s="44"/>
      <c r="DE706" s="44"/>
      <c r="DF706" s="44"/>
      <c r="DG706" s="44"/>
      <c r="DH706" s="44"/>
      <c r="DI706" s="44"/>
      <c r="DJ706" s="44"/>
      <c r="DK706" s="44"/>
      <c r="DL706" s="44"/>
      <c r="DM706" s="44"/>
      <c r="DN706" s="44"/>
      <c r="DO706" s="44"/>
      <c r="DP706" s="44"/>
      <c r="DQ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44"/>
      <c r="DC707" s="44"/>
      <c r="DD707" s="44"/>
      <c r="DE707" s="44"/>
      <c r="DF707" s="44"/>
      <c r="DG707" s="44"/>
      <c r="DH707" s="44"/>
      <c r="DI707" s="44"/>
      <c r="DJ707" s="44"/>
      <c r="DK707" s="44"/>
      <c r="DL707" s="44"/>
      <c r="DM707" s="44"/>
      <c r="DN707" s="44"/>
      <c r="DO707" s="44"/>
      <c r="DP707" s="44"/>
      <c r="DQ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44"/>
      <c r="DC708" s="44"/>
      <c r="DD708" s="44"/>
      <c r="DE708" s="44"/>
      <c r="DF708" s="44"/>
      <c r="DG708" s="44"/>
      <c r="DH708" s="44"/>
      <c r="DI708" s="44"/>
      <c r="DJ708" s="44"/>
      <c r="DK708" s="44"/>
      <c r="DL708" s="44"/>
      <c r="DM708" s="44"/>
      <c r="DN708" s="44"/>
      <c r="DO708" s="44"/>
      <c r="DP708" s="44"/>
      <c r="DQ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44"/>
      <c r="DC709" s="44"/>
      <c r="DD709" s="44"/>
      <c r="DE709" s="44"/>
      <c r="DF709" s="44"/>
      <c r="DG709" s="44"/>
      <c r="DH709" s="44"/>
      <c r="DI709" s="44"/>
      <c r="DJ709" s="44"/>
      <c r="DK709" s="44"/>
      <c r="DL709" s="44"/>
      <c r="DM709" s="44"/>
      <c r="DN709" s="44"/>
      <c r="DO709" s="44"/>
      <c r="DP709" s="44"/>
      <c r="DQ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44"/>
      <c r="DC710" s="44"/>
      <c r="DD710" s="44"/>
      <c r="DE710" s="44"/>
      <c r="DF710" s="44"/>
      <c r="DG710" s="44"/>
      <c r="DH710" s="44"/>
      <c r="DI710" s="44"/>
      <c r="DJ710" s="44"/>
      <c r="DK710" s="44"/>
      <c r="DL710" s="44"/>
      <c r="DM710" s="44"/>
      <c r="DN710" s="44"/>
      <c r="DO710" s="44"/>
      <c r="DP710" s="44"/>
      <c r="DQ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44"/>
      <c r="DC711" s="44"/>
      <c r="DD711" s="44"/>
      <c r="DE711" s="44"/>
      <c r="DF711" s="44"/>
      <c r="DG711" s="44"/>
      <c r="DH711" s="44"/>
      <c r="DI711" s="44"/>
      <c r="DJ711" s="44"/>
      <c r="DK711" s="44"/>
      <c r="DL711" s="44"/>
      <c r="DM711" s="44"/>
      <c r="DN711" s="44"/>
      <c r="DO711" s="44"/>
      <c r="DP711" s="44"/>
      <c r="DQ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44"/>
      <c r="DC712" s="44"/>
      <c r="DD712" s="44"/>
      <c r="DE712" s="44"/>
      <c r="DF712" s="44"/>
      <c r="DG712" s="44"/>
      <c r="DH712" s="44"/>
      <c r="DI712" s="44"/>
      <c r="DJ712" s="44"/>
      <c r="DK712" s="44"/>
      <c r="DL712" s="44"/>
      <c r="DM712" s="44"/>
      <c r="DN712" s="44"/>
      <c r="DO712" s="44"/>
      <c r="DP712" s="44"/>
      <c r="DQ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44"/>
      <c r="DC713" s="44"/>
      <c r="DD713" s="44"/>
      <c r="DE713" s="44"/>
      <c r="DF713" s="44"/>
      <c r="DG713" s="44"/>
      <c r="DH713" s="44"/>
      <c r="DI713" s="44"/>
      <c r="DJ713" s="44"/>
      <c r="DK713" s="44"/>
      <c r="DL713" s="44"/>
      <c r="DM713" s="44"/>
      <c r="DN713" s="44"/>
      <c r="DO713" s="44"/>
      <c r="DP713" s="44"/>
      <c r="DQ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44"/>
      <c r="DC714" s="44"/>
      <c r="DD714" s="44"/>
      <c r="DE714" s="44"/>
      <c r="DF714" s="44"/>
      <c r="DG714" s="44"/>
      <c r="DH714" s="44"/>
      <c r="DI714" s="44"/>
      <c r="DJ714" s="44"/>
      <c r="DK714" s="44"/>
      <c r="DL714" s="44"/>
      <c r="DM714" s="44"/>
      <c r="DN714" s="44"/>
      <c r="DO714" s="44"/>
      <c r="DP714" s="44"/>
      <c r="DQ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44"/>
      <c r="DC715" s="44"/>
      <c r="DD715" s="44"/>
      <c r="DE715" s="44"/>
      <c r="DF715" s="44"/>
      <c r="DG715" s="44"/>
      <c r="DH715" s="44"/>
      <c r="DI715" s="44"/>
      <c r="DJ715" s="44"/>
      <c r="DK715" s="44"/>
      <c r="DL715" s="44"/>
      <c r="DM715" s="44"/>
      <c r="DN715" s="44"/>
      <c r="DO715" s="44"/>
      <c r="DP715" s="44"/>
      <c r="DQ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44"/>
      <c r="DC716" s="44"/>
      <c r="DD716" s="44"/>
      <c r="DE716" s="44"/>
      <c r="DF716" s="44"/>
      <c r="DG716" s="44"/>
      <c r="DH716" s="44"/>
      <c r="DI716" s="44"/>
      <c r="DJ716" s="44"/>
      <c r="DK716" s="44"/>
      <c r="DL716" s="44"/>
      <c r="DM716" s="44"/>
      <c r="DN716" s="44"/>
      <c r="DO716" s="44"/>
      <c r="DP716" s="44"/>
      <c r="DQ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44"/>
      <c r="DC717" s="44"/>
      <c r="DD717" s="44"/>
      <c r="DE717" s="44"/>
      <c r="DF717" s="44"/>
      <c r="DG717" s="44"/>
      <c r="DH717" s="44"/>
      <c r="DI717" s="44"/>
      <c r="DJ717" s="44"/>
      <c r="DK717" s="44"/>
      <c r="DL717" s="44"/>
      <c r="DM717" s="44"/>
      <c r="DN717" s="44"/>
      <c r="DO717" s="44"/>
      <c r="DP717" s="44"/>
      <c r="DQ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44"/>
      <c r="DC718" s="44"/>
      <c r="DD718" s="44"/>
      <c r="DE718" s="44"/>
      <c r="DF718" s="44"/>
      <c r="DG718" s="44"/>
      <c r="DH718" s="44"/>
      <c r="DI718" s="44"/>
      <c r="DJ718" s="44"/>
      <c r="DK718" s="44"/>
      <c r="DL718" s="44"/>
      <c r="DM718" s="44"/>
      <c r="DN718" s="44"/>
      <c r="DO718" s="44"/>
      <c r="DP718" s="44"/>
      <c r="DQ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44"/>
      <c r="DC719" s="44"/>
      <c r="DD719" s="44"/>
      <c r="DE719" s="44"/>
      <c r="DF719" s="44"/>
      <c r="DG719" s="44"/>
      <c r="DH719" s="44"/>
      <c r="DI719" s="44"/>
      <c r="DJ719" s="44"/>
      <c r="DK719" s="44"/>
      <c r="DL719" s="44"/>
      <c r="DM719" s="44"/>
      <c r="DN719" s="44"/>
      <c r="DO719" s="44"/>
      <c r="DP719" s="44"/>
      <c r="DQ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44"/>
      <c r="DC720" s="44"/>
      <c r="DD720" s="44"/>
      <c r="DE720" s="44"/>
      <c r="DF720" s="44"/>
      <c r="DG720" s="44"/>
      <c r="DH720" s="44"/>
      <c r="DI720" s="44"/>
      <c r="DJ720" s="44"/>
      <c r="DK720" s="44"/>
      <c r="DL720" s="44"/>
      <c r="DM720" s="44"/>
      <c r="DN720" s="44"/>
      <c r="DO720" s="44"/>
      <c r="DP720" s="44"/>
      <c r="DQ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44"/>
      <c r="DC721" s="44"/>
      <c r="DD721" s="44"/>
      <c r="DE721" s="44"/>
      <c r="DF721" s="44"/>
      <c r="DG721" s="44"/>
      <c r="DH721" s="44"/>
      <c r="DI721" s="44"/>
      <c r="DJ721" s="44"/>
      <c r="DK721" s="44"/>
      <c r="DL721" s="44"/>
      <c r="DM721" s="44"/>
      <c r="DN721" s="44"/>
      <c r="DO721" s="44"/>
      <c r="DP721" s="44"/>
      <c r="DQ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44"/>
      <c r="DC722" s="44"/>
      <c r="DD722" s="44"/>
      <c r="DE722" s="44"/>
      <c r="DF722" s="44"/>
      <c r="DG722" s="44"/>
      <c r="DH722" s="44"/>
      <c r="DI722" s="44"/>
      <c r="DJ722" s="44"/>
      <c r="DK722" s="44"/>
      <c r="DL722" s="44"/>
      <c r="DM722" s="44"/>
      <c r="DN722" s="44"/>
      <c r="DO722" s="44"/>
      <c r="DP722" s="44"/>
      <c r="DQ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44"/>
      <c r="DC723" s="44"/>
      <c r="DD723" s="44"/>
      <c r="DE723" s="44"/>
      <c r="DF723" s="44"/>
      <c r="DG723" s="44"/>
      <c r="DH723" s="44"/>
      <c r="DI723" s="44"/>
      <c r="DJ723" s="44"/>
      <c r="DK723" s="44"/>
      <c r="DL723" s="44"/>
      <c r="DM723" s="44"/>
      <c r="DN723" s="44"/>
      <c r="DO723" s="44"/>
      <c r="DP723" s="44"/>
      <c r="DQ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44"/>
      <c r="DC724" s="44"/>
      <c r="DD724" s="44"/>
      <c r="DE724" s="44"/>
      <c r="DF724" s="44"/>
      <c r="DG724" s="44"/>
      <c r="DH724" s="44"/>
      <c r="DI724" s="44"/>
      <c r="DJ724" s="44"/>
      <c r="DK724" s="44"/>
      <c r="DL724" s="44"/>
      <c r="DM724" s="44"/>
      <c r="DN724" s="44"/>
      <c r="DO724" s="44"/>
      <c r="DP724" s="44"/>
      <c r="DQ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44"/>
      <c r="DC725" s="44"/>
      <c r="DD725" s="44"/>
      <c r="DE725" s="44"/>
      <c r="DF725" s="44"/>
      <c r="DG725" s="44"/>
      <c r="DH725" s="44"/>
      <c r="DI725" s="44"/>
      <c r="DJ725" s="44"/>
      <c r="DK725" s="44"/>
      <c r="DL725" s="44"/>
      <c r="DM725" s="44"/>
      <c r="DN725" s="44"/>
      <c r="DO725" s="44"/>
      <c r="DP725" s="44"/>
      <c r="DQ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44"/>
      <c r="DC726" s="44"/>
      <c r="DD726" s="44"/>
      <c r="DE726" s="44"/>
      <c r="DF726" s="44"/>
      <c r="DG726" s="44"/>
      <c r="DH726" s="44"/>
      <c r="DI726" s="44"/>
      <c r="DJ726" s="44"/>
      <c r="DK726" s="44"/>
      <c r="DL726" s="44"/>
      <c r="DM726" s="44"/>
      <c r="DN726" s="44"/>
      <c r="DO726" s="44"/>
      <c r="DP726" s="44"/>
      <c r="DQ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44"/>
      <c r="DC727" s="44"/>
      <c r="DD727" s="44"/>
      <c r="DE727" s="44"/>
      <c r="DF727" s="44"/>
      <c r="DG727" s="44"/>
      <c r="DH727" s="44"/>
      <c r="DI727" s="44"/>
      <c r="DJ727" s="44"/>
      <c r="DK727" s="44"/>
      <c r="DL727" s="44"/>
      <c r="DM727" s="44"/>
      <c r="DN727" s="44"/>
      <c r="DO727" s="44"/>
      <c r="DP727" s="44"/>
      <c r="DQ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44"/>
      <c r="DC728" s="44"/>
      <c r="DD728" s="44"/>
      <c r="DE728" s="44"/>
      <c r="DF728" s="44"/>
      <c r="DG728" s="44"/>
      <c r="DH728" s="44"/>
      <c r="DI728" s="44"/>
      <c r="DJ728" s="44"/>
      <c r="DK728" s="44"/>
      <c r="DL728" s="44"/>
      <c r="DM728" s="44"/>
      <c r="DN728" s="44"/>
      <c r="DO728" s="44"/>
      <c r="DP728" s="44"/>
      <c r="DQ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44"/>
      <c r="DC729" s="44"/>
      <c r="DD729" s="44"/>
      <c r="DE729" s="44"/>
      <c r="DF729" s="44"/>
      <c r="DG729" s="44"/>
      <c r="DH729" s="44"/>
      <c r="DI729" s="44"/>
      <c r="DJ729" s="44"/>
      <c r="DK729" s="44"/>
      <c r="DL729" s="44"/>
      <c r="DM729" s="44"/>
      <c r="DN729" s="44"/>
      <c r="DO729" s="44"/>
      <c r="DP729" s="44"/>
      <c r="DQ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44"/>
      <c r="DC730" s="44"/>
      <c r="DD730" s="44"/>
      <c r="DE730" s="44"/>
      <c r="DF730" s="44"/>
      <c r="DG730" s="44"/>
      <c r="DH730" s="44"/>
      <c r="DI730" s="44"/>
      <c r="DJ730" s="44"/>
      <c r="DK730" s="44"/>
      <c r="DL730" s="44"/>
      <c r="DM730" s="44"/>
      <c r="DN730" s="44"/>
      <c r="DO730" s="44"/>
      <c r="DP730" s="44"/>
      <c r="DQ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  <c r="DB731" s="44"/>
      <c r="DC731" s="44"/>
      <c r="DD731" s="44"/>
      <c r="DE731" s="44"/>
      <c r="DF731" s="44"/>
      <c r="DG731" s="44"/>
      <c r="DH731" s="44"/>
      <c r="DI731" s="44"/>
      <c r="DJ731" s="44"/>
      <c r="DK731" s="44"/>
      <c r="DL731" s="44"/>
      <c r="DM731" s="44"/>
      <c r="DN731" s="44"/>
      <c r="DO731" s="44"/>
      <c r="DP731" s="44"/>
      <c r="DQ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  <c r="DB732" s="44"/>
      <c r="DC732" s="44"/>
      <c r="DD732" s="44"/>
      <c r="DE732" s="44"/>
      <c r="DF732" s="44"/>
      <c r="DG732" s="44"/>
      <c r="DH732" s="44"/>
      <c r="DI732" s="44"/>
      <c r="DJ732" s="44"/>
      <c r="DK732" s="44"/>
      <c r="DL732" s="44"/>
      <c r="DM732" s="44"/>
      <c r="DN732" s="44"/>
      <c r="DO732" s="44"/>
      <c r="DP732" s="44"/>
      <c r="DQ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  <c r="DB733" s="44"/>
      <c r="DC733" s="44"/>
      <c r="DD733" s="44"/>
      <c r="DE733" s="44"/>
      <c r="DF733" s="44"/>
      <c r="DG733" s="44"/>
      <c r="DH733" s="44"/>
      <c r="DI733" s="44"/>
      <c r="DJ733" s="44"/>
      <c r="DK733" s="44"/>
      <c r="DL733" s="44"/>
      <c r="DM733" s="44"/>
      <c r="DN733" s="44"/>
      <c r="DO733" s="44"/>
      <c r="DP733" s="44"/>
      <c r="DQ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  <c r="DB734" s="44"/>
      <c r="DC734" s="44"/>
      <c r="DD734" s="44"/>
      <c r="DE734" s="44"/>
      <c r="DF734" s="44"/>
      <c r="DG734" s="44"/>
      <c r="DH734" s="44"/>
      <c r="DI734" s="44"/>
      <c r="DJ734" s="44"/>
      <c r="DK734" s="44"/>
      <c r="DL734" s="44"/>
      <c r="DM734" s="44"/>
      <c r="DN734" s="44"/>
      <c r="DO734" s="44"/>
      <c r="DP734" s="44"/>
      <c r="DQ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  <c r="DB735" s="44"/>
      <c r="DC735" s="44"/>
      <c r="DD735" s="44"/>
      <c r="DE735" s="44"/>
      <c r="DF735" s="44"/>
      <c r="DG735" s="44"/>
      <c r="DH735" s="44"/>
      <c r="DI735" s="44"/>
      <c r="DJ735" s="44"/>
      <c r="DK735" s="44"/>
      <c r="DL735" s="44"/>
      <c r="DM735" s="44"/>
      <c r="DN735" s="44"/>
      <c r="DO735" s="44"/>
      <c r="DP735" s="44"/>
      <c r="DQ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  <c r="DB736" s="44"/>
      <c r="DC736" s="44"/>
      <c r="DD736" s="44"/>
      <c r="DE736" s="44"/>
      <c r="DF736" s="44"/>
      <c r="DG736" s="44"/>
      <c r="DH736" s="44"/>
      <c r="DI736" s="44"/>
      <c r="DJ736" s="44"/>
      <c r="DK736" s="44"/>
      <c r="DL736" s="44"/>
      <c r="DM736" s="44"/>
      <c r="DN736" s="44"/>
      <c r="DO736" s="44"/>
      <c r="DP736" s="44"/>
      <c r="DQ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  <c r="DB737" s="44"/>
      <c r="DC737" s="44"/>
      <c r="DD737" s="44"/>
      <c r="DE737" s="44"/>
      <c r="DF737" s="44"/>
      <c r="DG737" s="44"/>
      <c r="DH737" s="44"/>
      <c r="DI737" s="44"/>
      <c r="DJ737" s="44"/>
      <c r="DK737" s="44"/>
      <c r="DL737" s="44"/>
      <c r="DM737" s="44"/>
      <c r="DN737" s="44"/>
      <c r="DO737" s="44"/>
      <c r="DP737" s="44"/>
      <c r="DQ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  <c r="DB738" s="44"/>
      <c r="DC738" s="44"/>
      <c r="DD738" s="44"/>
      <c r="DE738" s="44"/>
      <c r="DF738" s="44"/>
      <c r="DG738" s="44"/>
      <c r="DH738" s="44"/>
      <c r="DI738" s="44"/>
      <c r="DJ738" s="44"/>
      <c r="DK738" s="44"/>
      <c r="DL738" s="44"/>
      <c r="DM738" s="44"/>
      <c r="DN738" s="44"/>
      <c r="DO738" s="44"/>
      <c r="DP738" s="44"/>
      <c r="DQ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  <c r="DB739" s="44"/>
      <c r="DC739" s="44"/>
      <c r="DD739" s="44"/>
      <c r="DE739" s="44"/>
      <c r="DF739" s="44"/>
      <c r="DG739" s="44"/>
      <c r="DH739" s="44"/>
      <c r="DI739" s="44"/>
      <c r="DJ739" s="44"/>
      <c r="DK739" s="44"/>
      <c r="DL739" s="44"/>
      <c r="DM739" s="44"/>
      <c r="DN739" s="44"/>
      <c r="DO739" s="44"/>
      <c r="DP739" s="44"/>
      <c r="DQ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  <c r="DB740" s="44"/>
      <c r="DC740" s="44"/>
      <c r="DD740" s="44"/>
      <c r="DE740" s="44"/>
      <c r="DF740" s="44"/>
      <c r="DG740" s="44"/>
      <c r="DH740" s="44"/>
      <c r="DI740" s="44"/>
      <c r="DJ740" s="44"/>
      <c r="DK740" s="44"/>
      <c r="DL740" s="44"/>
      <c r="DM740" s="44"/>
      <c r="DN740" s="44"/>
      <c r="DO740" s="44"/>
      <c r="DP740" s="44"/>
      <c r="DQ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  <c r="DB741" s="44"/>
      <c r="DC741" s="44"/>
      <c r="DD741" s="44"/>
      <c r="DE741" s="44"/>
      <c r="DF741" s="44"/>
      <c r="DG741" s="44"/>
      <c r="DH741" s="44"/>
      <c r="DI741" s="44"/>
      <c r="DJ741" s="44"/>
      <c r="DK741" s="44"/>
      <c r="DL741" s="44"/>
      <c r="DM741" s="44"/>
      <c r="DN741" s="44"/>
      <c r="DO741" s="44"/>
      <c r="DP741" s="44"/>
      <c r="DQ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  <c r="DB742" s="44"/>
      <c r="DC742" s="44"/>
      <c r="DD742" s="44"/>
      <c r="DE742" s="44"/>
      <c r="DF742" s="44"/>
      <c r="DG742" s="44"/>
      <c r="DH742" s="44"/>
      <c r="DI742" s="44"/>
      <c r="DJ742" s="44"/>
      <c r="DK742" s="44"/>
      <c r="DL742" s="44"/>
      <c r="DM742" s="44"/>
      <c r="DN742" s="44"/>
      <c r="DO742" s="44"/>
      <c r="DP742" s="44"/>
      <c r="DQ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  <c r="DB743" s="44"/>
      <c r="DC743" s="44"/>
      <c r="DD743" s="44"/>
      <c r="DE743" s="44"/>
      <c r="DF743" s="44"/>
      <c r="DG743" s="44"/>
      <c r="DH743" s="44"/>
      <c r="DI743" s="44"/>
      <c r="DJ743" s="44"/>
      <c r="DK743" s="44"/>
      <c r="DL743" s="44"/>
      <c r="DM743" s="44"/>
      <c r="DN743" s="44"/>
      <c r="DO743" s="44"/>
      <c r="DP743" s="44"/>
      <c r="DQ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  <c r="DB744" s="44"/>
      <c r="DC744" s="44"/>
      <c r="DD744" s="44"/>
      <c r="DE744" s="44"/>
      <c r="DF744" s="44"/>
      <c r="DG744" s="44"/>
      <c r="DH744" s="44"/>
      <c r="DI744" s="44"/>
      <c r="DJ744" s="44"/>
      <c r="DK744" s="44"/>
      <c r="DL744" s="44"/>
      <c r="DM744" s="44"/>
      <c r="DN744" s="44"/>
      <c r="DO744" s="44"/>
      <c r="DP744" s="44"/>
      <c r="DQ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  <c r="DB745" s="44"/>
      <c r="DC745" s="44"/>
      <c r="DD745" s="44"/>
      <c r="DE745" s="44"/>
      <c r="DF745" s="44"/>
      <c r="DG745" s="44"/>
      <c r="DH745" s="44"/>
      <c r="DI745" s="44"/>
      <c r="DJ745" s="44"/>
      <c r="DK745" s="44"/>
      <c r="DL745" s="44"/>
      <c r="DM745" s="44"/>
      <c r="DN745" s="44"/>
      <c r="DO745" s="44"/>
      <c r="DP745" s="44"/>
      <c r="DQ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  <c r="DB746" s="44"/>
      <c r="DC746" s="44"/>
      <c r="DD746" s="44"/>
      <c r="DE746" s="44"/>
      <c r="DF746" s="44"/>
      <c r="DG746" s="44"/>
      <c r="DH746" s="44"/>
      <c r="DI746" s="44"/>
      <c r="DJ746" s="44"/>
      <c r="DK746" s="44"/>
      <c r="DL746" s="44"/>
      <c r="DM746" s="44"/>
      <c r="DN746" s="44"/>
      <c r="DO746" s="44"/>
      <c r="DP746" s="44"/>
      <c r="DQ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  <c r="DB747" s="44"/>
      <c r="DC747" s="44"/>
      <c r="DD747" s="44"/>
      <c r="DE747" s="44"/>
      <c r="DF747" s="44"/>
      <c r="DG747" s="44"/>
      <c r="DH747" s="44"/>
      <c r="DI747" s="44"/>
      <c r="DJ747" s="44"/>
      <c r="DK747" s="44"/>
      <c r="DL747" s="44"/>
      <c r="DM747" s="44"/>
      <c r="DN747" s="44"/>
      <c r="DO747" s="44"/>
      <c r="DP747" s="44"/>
      <c r="DQ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  <c r="DB748" s="44"/>
      <c r="DC748" s="44"/>
      <c r="DD748" s="44"/>
      <c r="DE748" s="44"/>
      <c r="DF748" s="44"/>
      <c r="DG748" s="44"/>
      <c r="DH748" s="44"/>
      <c r="DI748" s="44"/>
      <c r="DJ748" s="44"/>
      <c r="DK748" s="44"/>
      <c r="DL748" s="44"/>
      <c r="DM748" s="44"/>
      <c r="DN748" s="44"/>
      <c r="DO748" s="44"/>
      <c r="DP748" s="44"/>
      <c r="DQ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  <c r="DB749" s="44"/>
      <c r="DC749" s="44"/>
      <c r="DD749" s="44"/>
      <c r="DE749" s="44"/>
      <c r="DF749" s="44"/>
      <c r="DG749" s="44"/>
      <c r="DH749" s="44"/>
      <c r="DI749" s="44"/>
      <c r="DJ749" s="44"/>
      <c r="DK749" s="44"/>
      <c r="DL749" s="44"/>
      <c r="DM749" s="44"/>
      <c r="DN749" s="44"/>
      <c r="DO749" s="44"/>
      <c r="DP749" s="44"/>
      <c r="DQ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  <c r="DB750" s="44"/>
      <c r="DC750" s="44"/>
      <c r="DD750" s="44"/>
      <c r="DE750" s="44"/>
      <c r="DF750" s="44"/>
      <c r="DG750" s="44"/>
      <c r="DH750" s="44"/>
      <c r="DI750" s="44"/>
      <c r="DJ750" s="44"/>
      <c r="DK750" s="44"/>
      <c r="DL750" s="44"/>
      <c r="DM750" s="44"/>
      <c r="DN750" s="44"/>
      <c r="DO750" s="44"/>
      <c r="DP750" s="44"/>
      <c r="DQ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  <c r="DB751" s="44"/>
      <c r="DC751" s="44"/>
      <c r="DD751" s="44"/>
      <c r="DE751" s="44"/>
      <c r="DF751" s="44"/>
      <c r="DG751" s="44"/>
      <c r="DH751" s="44"/>
      <c r="DI751" s="44"/>
      <c r="DJ751" s="44"/>
      <c r="DK751" s="44"/>
      <c r="DL751" s="44"/>
      <c r="DM751" s="44"/>
      <c r="DN751" s="44"/>
      <c r="DO751" s="44"/>
      <c r="DP751" s="44"/>
      <c r="DQ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  <c r="DB752" s="44"/>
      <c r="DC752" s="44"/>
      <c r="DD752" s="44"/>
      <c r="DE752" s="44"/>
      <c r="DF752" s="44"/>
      <c r="DG752" s="44"/>
      <c r="DH752" s="44"/>
      <c r="DI752" s="44"/>
      <c r="DJ752" s="44"/>
      <c r="DK752" s="44"/>
      <c r="DL752" s="44"/>
      <c r="DM752" s="44"/>
      <c r="DN752" s="44"/>
      <c r="DO752" s="44"/>
      <c r="DP752" s="44"/>
      <c r="DQ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  <c r="DB753" s="44"/>
      <c r="DC753" s="44"/>
      <c r="DD753" s="44"/>
      <c r="DE753" s="44"/>
      <c r="DF753" s="44"/>
      <c r="DG753" s="44"/>
      <c r="DH753" s="44"/>
      <c r="DI753" s="44"/>
      <c r="DJ753" s="44"/>
      <c r="DK753" s="44"/>
      <c r="DL753" s="44"/>
      <c r="DM753" s="44"/>
      <c r="DN753" s="44"/>
      <c r="DO753" s="44"/>
      <c r="DP753" s="44"/>
      <c r="DQ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  <c r="DB754" s="44"/>
      <c r="DC754" s="44"/>
      <c r="DD754" s="44"/>
      <c r="DE754" s="44"/>
      <c r="DF754" s="44"/>
      <c r="DG754" s="44"/>
      <c r="DH754" s="44"/>
      <c r="DI754" s="44"/>
      <c r="DJ754" s="44"/>
      <c r="DK754" s="44"/>
      <c r="DL754" s="44"/>
      <c r="DM754" s="44"/>
      <c r="DN754" s="44"/>
      <c r="DO754" s="44"/>
      <c r="DP754" s="44"/>
      <c r="DQ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  <c r="DB755" s="44"/>
      <c r="DC755" s="44"/>
      <c r="DD755" s="44"/>
      <c r="DE755" s="44"/>
      <c r="DF755" s="44"/>
      <c r="DG755" s="44"/>
      <c r="DH755" s="44"/>
      <c r="DI755" s="44"/>
      <c r="DJ755" s="44"/>
      <c r="DK755" s="44"/>
      <c r="DL755" s="44"/>
      <c r="DM755" s="44"/>
      <c r="DN755" s="44"/>
      <c r="DO755" s="44"/>
      <c r="DP755" s="44"/>
      <c r="DQ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  <c r="DB756" s="44"/>
      <c r="DC756" s="44"/>
      <c r="DD756" s="44"/>
      <c r="DE756" s="44"/>
      <c r="DF756" s="44"/>
      <c r="DG756" s="44"/>
      <c r="DH756" s="44"/>
      <c r="DI756" s="44"/>
      <c r="DJ756" s="44"/>
      <c r="DK756" s="44"/>
      <c r="DL756" s="44"/>
      <c r="DM756" s="44"/>
      <c r="DN756" s="44"/>
      <c r="DO756" s="44"/>
      <c r="DP756" s="44"/>
      <c r="DQ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  <c r="DB757" s="44"/>
      <c r="DC757" s="44"/>
      <c r="DD757" s="44"/>
      <c r="DE757" s="44"/>
      <c r="DF757" s="44"/>
      <c r="DG757" s="44"/>
      <c r="DH757" s="44"/>
      <c r="DI757" s="44"/>
      <c r="DJ757" s="44"/>
      <c r="DK757" s="44"/>
      <c r="DL757" s="44"/>
      <c r="DM757" s="44"/>
      <c r="DN757" s="44"/>
      <c r="DO757" s="44"/>
      <c r="DP757" s="44"/>
      <c r="DQ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  <c r="DB758" s="44"/>
      <c r="DC758" s="44"/>
      <c r="DD758" s="44"/>
      <c r="DE758" s="44"/>
      <c r="DF758" s="44"/>
      <c r="DG758" s="44"/>
      <c r="DH758" s="44"/>
      <c r="DI758" s="44"/>
      <c r="DJ758" s="44"/>
      <c r="DK758" s="44"/>
      <c r="DL758" s="44"/>
      <c r="DM758" s="44"/>
      <c r="DN758" s="44"/>
      <c r="DO758" s="44"/>
      <c r="DP758" s="44"/>
      <c r="DQ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  <c r="DB759" s="44"/>
      <c r="DC759" s="44"/>
      <c r="DD759" s="44"/>
      <c r="DE759" s="44"/>
      <c r="DF759" s="44"/>
      <c r="DG759" s="44"/>
      <c r="DH759" s="44"/>
      <c r="DI759" s="44"/>
      <c r="DJ759" s="44"/>
      <c r="DK759" s="44"/>
      <c r="DL759" s="44"/>
      <c r="DM759" s="44"/>
      <c r="DN759" s="44"/>
      <c r="DO759" s="44"/>
      <c r="DP759" s="44"/>
      <c r="DQ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  <c r="DB760" s="44"/>
      <c r="DC760" s="44"/>
      <c r="DD760" s="44"/>
      <c r="DE760" s="44"/>
      <c r="DF760" s="44"/>
      <c r="DG760" s="44"/>
      <c r="DH760" s="44"/>
      <c r="DI760" s="44"/>
      <c r="DJ760" s="44"/>
      <c r="DK760" s="44"/>
      <c r="DL760" s="44"/>
      <c r="DM760" s="44"/>
      <c r="DN760" s="44"/>
      <c r="DO760" s="44"/>
      <c r="DP760" s="44"/>
      <c r="DQ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  <c r="DB761" s="44"/>
      <c r="DC761" s="44"/>
      <c r="DD761" s="44"/>
      <c r="DE761" s="44"/>
      <c r="DF761" s="44"/>
      <c r="DG761" s="44"/>
      <c r="DH761" s="44"/>
      <c r="DI761" s="44"/>
      <c r="DJ761" s="44"/>
      <c r="DK761" s="44"/>
      <c r="DL761" s="44"/>
      <c r="DM761" s="44"/>
      <c r="DN761" s="44"/>
      <c r="DO761" s="44"/>
      <c r="DP761" s="44"/>
      <c r="DQ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  <c r="DB762" s="44"/>
      <c r="DC762" s="44"/>
      <c r="DD762" s="44"/>
      <c r="DE762" s="44"/>
      <c r="DF762" s="44"/>
      <c r="DG762" s="44"/>
      <c r="DH762" s="44"/>
      <c r="DI762" s="44"/>
      <c r="DJ762" s="44"/>
      <c r="DK762" s="44"/>
      <c r="DL762" s="44"/>
      <c r="DM762" s="44"/>
      <c r="DN762" s="44"/>
      <c r="DO762" s="44"/>
      <c r="DP762" s="44"/>
      <c r="DQ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  <c r="DB763" s="44"/>
      <c r="DC763" s="44"/>
      <c r="DD763" s="44"/>
      <c r="DE763" s="44"/>
      <c r="DF763" s="44"/>
      <c r="DG763" s="44"/>
      <c r="DH763" s="44"/>
      <c r="DI763" s="44"/>
      <c r="DJ763" s="44"/>
      <c r="DK763" s="44"/>
      <c r="DL763" s="44"/>
      <c r="DM763" s="44"/>
      <c r="DN763" s="44"/>
      <c r="DO763" s="44"/>
      <c r="DP763" s="44"/>
      <c r="DQ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  <c r="DB764" s="44"/>
      <c r="DC764" s="44"/>
      <c r="DD764" s="44"/>
      <c r="DE764" s="44"/>
      <c r="DF764" s="44"/>
      <c r="DG764" s="44"/>
      <c r="DH764" s="44"/>
      <c r="DI764" s="44"/>
      <c r="DJ764" s="44"/>
      <c r="DK764" s="44"/>
      <c r="DL764" s="44"/>
      <c r="DM764" s="44"/>
      <c r="DN764" s="44"/>
      <c r="DO764" s="44"/>
      <c r="DP764" s="44"/>
      <c r="DQ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  <c r="DB765" s="44"/>
      <c r="DC765" s="44"/>
      <c r="DD765" s="44"/>
      <c r="DE765" s="44"/>
      <c r="DF765" s="44"/>
      <c r="DG765" s="44"/>
      <c r="DH765" s="44"/>
      <c r="DI765" s="44"/>
      <c r="DJ765" s="44"/>
      <c r="DK765" s="44"/>
      <c r="DL765" s="44"/>
      <c r="DM765" s="44"/>
      <c r="DN765" s="44"/>
      <c r="DO765" s="44"/>
      <c r="DP765" s="44"/>
      <c r="DQ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  <c r="DB766" s="44"/>
      <c r="DC766" s="44"/>
      <c r="DD766" s="44"/>
      <c r="DE766" s="44"/>
      <c r="DF766" s="44"/>
      <c r="DG766" s="44"/>
      <c r="DH766" s="44"/>
      <c r="DI766" s="44"/>
      <c r="DJ766" s="44"/>
      <c r="DK766" s="44"/>
      <c r="DL766" s="44"/>
      <c r="DM766" s="44"/>
      <c r="DN766" s="44"/>
      <c r="DO766" s="44"/>
      <c r="DP766" s="44"/>
      <c r="DQ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  <c r="DB767" s="44"/>
      <c r="DC767" s="44"/>
      <c r="DD767" s="44"/>
      <c r="DE767" s="44"/>
      <c r="DF767" s="44"/>
      <c r="DG767" s="44"/>
      <c r="DH767" s="44"/>
      <c r="DI767" s="44"/>
      <c r="DJ767" s="44"/>
      <c r="DK767" s="44"/>
      <c r="DL767" s="44"/>
      <c r="DM767" s="44"/>
      <c r="DN767" s="44"/>
      <c r="DO767" s="44"/>
      <c r="DP767" s="44"/>
      <c r="DQ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  <c r="DB768" s="44"/>
      <c r="DC768" s="44"/>
      <c r="DD768" s="44"/>
      <c r="DE768" s="44"/>
      <c r="DF768" s="44"/>
      <c r="DG768" s="44"/>
      <c r="DH768" s="44"/>
      <c r="DI768" s="44"/>
      <c r="DJ768" s="44"/>
      <c r="DK768" s="44"/>
      <c r="DL768" s="44"/>
      <c r="DM768" s="44"/>
      <c r="DN768" s="44"/>
      <c r="DO768" s="44"/>
      <c r="DP768" s="44"/>
      <c r="DQ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  <c r="DB769" s="44"/>
      <c r="DC769" s="44"/>
      <c r="DD769" s="44"/>
      <c r="DE769" s="44"/>
      <c r="DF769" s="44"/>
      <c r="DG769" s="44"/>
      <c r="DH769" s="44"/>
      <c r="DI769" s="44"/>
      <c r="DJ769" s="44"/>
      <c r="DK769" s="44"/>
      <c r="DL769" s="44"/>
      <c r="DM769" s="44"/>
      <c r="DN769" s="44"/>
      <c r="DO769" s="44"/>
      <c r="DP769" s="44"/>
      <c r="DQ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  <c r="DB770" s="44"/>
      <c r="DC770" s="44"/>
      <c r="DD770" s="44"/>
      <c r="DE770" s="44"/>
      <c r="DF770" s="44"/>
      <c r="DG770" s="44"/>
      <c r="DH770" s="44"/>
      <c r="DI770" s="44"/>
      <c r="DJ770" s="44"/>
      <c r="DK770" s="44"/>
      <c r="DL770" s="44"/>
      <c r="DM770" s="44"/>
      <c r="DN770" s="44"/>
      <c r="DO770" s="44"/>
      <c r="DP770" s="44"/>
      <c r="DQ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  <c r="DB771" s="44"/>
      <c r="DC771" s="44"/>
      <c r="DD771" s="44"/>
      <c r="DE771" s="44"/>
      <c r="DF771" s="44"/>
      <c r="DG771" s="44"/>
      <c r="DH771" s="44"/>
      <c r="DI771" s="44"/>
      <c r="DJ771" s="44"/>
      <c r="DK771" s="44"/>
      <c r="DL771" s="44"/>
      <c r="DM771" s="44"/>
      <c r="DN771" s="44"/>
      <c r="DO771" s="44"/>
      <c r="DP771" s="44"/>
      <c r="DQ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  <c r="DB772" s="44"/>
      <c r="DC772" s="44"/>
      <c r="DD772" s="44"/>
      <c r="DE772" s="44"/>
      <c r="DF772" s="44"/>
      <c r="DG772" s="44"/>
      <c r="DH772" s="44"/>
      <c r="DI772" s="44"/>
      <c r="DJ772" s="44"/>
      <c r="DK772" s="44"/>
      <c r="DL772" s="44"/>
      <c r="DM772" s="44"/>
      <c r="DN772" s="44"/>
      <c r="DO772" s="44"/>
      <c r="DP772" s="44"/>
      <c r="DQ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  <c r="DB773" s="44"/>
      <c r="DC773" s="44"/>
      <c r="DD773" s="44"/>
      <c r="DE773" s="44"/>
      <c r="DF773" s="44"/>
      <c r="DG773" s="44"/>
      <c r="DH773" s="44"/>
      <c r="DI773" s="44"/>
      <c r="DJ773" s="44"/>
      <c r="DK773" s="44"/>
      <c r="DL773" s="44"/>
      <c r="DM773" s="44"/>
      <c r="DN773" s="44"/>
      <c r="DO773" s="44"/>
      <c r="DP773" s="44"/>
      <c r="DQ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  <c r="DB774" s="44"/>
      <c r="DC774" s="44"/>
      <c r="DD774" s="44"/>
      <c r="DE774" s="44"/>
      <c r="DF774" s="44"/>
      <c r="DG774" s="44"/>
      <c r="DH774" s="44"/>
      <c r="DI774" s="44"/>
      <c r="DJ774" s="44"/>
      <c r="DK774" s="44"/>
      <c r="DL774" s="44"/>
      <c r="DM774" s="44"/>
      <c r="DN774" s="44"/>
      <c r="DO774" s="44"/>
      <c r="DP774" s="44"/>
      <c r="DQ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  <c r="DB775" s="44"/>
      <c r="DC775" s="44"/>
      <c r="DD775" s="44"/>
      <c r="DE775" s="44"/>
      <c r="DF775" s="44"/>
      <c r="DG775" s="44"/>
      <c r="DH775" s="44"/>
      <c r="DI775" s="44"/>
      <c r="DJ775" s="44"/>
      <c r="DK775" s="44"/>
      <c r="DL775" s="44"/>
      <c r="DM775" s="44"/>
      <c r="DN775" s="44"/>
      <c r="DO775" s="44"/>
      <c r="DP775" s="44"/>
      <c r="DQ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  <c r="DB776" s="44"/>
      <c r="DC776" s="44"/>
      <c r="DD776" s="44"/>
      <c r="DE776" s="44"/>
      <c r="DF776" s="44"/>
      <c r="DG776" s="44"/>
      <c r="DH776" s="44"/>
      <c r="DI776" s="44"/>
      <c r="DJ776" s="44"/>
      <c r="DK776" s="44"/>
      <c r="DL776" s="44"/>
      <c r="DM776" s="44"/>
      <c r="DN776" s="44"/>
      <c r="DO776" s="44"/>
      <c r="DP776" s="44"/>
      <c r="DQ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  <c r="DB777" s="44"/>
      <c r="DC777" s="44"/>
      <c r="DD777" s="44"/>
      <c r="DE777" s="44"/>
      <c r="DF777" s="44"/>
      <c r="DG777" s="44"/>
      <c r="DH777" s="44"/>
      <c r="DI777" s="44"/>
      <c r="DJ777" s="44"/>
      <c r="DK777" s="44"/>
      <c r="DL777" s="44"/>
      <c r="DM777" s="44"/>
      <c r="DN777" s="44"/>
      <c r="DO777" s="44"/>
      <c r="DP777" s="44"/>
      <c r="DQ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  <c r="DB778" s="44"/>
      <c r="DC778" s="44"/>
      <c r="DD778" s="44"/>
      <c r="DE778" s="44"/>
      <c r="DF778" s="44"/>
      <c r="DG778" s="44"/>
      <c r="DH778" s="44"/>
      <c r="DI778" s="44"/>
      <c r="DJ778" s="44"/>
      <c r="DK778" s="44"/>
      <c r="DL778" s="44"/>
      <c r="DM778" s="44"/>
      <c r="DN778" s="44"/>
      <c r="DO778" s="44"/>
      <c r="DP778" s="44"/>
      <c r="DQ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  <c r="DB779" s="44"/>
      <c r="DC779" s="44"/>
      <c r="DD779" s="44"/>
      <c r="DE779" s="44"/>
      <c r="DF779" s="44"/>
      <c r="DG779" s="44"/>
      <c r="DH779" s="44"/>
      <c r="DI779" s="44"/>
      <c r="DJ779" s="44"/>
      <c r="DK779" s="44"/>
      <c r="DL779" s="44"/>
      <c r="DM779" s="44"/>
      <c r="DN779" s="44"/>
      <c r="DO779" s="44"/>
      <c r="DP779" s="44"/>
      <c r="DQ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  <c r="DB780" s="44"/>
      <c r="DC780" s="44"/>
      <c r="DD780" s="44"/>
      <c r="DE780" s="44"/>
      <c r="DF780" s="44"/>
      <c r="DG780" s="44"/>
      <c r="DH780" s="44"/>
      <c r="DI780" s="44"/>
      <c r="DJ780" s="44"/>
      <c r="DK780" s="44"/>
      <c r="DL780" s="44"/>
      <c r="DM780" s="44"/>
      <c r="DN780" s="44"/>
      <c r="DO780" s="44"/>
      <c r="DP780" s="44"/>
      <c r="DQ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  <c r="DB781" s="44"/>
      <c r="DC781" s="44"/>
      <c r="DD781" s="44"/>
      <c r="DE781" s="44"/>
      <c r="DF781" s="44"/>
      <c r="DG781" s="44"/>
      <c r="DH781" s="44"/>
      <c r="DI781" s="44"/>
      <c r="DJ781" s="44"/>
      <c r="DK781" s="44"/>
      <c r="DL781" s="44"/>
      <c r="DM781" s="44"/>
      <c r="DN781" s="44"/>
      <c r="DO781" s="44"/>
      <c r="DP781" s="44"/>
      <c r="DQ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  <c r="DB782" s="44"/>
      <c r="DC782" s="44"/>
      <c r="DD782" s="44"/>
      <c r="DE782" s="44"/>
      <c r="DF782" s="44"/>
      <c r="DG782" s="44"/>
      <c r="DH782" s="44"/>
      <c r="DI782" s="44"/>
      <c r="DJ782" s="44"/>
      <c r="DK782" s="44"/>
      <c r="DL782" s="44"/>
      <c r="DM782" s="44"/>
      <c r="DN782" s="44"/>
      <c r="DO782" s="44"/>
      <c r="DP782" s="44"/>
      <c r="DQ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  <c r="DB783" s="44"/>
      <c r="DC783" s="44"/>
      <c r="DD783" s="44"/>
      <c r="DE783" s="44"/>
      <c r="DF783" s="44"/>
      <c r="DG783" s="44"/>
      <c r="DH783" s="44"/>
      <c r="DI783" s="44"/>
      <c r="DJ783" s="44"/>
      <c r="DK783" s="44"/>
      <c r="DL783" s="44"/>
      <c r="DM783" s="44"/>
      <c r="DN783" s="44"/>
      <c r="DO783" s="44"/>
      <c r="DP783" s="44"/>
      <c r="DQ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  <c r="DB784" s="44"/>
      <c r="DC784" s="44"/>
      <c r="DD784" s="44"/>
      <c r="DE784" s="44"/>
      <c r="DF784" s="44"/>
      <c r="DG784" s="44"/>
      <c r="DH784" s="44"/>
      <c r="DI784" s="44"/>
      <c r="DJ784" s="44"/>
      <c r="DK784" s="44"/>
      <c r="DL784" s="44"/>
      <c r="DM784" s="44"/>
      <c r="DN784" s="44"/>
      <c r="DO784" s="44"/>
      <c r="DP784" s="44"/>
      <c r="DQ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  <c r="DB785" s="44"/>
      <c r="DC785" s="44"/>
      <c r="DD785" s="44"/>
      <c r="DE785" s="44"/>
      <c r="DF785" s="44"/>
      <c r="DG785" s="44"/>
      <c r="DH785" s="44"/>
      <c r="DI785" s="44"/>
      <c r="DJ785" s="44"/>
      <c r="DK785" s="44"/>
      <c r="DL785" s="44"/>
      <c r="DM785" s="44"/>
      <c r="DN785" s="44"/>
      <c r="DO785" s="44"/>
      <c r="DP785" s="44"/>
      <c r="DQ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  <c r="DB786" s="44"/>
      <c r="DC786" s="44"/>
      <c r="DD786" s="44"/>
      <c r="DE786" s="44"/>
      <c r="DF786" s="44"/>
      <c r="DG786" s="44"/>
      <c r="DH786" s="44"/>
      <c r="DI786" s="44"/>
      <c r="DJ786" s="44"/>
      <c r="DK786" s="44"/>
      <c r="DL786" s="44"/>
      <c r="DM786" s="44"/>
      <c r="DN786" s="44"/>
      <c r="DO786" s="44"/>
      <c r="DP786" s="44"/>
      <c r="DQ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  <c r="DB787" s="44"/>
      <c r="DC787" s="44"/>
      <c r="DD787" s="44"/>
      <c r="DE787" s="44"/>
      <c r="DF787" s="44"/>
      <c r="DG787" s="44"/>
      <c r="DH787" s="44"/>
      <c r="DI787" s="44"/>
      <c r="DJ787" s="44"/>
      <c r="DK787" s="44"/>
      <c r="DL787" s="44"/>
      <c r="DM787" s="44"/>
      <c r="DN787" s="44"/>
      <c r="DO787" s="44"/>
      <c r="DP787" s="44"/>
      <c r="DQ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  <c r="DB788" s="44"/>
      <c r="DC788" s="44"/>
      <c r="DD788" s="44"/>
      <c r="DE788" s="44"/>
      <c r="DF788" s="44"/>
      <c r="DG788" s="44"/>
      <c r="DH788" s="44"/>
      <c r="DI788" s="44"/>
      <c r="DJ788" s="44"/>
      <c r="DK788" s="44"/>
      <c r="DL788" s="44"/>
      <c r="DM788" s="44"/>
      <c r="DN788" s="44"/>
      <c r="DO788" s="44"/>
      <c r="DP788" s="44"/>
      <c r="DQ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  <c r="DB789" s="44"/>
      <c r="DC789" s="44"/>
      <c r="DD789" s="44"/>
      <c r="DE789" s="44"/>
      <c r="DF789" s="44"/>
      <c r="DG789" s="44"/>
      <c r="DH789" s="44"/>
      <c r="DI789" s="44"/>
      <c r="DJ789" s="44"/>
      <c r="DK789" s="44"/>
      <c r="DL789" s="44"/>
      <c r="DM789" s="44"/>
      <c r="DN789" s="44"/>
      <c r="DO789" s="44"/>
      <c r="DP789" s="44"/>
      <c r="DQ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  <c r="DB790" s="44"/>
      <c r="DC790" s="44"/>
      <c r="DD790" s="44"/>
      <c r="DE790" s="44"/>
      <c r="DF790" s="44"/>
      <c r="DG790" s="44"/>
      <c r="DH790" s="44"/>
      <c r="DI790" s="44"/>
      <c r="DJ790" s="44"/>
      <c r="DK790" s="44"/>
      <c r="DL790" s="44"/>
      <c r="DM790" s="44"/>
      <c r="DN790" s="44"/>
      <c r="DO790" s="44"/>
      <c r="DP790" s="44"/>
      <c r="DQ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  <c r="DB791" s="44"/>
      <c r="DC791" s="44"/>
      <c r="DD791" s="44"/>
      <c r="DE791" s="44"/>
      <c r="DF791" s="44"/>
      <c r="DG791" s="44"/>
      <c r="DH791" s="44"/>
      <c r="DI791" s="44"/>
      <c r="DJ791" s="44"/>
      <c r="DK791" s="44"/>
      <c r="DL791" s="44"/>
      <c r="DM791" s="44"/>
      <c r="DN791" s="44"/>
      <c r="DO791" s="44"/>
      <c r="DP791" s="44"/>
      <c r="DQ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  <c r="DB792" s="44"/>
      <c r="DC792" s="44"/>
      <c r="DD792" s="44"/>
      <c r="DE792" s="44"/>
      <c r="DF792" s="44"/>
      <c r="DG792" s="44"/>
      <c r="DH792" s="44"/>
      <c r="DI792" s="44"/>
      <c r="DJ792" s="44"/>
      <c r="DK792" s="44"/>
      <c r="DL792" s="44"/>
      <c r="DM792" s="44"/>
      <c r="DN792" s="44"/>
      <c r="DO792" s="44"/>
      <c r="DP792" s="44"/>
      <c r="DQ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  <c r="DB793" s="44"/>
      <c r="DC793" s="44"/>
      <c r="DD793" s="44"/>
      <c r="DE793" s="44"/>
      <c r="DF793" s="44"/>
      <c r="DG793" s="44"/>
      <c r="DH793" s="44"/>
      <c r="DI793" s="44"/>
      <c r="DJ793" s="44"/>
      <c r="DK793" s="44"/>
      <c r="DL793" s="44"/>
      <c r="DM793" s="44"/>
      <c r="DN793" s="44"/>
      <c r="DO793" s="44"/>
      <c r="DP793" s="44"/>
      <c r="DQ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  <c r="DB794" s="44"/>
      <c r="DC794" s="44"/>
      <c r="DD794" s="44"/>
      <c r="DE794" s="44"/>
      <c r="DF794" s="44"/>
      <c r="DG794" s="44"/>
      <c r="DH794" s="44"/>
      <c r="DI794" s="44"/>
      <c r="DJ794" s="44"/>
      <c r="DK794" s="44"/>
      <c r="DL794" s="44"/>
      <c r="DM794" s="44"/>
      <c r="DN794" s="44"/>
      <c r="DO794" s="44"/>
      <c r="DP794" s="44"/>
      <c r="DQ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  <c r="DB795" s="44"/>
      <c r="DC795" s="44"/>
      <c r="DD795" s="44"/>
      <c r="DE795" s="44"/>
      <c r="DF795" s="44"/>
      <c r="DG795" s="44"/>
      <c r="DH795" s="44"/>
      <c r="DI795" s="44"/>
      <c r="DJ795" s="44"/>
      <c r="DK795" s="44"/>
      <c r="DL795" s="44"/>
      <c r="DM795" s="44"/>
      <c r="DN795" s="44"/>
      <c r="DO795" s="44"/>
      <c r="DP795" s="44"/>
      <c r="DQ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  <c r="DB796" s="44"/>
      <c r="DC796" s="44"/>
      <c r="DD796" s="44"/>
      <c r="DE796" s="44"/>
      <c r="DF796" s="44"/>
      <c r="DG796" s="44"/>
      <c r="DH796" s="44"/>
      <c r="DI796" s="44"/>
      <c r="DJ796" s="44"/>
      <c r="DK796" s="44"/>
      <c r="DL796" s="44"/>
      <c r="DM796" s="44"/>
      <c r="DN796" s="44"/>
      <c r="DO796" s="44"/>
      <c r="DP796" s="44"/>
      <c r="DQ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  <c r="DB797" s="44"/>
      <c r="DC797" s="44"/>
      <c r="DD797" s="44"/>
      <c r="DE797" s="44"/>
      <c r="DF797" s="44"/>
      <c r="DG797" s="44"/>
      <c r="DH797" s="44"/>
      <c r="DI797" s="44"/>
      <c r="DJ797" s="44"/>
      <c r="DK797" s="44"/>
      <c r="DL797" s="44"/>
      <c r="DM797" s="44"/>
      <c r="DN797" s="44"/>
      <c r="DO797" s="44"/>
      <c r="DP797" s="44"/>
      <c r="DQ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  <c r="DB798" s="44"/>
      <c r="DC798" s="44"/>
      <c r="DD798" s="44"/>
      <c r="DE798" s="44"/>
      <c r="DF798" s="44"/>
      <c r="DG798" s="44"/>
      <c r="DH798" s="44"/>
      <c r="DI798" s="44"/>
      <c r="DJ798" s="44"/>
      <c r="DK798" s="44"/>
      <c r="DL798" s="44"/>
      <c r="DM798" s="44"/>
      <c r="DN798" s="44"/>
      <c r="DO798" s="44"/>
      <c r="DP798" s="44"/>
      <c r="DQ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  <c r="DB799" s="44"/>
      <c r="DC799" s="44"/>
      <c r="DD799" s="44"/>
      <c r="DE799" s="44"/>
      <c r="DF799" s="44"/>
      <c r="DG799" s="44"/>
      <c r="DH799" s="44"/>
      <c r="DI799" s="44"/>
      <c r="DJ799" s="44"/>
      <c r="DK799" s="44"/>
      <c r="DL799" s="44"/>
      <c r="DM799" s="44"/>
      <c r="DN799" s="44"/>
      <c r="DO799" s="44"/>
      <c r="DP799" s="44"/>
      <c r="DQ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  <c r="DB800" s="44"/>
      <c r="DC800" s="44"/>
      <c r="DD800" s="44"/>
      <c r="DE800" s="44"/>
      <c r="DF800" s="44"/>
      <c r="DG800" s="44"/>
      <c r="DH800" s="44"/>
      <c r="DI800" s="44"/>
      <c r="DJ800" s="44"/>
      <c r="DK800" s="44"/>
      <c r="DL800" s="44"/>
      <c r="DM800" s="44"/>
      <c r="DN800" s="44"/>
      <c r="DO800" s="44"/>
      <c r="DP800" s="44"/>
      <c r="DQ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  <c r="DB801" s="44"/>
      <c r="DC801" s="44"/>
      <c r="DD801" s="44"/>
      <c r="DE801" s="44"/>
      <c r="DF801" s="44"/>
      <c r="DG801" s="44"/>
      <c r="DH801" s="44"/>
      <c r="DI801" s="44"/>
      <c r="DJ801" s="44"/>
      <c r="DK801" s="44"/>
      <c r="DL801" s="44"/>
      <c r="DM801" s="44"/>
      <c r="DN801" s="44"/>
      <c r="DO801" s="44"/>
      <c r="DP801" s="44"/>
      <c r="DQ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  <c r="DB802" s="44"/>
      <c r="DC802" s="44"/>
      <c r="DD802" s="44"/>
      <c r="DE802" s="44"/>
      <c r="DF802" s="44"/>
      <c r="DG802" s="44"/>
      <c r="DH802" s="44"/>
      <c r="DI802" s="44"/>
      <c r="DJ802" s="44"/>
      <c r="DK802" s="44"/>
      <c r="DL802" s="44"/>
      <c r="DM802" s="44"/>
      <c r="DN802" s="44"/>
      <c r="DO802" s="44"/>
      <c r="DP802" s="44"/>
      <c r="DQ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  <c r="DB803" s="44"/>
      <c r="DC803" s="44"/>
      <c r="DD803" s="44"/>
      <c r="DE803" s="44"/>
      <c r="DF803" s="44"/>
      <c r="DG803" s="44"/>
      <c r="DH803" s="44"/>
      <c r="DI803" s="44"/>
      <c r="DJ803" s="44"/>
      <c r="DK803" s="44"/>
      <c r="DL803" s="44"/>
      <c r="DM803" s="44"/>
      <c r="DN803" s="44"/>
      <c r="DO803" s="44"/>
      <c r="DP803" s="44"/>
      <c r="DQ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  <c r="DB804" s="44"/>
      <c r="DC804" s="44"/>
      <c r="DD804" s="44"/>
      <c r="DE804" s="44"/>
      <c r="DF804" s="44"/>
      <c r="DG804" s="44"/>
      <c r="DH804" s="44"/>
      <c r="DI804" s="44"/>
      <c r="DJ804" s="44"/>
      <c r="DK804" s="44"/>
      <c r="DL804" s="44"/>
      <c r="DM804" s="44"/>
      <c r="DN804" s="44"/>
      <c r="DO804" s="44"/>
      <c r="DP804" s="44"/>
      <c r="DQ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  <c r="DB805" s="44"/>
      <c r="DC805" s="44"/>
      <c r="DD805" s="44"/>
      <c r="DE805" s="44"/>
      <c r="DF805" s="44"/>
      <c r="DG805" s="44"/>
      <c r="DH805" s="44"/>
      <c r="DI805" s="44"/>
      <c r="DJ805" s="44"/>
      <c r="DK805" s="44"/>
      <c r="DL805" s="44"/>
      <c r="DM805" s="44"/>
      <c r="DN805" s="44"/>
      <c r="DO805" s="44"/>
      <c r="DP805" s="44"/>
      <c r="DQ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  <c r="DB806" s="44"/>
      <c r="DC806" s="44"/>
      <c r="DD806" s="44"/>
      <c r="DE806" s="44"/>
      <c r="DF806" s="44"/>
      <c r="DG806" s="44"/>
      <c r="DH806" s="44"/>
      <c r="DI806" s="44"/>
      <c r="DJ806" s="44"/>
      <c r="DK806" s="44"/>
      <c r="DL806" s="44"/>
      <c r="DM806" s="44"/>
      <c r="DN806" s="44"/>
      <c r="DO806" s="44"/>
      <c r="DP806" s="44"/>
      <c r="DQ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  <c r="DB807" s="44"/>
      <c r="DC807" s="44"/>
      <c r="DD807" s="44"/>
      <c r="DE807" s="44"/>
      <c r="DF807" s="44"/>
      <c r="DG807" s="44"/>
      <c r="DH807" s="44"/>
      <c r="DI807" s="44"/>
      <c r="DJ807" s="44"/>
      <c r="DK807" s="44"/>
      <c r="DL807" s="44"/>
      <c r="DM807" s="44"/>
      <c r="DN807" s="44"/>
      <c r="DO807" s="44"/>
      <c r="DP807" s="44"/>
      <c r="DQ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  <c r="DB808" s="44"/>
      <c r="DC808" s="44"/>
      <c r="DD808" s="44"/>
      <c r="DE808" s="44"/>
      <c r="DF808" s="44"/>
      <c r="DG808" s="44"/>
      <c r="DH808" s="44"/>
      <c r="DI808" s="44"/>
      <c r="DJ808" s="44"/>
      <c r="DK808" s="44"/>
      <c r="DL808" s="44"/>
      <c r="DM808" s="44"/>
      <c r="DN808" s="44"/>
      <c r="DO808" s="44"/>
      <c r="DP808" s="44"/>
      <c r="DQ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  <c r="DB809" s="44"/>
      <c r="DC809" s="44"/>
      <c r="DD809" s="44"/>
      <c r="DE809" s="44"/>
      <c r="DF809" s="44"/>
      <c r="DG809" s="44"/>
      <c r="DH809" s="44"/>
      <c r="DI809" s="44"/>
      <c r="DJ809" s="44"/>
      <c r="DK809" s="44"/>
      <c r="DL809" s="44"/>
      <c r="DM809" s="44"/>
      <c r="DN809" s="44"/>
      <c r="DO809" s="44"/>
      <c r="DP809" s="44"/>
      <c r="DQ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  <c r="DB810" s="44"/>
      <c r="DC810" s="44"/>
      <c r="DD810" s="44"/>
      <c r="DE810" s="44"/>
      <c r="DF810" s="44"/>
      <c r="DG810" s="44"/>
      <c r="DH810" s="44"/>
      <c r="DI810" s="44"/>
      <c r="DJ810" s="44"/>
      <c r="DK810" s="44"/>
      <c r="DL810" s="44"/>
      <c r="DM810" s="44"/>
      <c r="DN810" s="44"/>
      <c r="DO810" s="44"/>
      <c r="DP810" s="44"/>
      <c r="DQ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  <c r="DB811" s="44"/>
      <c r="DC811" s="44"/>
      <c r="DD811" s="44"/>
      <c r="DE811" s="44"/>
      <c r="DF811" s="44"/>
      <c r="DG811" s="44"/>
      <c r="DH811" s="44"/>
      <c r="DI811" s="44"/>
      <c r="DJ811" s="44"/>
      <c r="DK811" s="44"/>
      <c r="DL811" s="44"/>
      <c r="DM811" s="44"/>
      <c r="DN811" s="44"/>
      <c r="DO811" s="44"/>
      <c r="DP811" s="44"/>
      <c r="DQ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  <c r="DB812" s="44"/>
      <c r="DC812" s="44"/>
      <c r="DD812" s="44"/>
      <c r="DE812" s="44"/>
      <c r="DF812" s="44"/>
      <c r="DG812" s="44"/>
      <c r="DH812" s="44"/>
      <c r="DI812" s="44"/>
      <c r="DJ812" s="44"/>
      <c r="DK812" s="44"/>
      <c r="DL812" s="44"/>
      <c r="DM812" s="44"/>
      <c r="DN812" s="44"/>
      <c r="DO812" s="44"/>
      <c r="DP812" s="44"/>
      <c r="DQ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  <c r="DB813" s="44"/>
      <c r="DC813" s="44"/>
      <c r="DD813" s="44"/>
      <c r="DE813" s="44"/>
      <c r="DF813" s="44"/>
      <c r="DG813" s="44"/>
      <c r="DH813" s="44"/>
      <c r="DI813" s="44"/>
      <c r="DJ813" s="44"/>
      <c r="DK813" s="44"/>
      <c r="DL813" s="44"/>
      <c r="DM813" s="44"/>
      <c r="DN813" s="44"/>
      <c r="DO813" s="44"/>
      <c r="DP813" s="44"/>
      <c r="DQ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  <c r="DB814" s="44"/>
      <c r="DC814" s="44"/>
      <c r="DD814" s="44"/>
      <c r="DE814" s="44"/>
      <c r="DF814" s="44"/>
      <c r="DG814" s="44"/>
      <c r="DH814" s="44"/>
      <c r="DI814" s="44"/>
      <c r="DJ814" s="44"/>
      <c r="DK814" s="44"/>
      <c r="DL814" s="44"/>
      <c r="DM814" s="44"/>
      <c r="DN814" s="44"/>
      <c r="DO814" s="44"/>
      <c r="DP814" s="44"/>
      <c r="DQ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  <c r="DB815" s="44"/>
      <c r="DC815" s="44"/>
      <c r="DD815" s="44"/>
      <c r="DE815" s="44"/>
      <c r="DF815" s="44"/>
      <c r="DG815" s="44"/>
      <c r="DH815" s="44"/>
      <c r="DI815" s="44"/>
      <c r="DJ815" s="44"/>
      <c r="DK815" s="44"/>
      <c r="DL815" s="44"/>
      <c r="DM815" s="44"/>
      <c r="DN815" s="44"/>
      <c r="DO815" s="44"/>
      <c r="DP815" s="44"/>
      <c r="DQ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  <c r="DB816" s="44"/>
      <c r="DC816" s="44"/>
      <c r="DD816" s="44"/>
      <c r="DE816" s="44"/>
      <c r="DF816" s="44"/>
      <c r="DG816" s="44"/>
      <c r="DH816" s="44"/>
      <c r="DI816" s="44"/>
      <c r="DJ816" s="44"/>
      <c r="DK816" s="44"/>
      <c r="DL816" s="44"/>
      <c r="DM816" s="44"/>
      <c r="DN816" s="44"/>
      <c r="DO816" s="44"/>
      <c r="DP816" s="44"/>
      <c r="DQ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  <c r="DB817" s="44"/>
      <c r="DC817" s="44"/>
      <c r="DD817" s="44"/>
      <c r="DE817" s="44"/>
      <c r="DF817" s="44"/>
      <c r="DG817" s="44"/>
      <c r="DH817" s="44"/>
      <c r="DI817" s="44"/>
      <c r="DJ817" s="44"/>
      <c r="DK817" s="44"/>
      <c r="DL817" s="44"/>
      <c r="DM817" s="44"/>
      <c r="DN817" s="44"/>
      <c r="DO817" s="44"/>
      <c r="DP817" s="44"/>
      <c r="DQ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  <c r="DB818" s="44"/>
      <c r="DC818" s="44"/>
      <c r="DD818" s="44"/>
      <c r="DE818" s="44"/>
      <c r="DF818" s="44"/>
      <c r="DG818" s="44"/>
      <c r="DH818" s="44"/>
      <c r="DI818" s="44"/>
      <c r="DJ818" s="44"/>
      <c r="DK818" s="44"/>
      <c r="DL818" s="44"/>
      <c r="DM818" s="44"/>
      <c r="DN818" s="44"/>
      <c r="DO818" s="44"/>
      <c r="DP818" s="44"/>
      <c r="DQ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  <c r="DB819" s="44"/>
      <c r="DC819" s="44"/>
      <c r="DD819" s="44"/>
      <c r="DE819" s="44"/>
      <c r="DF819" s="44"/>
      <c r="DG819" s="44"/>
      <c r="DH819" s="44"/>
      <c r="DI819" s="44"/>
      <c r="DJ819" s="44"/>
      <c r="DK819" s="44"/>
      <c r="DL819" s="44"/>
      <c r="DM819" s="44"/>
      <c r="DN819" s="44"/>
      <c r="DO819" s="44"/>
      <c r="DP819" s="44"/>
      <c r="DQ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  <c r="DB820" s="44"/>
      <c r="DC820" s="44"/>
      <c r="DD820" s="44"/>
      <c r="DE820" s="44"/>
      <c r="DF820" s="44"/>
      <c r="DG820" s="44"/>
      <c r="DH820" s="44"/>
      <c r="DI820" s="44"/>
      <c r="DJ820" s="44"/>
      <c r="DK820" s="44"/>
      <c r="DL820" s="44"/>
      <c r="DM820" s="44"/>
      <c r="DN820" s="44"/>
      <c r="DO820" s="44"/>
      <c r="DP820" s="44"/>
      <c r="DQ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  <c r="DB821" s="44"/>
      <c r="DC821" s="44"/>
      <c r="DD821" s="44"/>
      <c r="DE821" s="44"/>
      <c r="DF821" s="44"/>
      <c r="DG821" s="44"/>
      <c r="DH821" s="44"/>
      <c r="DI821" s="44"/>
      <c r="DJ821" s="44"/>
      <c r="DK821" s="44"/>
      <c r="DL821" s="44"/>
      <c r="DM821" s="44"/>
      <c r="DN821" s="44"/>
      <c r="DO821" s="44"/>
      <c r="DP821" s="44"/>
      <c r="DQ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  <c r="DB822" s="44"/>
      <c r="DC822" s="44"/>
      <c r="DD822" s="44"/>
      <c r="DE822" s="44"/>
      <c r="DF822" s="44"/>
      <c r="DG822" s="44"/>
      <c r="DH822" s="44"/>
      <c r="DI822" s="44"/>
      <c r="DJ822" s="44"/>
      <c r="DK822" s="44"/>
      <c r="DL822" s="44"/>
      <c r="DM822" s="44"/>
      <c r="DN822" s="44"/>
      <c r="DO822" s="44"/>
      <c r="DP822" s="44"/>
      <c r="DQ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  <c r="DB823" s="44"/>
      <c r="DC823" s="44"/>
      <c r="DD823" s="44"/>
      <c r="DE823" s="44"/>
      <c r="DF823" s="44"/>
      <c r="DG823" s="44"/>
      <c r="DH823" s="44"/>
      <c r="DI823" s="44"/>
      <c r="DJ823" s="44"/>
      <c r="DK823" s="44"/>
      <c r="DL823" s="44"/>
      <c r="DM823" s="44"/>
      <c r="DN823" s="44"/>
      <c r="DO823" s="44"/>
      <c r="DP823" s="44"/>
      <c r="DQ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  <c r="DB824" s="44"/>
      <c r="DC824" s="44"/>
      <c r="DD824" s="44"/>
      <c r="DE824" s="44"/>
      <c r="DF824" s="44"/>
      <c r="DG824" s="44"/>
      <c r="DH824" s="44"/>
      <c r="DI824" s="44"/>
      <c r="DJ824" s="44"/>
      <c r="DK824" s="44"/>
      <c r="DL824" s="44"/>
      <c r="DM824" s="44"/>
      <c r="DN824" s="44"/>
      <c r="DO824" s="44"/>
      <c r="DP824" s="44"/>
      <c r="DQ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  <c r="DB825" s="44"/>
      <c r="DC825" s="44"/>
      <c r="DD825" s="44"/>
      <c r="DE825" s="44"/>
      <c r="DF825" s="44"/>
      <c r="DG825" s="44"/>
      <c r="DH825" s="44"/>
      <c r="DI825" s="44"/>
      <c r="DJ825" s="44"/>
      <c r="DK825" s="44"/>
      <c r="DL825" s="44"/>
      <c r="DM825" s="44"/>
      <c r="DN825" s="44"/>
      <c r="DO825" s="44"/>
      <c r="DP825" s="44"/>
      <c r="DQ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  <c r="DB826" s="44"/>
      <c r="DC826" s="44"/>
      <c r="DD826" s="44"/>
      <c r="DE826" s="44"/>
      <c r="DF826" s="44"/>
      <c r="DG826" s="44"/>
      <c r="DH826" s="44"/>
      <c r="DI826" s="44"/>
      <c r="DJ826" s="44"/>
      <c r="DK826" s="44"/>
      <c r="DL826" s="44"/>
      <c r="DM826" s="44"/>
      <c r="DN826" s="44"/>
      <c r="DO826" s="44"/>
      <c r="DP826" s="44"/>
      <c r="DQ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  <c r="DB827" s="44"/>
      <c r="DC827" s="44"/>
      <c r="DD827" s="44"/>
      <c r="DE827" s="44"/>
      <c r="DF827" s="44"/>
      <c r="DG827" s="44"/>
      <c r="DH827" s="44"/>
      <c r="DI827" s="44"/>
      <c r="DJ827" s="44"/>
      <c r="DK827" s="44"/>
      <c r="DL827" s="44"/>
      <c r="DM827" s="44"/>
      <c r="DN827" s="44"/>
      <c r="DO827" s="44"/>
      <c r="DP827" s="44"/>
      <c r="DQ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  <c r="DB828" s="44"/>
      <c r="DC828" s="44"/>
      <c r="DD828" s="44"/>
      <c r="DE828" s="44"/>
      <c r="DF828" s="44"/>
      <c r="DG828" s="44"/>
      <c r="DH828" s="44"/>
      <c r="DI828" s="44"/>
      <c r="DJ828" s="44"/>
      <c r="DK828" s="44"/>
      <c r="DL828" s="44"/>
      <c r="DM828" s="44"/>
      <c r="DN828" s="44"/>
      <c r="DO828" s="44"/>
      <c r="DP828" s="44"/>
      <c r="DQ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  <c r="DB829" s="44"/>
      <c r="DC829" s="44"/>
      <c r="DD829" s="44"/>
      <c r="DE829" s="44"/>
      <c r="DF829" s="44"/>
      <c r="DG829" s="44"/>
      <c r="DH829" s="44"/>
      <c r="DI829" s="44"/>
      <c r="DJ829" s="44"/>
      <c r="DK829" s="44"/>
      <c r="DL829" s="44"/>
      <c r="DM829" s="44"/>
      <c r="DN829" s="44"/>
      <c r="DO829" s="44"/>
      <c r="DP829" s="44"/>
      <c r="DQ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  <c r="DB830" s="44"/>
      <c r="DC830" s="44"/>
      <c r="DD830" s="44"/>
      <c r="DE830" s="44"/>
      <c r="DF830" s="44"/>
      <c r="DG830" s="44"/>
      <c r="DH830" s="44"/>
      <c r="DI830" s="44"/>
      <c r="DJ830" s="44"/>
      <c r="DK830" s="44"/>
      <c r="DL830" s="44"/>
      <c r="DM830" s="44"/>
      <c r="DN830" s="44"/>
      <c r="DO830" s="44"/>
      <c r="DP830" s="44"/>
      <c r="DQ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  <c r="DB831" s="44"/>
      <c r="DC831" s="44"/>
      <c r="DD831" s="44"/>
      <c r="DE831" s="44"/>
      <c r="DF831" s="44"/>
      <c r="DG831" s="44"/>
      <c r="DH831" s="44"/>
      <c r="DI831" s="44"/>
      <c r="DJ831" s="44"/>
      <c r="DK831" s="44"/>
      <c r="DL831" s="44"/>
      <c r="DM831" s="44"/>
      <c r="DN831" s="44"/>
      <c r="DO831" s="44"/>
      <c r="DP831" s="44"/>
      <c r="DQ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  <c r="DB832" s="44"/>
      <c r="DC832" s="44"/>
      <c r="DD832" s="44"/>
      <c r="DE832" s="44"/>
      <c r="DF832" s="44"/>
      <c r="DG832" s="44"/>
      <c r="DH832" s="44"/>
      <c r="DI832" s="44"/>
      <c r="DJ832" s="44"/>
      <c r="DK832" s="44"/>
      <c r="DL832" s="44"/>
      <c r="DM832" s="44"/>
      <c r="DN832" s="44"/>
      <c r="DO832" s="44"/>
      <c r="DP832" s="44"/>
      <c r="DQ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  <c r="DB833" s="44"/>
      <c r="DC833" s="44"/>
      <c r="DD833" s="44"/>
      <c r="DE833" s="44"/>
      <c r="DF833" s="44"/>
      <c r="DG833" s="44"/>
      <c r="DH833" s="44"/>
      <c r="DI833" s="44"/>
      <c r="DJ833" s="44"/>
      <c r="DK833" s="44"/>
      <c r="DL833" s="44"/>
      <c r="DM833" s="44"/>
      <c r="DN833" s="44"/>
      <c r="DO833" s="44"/>
      <c r="DP833" s="44"/>
      <c r="DQ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  <c r="DB834" s="44"/>
      <c r="DC834" s="44"/>
      <c r="DD834" s="44"/>
      <c r="DE834" s="44"/>
      <c r="DF834" s="44"/>
      <c r="DG834" s="44"/>
      <c r="DH834" s="44"/>
      <c r="DI834" s="44"/>
      <c r="DJ834" s="44"/>
      <c r="DK834" s="44"/>
      <c r="DL834" s="44"/>
      <c r="DM834" s="44"/>
      <c r="DN834" s="44"/>
      <c r="DO834" s="44"/>
      <c r="DP834" s="44"/>
      <c r="DQ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  <c r="DB835" s="44"/>
      <c r="DC835" s="44"/>
      <c r="DD835" s="44"/>
      <c r="DE835" s="44"/>
      <c r="DF835" s="44"/>
      <c r="DG835" s="44"/>
      <c r="DH835" s="44"/>
      <c r="DI835" s="44"/>
      <c r="DJ835" s="44"/>
      <c r="DK835" s="44"/>
      <c r="DL835" s="44"/>
      <c r="DM835" s="44"/>
      <c r="DN835" s="44"/>
      <c r="DO835" s="44"/>
      <c r="DP835" s="44"/>
      <c r="DQ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  <c r="DB836" s="44"/>
      <c r="DC836" s="44"/>
      <c r="DD836" s="44"/>
      <c r="DE836" s="44"/>
      <c r="DF836" s="44"/>
      <c r="DG836" s="44"/>
      <c r="DH836" s="44"/>
      <c r="DI836" s="44"/>
      <c r="DJ836" s="44"/>
      <c r="DK836" s="44"/>
      <c r="DL836" s="44"/>
      <c r="DM836" s="44"/>
      <c r="DN836" s="44"/>
      <c r="DO836" s="44"/>
      <c r="DP836" s="44"/>
      <c r="DQ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  <c r="DB837" s="44"/>
      <c r="DC837" s="44"/>
      <c r="DD837" s="44"/>
      <c r="DE837" s="44"/>
      <c r="DF837" s="44"/>
      <c r="DG837" s="44"/>
      <c r="DH837" s="44"/>
      <c r="DI837" s="44"/>
      <c r="DJ837" s="44"/>
      <c r="DK837" s="44"/>
      <c r="DL837" s="44"/>
      <c r="DM837" s="44"/>
      <c r="DN837" s="44"/>
      <c r="DO837" s="44"/>
      <c r="DP837" s="44"/>
      <c r="DQ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  <c r="DB838" s="44"/>
      <c r="DC838" s="44"/>
      <c r="DD838" s="44"/>
      <c r="DE838" s="44"/>
      <c r="DF838" s="44"/>
      <c r="DG838" s="44"/>
      <c r="DH838" s="44"/>
      <c r="DI838" s="44"/>
      <c r="DJ838" s="44"/>
      <c r="DK838" s="44"/>
      <c r="DL838" s="44"/>
      <c r="DM838" s="44"/>
      <c r="DN838" s="44"/>
      <c r="DO838" s="44"/>
      <c r="DP838" s="44"/>
      <c r="DQ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  <c r="DB839" s="44"/>
      <c r="DC839" s="44"/>
      <c r="DD839" s="44"/>
      <c r="DE839" s="44"/>
      <c r="DF839" s="44"/>
      <c r="DG839" s="44"/>
      <c r="DH839" s="44"/>
      <c r="DI839" s="44"/>
      <c r="DJ839" s="44"/>
      <c r="DK839" s="44"/>
      <c r="DL839" s="44"/>
      <c r="DM839" s="44"/>
      <c r="DN839" s="44"/>
      <c r="DO839" s="44"/>
      <c r="DP839" s="44"/>
      <c r="DQ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  <c r="DB840" s="44"/>
      <c r="DC840" s="44"/>
      <c r="DD840" s="44"/>
      <c r="DE840" s="44"/>
      <c r="DF840" s="44"/>
      <c r="DG840" s="44"/>
      <c r="DH840" s="44"/>
      <c r="DI840" s="44"/>
      <c r="DJ840" s="44"/>
      <c r="DK840" s="44"/>
      <c r="DL840" s="44"/>
      <c r="DM840" s="44"/>
      <c r="DN840" s="44"/>
      <c r="DO840" s="44"/>
      <c r="DP840" s="44"/>
      <c r="DQ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  <c r="DB841" s="44"/>
      <c r="DC841" s="44"/>
      <c r="DD841" s="44"/>
      <c r="DE841" s="44"/>
      <c r="DF841" s="44"/>
      <c r="DG841" s="44"/>
      <c r="DH841" s="44"/>
      <c r="DI841" s="44"/>
      <c r="DJ841" s="44"/>
      <c r="DK841" s="44"/>
      <c r="DL841" s="44"/>
      <c r="DM841" s="44"/>
      <c r="DN841" s="44"/>
      <c r="DO841" s="44"/>
      <c r="DP841" s="44"/>
      <c r="DQ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  <c r="DB842" s="44"/>
      <c r="DC842" s="44"/>
      <c r="DD842" s="44"/>
      <c r="DE842" s="44"/>
      <c r="DF842" s="44"/>
      <c r="DG842" s="44"/>
      <c r="DH842" s="44"/>
      <c r="DI842" s="44"/>
      <c r="DJ842" s="44"/>
      <c r="DK842" s="44"/>
      <c r="DL842" s="44"/>
      <c r="DM842" s="44"/>
      <c r="DN842" s="44"/>
      <c r="DO842" s="44"/>
      <c r="DP842" s="44"/>
      <c r="DQ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  <c r="DB843" s="44"/>
      <c r="DC843" s="44"/>
      <c r="DD843" s="44"/>
      <c r="DE843" s="44"/>
      <c r="DF843" s="44"/>
      <c r="DG843" s="44"/>
      <c r="DH843" s="44"/>
      <c r="DI843" s="44"/>
      <c r="DJ843" s="44"/>
      <c r="DK843" s="44"/>
      <c r="DL843" s="44"/>
      <c r="DM843" s="44"/>
      <c r="DN843" s="44"/>
      <c r="DO843" s="44"/>
      <c r="DP843" s="44"/>
      <c r="DQ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  <c r="DB844" s="44"/>
      <c r="DC844" s="44"/>
      <c r="DD844" s="44"/>
      <c r="DE844" s="44"/>
      <c r="DF844" s="44"/>
      <c r="DG844" s="44"/>
      <c r="DH844" s="44"/>
      <c r="DI844" s="44"/>
      <c r="DJ844" s="44"/>
      <c r="DK844" s="44"/>
      <c r="DL844" s="44"/>
      <c r="DM844" s="44"/>
      <c r="DN844" s="44"/>
      <c r="DO844" s="44"/>
      <c r="DP844" s="44"/>
      <c r="DQ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  <c r="DB845" s="44"/>
      <c r="DC845" s="44"/>
      <c r="DD845" s="44"/>
      <c r="DE845" s="44"/>
      <c r="DF845" s="44"/>
      <c r="DG845" s="44"/>
      <c r="DH845" s="44"/>
      <c r="DI845" s="44"/>
      <c r="DJ845" s="44"/>
      <c r="DK845" s="44"/>
      <c r="DL845" s="44"/>
      <c r="DM845" s="44"/>
      <c r="DN845" s="44"/>
      <c r="DO845" s="44"/>
      <c r="DP845" s="44"/>
      <c r="DQ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  <c r="DB846" s="44"/>
      <c r="DC846" s="44"/>
      <c r="DD846" s="44"/>
      <c r="DE846" s="44"/>
      <c r="DF846" s="44"/>
      <c r="DG846" s="44"/>
      <c r="DH846" s="44"/>
      <c r="DI846" s="44"/>
      <c r="DJ846" s="44"/>
      <c r="DK846" s="44"/>
      <c r="DL846" s="44"/>
      <c r="DM846" s="44"/>
      <c r="DN846" s="44"/>
      <c r="DO846" s="44"/>
      <c r="DP846" s="44"/>
      <c r="DQ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  <c r="DB847" s="44"/>
      <c r="DC847" s="44"/>
      <c r="DD847" s="44"/>
      <c r="DE847" s="44"/>
      <c r="DF847" s="44"/>
      <c r="DG847" s="44"/>
      <c r="DH847" s="44"/>
      <c r="DI847" s="44"/>
      <c r="DJ847" s="44"/>
      <c r="DK847" s="44"/>
      <c r="DL847" s="44"/>
      <c r="DM847" s="44"/>
      <c r="DN847" s="44"/>
      <c r="DO847" s="44"/>
      <c r="DP847" s="44"/>
      <c r="DQ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  <c r="DB848" s="44"/>
      <c r="DC848" s="44"/>
      <c r="DD848" s="44"/>
      <c r="DE848" s="44"/>
      <c r="DF848" s="44"/>
      <c r="DG848" s="44"/>
      <c r="DH848" s="44"/>
      <c r="DI848" s="44"/>
      <c r="DJ848" s="44"/>
      <c r="DK848" s="44"/>
      <c r="DL848" s="44"/>
      <c r="DM848" s="44"/>
      <c r="DN848" s="44"/>
      <c r="DO848" s="44"/>
      <c r="DP848" s="44"/>
      <c r="DQ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  <c r="DB849" s="44"/>
      <c r="DC849" s="44"/>
      <c r="DD849" s="44"/>
      <c r="DE849" s="44"/>
      <c r="DF849" s="44"/>
      <c r="DG849" s="44"/>
      <c r="DH849" s="44"/>
      <c r="DI849" s="44"/>
      <c r="DJ849" s="44"/>
      <c r="DK849" s="44"/>
      <c r="DL849" s="44"/>
      <c r="DM849" s="44"/>
      <c r="DN849" s="44"/>
      <c r="DO849" s="44"/>
      <c r="DP849" s="44"/>
      <c r="DQ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  <c r="DB850" s="44"/>
      <c r="DC850" s="44"/>
      <c r="DD850" s="44"/>
      <c r="DE850" s="44"/>
      <c r="DF850" s="44"/>
      <c r="DG850" s="44"/>
      <c r="DH850" s="44"/>
      <c r="DI850" s="44"/>
      <c r="DJ850" s="44"/>
      <c r="DK850" s="44"/>
      <c r="DL850" s="44"/>
      <c r="DM850" s="44"/>
      <c r="DN850" s="44"/>
      <c r="DO850" s="44"/>
      <c r="DP850" s="44"/>
      <c r="DQ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  <c r="DB851" s="44"/>
      <c r="DC851" s="44"/>
      <c r="DD851" s="44"/>
      <c r="DE851" s="44"/>
      <c r="DF851" s="44"/>
      <c r="DG851" s="44"/>
      <c r="DH851" s="44"/>
      <c r="DI851" s="44"/>
      <c r="DJ851" s="44"/>
      <c r="DK851" s="44"/>
      <c r="DL851" s="44"/>
      <c r="DM851" s="44"/>
      <c r="DN851" s="44"/>
      <c r="DO851" s="44"/>
      <c r="DP851" s="44"/>
      <c r="DQ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  <c r="DB852" s="44"/>
      <c r="DC852" s="44"/>
      <c r="DD852" s="44"/>
      <c r="DE852" s="44"/>
      <c r="DF852" s="44"/>
      <c r="DG852" s="44"/>
      <c r="DH852" s="44"/>
      <c r="DI852" s="44"/>
      <c r="DJ852" s="44"/>
      <c r="DK852" s="44"/>
      <c r="DL852" s="44"/>
      <c r="DM852" s="44"/>
      <c r="DN852" s="44"/>
      <c r="DO852" s="44"/>
      <c r="DP852" s="44"/>
      <c r="DQ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  <c r="DB853" s="44"/>
      <c r="DC853" s="44"/>
      <c r="DD853" s="44"/>
      <c r="DE853" s="44"/>
      <c r="DF853" s="44"/>
      <c r="DG853" s="44"/>
      <c r="DH853" s="44"/>
      <c r="DI853" s="44"/>
      <c r="DJ853" s="44"/>
      <c r="DK853" s="44"/>
      <c r="DL853" s="44"/>
      <c r="DM853" s="44"/>
      <c r="DN853" s="44"/>
      <c r="DO853" s="44"/>
      <c r="DP853" s="44"/>
      <c r="DQ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  <c r="DB854" s="44"/>
      <c r="DC854" s="44"/>
      <c r="DD854" s="44"/>
      <c r="DE854" s="44"/>
      <c r="DF854" s="44"/>
      <c r="DG854" s="44"/>
      <c r="DH854" s="44"/>
      <c r="DI854" s="44"/>
      <c r="DJ854" s="44"/>
      <c r="DK854" s="44"/>
      <c r="DL854" s="44"/>
      <c r="DM854" s="44"/>
      <c r="DN854" s="44"/>
      <c r="DO854" s="44"/>
      <c r="DP854" s="44"/>
      <c r="DQ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  <c r="DB855" s="44"/>
      <c r="DC855" s="44"/>
      <c r="DD855" s="44"/>
      <c r="DE855" s="44"/>
      <c r="DF855" s="44"/>
      <c r="DG855" s="44"/>
      <c r="DH855" s="44"/>
      <c r="DI855" s="44"/>
      <c r="DJ855" s="44"/>
      <c r="DK855" s="44"/>
      <c r="DL855" s="44"/>
      <c r="DM855" s="44"/>
      <c r="DN855" s="44"/>
      <c r="DO855" s="44"/>
      <c r="DP855" s="44"/>
      <c r="DQ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  <c r="DB856" s="44"/>
      <c r="DC856" s="44"/>
      <c r="DD856" s="44"/>
      <c r="DE856" s="44"/>
      <c r="DF856" s="44"/>
      <c r="DG856" s="44"/>
      <c r="DH856" s="44"/>
      <c r="DI856" s="44"/>
      <c r="DJ856" s="44"/>
      <c r="DK856" s="44"/>
      <c r="DL856" s="44"/>
      <c r="DM856" s="44"/>
      <c r="DN856" s="44"/>
      <c r="DO856" s="44"/>
      <c r="DP856" s="44"/>
      <c r="DQ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  <c r="DB857" s="44"/>
      <c r="DC857" s="44"/>
      <c r="DD857" s="44"/>
      <c r="DE857" s="44"/>
      <c r="DF857" s="44"/>
      <c r="DG857" s="44"/>
      <c r="DH857" s="44"/>
      <c r="DI857" s="44"/>
      <c r="DJ857" s="44"/>
      <c r="DK857" s="44"/>
      <c r="DL857" s="44"/>
      <c r="DM857" s="44"/>
      <c r="DN857" s="44"/>
      <c r="DO857" s="44"/>
      <c r="DP857" s="44"/>
      <c r="DQ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  <c r="DB858" s="44"/>
      <c r="DC858" s="44"/>
      <c r="DD858" s="44"/>
      <c r="DE858" s="44"/>
      <c r="DF858" s="44"/>
      <c r="DG858" s="44"/>
      <c r="DH858" s="44"/>
      <c r="DI858" s="44"/>
      <c r="DJ858" s="44"/>
      <c r="DK858" s="44"/>
      <c r="DL858" s="44"/>
      <c r="DM858" s="44"/>
      <c r="DN858" s="44"/>
      <c r="DO858" s="44"/>
      <c r="DP858" s="44"/>
      <c r="DQ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  <c r="DB859" s="44"/>
      <c r="DC859" s="44"/>
      <c r="DD859" s="44"/>
      <c r="DE859" s="44"/>
      <c r="DF859" s="44"/>
      <c r="DG859" s="44"/>
      <c r="DH859" s="44"/>
      <c r="DI859" s="44"/>
      <c r="DJ859" s="44"/>
      <c r="DK859" s="44"/>
      <c r="DL859" s="44"/>
      <c r="DM859" s="44"/>
      <c r="DN859" s="44"/>
      <c r="DO859" s="44"/>
      <c r="DP859" s="44"/>
      <c r="DQ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  <c r="DB860" s="44"/>
      <c r="DC860" s="44"/>
      <c r="DD860" s="44"/>
      <c r="DE860" s="44"/>
      <c r="DF860" s="44"/>
      <c r="DG860" s="44"/>
      <c r="DH860" s="44"/>
      <c r="DI860" s="44"/>
      <c r="DJ860" s="44"/>
      <c r="DK860" s="44"/>
      <c r="DL860" s="44"/>
      <c r="DM860" s="44"/>
      <c r="DN860" s="44"/>
      <c r="DO860" s="44"/>
      <c r="DP860" s="44"/>
      <c r="DQ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  <c r="DB861" s="44"/>
      <c r="DC861" s="44"/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44"/>
      <c r="DP861" s="44"/>
      <c r="DQ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  <c r="DB862" s="44"/>
      <c r="DC862" s="44"/>
      <c r="DD862" s="44"/>
      <c r="DE862" s="44"/>
      <c r="DF862" s="44"/>
      <c r="DG862" s="44"/>
      <c r="DH862" s="44"/>
      <c r="DI862" s="44"/>
      <c r="DJ862" s="44"/>
      <c r="DK862" s="44"/>
      <c r="DL862" s="44"/>
      <c r="DM862" s="44"/>
      <c r="DN862" s="44"/>
      <c r="DO862" s="44"/>
      <c r="DP862" s="44"/>
      <c r="DQ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  <c r="DB863" s="44"/>
      <c r="DC863" s="44"/>
      <c r="DD863" s="44"/>
      <c r="DE863" s="44"/>
      <c r="DF863" s="44"/>
      <c r="DG863" s="44"/>
      <c r="DH863" s="44"/>
      <c r="DI863" s="44"/>
      <c r="DJ863" s="44"/>
      <c r="DK863" s="44"/>
      <c r="DL863" s="44"/>
      <c r="DM863" s="44"/>
      <c r="DN863" s="44"/>
      <c r="DO863" s="44"/>
      <c r="DP863" s="44"/>
      <c r="DQ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  <c r="DB864" s="44"/>
      <c r="DC864" s="44"/>
      <c r="DD864" s="44"/>
      <c r="DE864" s="44"/>
      <c r="DF864" s="44"/>
      <c r="DG864" s="44"/>
      <c r="DH864" s="44"/>
      <c r="DI864" s="44"/>
      <c r="DJ864" s="44"/>
      <c r="DK864" s="44"/>
      <c r="DL864" s="44"/>
      <c r="DM864" s="44"/>
      <c r="DN864" s="44"/>
      <c r="DO864" s="44"/>
      <c r="DP864" s="44"/>
      <c r="DQ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  <c r="DB865" s="44"/>
      <c r="DC865" s="44"/>
      <c r="DD865" s="44"/>
      <c r="DE865" s="44"/>
      <c r="DF865" s="44"/>
      <c r="DG865" s="44"/>
      <c r="DH865" s="44"/>
      <c r="DI865" s="44"/>
      <c r="DJ865" s="44"/>
      <c r="DK865" s="44"/>
      <c r="DL865" s="44"/>
      <c r="DM865" s="44"/>
      <c r="DN865" s="44"/>
      <c r="DO865" s="44"/>
      <c r="DP865" s="44"/>
      <c r="DQ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  <c r="DB866" s="44"/>
      <c r="DC866" s="44"/>
      <c r="DD866" s="44"/>
      <c r="DE866" s="44"/>
      <c r="DF866" s="44"/>
      <c r="DG866" s="44"/>
      <c r="DH866" s="44"/>
      <c r="DI866" s="44"/>
      <c r="DJ866" s="44"/>
      <c r="DK866" s="44"/>
      <c r="DL866" s="44"/>
      <c r="DM866" s="44"/>
      <c r="DN866" s="44"/>
      <c r="DO866" s="44"/>
      <c r="DP866" s="44"/>
      <c r="DQ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  <c r="DB867" s="44"/>
      <c r="DC867" s="44"/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44"/>
      <c r="DP867" s="44"/>
      <c r="DQ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  <c r="DB869" s="44"/>
      <c r="DC869" s="44"/>
      <c r="DD869" s="44"/>
      <c r="DE869" s="44"/>
      <c r="DF869" s="44"/>
      <c r="DG869" s="44"/>
      <c r="DH869" s="44"/>
      <c r="DI869" s="44"/>
      <c r="DJ869" s="44"/>
      <c r="DK869" s="44"/>
      <c r="DL869" s="44"/>
      <c r="DM869" s="44"/>
      <c r="DN869" s="44"/>
      <c r="DO869" s="44"/>
      <c r="DP869" s="44"/>
      <c r="DQ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  <c r="DB870" s="44"/>
      <c r="DC870" s="44"/>
      <c r="DD870" s="44"/>
      <c r="DE870" s="44"/>
      <c r="DF870" s="44"/>
      <c r="DG870" s="44"/>
      <c r="DH870" s="44"/>
      <c r="DI870" s="44"/>
      <c r="DJ870" s="44"/>
      <c r="DK870" s="44"/>
      <c r="DL870" s="44"/>
      <c r="DM870" s="44"/>
      <c r="DN870" s="44"/>
      <c r="DO870" s="44"/>
      <c r="DP870" s="44"/>
      <c r="DQ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  <c r="DB871" s="44"/>
      <c r="DC871" s="44"/>
      <c r="DD871" s="44"/>
      <c r="DE871" s="44"/>
      <c r="DF871" s="44"/>
      <c r="DG871" s="44"/>
      <c r="DH871" s="44"/>
      <c r="DI871" s="44"/>
      <c r="DJ871" s="44"/>
      <c r="DK871" s="44"/>
      <c r="DL871" s="44"/>
      <c r="DM871" s="44"/>
      <c r="DN871" s="44"/>
      <c r="DO871" s="44"/>
      <c r="DP871" s="44"/>
      <c r="DQ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  <c r="DB872" s="44"/>
      <c r="DC872" s="44"/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/>
      <c r="DO872" s="44"/>
      <c r="DP872" s="44"/>
      <c r="DQ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  <c r="DB873" s="44"/>
      <c r="DC873" s="44"/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44"/>
      <c r="DP873" s="44"/>
      <c r="DQ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  <c r="DB874" s="44"/>
      <c r="DC874" s="44"/>
      <c r="DD874" s="44"/>
      <c r="DE874" s="44"/>
      <c r="DF874" s="44"/>
      <c r="DG874" s="44"/>
      <c r="DH874" s="44"/>
      <c r="DI874" s="44"/>
      <c r="DJ874" s="44"/>
      <c r="DK874" s="44"/>
      <c r="DL874" s="44"/>
      <c r="DM874" s="44"/>
      <c r="DN874" s="44"/>
      <c r="DO874" s="44"/>
      <c r="DP874" s="44"/>
      <c r="DQ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  <c r="DB875" s="44"/>
      <c r="DC875" s="44"/>
      <c r="DD875" s="44"/>
      <c r="DE875" s="44"/>
      <c r="DF875" s="44"/>
      <c r="DG875" s="44"/>
      <c r="DH875" s="44"/>
      <c r="DI875" s="44"/>
      <c r="DJ875" s="44"/>
      <c r="DK875" s="44"/>
      <c r="DL875" s="44"/>
      <c r="DM875" s="44"/>
      <c r="DN875" s="44"/>
      <c r="DO875" s="44"/>
      <c r="DP875" s="44"/>
      <c r="DQ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  <c r="DB876" s="44"/>
      <c r="DC876" s="44"/>
      <c r="DD876" s="44"/>
      <c r="DE876" s="44"/>
      <c r="DF876" s="44"/>
      <c r="DG876" s="44"/>
      <c r="DH876" s="44"/>
      <c r="DI876" s="44"/>
      <c r="DJ876" s="44"/>
      <c r="DK876" s="44"/>
      <c r="DL876" s="44"/>
      <c r="DM876" s="44"/>
      <c r="DN876" s="44"/>
      <c r="DO876" s="44"/>
      <c r="DP876" s="44"/>
      <c r="DQ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  <c r="DB877" s="44"/>
      <c r="DC877" s="44"/>
      <c r="DD877" s="44"/>
      <c r="DE877" s="44"/>
      <c r="DF877" s="44"/>
      <c r="DG877" s="44"/>
      <c r="DH877" s="44"/>
      <c r="DI877" s="44"/>
      <c r="DJ877" s="44"/>
      <c r="DK877" s="44"/>
      <c r="DL877" s="44"/>
      <c r="DM877" s="44"/>
      <c r="DN877" s="44"/>
      <c r="DO877" s="44"/>
      <c r="DP877" s="44"/>
      <c r="DQ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  <c r="DB878" s="44"/>
      <c r="DC878" s="44"/>
      <c r="DD878" s="44"/>
      <c r="DE878" s="44"/>
      <c r="DF878" s="44"/>
      <c r="DG878" s="44"/>
      <c r="DH878" s="44"/>
      <c r="DI878" s="44"/>
      <c r="DJ878" s="44"/>
      <c r="DK878" s="44"/>
      <c r="DL878" s="44"/>
      <c r="DM878" s="44"/>
      <c r="DN878" s="44"/>
      <c r="DO878" s="44"/>
      <c r="DP878" s="44"/>
      <c r="DQ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  <c r="DB879" s="44"/>
      <c r="DC879" s="44"/>
      <c r="DD879" s="44"/>
      <c r="DE879" s="44"/>
      <c r="DF879" s="44"/>
      <c r="DG879" s="44"/>
      <c r="DH879" s="44"/>
      <c r="DI879" s="44"/>
      <c r="DJ879" s="44"/>
      <c r="DK879" s="44"/>
      <c r="DL879" s="44"/>
      <c r="DM879" s="44"/>
      <c r="DN879" s="44"/>
      <c r="DO879" s="44"/>
      <c r="DP879" s="44"/>
      <c r="DQ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  <c r="DB880" s="44"/>
      <c r="DC880" s="44"/>
      <c r="DD880" s="44"/>
      <c r="DE880" s="44"/>
      <c r="DF880" s="44"/>
      <c r="DG880" s="44"/>
      <c r="DH880" s="44"/>
      <c r="DI880" s="44"/>
      <c r="DJ880" s="44"/>
      <c r="DK880" s="44"/>
      <c r="DL880" s="44"/>
      <c r="DM880" s="44"/>
      <c r="DN880" s="44"/>
      <c r="DO880" s="44"/>
      <c r="DP880" s="44"/>
      <c r="DQ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  <c r="DB882" s="44"/>
      <c r="DC882" s="44"/>
      <c r="DD882" s="44"/>
      <c r="DE882" s="44"/>
      <c r="DF882" s="44"/>
      <c r="DG882" s="44"/>
      <c r="DH882" s="44"/>
      <c r="DI882" s="44"/>
      <c r="DJ882" s="44"/>
      <c r="DK882" s="44"/>
      <c r="DL882" s="44"/>
      <c r="DM882" s="44"/>
      <c r="DN882" s="44"/>
      <c r="DO882" s="44"/>
      <c r="DP882" s="44"/>
      <c r="DQ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  <c r="DB883" s="44"/>
      <c r="DC883" s="44"/>
      <c r="DD883" s="44"/>
      <c r="DE883" s="44"/>
      <c r="DF883" s="44"/>
      <c r="DG883" s="44"/>
      <c r="DH883" s="44"/>
      <c r="DI883" s="44"/>
      <c r="DJ883" s="44"/>
      <c r="DK883" s="44"/>
      <c r="DL883" s="44"/>
      <c r="DM883" s="44"/>
      <c r="DN883" s="44"/>
      <c r="DO883" s="44"/>
      <c r="DP883" s="44"/>
      <c r="DQ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  <c r="DB884" s="44"/>
      <c r="DC884" s="44"/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44"/>
      <c r="DP884" s="44"/>
      <c r="DQ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  <c r="DB885" s="44"/>
      <c r="DC885" s="44"/>
      <c r="DD885" s="44"/>
      <c r="DE885" s="44"/>
      <c r="DF885" s="44"/>
      <c r="DG885" s="44"/>
      <c r="DH885" s="44"/>
      <c r="DI885" s="44"/>
      <c r="DJ885" s="44"/>
      <c r="DK885" s="44"/>
      <c r="DL885" s="44"/>
      <c r="DM885" s="44"/>
      <c r="DN885" s="44"/>
      <c r="DO885" s="44"/>
      <c r="DP885" s="44"/>
      <c r="DQ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  <c r="DB886" s="44"/>
      <c r="DC886" s="44"/>
      <c r="DD886" s="44"/>
      <c r="DE886" s="44"/>
      <c r="DF886" s="44"/>
      <c r="DG886" s="44"/>
      <c r="DH886" s="44"/>
      <c r="DI886" s="44"/>
      <c r="DJ886" s="44"/>
      <c r="DK886" s="44"/>
      <c r="DL886" s="44"/>
      <c r="DM886" s="44"/>
      <c r="DN886" s="44"/>
      <c r="DO886" s="44"/>
      <c r="DP886" s="44"/>
      <c r="DQ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  <c r="DB887" s="44"/>
      <c r="DC887" s="44"/>
      <c r="DD887" s="44"/>
      <c r="DE887" s="44"/>
      <c r="DF887" s="44"/>
      <c r="DG887" s="44"/>
      <c r="DH887" s="44"/>
      <c r="DI887" s="44"/>
      <c r="DJ887" s="44"/>
      <c r="DK887" s="44"/>
      <c r="DL887" s="44"/>
      <c r="DM887" s="44"/>
      <c r="DN887" s="44"/>
      <c r="DO887" s="44"/>
      <c r="DP887" s="44"/>
      <c r="DQ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  <c r="DB888" s="44"/>
      <c r="DC888" s="44"/>
      <c r="DD888" s="44"/>
      <c r="DE888" s="44"/>
      <c r="DF888" s="44"/>
      <c r="DG888" s="44"/>
      <c r="DH888" s="44"/>
      <c r="DI888" s="44"/>
      <c r="DJ888" s="44"/>
      <c r="DK888" s="44"/>
      <c r="DL888" s="44"/>
      <c r="DM888" s="44"/>
      <c r="DN888" s="44"/>
      <c r="DO888" s="44"/>
      <c r="DP888" s="44"/>
      <c r="DQ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  <c r="DB889" s="44"/>
      <c r="DC889" s="44"/>
      <c r="DD889" s="44"/>
      <c r="DE889" s="44"/>
      <c r="DF889" s="44"/>
      <c r="DG889" s="44"/>
      <c r="DH889" s="44"/>
      <c r="DI889" s="44"/>
      <c r="DJ889" s="44"/>
      <c r="DK889" s="44"/>
      <c r="DL889" s="44"/>
      <c r="DM889" s="44"/>
      <c r="DN889" s="44"/>
      <c r="DO889" s="44"/>
      <c r="DP889" s="44"/>
      <c r="DQ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  <c r="DB890" s="44"/>
      <c r="DC890" s="44"/>
      <c r="DD890" s="44"/>
      <c r="DE890" s="44"/>
      <c r="DF890" s="44"/>
      <c r="DG890" s="44"/>
      <c r="DH890" s="44"/>
      <c r="DI890" s="44"/>
      <c r="DJ890" s="44"/>
      <c r="DK890" s="44"/>
      <c r="DL890" s="44"/>
      <c r="DM890" s="44"/>
      <c r="DN890" s="44"/>
      <c r="DO890" s="44"/>
      <c r="DP890" s="44"/>
      <c r="DQ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  <c r="DB892" s="44"/>
      <c r="DC892" s="44"/>
      <c r="DD892" s="44"/>
      <c r="DE892" s="44"/>
      <c r="DF892" s="44"/>
      <c r="DG892" s="44"/>
      <c r="DH892" s="44"/>
      <c r="DI892" s="44"/>
      <c r="DJ892" s="44"/>
      <c r="DK892" s="44"/>
      <c r="DL892" s="44"/>
      <c r="DM892" s="44"/>
      <c r="DN892" s="44"/>
      <c r="DO892" s="44"/>
      <c r="DP892" s="44"/>
      <c r="DQ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  <c r="DB893" s="44"/>
      <c r="DC893" s="44"/>
      <c r="DD893" s="44"/>
      <c r="DE893" s="44"/>
      <c r="DF893" s="44"/>
      <c r="DG893" s="44"/>
      <c r="DH893" s="44"/>
      <c r="DI893" s="44"/>
      <c r="DJ893" s="44"/>
      <c r="DK893" s="44"/>
      <c r="DL893" s="44"/>
      <c r="DM893" s="44"/>
      <c r="DN893" s="44"/>
      <c r="DO893" s="44"/>
      <c r="DP893" s="44"/>
      <c r="DQ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  <c r="DB894" s="44"/>
      <c r="DC894" s="44"/>
      <c r="DD894" s="44"/>
      <c r="DE894" s="44"/>
      <c r="DF894" s="44"/>
      <c r="DG894" s="44"/>
      <c r="DH894" s="44"/>
      <c r="DI894" s="44"/>
      <c r="DJ894" s="44"/>
      <c r="DK894" s="44"/>
      <c r="DL894" s="44"/>
      <c r="DM894" s="44"/>
      <c r="DN894" s="44"/>
      <c r="DO894" s="44"/>
      <c r="DP894" s="44"/>
      <c r="DQ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  <c r="DB895" s="44"/>
      <c r="DC895" s="44"/>
      <c r="DD895" s="44"/>
      <c r="DE895" s="44"/>
      <c r="DF895" s="44"/>
      <c r="DG895" s="44"/>
      <c r="DH895" s="44"/>
      <c r="DI895" s="44"/>
      <c r="DJ895" s="44"/>
      <c r="DK895" s="44"/>
      <c r="DL895" s="44"/>
      <c r="DM895" s="44"/>
      <c r="DN895" s="44"/>
      <c r="DO895" s="44"/>
      <c r="DP895" s="44"/>
      <c r="DQ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  <c r="DB896" s="44"/>
      <c r="DC896" s="44"/>
      <c r="DD896" s="44"/>
      <c r="DE896" s="44"/>
      <c r="DF896" s="44"/>
      <c r="DG896" s="44"/>
      <c r="DH896" s="44"/>
      <c r="DI896" s="44"/>
      <c r="DJ896" s="44"/>
      <c r="DK896" s="44"/>
      <c r="DL896" s="44"/>
      <c r="DM896" s="44"/>
      <c r="DN896" s="44"/>
      <c r="DO896" s="44"/>
      <c r="DP896" s="44"/>
      <c r="DQ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  <c r="DB897" s="44"/>
      <c r="DC897" s="44"/>
      <c r="DD897" s="44"/>
      <c r="DE897" s="44"/>
      <c r="DF897" s="44"/>
      <c r="DG897" s="44"/>
      <c r="DH897" s="44"/>
      <c r="DI897" s="44"/>
      <c r="DJ897" s="44"/>
      <c r="DK897" s="44"/>
      <c r="DL897" s="44"/>
      <c r="DM897" s="44"/>
      <c r="DN897" s="44"/>
      <c r="DO897" s="44"/>
      <c r="DP897" s="44"/>
      <c r="DQ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  <c r="DB898" s="44"/>
      <c r="DC898" s="44"/>
      <c r="DD898" s="44"/>
      <c r="DE898" s="44"/>
      <c r="DF898" s="44"/>
      <c r="DG898" s="44"/>
      <c r="DH898" s="44"/>
      <c r="DI898" s="44"/>
      <c r="DJ898" s="44"/>
      <c r="DK898" s="44"/>
      <c r="DL898" s="44"/>
      <c r="DM898" s="44"/>
      <c r="DN898" s="44"/>
      <c r="DO898" s="44"/>
      <c r="DP898" s="44"/>
      <c r="DQ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  <c r="DB899" s="44"/>
      <c r="DC899" s="44"/>
      <c r="DD899" s="44"/>
      <c r="DE899" s="44"/>
      <c r="DF899" s="44"/>
      <c r="DG899" s="44"/>
      <c r="DH899" s="44"/>
      <c r="DI899" s="44"/>
      <c r="DJ899" s="44"/>
      <c r="DK899" s="44"/>
      <c r="DL899" s="44"/>
      <c r="DM899" s="44"/>
      <c r="DN899" s="44"/>
      <c r="DO899" s="44"/>
      <c r="DP899" s="44"/>
      <c r="DQ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  <c r="DB900" s="44"/>
      <c r="DC900" s="44"/>
      <c r="DD900" s="44"/>
      <c r="DE900" s="44"/>
      <c r="DF900" s="44"/>
      <c r="DG900" s="44"/>
      <c r="DH900" s="44"/>
      <c r="DI900" s="44"/>
      <c r="DJ900" s="44"/>
      <c r="DK900" s="44"/>
      <c r="DL900" s="44"/>
      <c r="DM900" s="44"/>
      <c r="DN900" s="44"/>
      <c r="DO900" s="44"/>
      <c r="DP900" s="44"/>
      <c r="DQ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  <c r="DB901" s="44"/>
      <c r="DC901" s="44"/>
      <c r="DD901" s="44"/>
      <c r="DE901" s="44"/>
      <c r="DF901" s="44"/>
      <c r="DG901" s="44"/>
      <c r="DH901" s="44"/>
      <c r="DI901" s="44"/>
      <c r="DJ901" s="44"/>
      <c r="DK901" s="44"/>
      <c r="DL901" s="44"/>
      <c r="DM901" s="44"/>
      <c r="DN901" s="44"/>
      <c r="DO901" s="44"/>
      <c r="DP901" s="44"/>
      <c r="DQ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  <c r="DB902" s="44"/>
      <c r="DC902" s="44"/>
      <c r="DD902" s="44"/>
      <c r="DE902" s="44"/>
      <c r="DF902" s="44"/>
      <c r="DG902" s="44"/>
      <c r="DH902" s="44"/>
      <c r="DI902" s="44"/>
      <c r="DJ902" s="44"/>
      <c r="DK902" s="44"/>
      <c r="DL902" s="44"/>
      <c r="DM902" s="44"/>
      <c r="DN902" s="44"/>
      <c r="DO902" s="44"/>
      <c r="DP902" s="44"/>
      <c r="DQ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  <c r="DB903" s="44"/>
      <c r="DC903" s="44"/>
      <c r="DD903" s="44"/>
      <c r="DE903" s="44"/>
      <c r="DF903" s="44"/>
      <c r="DG903" s="44"/>
      <c r="DH903" s="44"/>
      <c r="DI903" s="44"/>
      <c r="DJ903" s="44"/>
      <c r="DK903" s="44"/>
      <c r="DL903" s="44"/>
      <c r="DM903" s="44"/>
      <c r="DN903" s="44"/>
      <c r="DO903" s="44"/>
      <c r="DP903" s="44"/>
      <c r="DQ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  <c r="DB904" s="44"/>
      <c r="DC904" s="44"/>
      <c r="DD904" s="44"/>
      <c r="DE904" s="44"/>
      <c r="DF904" s="44"/>
      <c r="DG904" s="44"/>
      <c r="DH904" s="44"/>
      <c r="DI904" s="44"/>
      <c r="DJ904" s="44"/>
      <c r="DK904" s="44"/>
      <c r="DL904" s="44"/>
      <c r="DM904" s="44"/>
      <c r="DN904" s="44"/>
      <c r="DO904" s="44"/>
      <c r="DP904" s="44"/>
      <c r="DQ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  <c r="DB905" s="44"/>
      <c r="DC905" s="44"/>
      <c r="DD905" s="44"/>
      <c r="DE905" s="44"/>
      <c r="DF905" s="44"/>
      <c r="DG905" s="44"/>
      <c r="DH905" s="44"/>
      <c r="DI905" s="44"/>
      <c r="DJ905" s="44"/>
      <c r="DK905" s="44"/>
      <c r="DL905" s="44"/>
      <c r="DM905" s="44"/>
      <c r="DN905" s="44"/>
      <c r="DO905" s="44"/>
      <c r="DP905" s="44"/>
      <c r="DQ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  <c r="DB906" s="44"/>
      <c r="DC906" s="44"/>
      <c r="DD906" s="44"/>
      <c r="DE906" s="44"/>
      <c r="DF906" s="44"/>
      <c r="DG906" s="44"/>
      <c r="DH906" s="44"/>
      <c r="DI906" s="44"/>
      <c r="DJ906" s="44"/>
      <c r="DK906" s="44"/>
      <c r="DL906" s="44"/>
      <c r="DM906" s="44"/>
      <c r="DN906" s="44"/>
      <c r="DO906" s="44"/>
      <c r="DP906" s="44"/>
      <c r="DQ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  <c r="DB907" s="44"/>
      <c r="DC907" s="44"/>
      <c r="DD907" s="44"/>
      <c r="DE907" s="44"/>
      <c r="DF907" s="44"/>
      <c r="DG907" s="44"/>
      <c r="DH907" s="44"/>
      <c r="DI907" s="44"/>
      <c r="DJ907" s="44"/>
      <c r="DK907" s="44"/>
      <c r="DL907" s="44"/>
      <c r="DM907" s="44"/>
      <c r="DN907" s="44"/>
      <c r="DO907" s="44"/>
      <c r="DP907" s="44"/>
      <c r="DQ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  <c r="DB908" s="44"/>
      <c r="DC908" s="44"/>
      <c r="DD908" s="44"/>
      <c r="DE908" s="44"/>
      <c r="DF908" s="44"/>
      <c r="DG908" s="44"/>
      <c r="DH908" s="44"/>
      <c r="DI908" s="44"/>
      <c r="DJ908" s="44"/>
      <c r="DK908" s="44"/>
      <c r="DL908" s="44"/>
      <c r="DM908" s="44"/>
      <c r="DN908" s="44"/>
      <c r="DO908" s="44"/>
      <c r="DP908" s="44"/>
      <c r="DQ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  <c r="DB909" s="44"/>
      <c r="DC909" s="44"/>
      <c r="DD909" s="44"/>
      <c r="DE909" s="44"/>
      <c r="DF909" s="44"/>
      <c r="DG909" s="44"/>
      <c r="DH909" s="44"/>
      <c r="DI909" s="44"/>
      <c r="DJ909" s="44"/>
      <c r="DK909" s="44"/>
      <c r="DL909" s="44"/>
      <c r="DM909" s="44"/>
      <c r="DN909" s="44"/>
      <c r="DO909" s="44"/>
      <c r="DP909" s="44"/>
      <c r="DQ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  <c r="DB910" s="44"/>
      <c r="DC910" s="44"/>
      <c r="DD910" s="44"/>
      <c r="DE910" s="44"/>
      <c r="DF910" s="44"/>
      <c r="DG910" s="44"/>
      <c r="DH910" s="44"/>
      <c r="DI910" s="44"/>
      <c r="DJ910" s="44"/>
      <c r="DK910" s="44"/>
      <c r="DL910" s="44"/>
      <c r="DM910" s="44"/>
      <c r="DN910" s="44"/>
      <c r="DO910" s="44"/>
      <c r="DP910" s="44"/>
      <c r="DQ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  <c r="DB911" s="44"/>
      <c r="DC911" s="44"/>
      <c r="DD911" s="44"/>
      <c r="DE911" s="44"/>
      <c r="DF911" s="44"/>
      <c r="DG911" s="44"/>
      <c r="DH911" s="44"/>
      <c r="DI911" s="44"/>
      <c r="DJ911" s="44"/>
      <c r="DK911" s="44"/>
      <c r="DL911" s="44"/>
      <c r="DM911" s="44"/>
      <c r="DN911" s="44"/>
      <c r="DO911" s="44"/>
      <c r="DP911" s="44"/>
      <c r="DQ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  <c r="DB912" s="44"/>
      <c r="DC912" s="44"/>
      <c r="DD912" s="44"/>
      <c r="DE912" s="44"/>
      <c r="DF912" s="44"/>
      <c r="DG912" s="44"/>
      <c r="DH912" s="44"/>
      <c r="DI912" s="44"/>
      <c r="DJ912" s="44"/>
      <c r="DK912" s="44"/>
      <c r="DL912" s="44"/>
      <c r="DM912" s="44"/>
      <c r="DN912" s="44"/>
      <c r="DO912" s="44"/>
      <c r="DP912" s="44"/>
      <c r="DQ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  <c r="DB913" s="44"/>
      <c r="DC913" s="44"/>
      <c r="DD913" s="44"/>
      <c r="DE913" s="44"/>
      <c r="DF913" s="44"/>
      <c r="DG913" s="44"/>
      <c r="DH913" s="44"/>
      <c r="DI913" s="44"/>
      <c r="DJ913" s="44"/>
      <c r="DK913" s="44"/>
      <c r="DL913" s="44"/>
      <c r="DM913" s="44"/>
      <c r="DN913" s="44"/>
      <c r="DO913" s="44"/>
      <c r="DP913" s="44"/>
      <c r="DQ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  <c r="DB914" s="44"/>
      <c r="DC914" s="44"/>
      <c r="DD914" s="44"/>
      <c r="DE914" s="44"/>
      <c r="DF914" s="44"/>
      <c r="DG914" s="44"/>
      <c r="DH914" s="44"/>
      <c r="DI914" s="44"/>
      <c r="DJ914" s="44"/>
      <c r="DK914" s="44"/>
      <c r="DL914" s="44"/>
      <c r="DM914" s="44"/>
      <c r="DN914" s="44"/>
      <c r="DO914" s="44"/>
      <c r="DP914" s="44"/>
      <c r="DQ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  <c r="DB915" s="44"/>
      <c r="DC915" s="44"/>
      <c r="DD915" s="44"/>
      <c r="DE915" s="44"/>
      <c r="DF915" s="44"/>
      <c r="DG915" s="44"/>
      <c r="DH915" s="44"/>
      <c r="DI915" s="44"/>
      <c r="DJ915" s="44"/>
      <c r="DK915" s="44"/>
      <c r="DL915" s="44"/>
      <c r="DM915" s="44"/>
      <c r="DN915" s="44"/>
      <c r="DO915" s="44"/>
      <c r="DP915" s="44"/>
      <c r="DQ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  <c r="DB916" s="44"/>
      <c r="DC916" s="44"/>
      <c r="DD916" s="44"/>
      <c r="DE916" s="44"/>
      <c r="DF916" s="44"/>
      <c r="DG916" s="44"/>
      <c r="DH916" s="44"/>
      <c r="DI916" s="44"/>
      <c r="DJ916" s="44"/>
      <c r="DK916" s="44"/>
      <c r="DL916" s="44"/>
      <c r="DM916" s="44"/>
      <c r="DN916" s="44"/>
      <c r="DO916" s="44"/>
      <c r="DP916" s="44"/>
      <c r="DQ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  <c r="DB917" s="44"/>
      <c r="DC917" s="44"/>
      <c r="DD917" s="44"/>
      <c r="DE917" s="44"/>
      <c r="DF917" s="44"/>
      <c r="DG917" s="44"/>
      <c r="DH917" s="44"/>
      <c r="DI917" s="44"/>
      <c r="DJ917" s="44"/>
      <c r="DK917" s="44"/>
      <c r="DL917" s="44"/>
      <c r="DM917" s="44"/>
      <c r="DN917" s="44"/>
      <c r="DO917" s="44"/>
      <c r="DP917" s="44"/>
      <c r="DQ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  <c r="DB918" s="44"/>
      <c r="DC918" s="44"/>
      <c r="DD918" s="44"/>
      <c r="DE918" s="44"/>
      <c r="DF918" s="44"/>
      <c r="DG918" s="44"/>
      <c r="DH918" s="44"/>
      <c r="DI918" s="44"/>
      <c r="DJ918" s="44"/>
      <c r="DK918" s="44"/>
      <c r="DL918" s="44"/>
      <c r="DM918" s="44"/>
      <c r="DN918" s="44"/>
      <c r="DO918" s="44"/>
      <c r="DP918" s="44"/>
      <c r="DQ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  <c r="DB919" s="44"/>
      <c r="DC919" s="44"/>
      <c r="DD919" s="44"/>
      <c r="DE919" s="44"/>
      <c r="DF919" s="44"/>
      <c r="DG919" s="44"/>
      <c r="DH919" s="44"/>
      <c r="DI919" s="44"/>
      <c r="DJ919" s="44"/>
      <c r="DK919" s="44"/>
      <c r="DL919" s="44"/>
      <c r="DM919" s="44"/>
      <c r="DN919" s="44"/>
      <c r="DO919" s="44"/>
      <c r="DP919" s="44"/>
      <c r="DQ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  <c r="DB920" s="44"/>
      <c r="DC920" s="44"/>
      <c r="DD920" s="44"/>
      <c r="DE920" s="44"/>
      <c r="DF920" s="44"/>
      <c r="DG920" s="44"/>
      <c r="DH920" s="44"/>
      <c r="DI920" s="44"/>
      <c r="DJ920" s="44"/>
      <c r="DK920" s="44"/>
      <c r="DL920" s="44"/>
      <c r="DM920" s="44"/>
      <c r="DN920" s="44"/>
      <c r="DO920" s="44"/>
      <c r="DP920" s="44"/>
      <c r="DQ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  <c r="DB921" s="44"/>
      <c r="DC921" s="44"/>
      <c r="DD921" s="44"/>
      <c r="DE921" s="44"/>
      <c r="DF921" s="44"/>
      <c r="DG921" s="44"/>
      <c r="DH921" s="44"/>
      <c r="DI921" s="44"/>
      <c r="DJ921" s="44"/>
      <c r="DK921" s="44"/>
      <c r="DL921" s="44"/>
      <c r="DM921" s="44"/>
      <c r="DN921" s="44"/>
      <c r="DO921" s="44"/>
      <c r="DP921" s="44"/>
      <c r="DQ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  <c r="DB922" s="44"/>
      <c r="DC922" s="44"/>
      <c r="DD922" s="44"/>
      <c r="DE922" s="44"/>
      <c r="DF922" s="44"/>
      <c r="DG922" s="44"/>
      <c r="DH922" s="44"/>
      <c r="DI922" s="44"/>
      <c r="DJ922" s="44"/>
      <c r="DK922" s="44"/>
      <c r="DL922" s="44"/>
      <c r="DM922" s="44"/>
      <c r="DN922" s="44"/>
      <c r="DO922" s="44"/>
      <c r="DP922" s="44"/>
      <c r="DQ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  <c r="DB923" s="44"/>
      <c r="DC923" s="44"/>
      <c r="DD923" s="44"/>
      <c r="DE923" s="44"/>
      <c r="DF923" s="44"/>
      <c r="DG923" s="44"/>
      <c r="DH923" s="44"/>
      <c r="DI923" s="44"/>
      <c r="DJ923" s="44"/>
      <c r="DK923" s="44"/>
      <c r="DL923" s="44"/>
      <c r="DM923" s="44"/>
      <c r="DN923" s="44"/>
      <c r="DO923" s="44"/>
      <c r="DP923" s="44"/>
      <c r="DQ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  <c r="DB924" s="44"/>
      <c r="DC924" s="44"/>
      <c r="DD924" s="44"/>
      <c r="DE924" s="44"/>
      <c r="DF924" s="44"/>
      <c r="DG924" s="44"/>
      <c r="DH924" s="44"/>
      <c r="DI924" s="44"/>
      <c r="DJ924" s="44"/>
      <c r="DK924" s="44"/>
      <c r="DL924" s="44"/>
      <c r="DM924" s="44"/>
      <c r="DN924" s="44"/>
      <c r="DO924" s="44"/>
      <c r="DP924" s="44"/>
      <c r="DQ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  <c r="DB925" s="44"/>
      <c r="DC925" s="44"/>
      <c r="DD925" s="44"/>
      <c r="DE925" s="44"/>
      <c r="DF925" s="44"/>
      <c r="DG925" s="44"/>
      <c r="DH925" s="44"/>
      <c r="DI925" s="44"/>
      <c r="DJ925" s="44"/>
      <c r="DK925" s="44"/>
      <c r="DL925" s="44"/>
      <c r="DM925" s="44"/>
      <c r="DN925" s="44"/>
      <c r="DO925" s="44"/>
      <c r="DP925" s="44"/>
      <c r="DQ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  <c r="DB926" s="44"/>
      <c r="DC926" s="44"/>
      <c r="DD926" s="44"/>
      <c r="DE926" s="44"/>
      <c r="DF926" s="44"/>
      <c r="DG926" s="44"/>
      <c r="DH926" s="44"/>
      <c r="DI926" s="44"/>
      <c r="DJ926" s="44"/>
      <c r="DK926" s="44"/>
      <c r="DL926" s="44"/>
      <c r="DM926" s="44"/>
      <c r="DN926" s="44"/>
      <c r="DO926" s="44"/>
      <c r="DP926" s="44"/>
      <c r="DQ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  <c r="DB927" s="44"/>
      <c r="DC927" s="44"/>
      <c r="DD927" s="44"/>
      <c r="DE927" s="44"/>
      <c r="DF927" s="44"/>
      <c r="DG927" s="44"/>
      <c r="DH927" s="44"/>
      <c r="DI927" s="44"/>
      <c r="DJ927" s="44"/>
      <c r="DK927" s="44"/>
      <c r="DL927" s="44"/>
      <c r="DM927" s="44"/>
      <c r="DN927" s="44"/>
      <c r="DO927" s="44"/>
      <c r="DP927" s="44"/>
      <c r="DQ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  <c r="DB928" s="44"/>
      <c r="DC928" s="44"/>
      <c r="DD928" s="44"/>
      <c r="DE928" s="44"/>
      <c r="DF928" s="44"/>
      <c r="DG928" s="44"/>
      <c r="DH928" s="44"/>
      <c r="DI928" s="44"/>
      <c r="DJ928" s="44"/>
      <c r="DK928" s="44"/>
      <c r="DL928" s="44"/>
      <c r="DM928" s="44"/>
      <c r="DN928" s="44"/>
      <c r="DO928" s="44"/>
      <c r="DP928" s="44"/>
      <c r="DQ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  <c r="DB929" s="44"/>
      <c r="DC929" s="44"/>
      <c r="DD929" s="44"/>
      <c r="DE929" s="44"/>
      <c r="DF929" s="44"/>
      <c r="DG929" s="44"/>
      <c r="DH929" s="44"/>
      <c r="DI929" s="44"/>
      <c r="DJ929" s="44"/>
      <c r="DK929" s="44"/>
      <c r="DL929" s="44"/>
      <c r="DM929" s="44"/>
      <c r="DN929" s="44"/>
      <c r="DO929" s="44"/>
      <c r="DP929" s="44"/>
      <c r="DQ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  <c r="DB930" s="44"/>
      <c r="DC930" s="44"/>
      <c r="DD930" s="44"/>
      <c r="DE930" s="44"/>
      <c r="DF930" s="44"/>
      <c r="DG930" s="44"/>
      <c r="DH930" s="44"/>
      <c r="DI930" s="44"/>
      <c r="DJ930" s="44"/>
      <c r="DK930" s="44"/>
      <c r="DL930" s="44"/>
      <c r="DM930" s="44"/>
      <c r="DN930" s="44"/>
      <c r="DO930" s="44"/>
      <c r="DP930" s="44"/>
      <c r="DQ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  <c r="DB931" s="44"/>
      <c r="DC931" s="44"/>
      <c r="DD931" s="44"/>
      <c r="DE931" s="44"/>
      <c r="DF931" s="44"/>
      <c r="DG931" s="44"/>
      <c r="DH931" s="44"/>
      <c r="DI931" s="44"/>
      <c r="DJ931" s="44"/>
      <c r="DK931" s="44"/>
      <c r="DL931" s="44"/>
      <c r="DM931" s="44"/>
      <c r="DN931" s="44"/>
      <c r="DO931" s="44"/>
      <c r="DP931" s="44"/>
      <c r="DQ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  <c r="DB932" s="44"/>
      <c r="DC932" s="44"/>
      <c r="DD932" s="44"/>
      <c r="DE932" s="44"/>
      <c r="DF932" s="44"/>
      <c r="DG932" s="44"/>
      <c r="DH932" s="44"/>
      <c r="DI932" s="44"/>
      <c r="DJ932" s="44"/>
      <c r="DK932" s="44"/>
      <c r="DL932" s="44"/>
      <c r="DM932" s="44"/>
      <c r="DN932" s="44"/>
      <c r="DO932" s="44"/>
      <c r="DP932" s="44"/>
      <c r="DQ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  <c r="DB933" s="44"/>
      <c r="DC933" s="44"/>
      <c r="DD933" s="44"/>
      <c r="DE933" s="44"/>
      <c r="DF933" s="44"/>
      <c r="DG933" s="44"/>
      <c r="DH933" s="44"/>
      <c r="DI933" s="44"/>
      <c r="DJ933" s="44"/>
      <c r="DK933" s="44"/>
      <c r="DL933" s="44"/>
      <c r="DM933" s="44"/>
      <c r="DN933" s="44"/>
      <c r="DO933" s="44"/>
      <c r="DP933" s="44"/>
      <c r="DQ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  <c r="DB934" s="44"/>
      <c r="DC934" s="44"/>
      <c r="DD934" s="44"/>
      <c r="DE934" s="44"/>
      <c r="DF934" s="44"/>
      <c r="DG934" s="44"/>
      <c r="DH934" s="44"/>
      <c r="DI934" s="44"/>
      <c r="DJ934" s="44"/>
      <c r="DK934" s="44"/>
      <c r="DL934" s="44"/>
      <c r="DM934" s="44"/>
      <c r="DN934" s="44"/>
      <c r="DO934" s="44"/>
      <c r="DP934" s="44"/>
      <c r="DQ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  <c r="DB935" s="44"/>
      <c r="DC935" s="44"/>
      <c r="DD935" s="44"/>
      <c r="DE935" s="44"/>
      <c r="DF935" s="44"/>
      <c r="DG935" s="44"/>
      <c r="DH935" s="44"/>
      <c r="DI935" s="44"/>
      <c r="DJ935" s="44"/>
      <c r="DK935" s="44"/>
      <c r="DL935" s="44"/>
      <c r="DM935" s="44"/>
      <c r="DN935" s="44"/>
      <c r="DO935" s="44"/>
      <c r="DP935" s="44"/>
      <c r="DQ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  <c r="DB936" s="44"/>
      <c r="DC936" s="44"/>
      <c r="DD936" s="44"/>
      <c r="DE936" s="44"/>
      <c r="DF936" s="44"/>
      <c r="DG936" s="44"/>
      <c r="DH936" s="44"/>
      <c r="DI936" s="44"/>
      <c r="DJ936" s="44"/>
      <c r="DK936" s="44"/>
      <c r="DL936" s="44"/>
      <c r="DM936" s="44"/>
      <c r="DN936" s="44"/>
      <c r="DO936" s="44"/>
      <c r="DP936" s="44"/>
      <c r="DQ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  <c r="DB937" s="44"/>
      <c r="DC937" s="44"/>
      <c r="DD937" s="44"/>
      <c r="DE937" s="44"/>
      <c r="DF937" s="44"/>
      <c r="DG937" s="44"/>
      <c r="DH937" s="44"/>
      <c r="DI937" s="44"/>
      <c r="DJ937" s="44"/>
      <c r="DK937" s="44"/>
      <c r="DL937" s="44"/>
      <c r="DM937" s="44"/>
      <c r="DN937" s="44"/>
      <c r="DO937" s="44"/>
      <c r="DP937" s="44"/>
      <c r="DQ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  <c r="DB938" s="44"/>
      <c r="DC938" s="44"/>
      <c r="DD938" s="44"/>
      <c r="DE938" s="44"/>
      <c r="DF938" s="44"/>
      <c r="DG938" s="44"/>
      <c r="DH938" s="44"/>
      <c r="DI938" s="44"/>
      <c r="DJ938" s="44"/>
      <c r="DK938" s="44"/>
      <c r="DL938" s="44"/>
      <c r="DM938" s="44"/>
      <c r="DN938" s="44"/>
      <c r="DO938" s="44"/>
      <c r="DP938" s="44"/>
      <c r="DQ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  <c r="DB939" s="44"/>
      <c r="DC939" s="44"/>
      <c r="DD939" s="44"/>
      <c r="DE939" s="44"/>
      <c r="DF939" s="44"/>
      <c r="DG939" s="44"/>
      <c r="DH939" s="44"/>
      <c r="DI939" s="44"/>
      <c r="DJ939" s="44"/>
      <c r="DK939" s="44"/>
      <c r="DL939" s="44"/>
      <c r="DM939" s="44"/>
      <c r="DN939" s="44"/>
      <c r="DO939" s="44"/>
      <c r="DP939" s="44"/>
      <c r="DQ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  <c r="DB940" s="44"/>
      <c r="DC940" s="44"/>
      <c r="DD940" s="44"/>
      <c r="DE940" s="44"/>
      <c r="DF940" s="44"/>
      <c r="DG940" s="44"/>
      <c r="DH940" s="44"/>
      <c r="DI940" s="44"/>
      <c r="DJ940" s="44"/>
      <c r="DK940" s="44"/>
      <c r="DL940" s="44"/>
      <c r="DM940" s="44"/>
      <c r="DN940" s="44"/>
      <c r="DO940" s="44"/>
      <c r="DP940" s="44"/>
      <c r="DQ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  <c r="DB941" s="44"/>
      <c r="DC941" s="44"/>
      <c r="DD941" s="44"/>
      <c r="DE941" s="44"/>
      <c r="DF941" s="44"/>
      <c r="DG941" s="44"/>
      <c r="DH941" s="44"/>
      <c r="DI941" s="44"/>
      <c r="DJ941" s="44"/>
      <c r="DK941" s="44"/>
      <c r="DL941" s="44"/>
      <c r="DM941" s="44"/>
      <c r="DN941" s="44"/>
      <c r="DO941" s="44"/>
      <c r="DP941" s="44"/>
      <c r="DQ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  <c r="DB942" s="44"/>
      <c r="DC942" s="44"/>
      <c r="DD942" s="44"/>
      <c r="DE942" s="44"/>
      <c r="DF942" s="44"/>
      <c r="DG942" s="44"/>
      <c r="DH942" s="44"/>
      <c r="DI942" s="44"/>
      <c r="DJ942" s="44"/>
      <c r="DK942" s="44"/>
      <c r="DL942" s="44"/>
      <c r="DM942" s="44"/>
      <c r="DN942" s="44"/>
      <c r="DO942" s="44"/>
      <c r="DP942" s="44"/>
      <c r="DQ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  <c r="DB943" s="44"/>
      <c r="DC943" s="44"/>
      <c r="DD943" s="44"/>
      <c r="DE943" s="44"/>
      <c r="DF943" s="44"/>
      <c r="DG943" s="44"/>
      <c r="DH943" s="44"/>
      <c r="DI943" s="44"/>
      <c r="DJ943" s="44"/>
      <c r="DK943" s="44"/>
      <c r="DL943" s="44"/>
      <c r="DM943" s="44"/>
      <c r="DN943" s="44"/>
      <c r="DO943" s="44"/>
      <c r="DP943" s="44"/>
      <c r="DQ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  <c r="DB944" s="44"/>
      <c r="DC944" s="44"/>
      <c r="DD944" s="44"/>
      <c r="DE944" s="44"/>
      <c r="DF944" s="44"/>
      <c r="DG944" s="44"/>
      <c r="DH944" s="44"/>
      <c r="DI944" s="44"/>
      <c r="DJ944" s="44"/>
      <c r="DK944" s="44"/>
      <c r="DL944" s="44"/>
      <c r="DM944" s="44"/>
      <c r="DN944" s="44"/>
      <c r="DO944" s="44"/>
      <c r="DP944" s="44"/>
      <c r="DQ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  <c r="DB945" s="44"/>
      <c r="DC945" s="44"/>
      <c r="DD945" s="44"/>
      <c r="DE945" s="44"/>
      <c r="DF945" s="44"/>
      <c r="DG945" s="44"/>
      <c r="DH945" s="44"/>
      <c r="DI945" s="44"/>
      <c r="DJ945" s="44"/>
      <c r="DK945" s="44"/>
      <c r="DL945" s="44"/>
      <c r="DM945" s="44"/>
      <c r="DN945" s="44"/>
      <c r="DO945" s="44"/>
      <c r="DP945" s="44"/>
      <c r="DQ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  <c r="DB946" s="44"/>
      <c r="DC946" s="44"/>
      <c r="DD946" s="44"/>
      <c r="DE946" s="44"/>
      <c r="DF946" s="44"/>
      <c r="DG946" s="44"/>
      <c r="DH946" s="44"/>
      <c r="DI946" s="44"/>
      <c r="DJ946" s="44"/>
      <c r="DK946" s="44"/>
      <c r="DL946" s="44"/>
      <c r="DM946" s="44"/>
      <c r="DN946" s="44"/>
      <c r="DO946" s="44"/>
      <c r="DP946" s="44"/>
      <c r="DQ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  <c r="DB947" s="44"/>
      <c r="DC947" s="44"/>
      <c r="DD947" s="44"/>
      <c r="DE947" s="44"/>
      <c r="DF947" s="44"/>
      <c r="DG947" s="44"/>
      <c r="DH947" s="44"/>
      <c r="DI947" s="44"/>
      <c r="DJ947" s="44"/>
      <c r="DK947" s="44"/>
      <c r="DL947" s="44"/>
      <c r="DM947" s="44"/>
      <c r="DN947" s="44"/>
      <c r="DO947" s="44"/>
      <c r="DP947" s="44"/>
      <c r="DQ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  <c r="DB948" s="44"/>
      <c r="DC948" s="44"/>
      <c r="DD948" s="44"/>
      <c r="DE948" s="44"/>
      <c r="DF948" s="44"/>
      <c r="DG948" s="44"/>
      <c r="DH948" s="44"/>
      <c r="DI948" s="44"/>
      <c r="DJ948" s="44"/>
      <c r="DK948" s="44"/>
      <c r="DL948" s="44"/>
      <c r="DM948" s="44"/>
      <c r="DN948" s="44"/>
      <c r="DO948" s="44"/>
      <c r="DP948" s="44"/>
      <c r="DQ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  <c r="DB949" s="44"/>
      <c r="DC949" s="44"/>
      <c r="DD949" s="44"/>
      <c r="DE949" s="44"/>
      <c r="DF949" s="44"/>
      <c r="DG949" s="44"/>
      <c r="DH949" s="44"/>
      <c r="DI949" s="44"/>
      <c r="DJ949" s="44"/>
      <c r="DK949" s="44"/>
      <c r="DL949" s="44"/>
      <c r="DM949" s="44"/>
      <c r="DN949" s="44"/>
      <c r="DO949" s="44"/>
      <c r="DP949" s="44"/>
      <c r="DQ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  <c r="DB950" s="44"/>
      <c r="DC950" s="44"/>
      <c r="DD950" s="44"/>
      <c r="DE950" s="44"/>
      <c r="DF950" s="44"/>
      <c r="DG950" s="44"/>
      <c r="DH950" s="44"/>
      <c r="DI950" s="44"/>
      <c r="DJ950" s="44"/>
      <c r="DK950" s="44"/>
      <c r="DL950" s="44"/>
      <c r="DM950" s="44"/>
      <c r="DN950" s="44"/>
      <c r="DO950" s="44"/>
      <c r="DP950" s="44"/>
      <c r="DQ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  <c r="DB951" s="44"/>
      <c r="DC951" s="44"/>
      <c r="DD951" s="44"/>
      <c r="DE951" s="44"/>
      <c r="DF951" s="44"/>
      <c r="DG951" s="44"/>
      <c r="DH951" s="44"/>
      <c r="DI951" s="44"/>
      <c r="DJ951" s="44"/>
      <c r="DK951" s="44"/>
      <c r="DL951" s="44"/>
      <c r="DM951" s="44"/>
      <c r="DN951" s="44"/>
      <c r="DO951" s="44"/>
      <c r="DP951" s="44"/>
      <c r="DQ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  <c r="DB952" s="44"/>
      <c r="DC952" s="44"/>
      <c r="DD952" s="44"/>
      <c r="DE952" s="44"/>
      <c r="DF952" s="44"/>
      <c r="DG952" s="44"/>
      <c r="DH952" s="44"/>
      <c r="DI952" s="44"/>
      <c r="DJ952" s="44"/>
      <c r="DK952" s="44"/>
      <c r="DL952" s="44"/>
      <c r="DM952" s="44"/>
      <c r="DN952" s="44"/>
      <c r="DO952" s="44"/>
      <c r="DP952" s="44"/>
      <c r="DQ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  <c r="DB953" s="44"/>
      <c r="DC953" s="44"/>
      <c r="DD953" s="44"/>
      <c r="DE953" s="44"/>
      <c r="DF953" s="44"/>
      <c r="DG953" s="44"/>
      <c r="DH953" s="44"/>
      <c r="DI953" s="44"/>
      <c r="DJ953" s="44"/>
      <c r="DK953" s="44"/>
      <c r="DL953" s="44"/>
      <c r="DM953" s="44"/>
      <c r="DN953" s="44"/>
      <c r="DO953" s="44"/>
      <c r="DP953" s="44"/>
      <c r="DQ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  <c r="DB954" s="44"/>
      <c r="DC954" s="44"/>
      <c r="DD954" s="44"/>
      <c r="DE954" s="44"/>
      <c r="DF954" s="44"/>
      <c r="DG954" s="44"/>
      <c r="DH954" s="44"/>
      <c r="DI954" s="44"/>
      <c r="DJ954" s="44"/>
      <c r="DK954" s="44"/>
      <c r="DL954" s="44"/>
      <c r="DM954" s="44"/>
      <c r="DN954" s="44"/>
      <c r="DO954" s="44"/>
      <c r="DP954" s="44"/>
      <c r="DQ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  <c r="DB955" s="44"/>
      <c r="DC955" s="44"/>
      <c r="DD955" s="44"/>
      <c r="DE955" s="44"/>
      <c r="DF955" s="44"/>
      <c r="DG955" s="44"/>
      <c r="DH955" s="44"/>
      <c r="DI955" s="44"/>
      <c r="DJ955" s="44"/>
      <c r="DK955" s="44"/>
      <c r="DL955" s="44"/>
      <c r="DM955" s="44"/>
      <c r="DN955" s="44"/>
      <c r="DO955" s="44"/>
      <c r="DP955" s="44"/>
      <c r="DQ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  <c r="DB956" s="44"/>
      <c r="DC956" s="44"/>
      <c r="DD956" s="44"/>
      <c r="DE956" s="44"/>
      <c r="DF956" s="44"/>
      <c r="DG956" s="44"/>
      <c r="DH956" s="44"/>
      <c r="DI956" s="44"/>
      <c r="DJ956" s="44"/>
      <c r="DK956" s="44"/>
      <c r="DL956" s="44"/>
      <c r="DM956" s="44"/>
      <c r="DN956" s="44"/>
      <c r="DO956" s="44"/>
      <c r="DP956" s="44"/>
      <c r="DQ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  <c r="DB957" s="44"/>
      <c r="DC957" s="44"/>
      <c r="DD957" s="44"/>
      <c r="DE957" s="44"/>
      <c r="DF957" s="44"/>
      <c r="DG957" s="44"/>
      <c r="DH957" s="44"/>
      <c r="DI957" s="44"/>
      <c r="DJ957" s="44"/>
      <c r="DK957" s="44"/>
      <c r="DL957" s="44"/>
      <c r="DM957" s="44"/>
      <c r="DN957" s="44"/>
      <c r="DO957" s="44"/>
      <c r="DP957" s="44"/>
      <c r="DQ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  <c r="DB958" s="44"/>
      <c r="DC958" s="44"/>
      <c r="DD958" s="44"/>
      <c r="DE958" s="44"/>
      <c r="DF958" s="44"/>
      <c r="DG958" s="44"/>
      <c r="DH958" s="44"/>
      <c r="DI958" s="44"/>
      <c r="DJ958" s="44"/>
      <c r="DK958" s="44"/>
      <c r="DL958" s="44"/>
      <c r="DM958" s="44"/>
      <c r="DN958" s="44"/>
      <c r="DO958" s="44"/>
      <c r="DP958" s="44"/>
      <c r="DQ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  <c r="DB959" s="44"/>
      <c r="DC959" s="44"/>
      <c r="DD959" s="44"/>
      <c r="DE959" s="44"/>
      <c r="DF959" s="44"/>
      <c r="DG959" s="44"/>
      <c r="DH959" s="44"/>
      <c r="DI959" s="44"/>
      <c r="DJ959" s="44"/>
      <c r="DK959" s="44"/>
      <c r="DL959" s="44"/>
      <c r="DM959" s="44"/>
      <c r="DN959" s="44"/>
      <c r="DO959" s="44"/>
      <c r="DP959" s="44"/>
      <c r="DQ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  <c r="DB960" s="44"/>
      <c r="DC960" s="44"/>
      <c r="DD960" s="44"/>
      <c r="DE960" s="44"/>
      <c r="DF960" s="44"/>
      <c r="DG960" s="44"/>
      <c r="DH960" s="44"/>
      <c r="DI960" s="44"/>
      <c r="DJ960" s="44"/>
      <c r="DK960" s="44"/>
      <c r="DL960" s="44"/>
      <c r="DM960" s="44"/>
      <c r="DN960" s="44"/>
      <c r="DO960" s="44"/>
      <c r="DP960" s="44"/>
      <c r="DQ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  <c r="DB961" s="44"/>
      <c r="DC961" s="44"/>
      <c r="DD961" s="44"/>
      <c r="DE961" s="44"/>
      <c r="DF961" s="44"/>
      <c r="DG961" s="44"/>
      <c r="DH961" s="44"/>
      <c r="DI961" s="44"/>
      <c r="DJ961" s="44"/>
      <c r="DK961" s="44"/>
      <c r="DL961" s="44"/>
      <c r="DM961" s="44"/>
      <c r="DN961" s="44"/>
      <c r="DO961" s="44"/>
      <c r="DP961" s="44"/>
      <c r="DQ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  <c r="DB962" s="44"/>
      <c r="DC962" s="44"/>
      <c r="DD962" s="44"/>
      <c r="DE962" s="44"/>
      <c r="DF962" s="44"/>
      <c r="DG962" s="44"/>
      <c r="DH962" s="44"/>
      <c r="DI962" s="44"/>
      <c r="DJ962" s="44"/>
      <c r="DK962" s="44"/>
      <c r="DL962" s="44"/>
      <c r="DM962" s="44"/>
      <c r="DN962" s="44"/>
      <c r="DO962" s="44"/>
      <c r="DP962" s="44"/>
      <c r="DQ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  <c r="DB963" s="44"/>
      <c r="DC963" s="44"/>
      <c r="DD963" s="44"/>
      <c r="DE963" s="44"/>
      <c r="DF963" s="44"/>
      <c r="DG963" s="44"/>
      <c r="DH963" s="44"/>
      <c r="DI963" s="44"/>
      <c r="DJ963" s="44"/>
      <c r="DK963" s="44"/>
      <c r="DL963" s="44"/>
      <c r="DM963" s="44"/>
      <c r="DN963" s="44"/>
      <c r="DO963" s="44"/>
      <c r="DP963" s="44"/>
      <c r="DQ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  <c r="DB964" s="44"/>
      <c r="DC964" s="44"/>
      <c r="DD964" s="44"/>
      <c r="DE964" s="44"/>
      <c r="DF964" s="44"/>
      <c r="DG964" s="44"/>
      <c r="DH964" s="44"/>
      <c r="DI964" s="44"/>
      <c r="DJ964" s="44"/>
      <c r="DK964" s="44"/>
      <c r="DL964" s="44"/>
      <c r="DM964" s="44"/>
      <c r="DN964" s="44"/>
      <c r="DO964" s="44"/>
      <c r="DP964" s="44"/>
      <c r="DQ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  <c r="DB965" s="44"/>
      <c r="DC965" s="44"/>
      <c r="DD965" s="44"/>
      <c r="DE965" s="44"/>
      <c r="DF965" s="44"/>
      <c r="DG965" s="44"/>
      <c r="DH965" s="44"/>
      <c r="DI965" s="44"/>
      <c r="DJ965" s="44"/>
      <c r="DK965" s="44"/>
      <c r="DL965" s="44"/>
      <c r="DM965" s="44"/>
      <c r="DN965" s="44"/>
      <c r="DO965" s="44"/>
      <c r="DP965" s="44"/>
      <c r="DQ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  <c r="DB966" s="44"/>
      <c r="DC966" s="44"/>
      <c r="DD966" s="44"/>
      <c r="DE966" s="44"/>
      <c r="DF966" s="44"/>
      <c r="DG966" s="44"/>
      <c r="DH966" s="44"/>
      <c r="DI966" s="44"/>
      <c r="DJ966" s="44"/>
      <c r="DK966" s="44"/>
      <c r="DL966" s="44"/>
      <c r="DM966" s="44"/>
      <c r="DN966" s="44"/>
      <c r="DO966" s="44"/>
      <c r="DP966" s="44"/>
      <c r="DQ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  <c r="DB967" s="44"/>
      <c r="DC967" s="44"/>
      <c r="DD967" s="44"/>
      <c r="DE967" s="44"/>
      <c r="DF967" s="44"/>
      <c r="DG967" s="44"/>
      <c r="DH967" s="44"/>
      <c r="DI967" s="44"/>
      <c r="DJ967" s="44"/>
      <c r="DK967" s="44"/>
      <c r="DL967" s="44"/>
      <c r="DM967" s="44"/>
      <c r="DN967" s="44"/>
      <c r="DO967" s="44"/>
      <c r="DP967" s="44"/>
      <c r="DQ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  <c r="DB968" s="44"/>
      <c r="DC968" s="44"/>
      <c r="DD968" s="44"/>
      <c r="DE968" s="44"/>
      <c r="DF968" s="44"/>
      <c r="DG968" s="44"/>
      <c r="DH968" s="44"/>
      <c r="DI968" s="44"/>
      <c r="DJ968" s="44"/>
      <c r="DK968" s="44"/>
      <c r="DL968" s="44"/>
      <c r="DM968" s="44"/>
      <c r="DN968" s="44"/>
      <c r="DO968" s="44"/>
      <c r="DP968" s="44"/>
      <c r="DQ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  <c r="DB969" s="44"/>
      <c r="DC969" s="44"/>
      <c r="DD969" s="44"/>
      <c r="DE969" s="44"/>
      <c r="DF969" s="44"/>
      <c r="DG969" s="44"/>
      <c r="DH969" s="44"/>
      <c r="DI969" s="44"/>
      <c r="DJ969" s="44"/>
      <c r="DK969" s="44"/>
      <c r="DL969" s="44"/>
      <c r="DM969" s="44"/>
      <c r="DN969" s="44"/>
      <c r="DO969" s="44"/>
      <c r="DP969" s="44"/>
      <c r="DQ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  <c r="DB970" s="44"/>
      <c r="DC970" s="44"/>
      <c r="DD970" s="44"/>
      <c r="DE970" s="44"/>
      <c r="DF970" s="44"/>
      <c r="DG970" s="44"/>
      <c r="DH970" s="44"/>
      <c r="DI970" s="44"/>
      <c r="DJ970" s="44"/>
      <c r="DK970" s="44"/>
      <c r="DL970" s="44"/>
      <c r="DM970" s="44"/>
      <c r="DN970" s="44"/>
      <c r="DO970" s="44"/>
      <c r="DP970" s="44"/>
      <c r="DQ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  <c r="DB971" s="44"/>
      <c r="DC971" s="44"/>
      <c r="DD971" s="44"/>
      <c r="DE971" s="44"/>
      <c r="DF971" s="44"/>
      <c r="DG971" s="44"/>
      <c r="DH971" s="44"/>
      <c r="DI971" s="44"/>
      <c r="DJ971" s="44"/>
      <c r="DK971" s="44"/>
      <c r="DL971" s="44"/>
      <c r="DM971" s="44"/>
      <c r="DN971" s="44"/>
      <c r="DO971" s="44"/>
      <c r="DP971" s="44"/>
      <c r="DQ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  <c r="DB972" s="44"/>
      <c r="DC972" s="44"/>
      <c r="DD972" s="44"/>
      <c r="DE972" s="44"/>
      <c r="DF972" s="44"/>
      <c r="DG972" s="44"/>
      <c r="DH972" s="44"/>
      <c r="DI972" s="44"/>
      <c r="DJ972" s="44"/>
      <c r="DK972" s="44"/>
      <c r="DL972" s="44"/>
      <c r="DM972" s="44"/>
      <c r="DN972" s="44"/>
      <c r="DO972" s="44"/>
      <c r="DP972" s="44"/>
      <c r="DQ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  <c r="DB973" s="44"/>
      <c r="DC973" s="44"/>
      <c r="DD973" s="44"/>
      <c r="DE973" s="44"/>
      <c r="DF973" s="44"/>
      <c r="DG973" s="44"/>
      <c r="DH973" s="44"/>
      <c r="DI973" s="44"/>
      <c r="DJ973" s="44"/>
      <c r="DK973" s="44"/>
      <c r="DL973" s="44"/>
      <c r="DM973" s="44"/>
      <c r="DN973" s="44"/>
      <c r="DO973" s="44"/>
      <c r="DP973" s="44"/>
      <c r="DQ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  <c r="DB974" s="44"/>
      <c r="DC974" s="44"/>
      <c r="DD974" s="44"/>
      <c r="DE974" s="44"/>
      <c r="DF974" s="44"/>
      <c r="DG974" s="44"/>
      <c r="DH974" s="44"/>
      <c r="DI974" s="44"/>
      <c r="DJ974" s="44"/>
      <c r="DK974" s="44"/>
      <c r="DL974" s="44"/>
      <c r="DM974" s="44"/>
      <c r="DN974" s="44"/>
      <c r="DO974" s="44"/>
      <c r="DP974" s="44"/>
      <c r="DQ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  <c r="DB975" s="44"/>
      <c r="DC975" s="44"/>
      <c r="DD975" s="44"/>
      <c r="DE975" s="44"/>
      <c r="DF975" s="44"/>
      <c r="DG975" s="44"/>
      <c r="DH975" s="44"/>
      <c r="DI975" s="44"/>
      <c r="DJ975" s="44"/>
      <c r="DK975" s="44"/>
      <c r="DL975" s="44"/>
      <c r="DM975" s="44"/>
      <c r="DN975" s="44"/>
      <c r="DO975" s="44"/>
      <c r="DP975" s="44"/>
      <c r="DQ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  <c r="DB976" s="44"/>
      <c r="DC976" s="44"/>
      <c r="DD976" s="44"/>
      <c r="DE976" s="44"/>
      <c r="DF976" s="44"/>
      <c r="DG976" s="44"/>
      <c r="DH976" s="44"/>
      <c r="DI976" s="44"/>
      <c r="DJ976" s="44"/>
      <c r="DK976" s="44"/>
      <c r="DL976" s="44"/>
      <c r="DM976" s="44"/>
      <c r="DN976" s="44"/>
      <c r="DO976" s="44"/>
      <c r="DP976" s="44"/>
      <c r="DQ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  <c r="DB977" s="44"/>
      <c r="DC977" s="44"/>
      <c r="DD977" s="44"/>
      <c r="DE977" s="44"/>
      <c r="DF977" s="44"/>
      <c r="DG977" s="44"/>
      <c r="DH977" s="44"/>
      <c r="DI977" s="44"/>
      <c r="DJ977" s="44"/>
      <c r="DK977" s="44"/>
      <c r="DL977" s="44"/>
      <c r="DM977" s="44"/>
      <c r="DN977" s="44"/>
      <c r="DO977" s="44"/>
      <c r="DP977" s="44"/>
      <c r="DQ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  <c r="DB978" s="44"/>
      <c r="DC978" s="44"/>
      <c r="DD978" s="44"/>
      <c r="DE978" s="44"/>
      <c r="DF978" s="44"/>
      <c r="DG978" s="44"/>
      <c r="DH978" s="44"/>
      <c r="DI978" s="44"/>
      <c r="DJ978" s="44"/>
      <c r="DK978" s="44"/>
      <c r="DL978" s="44"/>
      <c r="DM978" s="44"/>
      <c r="DN978" s="44"/>
      <c r="DO978" s="44"/>
      <c r="DP978" s="44"/>
      <c r="DQ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  <c r="DB979" s="44"/>
      <c r="DC979" s="44"/>
      <c r="DD979" s="44"/>
      <c r="DE979" s="44"/>
      <c r="DF979" s="44"/>
      <c r="DG979" s="44"/>
      <c r="DH979" s="44"/>
      <c r="DI979" s="44"/>
      <c r="DJ979" s="44"/>
      <c r="DK979" s="44"/>
      <c r="DL979" s="44"/>
      <c r="DM979" s="44"/>
      <c r="DN979" s="44"/>
      <c r="DO979" s="44"/>
      <c r="DP979" s="44"/>
      <c r="DQ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  <c r="DB980" s="44"/>
      <c r="DC980" s="44"/>
      <c r="DD980" s="44"/>
      <c r="DE980" s="44"/>
      <c r="DF980" s="44"/>
      <c r="DG980" s="44"/>
      <c r="DH980" s="44"/>
      <c r="DI980" s="44"/>
      <c r="DJ980" s="44"/>
      <c r="DK980" s="44"/>
      <c r="DL980" s="44"/>
      <c r="DM980" s="44"/>
      <c r="DN980" s="44"/>
      <c r="DO980" s="44"/>
      <c r="DP980" s="44"/>
      <c r="DQ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  <c r="DB981" s="44"/>
      <c r="DC981" s="44"/>
      <c r="DD981" s="44"/>
      <c r="DE981" s="44"/>
      <c r="DF981" s="44"/>
      <c r="DG981" s="44"/>
      <c r="DH981" s="44"/>
      <c r="DI981" s="44"/>
      <c r="DJ981" s="44"/>
      <c r="DK981" s="44"/>
      <c r="DL981" s="44"/>
      <c r="DM981" s="44"/>
      <c r="DN981" s="44"/>
      <c r="DO981" s="44"/>
      <c r="DP981" s="44"/>
      <c r="DQ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  <c r="DB982" s="44"/>
      <c r="DC982" s="44"/>
      <c r="DD982" s="44"/>
      <c r="DE982" s="44"/>
      <c r="DF982" s="44"/>
      <c r="DG982" s="44"/>
      <c r="DH982" s="44"/>
      <c r="DI982" s="44"/>
      <c r="DJ982" s="44"/>
      <c r="DK982" s="44"/>
      <c r="DL982" s="44"/>
      <c r="DM982" s="44"/>
      <c r="DN982" s="44"/>
      <c r="DO982" s="44"/>
      <c r="DP982" s="44"/>
      <c r="DQ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  <c r="DB983" s="44"/>
      <c r="DC983" s="44"/>
      <c r="DD983" s="44"/>
      <c r="DE983" s="44"/>
      <c r="DF983" s="44"/>
      <c r="DG983" s="44"/>
      <c r="DH983" s="44"/>
      <c r="DI983" s="44"/>
      <c r="DJ983" s="44"/>
      <c r="DK983" s="44"/>
      <c r="DL983" s="44"/>
      <c r="DM983" s="44"/>
      <c r="DN983" s="44"/>
      <c r="DO983" s="44"/>
      <c r="DP983" s="44"/>
      <c r="DQ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  <c r="DB984" s="44"/>
      <c r="DC984" s="44"/>
      <c r="DD984" s="44"/>
      <c r="DE984" s="44"/>
      <c r="DF984" s="44"/>
      <c r="DG984" s="44"/>
      <c r="DH984" s="44"/>
      <c r="DI984" s="44"/>
      <c r="DJ984" s="44"/>
      <c r="DK984" s="44"/>
      <c r="DL984" s="44"/>
      <c r="DM984" s="44"/>
      <c r="DN984" s="44"/>
      <c r="DO984" s="44"/>
      <c r="DP984" s="44"/>
      <c r="DQ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  <c r="DB985" s="44"/>
      <c r="DC985" s="44"/>
      <c r="DD985" s="44"/>
      <c r="DE985" s="44"/>
      <c r="DF985" s="44"/>
      <c r="DG985" s="44"/>
      <c r="DH985" s="44"/>
      <c r="DI985" s="44"/>
      <c r="DJ985" s="44"/>
      <c r="DK985" s="44"/>
      <c r="DL985" s="44"/>
      <c r="DM985" s="44"/>
      <c r="DN985" s="44"/>
      <c r="DO985" s="44"/>
      <c r="DP985" s="44"/>
      <c r="DQ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  <c r="DB986" s="44"/>
      <c r="DC986" s="44"/>
      <c r="DD986" s="44"/>
      <c r="DE986" s="44"/>
      <c r="DF986" s="44"/>
      <c r="DG986" s="44"/>
      <c r="DH986" s="44"/>
      <c r="DI986" s="44"/>
      <c r="DJ986" s="44"/>
      <c r="DK986" s="44"/>
      <c r="DL986" s="44"/>
      <c r="DM986" s="44"/>
      <c r="DN986" s="44"/>
      <c r="DO986" s="44"/>
      <c r="DP986" s="44"/>
      <c r="DQ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  <c r="DB987" s="44"/>
      <c r="DC987" s="44"/>
      <c r="DD987" s="44"/>
      <c r="DE987" s="44"/>
      <c r="DF987" s="44"/>
      <c r="DG987" s="44"/>
      <c r="DH987" s="44"/>
      <c r="DI987" s="44"/>
      <c r="DJ987" s="44"/>
      <c r="DK987" s="44"/>
      <c r="DL987" s="44"/>
      <c r="DM987" s="44"/>
      <c r="DN987" s="44"/>
      <c r="DO987" s="44"/>
      <c r="DP987" s="44"/>
      <c r="DQ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  <c r="DB988" s="44"/>
      <c r="DC988" s="44"/>
      <c r="DD988" s="44"/>
      <c r="DE988" s="44"/>
      <c r="DF988" s="44"/>
      <c r="DG988" s="44"/>
      <c r="DH988" s="44"/>
      <c r="DI988" s="44"/>
      <c r="DJ988" s="44"/>
      <c r="DK988" s="44"/>
      <c r="DL988" s="44"/>
      <c r="DM988" s="44"/>
      <c r="DN988" s="44"/>
      <c r="DO988" s="44"/>
      <c r="DP988" s="44"/>
      <c r="DQ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  <c r="DB989" s="44"/>
      <c r="DC989" s="44"/>
      <c r="DD989" s="44"/>
      <c r="DE989" s="44"/>
      <c r="DF989" s="44"/>
      <c r="DG989" s="44"/>
      <c r="DH989" s="44"/>
      <c r="DI989" s="44"/>
      <c r="DJ989" s="44"/>
      <c r="DK989" s="44"/>
      <c r="DL989" s="44"/>
      <c r="DM989" s="44"/>
      <c r="DN989" s="44"/>
      <c r="DO989" s="44"/>
      <c r="DP989" s="44"/>
      <c r="DQ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  <c r="DB990" s="44"/>
      <c r="DC990" s="44"/>
      <c r="DD990" s="44"/>
      <c r="DE990" s="44"/>
      <c r="DF990" s="44"/>
      <c r="DG990" s="44"/>
      <c r="DH990" s="44"/>
      <c r="DI990" s="44"/>
      <c r="DJ990" s="44"/>
      <c r="DK990" s="44"/>
      <c r="DL990" s="44"/>
      <c r="DM990" s="44"/>
      <c r="DN990" s="44"/>
      <c r="DO990" s="44"/>
      <c r="DP990" s="44"/>
      <c r="DQ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  <c r="DB991" s="44"/>
      <c r="DC991" s="44"/>
      <c r="DD991" s="44"/>
      <c r="DE991" s="44"/>
      <c r="DF991" s="44"/>
      <c r="DG991" s="44"/>
      <c r="DH991" s="44"/>
      <c r="DI991" s="44"/>
      <c r="DJ991" s="44"/>
      <c r="DK991" s="44"/>
      <c r="DL991" s="44"/>
      <c r="DM991" s="44"/>
      <c r="DN991" s="44"/>
      <c r="DO991" s="44"/>
      <c r="DP991" s="44"/>
      <c r="DQ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  <c r="DB992" s="44"/>
      <c r="DC992" s="44"/>
      <c r="DD992" s="44"/>
      <c r="DE992" s="44"/>
      <c r="DF992" s="44"/>
      <c r="DG992" s="44"/>
      <c r="DH992" s="44"/>
      <c r="DI992" s="44"/>
      <c r="DJ992" s="44"/>
      <c r="DK992" s="44"/>
      <c r="DL992" s="44"/>
      <c r="DM992" s="44"/>
      <c r="DN992" s="44"/>
      <c r="DO992" s="44"/>
      <c r="DP992" s="44"/>
      <c r="DQ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  <c r="DB993" s="44"/>
      <c r="DC993" s="44"/>
      <c r="DD993" s="44"/>
      <c r="DE993" s="44"/>
      <c r="DF993" s="44"/>
      <c r="DG993" s="44"/>
      <c r="DH993" s="44"/>
      <c r="DI993" s="44"/>
      <c r="DJ993" s="44"/>
      <c r="DK993" s="44"/>
      <c r="DL993" s="44"/>
      <c r="DM993" s="44"/>
      <c r="DN993" s="44"/>
      <c r="DO993" s="44"/>
      <c r="DP993" s="44"/>
      <c r="DQ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  <c r="DB994" s="44"/>
      <c r="DC994" s="44"/>
      <c r="DD994" s="44"/>
      <c r="DE994" s="44"/>
      <c r="DF994" s="44"/>
      <c r="DG994" s="44"/>
      <c r="DH994" s="44"/>
      <c r="DI994" s="44"/>
      <c r="DJ994" s="44"/>
      <c r="DK994" s="44"/>
      <c r="DL994" s="44"/>
      <c r="DM994" s="44"/>
      <c r="DN994" s="44"/>
      <c r="DO994" s="44"/>
      <c r="DP994" s="44"/>
      <c r="DQ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  <c r="DB995" s="44"/>
      <c r="DC995" s="44"/>
      <c r="DD995" s="44"/>
      <c r="DE995" s="44"/>
      <c r="DF995" s="44"/>
      <c r="DG995" s="44"/>
      <c r="DH995" s="44"/>
      <c r="DI995" s="44"/>
      <c r="DJ995" s="44"/>
      <c r="DK995" s="44"/>
      <c r="DL995" s="44"/>
      <c r="DM995" s="44"/>
      <c r="DN995" s="44"/>
      <c r="DO995" s="44"/>
      <c r="DP995" s="44"/>
      <c r="DQ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  <c r="DB996" s="44"/>
      <c r="DC996" s="44"/>
      <c r="DD996" s="44"/>
      <c r="DE996" s="44"/>
      <c r="DF996" s="44"/>
      <c r="DG996" s="44"/>
      <c r="DH996" s="44"/>
      <c r="DI996" s="44"/>
      <c r="DJ996" s="44"/>
      <c r="DK996" s="44"/>
      <c r="DL996" s="44"/>
      <c r="DM996" s="44"/>
      <c r="DN996" s="44"/>
      <c r="DO996" s="44"/>
      <c r="DP996" s="44"/>
      <c r="DQ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  <c r="DB997" s="44"/>
      <c r="DC997" s="44"/>
      <c r="DD997" s="44"/>
      <c r="DE997" s="44"/>
      <c r="DF997" s="44"/>
      <c r="DG997" s="44"/>
      <c r="DH997" s="44"/>
      <c r="DI997" s="44"/>
      <c r="DJ997" s="44"/>
      <c r="DK997" s="44"/>
      <c r="DL997" s="44"/>
      <c r="DM997" s="44"/>
      <c r="DN997" s="44"/>
      <c r="DO997" s="44"/>
      <c r="DP997" s="44"/>
      <c r="DQ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  <c r="DB998" s="44"/>
      <c r="DC998" s="44"/>
      <c r="DD998" s="44"/>
      <c r="DE998" s="44"/>
      <c r="DF998" s="44"/>
      <c r="DG998" s="44"/>
      <c r="DH998" s="44"/>
      <c r="DI998" s="44"/>
      <c r="DJ998" s="44"/>
      <c r="DK998" s="44"/>
      <c r="DL998" s="44"/>
      <c r="DM998" s="44"/>
      <c r="DN998" s="44"/>
      <c r="DO998" s="44"/>
      <c r="DP998" s="44"/>
      <c r="DQ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  <c r="DB999" s="44"/>
      <c r="DC999" s="44"/>
      <c r="DD999" s="44"/>
      <c r="DE999" s="44"/>
      <c r="DF999" s="44"/>
      <c r="DG999" s="44"/>
      <c r="DH999" s="44"/>
      <c r="DI999" s="44"/>
      <c r="DJ999" s="44"/>
      <c r="DK999" s="44"/>
      <c r="DL999" s="44"/>
      <c r="DM999" s="44"/>
      <c r="DN999" s="44"/>
      <c r="DO999" s="44"/>
      <c r="DP999" s="44"/>
      <c r="DQ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  <c r="DB1000" s="44"/>
      <c r="DC1000" s="44"/>
      <c r="DD1000" s="44"/>
      <c r="DE1000" s="44"/>
      <c r="DF1000" s="44"/>
      <c r="DG1000" s="44"/>
      <c r="DH1000" s="44"/>
      <c r="DI1000" s="44"/>
      <c r="DJ1000" s="44"/>
      <c r="DK1000" s="44"/>
      <c r="DL1000" s="44"/>
      <c r="DM1000" s="44"/>
      <c r="DN1000" s="44"/>
      <c r="DO1000" s="44"/>
      <c r="DP1000" s="44"/>
      <c r="DQ1000" s="44"/>
    </row>
  </sheetData>
  <mergeCells count="3">
    <mergeCell ref="B1:F1"/>
    <mergeCell ref="A2:A3"/>
    <mergeCell ref="B2:K2"/>
  </mergeCells>
  <hyperlinks>
    <hyperlink r:id="rId2" ref="G1"/>
    <hyperlink r:id="rId3" ref="H1"/>
  </hyperlinks>
  <printOptions horizontalCentered="1" verticalCentered="1"/>
  <pageMargins bottom="0.1968503937007874" footer="0.0" header="0.0" left="1.4173228346456694" right="0.2362204724409449" top="0.1968503937007874"/>
  <pageSetup fitToWidth="0" paperSize="9" orientation="landscape"/>
  <drawing r:id="rId4"/>
  <legacyDrawing r:id="rId5"/>
  <extLst>
    <ext uri="{05C60535-1F16-4fd2-B633-F4F36F0B64E0}">
      <x14:sparklineGroups>
        <x14:sparklineGroup lineWeight="0.25" displayEmptyCellsAs="gap">
          <x14:colorSeries rgb="FF000000"/>
          <x14:sparklines>
            <x14:sparkline>
              <xm:f>'Key ratios'!C6:K6</xm:f>
              <xm:sqref>L6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ratios'!C7:K7</xm:f>
              <xm:sqref>L7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ratios'!C8:K8</xm:f>
              <xm:sqref>L8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ratios'!C9:K9</xm:f>
              <xm:sqref>L9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ratios'!C10:K10</xm:f>
              <xm:sqref>L10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ratios'!C11:K11</xm:f>
              <xm:sqref>L11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ratios'!C12:K12</xm:f>
              <xm:sqref>L12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ratios'!C13:K13</xm:f>
              <xm:sqref>L13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ratios'!C14:K14</xm:f>
              <xm:sqref>L14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ratios'!C15:K15</xm:f>
              <xm:sqref>L15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ratios'!C16:K16</xm:f>
              <xm:sqref>L16</xm:sqref>
            </x14:sparkline>
          </x14:sparklines>
        </x14:sparklineGroup>
        <x14:sparklineGroup lineWeight="0.25" displayEmptyCellsAs="gap">
          <x14:colorSeries rgb="FF000000"/>
          <x14:sparklines>
            <x14:sparkline>
              <xm:f>'Key ratios'!C17:K17</xm:f>
              <xm:sqref>L17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ratios'!B20:K20</xm:f>
              <xm:sqref>L20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ratios'!B21:K21</xm:f>
              <xm:sqref>L21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ratios'!B22:K22</xm:f>
              <xm:sqref>L22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ratios'!B25:K25</xm:f>
              <xm:sqref>L25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ratios'!B26:K26</xm:f>
              <xm:sqref>L26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ratios'!B27:K27</xm:f>
              <xm:sqref>L27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ratios'!B28:K28</xm:f>
              <xm:sqref>L28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ratios'!B29:K29</xm:f>
              <xm:sqref>L29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ratios'!B30:K30</xm:f>
              <xm:sqref>L30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ratios'!B31:K31</xm:f>
              <xm:sqref>L31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ratios'!B34:K34</xm:f>
              <xm:sqref>L34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ratios'!B35:K35</xm:f>
              <xm:sqref>L35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ratios'!B36:K36</xm:f>
              <xm:sqref>L36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ratios'!B37:K37</xm:f>
              <xm:sqref>L37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ratios'!B38:K38</xm:f>
              <xm:sqref>L38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ratios'!B41:K41</xm:f>
              <xm:sqref>L41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ratios'!B42:K42</xm:f>
              <xm:sqref>L42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ratios'!B43:K43</xm:f>
              <xm:sqref>L43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ratios'!B44:K44</xm:f>
              <xm:sqref>L44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ratios'!B45:K45</xm:f>
              <xm:sqref>L45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ratios'!B48:K48</xm:f>
              <xm:sqref>L48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ratios'!B49:K49</xm:f>
              <xm:sqref>L49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ratios'!B50:K50</xm:f>
              <xm:sqref>L50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ratios'!B51:K51</xm:f>
              <xm:sqref>L51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ratios'!B52:K52</xm:f>
              <xm:sqref>L52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ratios'!B53:K53</xm:f>
              <xm:sqref>L53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ratios'!B54:K54</xm:f>
              <xm:sqref>L54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ratios'!B57:K57</xm:f>
              <xm:sqref>L57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ratios'!B58:K58</xm:f>
              <xm:sqref>L58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ratios'!B59:K59</xm:f>
              <xm:sqref>L59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ratios'!B60:K60</xm:f>
              <xm:sqref>L60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ratios'!B61:K61</xm:f>
              <xm:sqref>L61</xm:sqref>
            </x14:sparkline>
          </x14:sparklines>
        </x14:sparklineGroup>
        <x14:sparklineGroup displayEmptyCellsAs="gap">
          <x14:colorSeries rgb="FF000000"/>
          <x14:sparklines>
            <x14:sparkline>
              <xm:f>'Key ratios'!B62:K62</xm:f>
              <xm:sqref>L62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 outlineLevelRow="1"/>
  <cols>
    <col customWidth="1" min="1" max="1" width="41.14"/>
    <col customWidth="1" min="2" max="11" width="12.71"/>
    <col customWidth="1" min="12" max="31" width="9.14"/>
  </cols>
  <sheetData>
    <row r="1">
      <c r="A1" s="178" t="s">
        <v>66</v>
      </c>
      <c r="B1" s="179" t="s">
        <v>67</v>
      </c>
      <c r="C1" s="135"/>
      <c r="D1" s="135"/>
      <c r="E1" s="135"/>
      <c r="F1" s="133"/>
      <c r="G1" s="180" t="s">
        <v>68</v>
      </c>
      <c r="H1" s="181" t="s">
        <v>69</v>
      </c>
      <c r="I1" s="182"/>
      <c r="J1" s="182"/>
      <c r="K1" s="184"/>
      <c r="L1" s="185"/>
      <c r="M1" s="206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</row>
    <row r="2">
      <c r="A2" s="207" t="s">
        <v>205</v>
      </c>
      <c r="B2" s="208" t="str">
        <f>'Data Sheet'!B1</f>
        <v>ITC LTD</v>
      </c>
      <c r="C2" s="209"/>
      <c r="D2" s="209"/>
      <c r="E2" s="209"/>
      <c r="F2" s="209"/>
      <c r="G2" s="209"/>
      <c r="H2" s="209"/>
      <c r="I2" s="209"/>
      <c r="J2" s="209"/>
      <c r="K2" s="210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</row>
    <row r="3">
      <c r="A3" s="189"/>
      <c r="B3" s="190">
        <v>2014.0</v>
      </c>
      <c r="C3" s="190">
        <f t="shared" ref="C3:K3" si="1">B3+1</f>
        <v>2015</v>
      </c>
      <c r="D3" s="190">
        <f t="shared" si="1"/>
        <v>2016</v>
      </c>
      <c r="E3" s="190">
        <f t="shared" si="1"/>
        <v>2017</v>
      </c>
      <c r="F3" s="190">
        <f t="shared" si="1"/>
        <v>2018</v>
      </c>
      <c r="G3" s="190">
        <f t="shared" si="1"/>
        <v>2019</v>
      </c>
      <c r="H3" s="190">
        <f t="shared" si="1"/>
        <v>2020</v>
      </c>
      <c r="I3" s="190">
        <f t="shared" si="1"/>
        <v>2021</v>
      </c>
      <c r="J3" s="190">
        <f t="shared" si="1"/>
        <v>2022</v>
      </c>
      <c r="K3" s="191">
        <f t="shared" si="1"/>
        <v>2023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>
      <c r="A4" s="146" t="s">
        <v>131</v>
      </c>
      <c r="B4" s="42"/>
      <c r="C4" s="42"/>
      <c r="D4" s="42"/>
      <c r="E4" s="42"/>
      <c r="F4" s="42"/>
      <c r="G4" s="42"/>
      <c r="H4" s="42"/>
      <c r="I4" s="42"/>
      <c r="J4" s="42"/>
      <c r="K4" s="211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</row>
    <row r="5" outlineLevel="1">
      <c r="A5" s="212" t="str">
        <f>'Finanical Statment'!A7</f>
        <v>Revenue</v>
      </c>
      <c r="B5" s="213">
        <f>IF('Finanical Statment'!C7=0,0,'Finanical Statment'!C7/'Finanical Statment'!C$7)</f>
        <v>1</v>
      </c>
      <c r="C5" s="213">
        <f>IF('Finanical Statment'!D7=0,0,'Finanical Statment'!D7/'Finanical Statment'!D$7)</f>
        <v>1</v>
      </c>
      <c r="D5" s="213">
        <f>IF('Finanical Statment'!E7=0,0,'Finanical Statment'!E7/'Finanical Statment'!E$7)</f>
        <v>1</v>
      </c>
      <c r="E5" s="213">
        <f>IF('Finanical Statment'!F7=0,0,'Finanical Statment'!F7/'Finanical Statment'!F$7)</f>
        <v>1</v>
      </c>
      <c r="F5" s="213">
        <f>IF('Finanical Statment'!G7=0,0,'Finanical Statment'!G7/'Finanical Statment'!G$7)</f>
        <v>1</v>
      </c>
      <c r="G5" s="213">
        <f>IF('Finanical Statment'!H7=0,0,'Finanical Statment'!H7/'Finanical Statment'!H$7)</f>
        <v>1</v>
      </c>
      <c r="H5" s="213">
        <f>IF('Finanical Statment'!I7=0,0,'Finanical Statment'!I7/'Finanical Statment'!I$7)</f>
        <v>1</v>
      </c>
      <c r="I5" s="213">
        <f>IF('Finanical Statment'!J7=0,0,'Finanical Statment'!J7/'Finanical Statment'!J$7)</f>
        <v>1</v>
      </c>
      <c r="J5" s="213">
        <f>IF('Finanical Statment'!K7=0,0,'Finanical Statment'!K7/'Finanical Statment'!K$7)</f>
        <v>1</v>
      </c>
      <c r="K5" s="214">
        <f>IF('Finanical Statment'!L7=0,0,'Finanical Statment'!L7/'Finanical Statment'!L$7)</f>
        <v>1</v>
      </c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</row>
    <row r="6" outlineLevel="1">
      <c r="A6" s="215" t="str">
        <f>'Finanical Statment'!A9</f>
        <v>COGS</v>
      </c>
      <c r="B6" s="216">
        <f>IF('Finanical Statment'!C7=0,0,'Finanical Statment'!C9/'Finanical Statment'!C$7)</f>
        <v>0.4328055824</v>
      </c>
      <c r="C6" s="216">
        <f>IF('Finanical Statment'!D7=0,0,'Finanical Statment'!D9/'Finanical Statment'!D$7)</f>
        <v>0.4357893354</v>
      </c>
      <c r="D6" s="216">
        <f>IF('Finanical Statment'!E7=0,0,'Finanical Statment'!E9/'Finanical Statment'!E$7)</f>
        <v>0.4011515076</v>
      </c>
      <c r="E6" s="216">
        <f>IF('Finanical Statment'!F7=0,0,'Finanical Statment'!F9/'Finanical Statment'!F$7)</f>
        <v>0.4283006294</v>
      </c>
      <c r="F6" s="216">
        <f>IF('Finanical Statment'!G7=0,0,'Finanical Statment'!G9/'Finanical Statment'!G$7)</f>
        <v>0.4190343884</v>
      </c>
      <c r="G6" s="216">
        <f>IF('Finanical Statment'!H7=0,0,'Finanical Statment'!H9/'Finanical Statment'!H$7)</f>
        <v>0.4145271846</v>
      </c>
      <c r="H6" s="216">
        <f>IF('Finanical Statment'!I7=0,0,'Finanical Statment'!I9/'Finanical Statment'!I$7)</f>
        <v>0.4056599113</v>
      </c>
      <c r="I6" s="216">
        <f>IF('Finanical Statment'!J7=0,0,'Finanical Statment'!J9/'Finanical Statment'!J$7)</f>
        <v>0.4551226261</v>
      </c>
      <c r="J6" s="216">
        <f>IF('Finanical Statment'!K7=0,0,'Finanical Statment'!K9/'Finanical Statment'!K$7)</f>
        <v>0.480876102</v>
      </c>
      <c r="K6" s="217">
        <f>IF('Finanical Statment'!L7=0,0,'Finanical Statment'!L9/'Finanical Statment'!L$7)</f>
        <v>0.459198469</v>
      </c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</row>
    <row r="7" outlineLevel="1">
      <c r="A7" s="218" t="str">
        <f>'Finanical Statment'!A10</f>
        <v>Gross Profit</v>
      </c>
      <c r="B7" s="219">
        <f>IF('Finanical Statment'!C7=0,0,'Finanical Statment'!C10/'Finanical Statment'!C$7)</f>
        <v>0.5671944176</v>
      </c>
      <c r="C7" s="219">
        <f>IF('Finanical Statment'!D7=0,0,'Finanical Statment'!D10/'Finanical Statment'!D$7)</f>
        <v>0.5642106646</v>
      </c>
      <c r="D7" s="219">
        <f>IF('Finanical Statment'!E7=0,0,'Finanical Statment'!E10/'Finanical Statment'!E$7)</f>
        <v>0.5988484924</v>
      </c>
      <c r="E7" s="219">
        <f>IF('Finanical Statment'!F7=0,0,'Finanical Statment'!F10/'Finanical Statment'!F$7)</f>
        <v>0.5716993706</v>
      </c>
      <c r="F7" s="219">
        <f>IF('Finanical Statment'!G7=0,0,'Finanical Statment'!G10/'Finanical Statment'!G$7)</f>
        <v>0.5809656116</v>
      </c>
      <c r="G7" s="219">
        <f>IF('Finanical Statment'!H7=0,0,'Finanical Statment'!H10/'Finanical Statment'!H$7)</f>
        <v>0.5854728154</v>
      </c>
      <c r="H7" s="219">
        <f>IF('Finanical Statment'!I7=0,0,'Finanical Statment'!I10/'Finanical Statment'!I$7)</f>
        <v>0.5943400887</v>
      </c>
      <c r="I7" s="219">
        <f>IF('Finanical Statment'!J7=0,0,'Finanical Statment'!J10/'Finanical Statment'!J$7)</f>
        <v>0.5448773739</v>
      </c>
      <c r="J7" s="219">
        <f>IF('Finanical Statment'!K7=0,0,'Finanical Statment'!K10/'Finanical Statment'!K$7)</f>
        <v>0.519123898</v>
      </c>
      <c r="K7" s="220">
        <f>IF('Finanical Statment'!L7=0,0,'Finanical Statment'!L10/'Finanical Statment'!L$7)</f>
        <v>0.540801531</v>
      </c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</row>
    <row r="8" outlineLevel="1">
      <c r="A8" s="221" t="str">
        <f>'Finanical Statment'!A20</f>
        <v>Other Income</v>
      </c>
      <c r="B8" s="222">
        <f>IF('Finanical Statment'!C7=0,0,'Finanical Statment'!C20/'Finanical Statment'!C$7)</f>
        <v>0.02735309121</v>
      </c>
      <c r="C8" s="222">
        <f>IF('Finanical Statment'!D7=0,0,'Finanical Statment'!D20/'Finanical Statment'!D$7)</f>
        <v>0.03167027976</v>
      </c>
      <c r="D8" s="222">
        <f>IF('Finanical Statment'!E7=0,0,'Finanical Statment'!E20/'Finanical Statment'!E$7)</f>
        <v>0.03784206511</v>
      </c>
      <c r="E8" s="222">
        <f>IF('Finanical Statment'!F7=0,0,'Finanical Statment'!F20/'Finanical Statment'!F$7)</f>
        <v>0.04112061467</v>
      </c>
      <c r="F8" s="222">
        <f>IF('Finanical Statment'!G7=0,0,'Finanical Statment'!G20/'Finanical Statment'!G$7)</f>
        <v>0.05155039456</v>
      </c>
      <c r="G8" s="222">
        <f>IF('Finanical Statment'!H7=0,0,'Finanical Statment'!H20/'Finanical Statment'!H$7)</f>
        <v>0.04303802391</v>
      </c>
      <c r="H8" s="222">
        <f>IF('Finanical Statment'!I7=0,0,'Finanical Statment'!I20/'Finanical Statment'!I$7)</f>
        <v>0.04894579015</v>
      </c>
      <c r="I8" s="222">
        <f>IF('Finanical Statment'!J7=0,0,'Finanical Statment'!J20/'Finanical Statment'!J$7)</f>
        <v>0.05231594409</v>
      </c>
      <c r="J8" s="222">
        <f>IF('Finanical Statment'!K7=0,0,'Finanical Statment'!K20/'Finanical Statment'!K$7)</f>
        <v>0.03149038644</v>
      </c>
      <c r="K8" s="223">
        <f>IF('Finanical Statment'!L7=0,0,'Finanical Statment'!L20/'Finanical Statment'!L$7)</f>
        <v>0.02957795672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outlineLevel="1">
      <c r="A9" s="212" t="str">
        <f>'Finanical Statment'!A14</f>
        <v>SG&amp;A</v>
      </c>
      <c r="B9" s="213">
        <f>IF('Finanical Statment'!C7=0,0,'Finanical Statment'!C14/'Finanical Statment'!C$7)</f>
        <v>0.1661295124</v>
      </c>
      <c r="C9" s="213">
        <f>IF('Finanical Statment'!D7=0,0,'Finanical Statment'!D14/'Finanical Statment'!D$7)</f>
        <v>0.1712766136</v>
      </c>
      <c r="D9" s="213">
        <f>IF('Finanical Statment'!E7=0,0,'Finanical Statment'!E14/'Finanical Statment'!E$7)</f>
        <v>0.196538333</v>
      </c>
      <c r="E9" s="213">
        <f>IF('Finanical Statment'!F7=0,0,'Finanical Statment'!F14/'Finanical Statment'!F$7)</f>
        <v>0.1826492485</v>
      </c>
      <c r="F9" s="213">
        <f>IF('Finanical Statment'!G7=0,0,'Finanical Statment'!G14/'Finanical Statment'!G$7)</f>
        <v>0.1775824681</v>
      </c>
      <c r="G9" s="213">
        <f>IF('Finanical Statment'!H7=0,0,'Finanical Statment'!H14/'Finanical Statment'!H$7)</f>
        <v>0.1804788126</v>
      </c>
      <c r="H9" s="213">
        <f>IF('Finanical Statment'!I7=0,0,'Finanical Statment'!I14/'Finanical Statment'!I$7)</f>
        <v>0.1778665538</v>
      </c>
      <c r="I9" s="213">
        <f>IF('Finanical Statment'!J7=0,0,'Finanical Statment'!J14/'Finanical Statment'!J$7)</f>
        <v>0.1766250587</v>
      </c>
      <c r="J9" s="213">
        <f>IF('Finanical Statment'!K7=0,0,'Finanical Statment'!K14/'Finanical Statment'!K$7)</f>
        <v>0.1607552799</v>
      </c>
      <c r="K9" s="214">
        <f>IF('Finanical Statment'!L7=0,0,'Finanical Statment'!L14/'Finanical Statment'!L$7)</f>
        <v>0.1599048944</v>
      </c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</row>
    <row r="10" outlineLevel="1">
      <c r="A10" s="215" t="str">
        <f>'Finanical Statment'!A15</f>
        <v>Other Expenses </v>
      </c>
      <c r="B10" s="216">
        <f>IF('Finanical Statment'!C7=0,0,'Finanical Statment'!C15/'Finanical Statment'!C$7)</f>
        <v>0.03059697624</v>
      </c>
      <c r="C10" s="216">
        <f>IF('Finanical Statment'!D7=0,0,'Finanical Statment'!D15/'Finanical Statment'!D$7)</f>
        <v>0.02578654023</v>
      </c>
      <c r="D10" s="216">
        <f>IF('Finanical Statment'!E7=0,0,'Finanical Statment'!E15/'Finanical Statment'!E$7)</f>
        <v>0.03153416122</v>
      </c>
      <c r="E10" s="216">
        <f>IF('Finanical Statment'!F7=0,0,'Finanical Statment'!F15/'Finanical Statment'!F$7)</f>
        <v>0.02733915394</v>
      </c>
      <c r="F10" s="216">
        <f>IF('Finanical Statment'!G7=0,0,'Finanical Statment'!G15/'Finanical Statment'!G$7)</f>
        <v>0.02315315402</v>
      </c>
      <c r="G10" s="216">
        <f>IF('Finanical Statment'!H7=0,0,'Finanical Statment'!H15/'Finanical Statment'!H$7)</f>
        <v>0.02151135777</v>
      </c>
      <c r="H10" s="216">
        <f>IF('Finanical Statment'!I7=0,0,'Finanical Statment'!I15/'Finanical Statment'!I$7)</f>
        <v>0.02480637892</v>
      </c>
      <c r="I10" s="216">
        <f>IF('Finanical Statment'!J7=0,0,'Finanical Statment'!J15/'Finanical Statment'!J$7)</f>
        <v>0.02181172594</v>
      </c>
      <c r="J10" s="216">
        <f>IF('Finanical Statment'!K7=0,0,'Finanical Statment'!K15/'Finanical Statment'!K$7)</f>
        <v>0.01830255453</v>
      </c>
      <c r="K10" s="217">
        <f>IF('Finanical Statment'!L7=0,0,'Finanical Statment'!L15/'Finanical Statment'!L$7)</f>
        <v>0.018451465</v>
      </c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 outlineLevel="1">
      <c r="A11" s="224" t="str">
        <f>'Finanical Statment'!A16</f>
        <v>EBITDA</v>
      </c>
      <c r="B11" s="219">
        <f>IF('Finanical Statment'!C7=0,0,'Finanical Statment'!C16/'Finanical Statment'!C$7)</f>
        <v>0.3704679289</v>
      </c>
      <c r="C11" s="219">
        <f>IF('Finanical Statment'!D7=0,0,'Finanical Statment'!D16/'Finanical Statment'!D$7)</f>
        <v>0.3671475108</v>
      </c>
      <c r="D11" s="219">
        <f>IF('Finanical Statment'!E7=0,0,'Finanical Statment'!E16/'Finanical Statment'!E$7)</f>
        <v>0.3707759982</v>
      </c>
      <c r="E11" s="219">
        <f>IF('Finanical Statment'!F7=0,0,'Finanical Statment'!F16/'Finanical Statment'!F$7)</f>
        <v>0.3617109681</v>
      </c>
      <c r="F11" s="219">
        <f>IF('Finanical Statment'!G7=0,0,'Finanical Statment'!G16/'Finanical Statment'!G$7)</f>
        <v>0.3802299895</v>
      </c>
      <c r="G11" s="219">
        <f>IF('Finanical Statment'!H7=0,0,'Finanical Statment'!H16/'Finanical Statment'!H$7)</f>
        <v>0.3834826451</v>
      </c>
      <c r="H11" s="219">
        <f>IF('Finanical Statment'!I7=0,0,'Finanical Statment'!I16/'Finanical Statment'!I$7)</f>
        <v>0.391667156</v>
      </c>
      <c r="I11" s="219">
        <f>IF('Finanical Statment'!J7=0,0,'Finanical Statment'!J16/'Finanical Statment'!J$7)</f>
        <v>0.3464405892</v>
      </c>
      <c r="J11" s="219">
        <f>IF('Finanical Statment'!K7=0,0,'Finanical Statment'!K16/'Finanical Statment'!K$7)</f>
        <v>0.3400660637</v>
      </c>
      <c r="K11" s="220">
        <f>IF('Finanical Statment'!L7=0,0,'Finanical Statment'!L16/'Finanical Statment'!L$7)</f>
        <v>0.3624451716</v>
      </c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 outlineLevel="1">
      <c r="A12" s="225" t="str">
        <f>'Finanical Statment'!A22</f>
        <v>Depreciation</v>
      </c>
      <c r="B12" s="213">
        <f>IF('Finanical Statment'!C7=0,0,'Finanical Statment'!C22/'Finanical Statment'!C$7)</f>
        <v>0.02732986598</v>
      </c>
      <c r="C12" s="213">
        <f>IF('Finanical Statment'!D7=0,0,'Finanical Statment'!D22/'Finanical Statment'!D$7)</f>
        <v>0.02648210907</v>
      </c>
      <c r="D12" s="213">
        <f>IF('Finanical Statment'!E7=0,0,'Finanical Statment'!E22/'Finanical Statment'!E$7)</f>
        <v>0.027490234</v>
      </c>
      <c r="E12" s="213">
        <f>IF('Finanical Statment'!F7=0,0,'Finanical Statment'!F22/'Finanical Statment'!F$7)</f>
        <v>0.02695475079</v>
      </c>
      <c r="F12" s="213">
        <f>IF('Finanical Statment'!G7=0,0,'Finanical Statment'!G22/'Finanical Statment'!G$7)</f>
        <v>0.02845362856</v>
      </c>
      <c r="G12" s="213">
        <f>IF('Finanical Statment'!H7=0,0,'Finanical Statment'!H22/'Finanical Statment'!H$7)</f>
        <v>0.02889164531</v>
      </c>
      <c r="H12" s="213">
        <f>IF('Finanical Statment'!I7=0,0,'Finanical Statment'!I22/'Finanical Statment'!I$7)</f>
        <v>0.03330606609</v>
      </c>
      <c r="I12" s="213">
        <f>IF('Finanical Statment'!J7=0,0,'Finanical Statment'!J22/'Finanical Statment'!J$7)</f>
        <v>0.03340794134</v>
      </c>
      <c r="J12" s="213">
        <f>IF('Finanical Statment'!K7=0,0,'Finanical Statment'!K22/'Finanical Statment'!K$7)</f>
        <v>0.02856662776</v>
      </c>
      <c r="K12" s="214">
        <f>IF('Finanical Statment'!L7=0,0,'Finanical Statment'!L22/'Finanical Statment'!L$7)</f>
        <v>0.0255081041</v>
      </c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outlineLevel="1">
      <c r="A13" s="226" t="str">
        <f>'Finanical Statment'!A27</f>
        <v>Interest</v>
      </c>
      <c r="B13" s="216">
        <f>IF('Finanical Statment'!C7=0,0,'Finanical Statment'!C27/'Finanical Statment'!C$7)</f>
        <v>0.0008261951152</v>
      </c>
      <c r="C13" s="216">
        <f>IF('Finanical Statment'!D7=0,0,'Finanical Statment'!D27/'Finanical Statment'!D$7)</f>
        <v>0.002343294137</v>
      </c>
      <c r="D13" s="216">
        <f>IF('Finanical Statment'!E7=0,0,'Finanical Statment'!E27/'Finanical Statment'!E$7)</f>
        <v>0.001993513999</v>
      </c>
      <c r="E13" s="216">
        <f>IF('Finanical Statment'!F7=0,0,'Finanical Statment'!F27/'Finanical Statment'!F$7)</f>
        <v>0.001146428605</v>
      </c>
      <c r="F13" s="216">
        <f>IF('Finanical Statment'!G7=0,0,'Finanical Statment'!G27/'Finanical Statment'!G$7)</f>
        <v>0.002647015094</v>
      </c>
      <c r="G13" s="216">
        <f>IF('Finanical Statment'!H7=0,0,'Finanical Statment'!H27/'Finanical Statment'!H$7)</f>
        <v>0.001477050483</v>
      </c>
      <c r="H13" s="216">
        <f>IF('Finanical Statment'!I7=0,0,'Finanical Statment'!I27/'Finanical Statment'!I$7)</f>
        <v>0.001647778698</v>
      </c>
      <c r="I13" s="216">
        <f>IF('Finanical Statment'!J7=0,0,'Finanical Statment'!J27/'Finanical Statment'!J$7)</f>
        <v>0.001176877812</v>
      </c>
      <c r="J13" s="216">
        <f>IF('Finanical Statment'!K7=0,0,'Finanical Statment'!K27/'Finanical Statment'!K$7)</f>
        <v>0.0009892069426</v>
      </c>
      <c r="K13" s="217">
        <f>IF('Finanical Statment'!L7=0,0,'Finanical Statment'!L27/'Finanical Statment'!L$7)</f>
        <v>0.001096602703</v>
      </c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</row>
    <row r="14" outlineLevel="1">
      <c r="A14" s="224" t="str">
        <f>'Finanical Statment'!A28</f>
        <v>EBT</v>
      </c>
      <c r="B14" s="219">
        <f>IF('Finanical Statment'!C7=0,0,'Finanical Statment'!C28/'Finanical Statment'!C$7)</f>
        <v>0.369664959</v>
      </c>
      <c r="C14" s="219">
        <f>IF('Finanical Statment'!D7=0,0,'Finanical Statment'!D28/'Finanical Statment'!D$7)</f>
        <v>0.3699923874</v>
      </c>
      <c r="D14" s="219">
        <f>IF('Finanical Statment'!E7=0,0,'Finanical Statment'!E28/'Finanical Statment'!E$7)</f>
        <v>0.3791343153</v>
      </c>
      <c r="E14" s="219">
        <f>IF('Finanical Statment'!F7=0,0,'Finanical Statment'!F28/'Finanical Statment'!F$7)</f>
        <v>0.3747304034</v>
      </c>
      <c r="F14" s="219">
        <f>IF('Finanical Statment'!G7=0,0,'Finanical Statment'!G28/'Finanical Statment'!G$7)</f>
        <v>0.4006797404</v>
      </c>
      <c r="G14" s="219">
        <f>IF('Finanical Statment'!H7=0,0,'Finanical Statment'!H28/'Finanical Statment'!H$7)</f>
        <v>0.3961519732</v>
      </c>
      <c r="H14" s="219">
        <f>IF('Finanical Statment'!I7=0,0,'Finanical Statment'!I28/'Finanical Statment'!I$7)</f>
        <v>0.4056591014</v>
      </c>
      <c r="I14" s="219">
        <f>IF('Finanical Statment'!J7=0,0,'Finanical Statment'!J28/'Finanical Statment'!J$7)</f>
        <v>0.3641717141</v>
      </c>
      <c r="J14" s="219">
        <f>IF('Finanical Statment'!K7=0,0,'Finanical Statment'!K28/'Finanical Statment'!K$7)</f>
        <v>0.3420006154</v>
      </c>
      <c r="K14" s="220">
        <f>IF('Finanical Statment'!L7=0,0,'Finanical Statment'!L28/'Finanical Statment'!L$7)</f>
        <v>0.3654184215</v>
      </c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</row>
    <row r="15" outlineLevel="1">
      <c r="A15" s="215" t="str">
        <f>'Finanical Statment'!A32</f>
        <v>Tax</v>
      </c>
      <c r="B15" s="216">
        <f>IF('Finanical Statment'!C7=0,0,'Finanical Statment'!C32/'Finanical Statment'!C$7)</f>
        <v>0.1150195588</v>
      </c>
      <c r="C15" s="216">
        <f>IF('Finanical Statment'!D7=0,0,'Finanical Statment'!D32/'Finanical Statment'!D$7)</f>
        <v>0.1184120936</v>
      </c>
      <c r="D15" s="216">
        <f>IF('Finanical Statment'!E7=0,0,'Finanical Statment'!E32/'Finanical Statment'!E$7)</f>
        <v>0.1367165832</v>
      </c>
      <c r="E15" s="216">
        <f>IF('Finanical Statment'!F7=0,0,'Finanical Statment'!F32/'Finanical Statment'!F$7)</f>
        <v>0.1297498574</v>
      </c>
      <c r="F15" s="216">
        <f>IF('Finanical Statment'!G7=0,0,'Finanical Statment'!G32/'Finanical Statment'!G$7)</f>
        <v>0.1361697201</v>
      </c>
      <c r="G15" s="216">
        <f>IF('Finanical Statment'!H7=0,0,'Finanical Statment'!H32/'Finanical Statment'!H$7)</f>
        <v>0.1306159466</v>
      </c>
      <c r="H15" s="216">
        <f>IF('Finanical Statment'!I7=0,0,'Finanical Statment'!I32/'Finanical Statment'!I$7)</f>
        <v>0.08993717059</v>
      </c>
      <c r="I15" s="216">
        <f>IF('Finanical Statment'!J7=0,0,'Finanical Statment'!J32/'Finanical Statment'!J$7)</f>
        <v>0.09247920873</v>
      </c>
      <c r="J15" s="216">
        <f>IF('Finanical Statment'!K7=0,0,'Finanical Statment'!K32/'Finanical Statment'!K$7)</f>
        <v>0.08636127836</v>
      </c>
      <c r="K15" s="217">
        <f>IF('Finanical Statment'!L7=0,0,'Finanical Statment'!L32/'Finanical Statment'!L$7)</f>
        <v>0.09078522366</v>
      </c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</row>
    <row r="16" outlineLevel="1">
      <c r="A16" s="224" t="str">
        <f>'Finanical Statment'!A34</f>
        <v>Net Profit</v>
      </c>
      <c r="B16" s="219">
        <f>IF('Finanical Statment'!C7=0,0,'Finanical Statment'!C34/'Finanical Statment'!C$7)</f>
        <v>0.2546454003</v>
      </c>
      <c r="C16" s="219">
        <f>IF('Finanical Statment'!D7=0,0,'Finanical Statment'!D34/'Finanical Statment'!D$7)</f>
        <v>0.2515802938</v>
      </c>
      <c r="D16" s="219">
        <f>IF('Finanical Statment'!E7=0,0,'Finanical Statment'!E34/'Finanical Statment'!E$7)</f>
        <v>0.2424177321</v>
      </c>
      <c r="E16" s="219">
        <f>IF('Finanical Statment'!F7=0,0,'Finanical Statment'!F34/'Finanical Statment'!F$7)</f>
        <v>0.244980546</v>
      </c>
      <c r="F16" s="219">
        <f>IF('Finanical Statment'!G7=0,0,'Finanical Statment'!G34/'Finanical Statment'!G$7)</f>
        <v>0.2645100203</v>
      </c>
      <c r="G16" s="219">
        <f>IF('Finanical Statment'!H7=0,0,'Finanical Statment'!H34/'Finanical Statment'!H$7)</f>
        <v>0.2655360266</v>
      </c>
      <c r="H16" s="219">
        <f>IF('Finanical Statment'!I7=0,0,'Finanical Statment'!I34/'Finanical Statment'!I$7)</f>
        <v>0.3157219308</v>
      </c>
      <c r="I16" s="219">
        <f>IF('Finanical Statment'!J7=0,0,'Finanical Statment'!J34/'Finanical Statment'!J$7)</f>
        <v>0.2716925054</v>
      </c>
      <c r="J16" s="219">
        <f>IF('Finanical Statment'!K7=0,0,'Finanical Statment'!K34/'Finanical Statment'!K$7)</f>
        <v>0.255639337</v>
      </c>
      <c r="K16" s="220">
        <f>IF('Finanical Statment'!L7=0,0,'Finanical Statment'!L34/'Finanical Statment'!L$7)</f>
        <v>0.2746331979</v>
      </c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</row>
    <row r="17" outlineLevel="1">
      <c r="A17" s="227" t="str">
        <f>'Finanical Statment'!A38</f>
        <v>Dividend Paid</v>
      </c>
      <c r="B17" s="228">
        <f>IF('Finanical Statment'!C7=0,0,'Finanical Statment'!C38/'Finanical Statment'!C$7)</f>
        <v>0.1351572504</v>
      </c>
      <c r="C17" s="228">
        <f>IF('Finanical Statment'!D7=0,0,'Finanical Statment'!D38/'Finanical Statment'!D$7)</f>
        <v>0.1290586764</v>
      </c>
      <c r="D17" s="228">
        <f>IF('Finanical Statment'!E7=0,0,'Finanical Statment'!E38/'Finanical Statment'!E$7)</f>
        <v>0.1745280299</v>
      </c>
      <c r="E17" s="228">
        <f>IF('Finanical Statment'!F7=0,0,'Finanical Statment'!F38/'Finanical Statment'!F$7)</f>
        <v>0.1349156838</v>
      </c>
      <c r="F17" s="228">
        <f>IF('Finanical Statment'!G7=0,0,'Finanical Statment'!G38/'Finanical Statment'!G$7)</f>
        <v>0.144657384</v>
      </c>
      <c r="G17" s="228">
        <f>IF('Finanical Statment'!H7=0,0,'Finanical Statment'!H38/'Finanical Statment'!H$7)</f>
        <v>0.1458163269</v>
      </c>
      <c r="H17" s="228">
        <f>IF('Finanical Statment'!I7=0,0,'Finanical Statment'!I38/'Finanical Statment'!I$7)</f>
        <v>0.2526252488</v>
      </c>
      <c r="I17" s="228">
        <f>IF('Finanical Statment'!J7=0,0,'Finanical Statment'!J38/'Finanical Statment'!J$7)</f>
        <v>0.2686286034</v>
      </c>
      <c r="J17" s="228">
        <f>IF('Finanical Statment'!K7=0,0,'Finanical Statment'!K38/'Finanical Statment'!K$7)</f>
        <v>0.2336863302</v>
      </c>
      <c r="K17" s="229">
        <f>IF('Finanical Statment'!L7=0,0,'Finanical Statment'!L38/'Finanical Statment'!L$7)</f>
        <v>0.2716252605</v>
      </c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</row>
    <row r="18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</row>
    <row r="19">
      <c r="A19" s="146" t="s">
        <v>206</v>
      </c>
      <c r="B19" s="230"/>
      <c r="C19" s="231"/>
      <c r="D19" s="231"/>
      <c r="E19" s="231"/>
      <c r="F19" s="231"/>
      <c r="G19" s="231"/>
      <c r="H19" s="231"/>
      <c r="I19" s="231"/>
      <c r="J19" s="231"/>
      <c r="K19" s="232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</row>
    <row r="20" outlineLevel="1">
      <c r="A20" s="233" t="str">
        <f>'Finanical Statment'!A48</f>
        <v>ASSETS</v>
      </c>
      <c r="B20" s="44"/>
      <c r="C20" s="44"/>
      <c r="D20" s="44"/>
      <c r="E20" s="44"/>
      <c r="F20" s="44"/>
      <c r="G20" s="44"/>
      <c r="H20" s="44"/>
      <c r="I20" s="44"/>
      <c r="J20" s="44"/>
      <c r="K20" s="23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</row>
    <row r="21" outlineLevel="1">
      <c r="A21" s="225" t="str">
        <f>'Finanical Statment'!A49</f>
        <v>Net Block</v>
      </c>
      <c r="B21" s="157">
        <f>IF('Finanical Statment'!C7=0,0,'Finanical Statment'!C49/'Finanical Statment'!C$56)</f>
        <v>0.3163232057</v>
      </c>
      <c r="C21" s="157">
        <f>IF('Finanical Statment'!D7=0,0,'Finanical Statment'!D49/'Finanical Statment'!D$56)</f>
        <v>0.3330259126</v>
      </c>
      <c r="D21" s="157">
        <f>IF('Finanical Statment'!E7=0,0,'Finanical Statment'!E49/'Finanical Statment'!E$56)</f>
        <v>0.2924731478</v>
      </c>
      <c r="E21" s="157">
        <f>IF('Finanical Statment'!F7=0,0,'Finanical Statment'!F49/'Finanical Statment'!F$56)</f>
        <v>0.284328402</v>
      </c>
      <c r="F21" s="157">
        <f>IF('Finanical Statment'!G7=0,0,'Finanical Statment'!G49/'Finanical Statment'!G$56)</f>
        <v>0.2572187679</v>
      </c>
      <c r="G21" s="157">
        <f>IF('Finanical Statment'!H7=0,0,'Finanical Statment'!H49/'Finanical Statment'!H$56)</f>
        <v>0.2700648071</v>
      </c>
      <c r="H21" s="157">
        <f>IF('Finanical Statment'!I7=0,0,'Finanical Statment'!I49/'Finanical Statment'!I$56)</f>
        <v>0.2808579661</v>
      </c>
      <c r="I21" s="157">
        <f>IF('Finanical Statment'!J7=0,0,'Finanical Statment'!J49/'Finanical Statment'!J$56)</f>
        <v>0.315865509</v>
      </c>
      <c r="J21" s="157">
        <f>IF('Finanical Statment'!K7=0,0,'Finanical Statment'!K49/'Finanical Statment'!K$56)</f>
        <v>0.3138968822</v>
      </c>
      <c r="K21" s="235">
        <f>IF('Finanical Statment'!L7=0,0,'Finanical Statment'!L49/'Finanical Statment'!L$56)</f>
        <v>0.3011881727</v>
      </c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</row>
    <row r="22" outlineLevel="1">
      <c r="A22" s="225" t="str">
        <f>'Finanical Statment'!A50</f>
        <v>Capital Work in Progress</v>
      </c>
      <c r="B22" s="157">
        <f>IF('Finanical Statment'!C7=0,0,'Finanical Statment'!C50/'Finanical Statment'!C$56)</f>
        <v>0.07631557752</v>
      </c>
      <c r="C22" s="157">
        <f>IF('Finanical Statment'!D7=0,0,'Finanical Statment'!D50/'Finanical Statment'!D$56)</f>
        <v>0.05876103483</v>
      </c>
      <c r="D22" s="157">
        <f>IF('Finanical Statment'!E7=0,0,'Finanical Statment'!E50/'Finanical Statment'!E$56)</f>
        <v>0.04955766878</v>
      </c>
      <c r="E22" s="157">
        <f>IF('Finanical Statment'!F7=0,0,'Finanical Statment'!F50/'Finanical Statment'!F$56)</f>
        <v>0.06672633453</v>
      </c>
      <c r="F22" s="157">
        <f>IF('Finanical Statment'!G7=0,0,'Finanical Statment'!G50/'Finanical Statment'!G$56)</f>
        <v>0.08574493376</v>
      </c>
      <c r="G22" s="157">
        <f>IF('Finanical Statment'!H7=0,0,'Finanical Statment'!H50/'Finanical Statment'!H$56)</f>
        <v>0.05765926056</v>
      </c>
      <c r="H22" s="157">
        <f>IF('Finanical Statment'!I7=0,0,'Finanical Statment'!I50/'Finanical Statment'!I$56)</f>
        <v>0.04212169718</v>
      </c>
      <c r="I22" s="157">
        <f>IF('Finanical Statment'!J7=0,0,'Finanical Statment'!J50/'Finanical Statment'!J$56)</f>
        <v>0.05438243858</v>
      </c>
      <c r="J22" s="157">
        <f>IF('Finanical Statment'!K7=0,0,'Finanical Statment'!K50/'Finanical Statment'!K$56)</f>
        <v>0.04178376035</v>
      </c>
      <c r="K22" s="235">
        <f>IF('Finanical Statment'!L7=0,0,'Finanical Statment'!L50/'Finanical Statment'!L$56)</f>
        <v>0.03499087043</v>
      </c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</row>
    <row r="23" outlineLevel="1">
      <c r="A23" s="225" t="str">
        <f>'Finanical Statment'!A51</f>
        <v>Investments</v>
      </c>
      <c r="B23" s="157">
        <f>IF('Finanical Statment'!C7=0,0,'Finanical Statment'!C51/'Finanical Statment'!C$56)</f>
        <v>0.1783183238</v>
      </c>
      <c r="C23" s="157">
        <f>IF('Finanical Statment'!D7=0,0,'Finanical Statment'!D51/'Finanical Statment'!D$56)</f>
        <v>0.1510867157</v>
      </c>
      <c r="D23" s="157">
        <f>IF('Finanical Statment'!E7=0,0,'Finanical Statment'!E51/'Finanical Statment'!E$56)</f>
        <v>0.2274401787</v>
      </c>
      <c r="E23" s="157">
        <f>IF('Finanical Statment'!F7=0,0,'Finanical Statment'!F51/'Finanical Statment'!F$56)</f>
        <v>0.3145243006</v>
      </c>
      <c r="F23" s="157">
        <f>IF('Finanical Statment'!G7=0,0,'Finanical Statment'!G51/'Finanical Statment'!G$56)</f>
        <v>0.3432839027</v>
      </c>
      <c r="G23" s="157">
        <f>IF('Finanical Statment'!H7=0,0,'Finanical Statment'!H51/'Finanical Statment'!H$56)</f>
        <v>0.3490915128</v>
      </c>
      <c r="H23" s="157">
        <f>IF('Finanical Statment'!I7=0,0,'Finanical Statment'!I51/'Finanical Statment'!I$56)</f>
        <v>0.3707550373</v>
      </c>
      <c r="I23" s="157">
        <f>IF('Finanical Statment'!J7=0,0,'Finanical Statment'!J51/'Finanical Statment'!J$56)</f>
        <v>0.3371829412</v>
      </c>
      <c r="J23" s="157">
        <f>IF('Finanical Statment'!K7=0,0,'Finanical Statment'!K51/'Finanical Statment'!K$56)</f>
        <v>0.3217913307</v>
      </c>
      <c r="K23" s="235">
        <f>IF('Finanical Statment'!L7=0,0,'Finanical Statment'!L51/'Finanical Statment'!L$56)</f>
        <v>0.3427087382</v>
      </c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outlineLevel="1">
      <c r="A24" s="225" t="str">
        <f>'Finanical Statment'!A52</f>
        <v>Receivables</v>
      </c>
      <c r="B24" s="157">
        <f>IF('Finanical Statment'!C7=0,0,'Finanical Statment'!C52/'Finanical Statment'!C$56)</f>
        <v>0.05971370734</v>
      </c>
      <c r="C24" s="157">
        <f>IF('Finanical Statment'!D7=0,0,'Finanical Statment'!D52/'Finanical Statment'!D$56)</f>
        <v>0.04313328061</v>
      </c>
      <c r="D24" s="157">
        <f>IF('Finanical Statment'!E7=0,0,'Finanical Statment'!E52/'Finanical Statment'!E$56)</f>
        <v>0.03711772047</v>
      </c>
      <c r="E24" s="157">
        <f>IF('Finanical Statment'!F7=0,0,'Finanical Statment'!F52/'Finanical Statment'!F$56)</f>
        <v>0.044264121</v>
      </c>
      <c r="F24" s="157">
        <f>IF('Finanical Statment'!G7=0,0,'Finanical Statment'!G52/'Finanical Statment'!G$56)</f>
        <v>0.04175363102</v>
      </c>
      <c r="G24" s="157">
        <f>IF('Finanical Statment'!H7=0,0,'Finanical Statment'!H52/'Finanical Statment'!H$56)</f>
        <v>0.05624942848</v>
      </c>
      <c r="H24" s="157">
        <f>IF('Finanical Statment'!I7=0,0,'Finanical Statment'!I52/'Finanical Statment'!I$56)</f>
        <v>0.0331451965</v>
      </c>
      <c r="I24" s="157">
        <f>IF('Finanical Statment'!J7=0,0,'Finanical Statment'!J52/'Finanical Statment'!J$56)</f>
        <v>0.03391640759</v>
      </c>
      <c r="J24" s="157">
        <f>IF('Finanical Statment'!K7=0,0,'Finanical Statment'!K52/'Finanical Statment'!K$56)</f>
        <v>0.03189154052</v>
      </c>
      <c r="K24" s="235">
        <f>IF('Finanical Statment'!L7=0,0,'Finanical Statment'!L52/'Finanical Statment'!L$56)</f>
        <v>0.03444176787</v>
      </c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 outlineLevel="1">
      <c r="A25" s="225" t="str">
        <f>'Finanical Statment'!A53</f>
        <v>Inventory</v>
      </c>
      <c r="B25" s="157">
        <f>IF('Finanical Statment'!C7=0,0,'Finanical Statment'!C53/'Finanical Statment'!C$56)</f>
        <v>0.2020945246</v>
      </c>
      <c r="C25" s="157">
        <f>IF('Finanical Statment'!D7=0,0,'Finanical Statment'!D53/'Finanical Statment'!D$56)</f>
        <v>0.186865183</v>
      </c>
      <c r="D25" s="157">
        <f>IF('Finanical Statment'!E7=0,0,'Finanical Statment'!E53/'Finanical Statment'!E$56)</f>
        <v>0.1754475295</v>
      </c>
      <c r="E25" s="157">
        <f>IF('Finanical Statment'!F7=0,0,'Finanical Statment'!F53/'Finanical Statment'!F$56)</f>
        <v>0.1451939879</v>
      </c>
      <c r="F25" s="157">
        <f>IF('Finanical Statment'!G7=0,0,'Finanical Statment'!G53/'Finanical Statment'!G$56)</f>
        <v>0.1166716583</v>
      </c>
      <c r="G25" s="157">
        <f>IF('Finanical Statment'!H7=0,0,'Finanical Statment'!H53/'Finanical Statment'!H$56)</f>
        <v>0.1095576411</v>
      </c>
      <c r="H25" s="157">
        <f>IF('Finanical Statment'!I7=0,0,'Finanical Statment'!I53/'Finanical Statment'!I$56)</f>
        <v>0.1148524623</v>
      </c>
      <c r="I25" s="157">
        <f>IF('Finanical Statment'!J7=0,0,'Finanical Statment'!J53/'Finanical Statment'!J$56)</f>
        <v>0.1409578752</v>
      </c>
      <c r="J25" s="157">
        <f>IF('Finanical Statment'!K7=0,0,'Finanical Statment'!K53/'Finanical Statment'!K$56)</f>
        <v>0.1407345871</v>
      </c>
      <c r="K25" s="235">
        <f>IF('Finanical Statment'!L7=0,0,'Finanical Statment'!L53/'Finanical Statment'!L$56)</f>
        <v>0.1371435202</v>
      </c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</row>
    <row r="26" outlineLevel="1">
      <c r="A26" s="225" t="str">
        <f>'Finanical Statment'!A54</f>
        <v>Cash &amp; Bank</v>
      </c>
      <c r="B26" s="157">
        <f>IF('Finanical Statment'!C7=0,0,'Finanical Statment'!C54/'Finanical Statment'!C$56)</f>
        <v>0.08544249336</v>
      </c>
      <c r="C26" s="157">
        <f>IF('Finanical Statment'!D7=0,0,'Finanical Statment'!D54/'Finanical Statment'!D$56)</f>
        <v>0.1718354412</v>
      </c>
      <c r="D26" s="157">
        <f>IF('Finanical Statment'!E7=0,0,'Finanical Statment'!E54/'Finanical Statment'!E$56)</f>
        <v>0.1173890164</v>
      </c>
      <c r="E26" s="157">
        <f>IF('Finanical Statment'!F7=0,0,'Finanical Statment'!F54/'Finanical Statment'!F$56)</f>
        <v>0.05308567413</v>
      </c>
      <c r="F26" s="157">
        <f>IF('Finanical Statment'!G7=0,0,'Finanical Statment'!G54/'Finanical Statment'!G$56)</f>
        <v>0.04513636799</v>
      </c>
      <c r="G26" s="157">
        <f>IF('Finanical Statment'!H7=0,0,'Finanical Statment'!H54/'Finanical Statment'!H$56)</f>
        <v>0.05787685478</v>
      </c>
      <c r="H26" s="157">
        <f>IF('Finanical Statment'!I7=0,0,'Finanical Statment'!I54/'Finanical Statment'!I$56)</f>
        <v>0.09413102318</v>
      </c>
      <c r="I26" s="157">
        <f>IF('Finanical Statment'!J7=0,0,'Finanical Statment'!J54/'Finanical Statment'!J$56)</f>
        <v>0.06316393703</v>
      </c>
      <c r="J26" s="157">
        <f>IF('Finanical Statment'!K7=0,0,'Finanical Statment'!K54/'Finanical Statment'!K$56)</f>
        <v>0.0602935229</v>
      </c>
      <c r="K26" s="235">
        <f>IF('Finanical Statment'!L7=0,0,'Finanical Statment'!L54/'Finanical Statment'!L$56)</f>
        <v>0.05685815468</v>
      </c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</row>
    <row r="27" outlineLevel="1">
      <c r="A27" s="226" t="str">
        <f>'Finanical Statment'!A55</f>
        <v>Other Assets</v>
      </c>
      <c r="B27" s="236">
        <f>IF('Finanical Statment'!C7=0,0,'Finanical Statment'!C55/'Finanical Statment'!C$56)</f>
        <v>0.08179216768</v>
      </c>
      <c r="C27" s="236">
        <f>IF('Finanical Statment'!D7=0,0,'Finanical Statment'!D55/'Finanical Statment'!D$56)</f>
        <v>0.05529243201</v>
      </c>
      <c r="D27" s="236">
        <f>IF('Finanical Statment'!E7=0,0,'Finanical Statment'!E55/'Finanical Statment'!E$56)</f>
        <v>0.1005747382</v>
      </c>
      <c r="E27" s="236">
        <f>IF('Finanical Statment'!F7=0,0,'Finanical Statment'!F55/'Finanical Statment'!F$56)</f>
        <v>0.09187717985</v>
      </c>
      <c r="F27" s="236">
        <f>IF('Finanical Statment'!G7=0,0,'Finanical Statment'!G55/'Finanical Statment'!G$56)</f>
        <v>0.1101907384</v>
      </c>
      <c r="G27" s="236">
        <f>IF('Finanical Statment'!H7=0,0,'Finanical Statment'!H55/'Finanical Statment'!H$56)</f>
        <v>0.09950049513</v>
      </c>
      <c r="H27" s="236">
        <f>IF('Finanical Statment'!I7=0,0,'Finanical Statment'!I55/'Finanical Statment'!I$56)</f>
        <v>0.06413661748</v>
      </c>
      <c r="I27" s="236">
        <f>IF('Finanical Statment'!J7=0,0,'Finanical Statment'!J55/'Finanical Statment'!J$56)</f>
        <v>0.05453089149</v>
      </c>
      <c r="J27" s="236">
        <f>IF('Finanical Statment'!K7=0,0,'Finanical Statment'!K55/'Finanical Statment'!K$56)</f>
        <v>0.08960837618</v>
      </c>
      <c r="K27" s="237">
        <f>IF('Finanical Statment'!L7=0,0,'Finanical Statment'!L55/'Finanical Statment'!L$56)</f>
        <v>0.09266877593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</row>
    <row r="28" outlineLevel="1">
      <c r="A28" s="224" t="str">
        <f>'Finanical Statment'!A56</f>
        <v>Total  Asset</v>
      </c>
      <c r="B28" s="238">
        <f>IF('Finanical Statment'!C7=0,0,'Finanical Statment'!C56/'Finanical Statment'!C$56)</f>
        <v>1</v>
      </c>
      <c r="C28" s="238">
        <f>IF('Finanical Statment'!D7=0,0,'Finanical Statment'!D56/'Finanical Statment'!D$56)</f>
        <v>1</v>
      </c>
      <c r="D28" s="238">
        <f>IF('Finanical Statment'!E7=0,0,'Finanical Statment'!E56/'Finanical Statment'!E$56)</f>
        <v>1</v>
      </c>
      <c r="E28" s="238">
        <f>IF('Finanical Statment'!F7=0,0,'Finanical Statment'!F56/'Finanical Statment'!F$56)</f>
        <v>1</v>
      </c>
      <c r="F28" s="238">
        <f>IF('Finanical Statment'!G7=0,0,'Finanical Statment'!G56/'Finanical Statment'!G$56)</f>
        <v>1</v>
      </c>
      <c r="G28" s="238">
        <f>IF('Finanical Statment'!H7=0,0,'Finanical Statment'!H56/'Finanical Statment'!H$56)</f>
        <v>1</v>
      </c>
      <c r="H28" s="238">
        <f>IF('Finanical Statment'!I7=0,0,'Finanical Statment'!I56/'Finanical Statment'!I$56)</f>
        <v>1</v>
      </c>
      <c r="I28" s="238">
        <f>IF('Finanical Statment'!J7=0,0,'Finanical Statment'!J56/'Finanical Statment'!J$56)</f>
        <v>1</v>
      </c>
      <c r="J28" s="238">
        <f>IF('Finanical Statment'!K7=0,0,'Finanical Statment'!K56/'Finanical Statment'!K$56)</f>
        <v>1</v>
      </c>
      <c r="K28" s="239">
        <f>IF('Finanical Statment'!L7=0,0,'Finanical Statment'!L56/'Finanical Statment'!L$56)</f>
        <v>1</v>
      </c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</row>
    <row r="29" outlineLevel="1">
      <c r="A29" s="233" t="str">
        <f>'Finanical Statment'!A58</f>
        <v>LIABILITIES </v>
      </c>
      <c r="B29" s="44"/>
      <c r="C29" s="44"/>
      <c r="D29" s="44"/>
      <c r="E29" s="44"/>
      <c r="F29" s="44"/>
      <c r="G29" s="44"/>
      <c r="H29" s="44"/>
      <c r="I29" s="44"/>
      <c r="J29" s="44"/>
      <c r="K29" s="23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</row>
    <row r="30" outlineLevel="1">
      <c r="A30" s="225" t="str">
        <f>'Finanical Statment'!A59</f>
        <v>Borrowings</v>
      </c>
      <c r="B30" s="213">
        <f>IF('Finanical Statment'!C7=0,0,'Finanical Statment'!C59/'Finanical Statment'!C$62)</f>
        <v>0.01780927087</v>
      </c>
      <c r="C30" s="213">
        <f>IF('Finanical Statment'!D7=0,0,'Finanical Statment'!D59/'Finanical Statment'!D$62)</f>
        <v>0.01890730147</v>
      </c>
      <c r="D30" s="213">
        <f>IF('Finanical Statment'!E7=0,0,'Finanical Statment'!E59/'Finanical Statment'!E$62)</f>
        <v>0.009338127604</v>
      </c>
      <c r="E30" s="213">
        <f>IF('Finanical Statment'!F7=0,0,'Finanical Statment'!F59/'Finanical Statment'!F$62)</f>
        <v>0.0048200443</v>
      </c>
      <c r="F30" s="213">
        <f>IF('Finanical Statment'!G7=0,0,'Finanical Statment'!G59/'Finanical Statment'!G$62)</f>
        <v>0.003062032586</v>
      </c>
      <c r="G30" s="213">
        <f>IF('Finanical Statment'!H7=0,0,'Finanical Statment'!H59/'Finanical Statment'!H$62)</f>
        <v>0.00106682161</v>
      </c>
      <c r="H30" s="213">
        <f>IF('Finanical Statment'!I7=0,0,'Finanical Statment'!I59/'Finanical Statment'!I$62)</f>
        <v>0.02304882496</v>
      </c>
      <c r="I30" s="213">
        <f>IF('Finanical Statment'!J7=0,0,'Finanical Statment'!J59/'Finanical Statment'!J$62)</f>
        <v>0.02019097292</v>
      </c>
      <c r="J30" s="213">
        <f>IF('Finanical Statment'!K7=0,0,'Finanical Statment'!K59/'Finanical Statment'!K$62)</f>
        <v>0.01692214281</v>
      </c>
      <c r="K30" s="214">
        <f>IF('Finanical Statment'!L7=0,0,'Finanical Statment'!L59/'Finanical Statment'!L$62)</f>
        <v>0.01835245297</v>
      </c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</row>
    <row r="31" outlineLevel="1">
      <c r="A31" s="226" t="str">
        <f>'Finanical Statment'!A61</f>
        <v>Other Liabilities</v>
      </c>
      <c r="B31" s="216">
        <f>IF('Finanical Statment'!C7=0,0,'Finanical Statment'!C61/'Finanical Statment'!C$62)</f>
        <v>0.8274680508</v>
      </c>
      <c r="C31" s="216">
        <f>IF('Finanical Statment'!D7=0,0,'Finanical Statment'!D61/'Finanical Statment'!D$62)</f>
        <v>0.8390065789</v>
      </c>
      <c r="D31" s="216">
        <f>IF('Finanical Statment'!E7=0,0,'Finanical Statment'!E61/'Finanical Statment'!E$62)</f>
        <v>0.7299566866</v>
      </c>
      <c r="E31" s="216">
        <f>IF('Finanical Statment'!F7=0,0,'Finanical Statment'!F61/'Finanical Statment'!F$62)</f>
        <v>0.7148541072</v>
      </c>
      <c r="F31" s="216">
        <f>IF('Finanical Statment'!G7=0,0,'Finanical Statment'!G61/'Finanical Statment'!G$62)</f>
        <v>0.6989183148</v>
      </c>
      <c r="G31" s="216">
        <f>IF('Finanical Statment'!H7=0,0,'Finanical Statment'!H61/'Finanical Statment'!H$62)</f>
        <v>0.7203212848</v>
      </c>
      <c r="H31" s="216">
        <f>IF('Finanical Statment'!I7=0,0,'Finanical Statment'!I61/'Finanical Statment'!I$62)</f>
        <v>0.6753932921</v>
      </c>
      <c r="I31" s="216">
        <f>IF('Finanical Statment'!J7=0,0,'Finanical Statment'!J61/'Finanical Statment'!J$62)</f>
        <v>0.6578180658</v>
      </c>
      <c r="J31" s="216">
        <f>IF('Finanical Statment'!K7=0,0,'Finanical Statment'!K61/'Finanical Statment'!K$62)</f>
        <v>0.6834262183</v>
      </c>
      <c r="K31" s="217">
        <f>IF('Finanical Statment'!L7=0,0,'Finanical Statment'!L61/'Finanical Statment'!L$62)</f>
        <v>0.7022589756</v>
      </c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</row>
    <row r="32" outlineLevel="1">
      <c r="A32" s="224" t="str">
        <f>'Finanical Statment'!A62</f>
        <v>Total Liabilities</v>
      </c>
      <c r="B32" s="219">
        <f>IF('Finanical Statment'!C7=0,0,'Finanical Statment'!C62/'Finanical Statment'!C$62)</f>
        <v>1</v>
      </c>
      <c r="C32" s="219">
        <f>IF('Finanical Statment'!D7=0,0,'Finanical Statment'!D62/'Finanical Statment'!D$62)</f>
        <v>1</v>
      </c>
      <c r="D32" s="219">
        <f>IF('Finanical Statment'!E7=0,0,'Finanical Statment'!E62/'Finanical Statment'!E$62)</f>
        <v>1</v>
      </c>
      <c r="E32" s="219">
        <f>IF('Finanical Statment'!F7=0,0,'Finanical Statment'!F62/'Finanical Statment'!F$62)</f>
        <v>1</v>
      </c>
      <c r="F32" s="219">
        <f>IF('Finanical Statment'!G7=0,0,'Finanical Statment'!G62/'Finanical Statment'!G$62)</f>
        <v>1</v>
      </c>
      <c r="G32" s="219">
        <f>IF('Finanical Statment'!H7=0,0,'Finanical Statment'!H62/'Finanical Statment'!H$62)</f>
        <v>1</v>
      </c>
      <c r="H32" s="219">
        <f>IF('Finanical Statment'!I7=0,0,'Finanical Statment'!I62/'Finanical Statment'!I$62)</f>
        <v>1</v>
      </c>
      <c r="I32" s="219">
        <f>IF('Finanical Statment'!J7=0,0,'Finanical Statment'!J62/'Finanical Statment'!J$62)</f>
        <v>1</v>
      </c>
      <c r="J32" s="219">
        <f>IF('Finanical Statment'!K7=0,0,'Finanical Statment'!K62/'Finanical Statment'!K$62)</f>
        <v>1</v>
      </c>
      <c r="K32" s="220">
        <f>IF('Finanical Statment'!L7=0,0,'Finanical Statment'!L62/'Finanical Statment'!L$62)</f>
        <v>1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 outlineLevel="1">
      <c r="A33" s="233" t="str">
        <f>'Finanical Statment'!A65</f>
        <v>EQUITY </v>
      </c>
      <c r="B33" s="44"/>
      <c r="C33" s="44"/>
      <c r="D33" s="44"/>
      <c r="E33" s="44"/>
      <c r="F33" s="44"/>
      <c r="G33" s="44"/>
      <c r="H33" s="44"/>
      <c r="I33" s="44"/>
      <c r="J33" s="44"/>
      <c r="K33" s="23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 outlineLevel="1">
      <c r="A34" s="225" t="str">
        <f>'Finanical Statment'!A66</f>
        <v>Equity Share Capital</v>
      </c>
      <c r="B34" s="157">
        <f>IF('Finanical Statment'!C7=0,0,'Finanical Statment'!C66/'Finanical Statment'!C$68)</f>
        <v>0.0292000282</v>
      </c>
      <c r="C34" s="157">
        <f>IF('Finanical Statment'!D7=0,0,'Finanical Statment'!D66/'Finanical Statment'!D$68)</f>
        <v>0.02525721204</v>
      </c>
      <c r="D34" s="157">
        <f>IF('Finanical Statment'!E7=0,0,'Finanical Statment'!E66/'Finanical Statment'!E$68)</f>
        <v>0.01885494495</v>
      </c>
      <c r="E34" s="157">
        <f>IF('Finanical Statment'!F7=0,0,'Finanical Statment'!F66/'Finanical Statment'!F$68)</f>
        <v>0.02617244807</v>
      </c>
      <c r="F34" s="157">
        <f>IF('Finanical Statment'!G7=0,0,'Finanical Statment'!G66/'Finanical Statment'!G$68)</f>
        <v>0.02324181001</v>
      </c>
      <c r="G34" s="157">
        <f>IF('Finanical Statment'!H7=0,0,'Finanical Statment'!H66/'Finanical Statment'!H$68)</f>
        <v>0.02072779788</v>
      </c>
      <c r="H34" s="157">
        <f>IF('Finanical Statment'!I7=0,0,'Finanical Statment'!I66/'Finanical Statment'!I$68)</f>
        <v>0.01883190758</v>
      </c>
      <c r="I34" s="157">
        <f>IF('Finanical Statment'!J7=0,0,'Finanical Statment'!J66/'Finanical Statment'!J$68)</f>
        <v>0.0203965908</v>
      </c>
      <c r="J34" s="157">
        <f>IF('Finanical Statment'!K7=0,0,'Finanical Statment'!K66/'Finanical Statment'!K$68)</f>
        <v>0.01973130659</v>
      </c>
      <c r="K34" s="235">
        <f>IF('Finanical Statment'!L7=0,0,'Finanical Statment'!L66/'Finanical Statment'!L$68)</f>
        <v>0.0179711565</v>
      </c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</row>
    <row r="35" outlineLevel="1">
      <c r="A35" s="225" t="str">
        <f>'Finanical Statment'!A67</f>
        <v>Reserves</v>
      </c>
      <c r="B35" s="157">
        <f>IF('Finanical Statment'!C7=0,0,'Finanical Statment'!C67/'Finanical Statment'!C$68)</f>
        <v>0.9707999718</v>
      </c>
      <c r="C35" s="157">
        <f>IF('Finanical Statment'!D7=0,0,'Finanical Statment'!D67/'Finanical Statment'!D$68)</f>
        <v>0.974742788</v>
      </c>
      <c r="D35" s="157">
        <f>IF('Finanical Statment'!E7=0,0,'Finanical Statment'!E67/'Finanical Statment'!E$68)</f>
        <v>0.9811450551</v>
      </c>
      <c r="E35" s="157">
        <f>IF('Finanical Statment'!F7=0,0,'Finanical Statment'!F67/'Finanical Statment'!F$68)</f>
        <v>0.9738275519</v>
      </c>
      <c r="F35" s="157">
        <f>IF('Finanical Statment'!G7=0,0,'Finanical Statment'!G67/'Finanical Statment'!G$68)</f>
        <v>0.97675819</v>
      </c>
      <c r="G35" s="157">
        <f>IF('Finanical Statment'!H7=0,0,'Finanical Statment'!H67/'Finanical Statment'!H$68)</f>
        <v>0.9792722021</v>
      </c>
      <c r="H35" s="157">
        <f>IF('Finanical Statment'!I7=0,0,'Finanical Statment'!I67/'Finanical Statment'!I$68)</f>
        <v>0.9811680924</v>
      </c>
      <c r="I35" s="157">
        <f>IF('Finanical Statment'!J7=0,0,'Finanical Statment'!J67/'Finanical Statment'!J$68)</f>
        <v>0.9796034092</v>
      </c>
      <c r="J35" s="157">
        <f>IF('Finanical Statment'!K7=0,0,'Finanical Statment'!K67/'Finanical Statment'!K$68)</f>
        <v>0.9802686934</v>
      </c>
      <c r="K35" s="235">
        <f>IF('Finanical Statment'!L7=0,0,'Finanical Statment'!L67/'Finanical Statment'!L$68)</f>
        <v>0.9820288435</v>
      </c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</row>
    <row r="36" outlineLevel="1">
      <c r="A36" s="240" t="str">
        <f>'Finanical Statment'!A68</f>
        <v>Total Equity</v>
      </c>
      <c r="B36" s="241">
        <f>IF('Finanical Statment'!C7=0,0,'Finanical Statment'!C68/'Finanical Statment'!C$68)</f>
        <v>1</v>
      </c>
      <c r="C36" s="241">
        <f>IF('Finanical Statment'!D7=0,0,'Finanical Statment'!D68/'Finanical Statment'!D$68)</f>
        <v>1</v>
      </c>
      <c r="D36" s="241">
        <f>IF('Finanical Statment'!E7=0,0,'Finanical Statment'!E68/'Finanical Statment'!E$68)</f>
        <v>1</v>
      </c>
      <c r="E36" s="241">
        <f>IF('Finanical Statment'!F7=0,0,'Finanical Statment'!F68/'Finanical Statment'!F$68)</f>
        <v>1</v>
      </c>
      <c r="F36" s="241">
        <f>IF('Finanical Statment'!G7=0,0,'Finanical Statment'!G68/'Finanical Statment'!G$68)</f>
        <v>1</v>
      </c>
      <c r="G36" s="241">
        <f>IF('Finanical Statment'!H7=0,0,'Finanical Statment'!H68/'Finanical Statment'!H$68)</f>
        <v>1</v>
      </c>
      <c r="H36" s="241">
        <f>IF('Finanical Statment'!I7=0,0,'Finanical Statment'!I68/'Finanical Statment'!I$68)</f>
        <v>1</v>
      </c>
      <c r="I36" s="241">
        <f>IF('Finanical Statment'!J7=0,0,'Finanical Statment'!J68/'Finanical Statment'!J$68)</f>
        <v>1</v>
      </c>
      <c r="J36" s="241">
        <f>IF('Finanical Statment'!K7=0,0,'Finanical Statment'!K68/'Finanical Statment'!K$68)</f>
        <v>1</v>
      </c>
      <c r="K36" s="242">
        <f>IF('Finanical Statment'!L7=0,0,'Finanical Statment'!L68/'Finanical Statment'!L$68)</f>
        <v>1</v>
      </c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</row>
    <row r="37" outlineLevel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</row>
    <row r="38" outlineLevel="1">
      <c r="A38" s="44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</row>
    <row r="39" outlineLevel="1">
      <c r="A39" s="44"/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</row>
    <row r="40" outlineLevel="1">
      <c r="A40" s="44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</row>
    <row r="4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</row>
    <row r="4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</row>
    <row r="43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</row>
    <row r="44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</row>
    <row r="4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</row>
    <row r="46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</row>
    <row r="47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</row>
    <row r="48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</row>
    <row r="49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</row>
    <row r="50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</row>
    <row r="5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</row>
    <row r="5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</row>
    <row r="53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</row>
    <row r="54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</row>
    <row r="5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</row>
    <row r="56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</row>
    <row r="60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</row>
    <row r="6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</row>
    <row r="62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</row>
    <row r="64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</row>
    <row r="6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</row>
    <row r="66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</row>
    <row r="67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</row>
    <row r="68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</row>
    <row r="69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</row>
    <row r="70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</row>
    <row r="7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</row>
    <row r="7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</row>
    <row r="73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</row>
    <row r="74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</row>
    <row r="7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</row>
    <row r="76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</row>
    <row r="77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</row>
    <row r="78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</row>
    <row r="79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</row>
    <row r="80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</row>
    <row r="8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</row>
    <row r="8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</row>
    <row r="8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</row>
    <row r="86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</row>
    <row r="87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</row>
    <row r="88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</row>
    <row r="89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</row>
    <row r="90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</row>
    <row r="94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</row>
    <row r="9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</row>
    <row r="96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</row>
    <row r="97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</row>
    <row r="98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</row>
    <row r="99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</row>
  </sheetData>
  <mergeCells count="3">
    <mergeCell ref="B1:F1"/>
    <mergeCell ref="A2:A3"/>
    <mergeCell ref="B2:K2"/>
  </mergeCells>
  <hyperlinks>
    <hyperlink r:id="rId1" ref="G1"/>
    <hyperlink r:id="rId2" ref="H1"/>
  </hyperlinks>
  <printOptions verticalCentered="1"/>
  <pageMargins bottom="0.7480314960629921" footer="0.0" header="0.0" left="2.0078740157480315" right="0.2362204724409449" top="0.7480314960629921"/>
  <pageSetup paperSize="3" orientation="landscape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40.14"/>
    <col customWidth="1" min="2" max="2" width="13.71"/>
    <col customWidth="1" min="3" max="3" width="17.57"/>
    <col customWidth="1" min="4" max="11" width="13.71"/>
    <col customWidth="1" min="12" max="12" width="13.86"/>
    <col customWidth="1" min="13" max="31" width="9.14"/>
  </cols>
  <sheetData>
    <row r="1">
      <c r="A1" s="178" t="s">
        <v>66</v>
      </c>
      <c r="B1" s="179" t="s">
        <v>67</v>
      </c>
      <c r="C1" s="135"/>
      <c r="D1" s="135"/>
      <c r="E1" s="135"/>
      <c r="F1" s="133"/>
      <c r="G1" s="180" t="s">
        <v>68</v>
      </c>
      <c r="H1" s="181" t="s">
        <v>69</v>
      </c>
      <c r="I1" s="182"/>
      <c r="J1" s="182"/>
      <c r="K1" s="184"/>
      <c r="L1" s="185"/>
      <c r="M1" s="206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</row>
    <row r="2">
      <c r="A2" s="243" t="s">
        <v>207</v>
      </c>
      <c r="B2" s="208" t="str">
        <f>'Data Sheet'!B1</f>
        <v>ITC LTD</v>
      </c>
      <c r="C2" s="209"/>
      <c r="D2" s="209"/>
      <c r="E2" s="209"/>
      <c r="F2" s="209"/>
      <c r="G2" s="209"/>
      <c r="H2" s="209"/>
      <c r="I2" s="209"/>
      <c r="J2" s="209"/>
      <c r="K2" s="210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</row>
    <row r="3">
      <c r="A3" s="189"/>
      <c r="B3" s="190">
        <v>2014.0</v>
      </c>
      <c r="C3" s="190">
        <f t="shared" ref="C3:K3" si="1">B3+1</f>
        <v>2015</v>
      </c>
      <c r="D3" s="190">
        <f t="shared" si="1"/>
        <v>2016</v>
      </c>
      <c r="E3" s="190">
        <f t="shared" si="1"/>
        <v>2017</v>
      </c>
      <c r="F3" s="190">
        <f t="shared" si="1"/>
        <v>2018</v>
      </c>
      <c r="G3" s="190">
        <f t="shared" si="1"/>
        <v>2019</v>
      </c>
      <c r="H3" s="190">
        <f t="shared" si="1"/>
        <v>2020</v>
      </c>
      <c r="I3" s="190">
        <f t="shared" si="1"/>
        <v>2021</v>
      </c>
      <c r="J3" s="190">
        <f t="shared" si="1"/>
        <v>2022</v>
      </c>
      <c r="K3" s="191">
        <f t="shared" si="1"/>
        <v>2023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</row>
    <row r="5">
      <c r="A5" s="44" t="str">
        <f>Revenue</f>
        <v>Revenue</v>
      </c>
      <c r="B5" s="244">
        <f>IF('Finanical Statment'!C7=0,0,'Finanical Statment'!C7)</f>
        <v>35306.43</v>
      </c>
      <c r="C5" s="244">
        <f>IF('Finanical Statment'!D7=0,0,'Finanical Statment'!D7)</f>
        <v>38817.15</v>
      </c>
      <c r="D5" s="244">
        <f>IF('Finanical Statment'!E7=0,0,'Finanical Statment'!E7)</f>
        <v>39192.1</v>
      </c>
      <c r="E5" s="244">
        <f>IF('Finanical Statment'!F7=0,0,'Finanical Statment'!F7)</f>
        <v>42767.6</v>
      </c>
      <c r="F5" s="244">
        <f>IF('Finanical Statment'!G7=0,0,'Finanical Statment'!G7)</f>
        <v>43448.94</v>
      </c>
      <c r="G5" s="244">
        <f>IF('Finanical Statment'!H7=0,0,'Finanical Statment'!H7)</f>
        <v>48339.58</v>
      </c>
      <c r="H5" s="244">
        <f>IF('Finanical Statment'!I7=0,0,'Finanical Statment'!I7)</f>
        <v>49387.7</v>
      </c>
      <c r="I5" s="244">
        <f>IF('Finanical Statment'!J7=0,0,'Finanical Statment'!J7)</f>
        <v>49257.45</v>
      </c>
      <c r="J5" s="244">
        <f>IF('Finanical Statment'!K7=0,0,'Finanical Statment'!K7)</f>
        <v>60644.54</v>
      </c>
      <c r="K5" s="244">
        <f>IF('Finanical Statment'!L7=0,0,'Finanical Statment'!L7)</f>
        <v>70919.03</v>
      </c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</row>
    <row r="6">
      <c r="A6" s="65" t="str">
        <f>'Finanical Statment'!A20</f>
        <v>Other Income</v>
      </c>
      <c r="B6" s="244">
        <f>IF('Finanical Statment'!C7=0,0,'Finanical Statment'!C20)</f>
        <v>965.74</v>
      </c>
      <c r="C6" s="244">
        <f>IF('Finanical Statment'!D7=0,0,'Finanical Statment'!D20)</f>
        <v>1229.35</v>
      </c>
      <c r="D6" s="244">
        <f>IF('Finanical Statment'!E7=0,0,'Finanical Statment'!E20)</f>
        <v>1483.11</v>
      </c>
      <c r="E6" s="244">
        <f>IF('Finanical Statment'!F7=0,0,'Finanical Statment'!F20)</f>
        <v>1758.63</v>
      </c>
      <c r="F6" s="244">
        <f>IF('Finanical Statment'!G7=0,0,'Finanical Statment'!G20)</f>
        <v>2239.81</v>
      </c>
      <c r="G6" s="244">
        <f>IF('Finanical Statment'!H7=0,0,'Finanical Statment'!H20)</f>
        <v>2080.44</v>
      </c>
      <c r="H6" s="244">
        <f>IF('Finanical Statment'!I7=0,0,'Finanical Statment'!I20)</f>
        <v>2417.32</v>
      </c>
      <c r="I6" s="244">
        <f>IF('Finanical Statment'!J7=0,0,'Finanical Statment'!J20)</f>
        <v>2576.95</v>
      </c>
      <c r="J6" s="244">
        <f>IF('Finanical Statment'!K7=0,0,'Finanical Statment'!K20)</f>
        <v>1909.72</v>
      </c>
      <c r="K6" s="244">
        <f>IF('Finanical Statment'!L7=0,0,'Finanical Statment'!L20)</f>
        <v>2097.64</v>
      </c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</row>
    <row r="7">
      <c r="A7" s="44" t="s">
        <v>208</v>
      </c>
      <c r="B7" s="44"/>
      <c r="C7" s="157">
        <f>'Finanical Statment'!D8</f>
        <v>0.09943571185</v>
      </c>
      <c r="D7" s="157">
        <f>'Finanical Statment'!E8</f>
        <v>0.009659390244</v>
      </c>
      <c r="E7" s="157">
        <f>'Finanical Statment'!F8</f>
        <v>0.09123012036</v>
      </c>
      <c r="F7" s="157">
        <f>'Finanical Statment'!G8</f>
        <v>0.01593121896</v>
      </c>
      <c r="G7" s="157">
        <f>'Finanical Statment'!H8</f>
        <v>0.1125606286</v>
      </c>
      <c r="H7" s="157">
        <f>'Finanical Statment'!I8</f>
        <v>0.02168243911</v>
      </c>
      <c r="I7" s="157">
        <f>'Finanical Statment'!J8</f>
        <v>-0.002637296331</v>
      </c>
      <c r="J7" s="157">
        <f>'Finanical Statment'!K8</f>
        <v>0.2311749796</v>
      </c>
      <c r="K7" s="157">
        <f>'Finanical Statment'!L8</f>
        <v>0.1694215176</v>
      </c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</row>
    <row r="8">
      <c r="A8" s="44" t="s">
        <v>84</v>
      </c>
      <c r="B8" s="244">
        <f>IF('Finanical Statment'!C7=0,0,'Finanical Statment'!C23)</f>
        <v>13080.72</v>
      </c>
      <c r="C8" s="244">
        <f>IF('Finanical Statment'!D7=0,0,'Finanical Statment'!D23)</f>
        <v>14453.01</v>
      </c>
      <c r="D8" s="244">
        <f>IF('Finanical Statment'!E7=0,0,'Finanical Statment'!E23)</f>
        <v>14937.2</v>
      </c>
      <c r="E8" s="244">
        <f>IF('Finanical Statment'!F7=0,0,'Finanical Statment'!F23)</f>
        <v>16075.35</v>
      </c>
      <c r="F8" s="244">
        <f>IF('Finanical Statment'!G7=0,0,'Finanical Statment'!G23)</f>
        <v>17524.12</v>
      </c>
      <c r="G8" s="244">
        <f>IF('Finanical Statment'!H7=0,0,'Finanical Statment'!H23)</f>
        <v>19221.22</v>
      </c>
      <c r="H8" s="244">
        <f>IF('Finanical Statment'!I7=0,0,'Finanical Statment'!I23)</f>
        <v>20115.95</v>
      </c>
      <c r="I8" s="244">
        <f>IF('Finanical Statment'!J7=0,0,'Finanical Statment'!J23)</f>
        <v>17996.14</v>
      </c>
      <c r="J8" s="244">
        <f>IF('Finanical Statment'!K7=0,0,'Finanical Statment'!K23)</f>
        <v>20800.46</v>
      </c>
      <c r="K8" s="244">
        <f>IF('Finanical Statment'!L7=0,0,'Finanical Statment'!L23)</f>
        <v>25992.89</v>
      </c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</row>
    <row r="9">
      <c r="A9" s="44" t="s">
        <v>209</v>
      </c>
      <c r="B9" s="44"/>
      <c r="C9" s="157">
        <f>'Finanical Statment'!D25</f>
        <v>0.1049093628</v>
      </c>
      <c r="D9" s="157">
        <f>'Finanical Statment'!E25</f>
        <v>0.03350098007</v>
      </c>
      <c r="E9" s="157">
        <f>'Finanical Statment'!F25</f>
        <v>0.07619567255</v>
      </c>
      <c r="F9" s="157">
        <f>'Finanical Statment'!G25</f>
        <v>0.09012369871</v>
      </c>
      <c r="G9" s="157">
        <f>'Finanical Statment'!H25</f>
        <v>0.09684366462</v>
      </c>
      <c r="H9" s="157">
        <f>'Finanical Statment'!I25</f>
        <v>0.04654907441</v>
      </c>
      <c r="I9" s="157">
        <f>'Finanical Statment'!J25</f>
        <v>-0.105379562</v>
      </c>
      <c r="J9" s="157">
        <f>'Finanical Statment'!K25</f>
        <v>0.1558289722</v>
      </c>
      <c r="K9" s="157">
        <f>'Finanical Statment'!L25</f>
        <v>0.249630537</v>
      </c>
      <c r="L9" s="157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</row>
    <row r="10">
      <c r="A10" s="44"/>
      <c r="B10" s="44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>
      <c r="A11" s="245" t="s">
        <v>210</v>
      </c>
      <c r="B11" s="147"/>
      <c r="C11" s="147"/>
      <c r="D11" s="147"/>
      <c r="E11" s="147"/>
      <c r="F11" s="147"/>
      <c r="G11" s="147"/>
      <c r="H11" s="147"/>
      <c r="I11" s="147"/>
      <c r="J11" s="147"/>
      <c r="K11" s="246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>
      <c r="A12" s="65" t="str">
        <f>'Data Sheet'!A18</f>
        <v>Raw Material Cost</v>
      </c>
      <c r="B12" s="153">
        <f>IF('Finanical Statment'!C7=0,0,'Data Sheet'!B18)</f>
        <v>13353.03</v>
      </c>
      <c r="C12" s="153">
        <f>IF('Finanical Statment'!D7=0,0,'Data Sheet'!C18)</f>
        <v>15007.9</v>
      </c>
      <c r="D12" s="153">
        <f>IF('Finanical Statment'!E7=0,0,'Data Sheet'!D18)</f>
        <v>13763.88</v>
      </c>
      <c r="E12" s="153">
        <f>IF('Finanical Statment'!F7=0,0,'Data Sheet'!E18)</f>
        <v>15456.59</v>
      </c>
      <c r="F12" s="153">
        <f>IF('Finanical Statment'!G7=0,0,'Data Sheet'!F18)</f>
        <v>14827.72</v>
      </c>
      <c r="G12" s="153">
        <f>IF('Finanical Statment'!H7=0,0,'Data Sheet'!G18)</f>
        <v>17623.52</v>
      </c>
      <c r="H12" s="153">
        <f>IF('Finanical Statment'!I7=0,0,'Data Sheet'!H18)</f>
        <v>18048.6</v>
      </c>
      <c r="I12" s="153">
        <f>IF('Finanical Statment'!J7=0,0,'Data Sheet'!I18)</f>
        <v>20776.71</v>
      </c>
      <c r="J12" s="153">
        <f>IF('Finanical Statment'!K7=0,0,'Data Sheet'!J18)</f>
        <v>27071.07</v>
      </c>
      <c r="K12" s="153">
        <f>IF('Finanical Statment'!L7=0,0,'Data Sheet'!K18)</f>
        <v>29364.36</v>
      </c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>
      <c r="A13" s="65" t="str">
        <f>'Data Sheet'!A19</f>
        <v>Change in Inventory</v>
      </c>
      <c r="B13" s="153">
        <f>IF('Finanical Statment'!C7=0,0,'Data Sheet'!B19)</f>
        <v>112.74</v>
      </c>
      <c r="C13" s="153">
        <f>IF('Finanical Statment'!D7=0,0,'Data Sheet'!C19)</f>
        <v>235.72</v>
      </c>
      <c r="D13" s="153">
        <f>IF('Finanical Statment'!E7=0,0,'Data Sheet'!D19)</f>
        <v>195.38</v>
      </c>
      <c r="E13" s="153">
        <f>IF('Finanical Statment'!F7=0,0,'Data Sheet'!E19)</f>
        <v>-592.57</v>
      </c>
      <c r="F13" s="153">
        <f>IF('Finanical Statment'!G7=0,0,'Data Sheet'!F19)</f>
        <v>-1027.76</v>
      </c>
      <c r="G13" s="153">
        <f>IF('Finanical Statment'!H7=0,0,'Data Sheet'!G19)</f>
        <v>203.19</v>
      </c>
      <c r="H13" s="153">
        <f>IF('Finanical Statment'!I7=0,0,'Data Sheet'!H19)</f>
        <v>703.13</v>
      </c>
      <c r="I13" s="153">
        <f>IF('Finanical Statment'!J7=0,0,'Data Sheet'!I19)</f>
        <v>645.27</v>
      </c>
      <c r="J13" s="153">
        <f>IF('Finanical Statment'!K7=0,0,'Data Sheet'!J19)</f>
        <v>686</v>
      </c>
      <c r="K13" s="153">
        <f>IF('Finanical Statment'!L7=0,0,'Data Sheet'!K19)</f>
        <v>358.59</v>
      </c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</row>
    <row r="14">
      <c r="A14" s="65" t="str">
        <f>'Data Sheet'!A20</f>
        <v>Power and Fuel</v>
      </c>
      <c r="B14" s="153">
        <f>IF('Finanical Statment'!C7=0,0,'Data Sheet'!B20)</f>
        <v>644.96</v>
      </c>
      <c r="C14" s="153">
        <f>IF('Finanical Statment'!D7=0,0,'Data Sheet'!C20)</f>
        <v>610.67</v>
      </c>
      <c r="D14" s="153">
        <f>IF('Finanical Statment'!E7=0,0,'Data Sheet'!D20)</f>
        <v>571.88</v>
      </c>
      <c r="E14" s="153">
        <f>IF('Finanical Statment'!F7=0,0,'Data Sheet'!E20)</f>
        <v>584.33</v>
      </c>
      <c r="F14" s="153">
        <f>IF('Finanical Statment'!G7=0,0,'Data Sheet'!F20)</f>
        <v>653.5</v>
      </c>
      <c r="G14" s="153">
        <f>IF('Finanical Statment'!H7=0,0,'Data Sheet'!G20)</f>
        <v>746.73</v>
      </c>
      <c r="H14" s="153">
        <f>IF('Finanical Statment'!I7=0,0,'Data Sheet'!H20)</f>
        <v>780.85</v>
      </c>
      <c r="I14" s="153">
        <f>IF('Finanical Statment'!J7=0,0,'Data Sheet'!I20)</f>
        <v>699.56</v>
      </c>
      <c r="J14" s="153">
        <f>IF('Finanical Statment'!K7=0,0,'Data Sheet'!J20)</f>
        <v>889.77</v>
      </c>
      <c r="K14" s="153">
        <f>IF('Finanical Statment'!L7=0,0,'Data Sheet'!K20)</f>
        <v>1232.34</v>
      </c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</row>
    <row r="15">
      <c r="A15" s="65" t="str">
        <f>'Data Sheet'!A21</f>
        <v>Other Mfr. Exp</v>
      </c>
      <c r="B15" s="153">
        <f>IF('Finanical Statment'!C7=0,0,'Data Sheet'!B21)</f>
        <v>1395.57</v>
      </c>
      <c r="C15" s="153">
        <f>IF('Finanical Statment'!D7=0,0,'Data Sheet'!C21)</f>
        <v>1533.25</v>
      </c>
      <c r="D15" s="153">
        <f>IF('Finanical Statment'!E7=0,0,'Data Sheet'!D21)</f>
        <v>1581.59</v>
      </c>
      <c r="E15" s="153">
        <f>IF('Finanical Statment'!F7=0,0,'Data Sheet'!E21)</f>
        <v>1683.9</v>
      </c>
      <c r="F15" s="153">
        <f>IF('Finanical Statment'!G7=0,0,'Data Sheet'!F21)</f>
        <v>1697.62</v>
      </c>
      <c r="G15" s="153">
        <f>IF('Finanical Statment'!H7=0,0,'Data Sheet'!G21)</f>
        <v>1871.01</v>
      </c>
      <c r="H15" s="153">
        <f>IF('Finanical Statment'!I7=0,0,'Data Sheet'!H21)</f>
        <v>1908.29</v>
      </c>
      <c r="I15" s="153">
        <f>IF('Finanical Statment'!J7=0,0,'Data Sheet'!I21)</f>
        <v>1587.18</v>
      </c>
      <c r="J15" s="153">
        <f>IF('Finanical Statment'!K7=0,0,'Data Sheet'!J21)</f>
        <v>1887.67</v>
      </c>
      <c r="K15" s="153">
        <f>IF('Finanical Statment'!L7=0,0,'Data Sheet'!K21)</f>
        <v>2327.8</v>
      </c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</row>
    <row r="16">
      <c r="A16" s="65" t="str">
        <f>'Data Sheet'!A22</f>
        <v>Employee Cost</v>
      </c>
      <c r="B16" s="153">
        <f>IF('Finanical Statment'!C7=0,0,'Data Sheet'!B22)</f>
        <v>2504.24</v>
      </c>
      <c r="C16" s="153">
        <f>IF('Finanical Statment'!D7=0,0,'Data Sheet'!C22)</f>
        <v>2772.28</v>
      </c>
      <c r="D16" s="153">
        <f>IF('Finanical Statment'!E7=0,0,'Data Sheet'!D22)</f>
        <v>3440.97</v>
      </c>
      <c r="E16" s="153">
        <f>IF('Finanical Statment'!F7=0,0,'Data Sheet'!E22)</f>
        <v>3631.73</v>
      </c>
      <c r="F16" s="153">
        <f>IF('Finanical Statment'!G7=0,0,'Data Sheet'!F22)</f>
        <v>3760.9</v>
      </c>
      <c r="G16" s="153">
        <f>IF('Finanical Statment'!H7=0,0,'Data Sheet'!G22)</f>
        <v>4177.88</v>
      </c>
      <c r="H16" s="153">
        <f>IF('Finanical Statment'!I7=0,0,'Data Sheet'!H22)</f>
        <v>4295.79</v>
      </c>
      <c r="I16" s="153">
        <f>IF('Finanical Statment'!J7=0,0,'Data Sheet'!I22)</f>
        <v>4463.33</v>
      </c>
      <c r="J16" s="153">
        <f>IF('Finanical Statment'!K7=0,0,'Data Sheet'!J22)</f>
        <v>4890.55</v>
      </c>
      <c r="K16" s="153">
        <f>IF('Finanical Statment'!L7=0,0,'Data Sheet'!K22)</f>
        <v>5736.22</v>
      </c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</row>
    <row r="17">
      <c r="A17" s="65" t="str">
        <f>'Data Sheet'!A23</f>
        <v>Selling and admin</v>
      </c>
      <c r="B17" s="153">
        <f>IF('Finanical Statment'!C7=0,0,'Data Sheet'!B23)</f>
        <v>3361.2</v>
      </c>
      <c r="C17" s="153">
        <f>IF('Finanical Statment'!D7=0,0,'Data Sheet'!C23)</f>
        <v>3876.19</v>
      </c>
      <c r="D17" s="153">
        <f>IF('Finanical Statment'!E7=0,0,'Data Sheet'!D23)</f>
        <v>4261.78</v>
      </c>
      <c r="E17" s="153">
        <f>IF('Finanical Statment'!F7=0,0,'Data Sheet'!E23)</f>
        <v>4179.74</v>
      </c>
      <c r="F17" s="153">
        <f>IF('Finanical Statment'!G7=0,0,'Data Sheet'!F23)</f>
        <v>3954.87</v>
      </c>
      <c r="G17" s="153">
        <f>IF('Finanical Statment'!H7=0,0,'Data Sheet'!G23)</f>
        <v>4546.39</v>
      </c>
      <c r="H17" s="153">
        <f>IF('Finanical Statment'!I7=0,0,'Data Sheet'!H23)</f>
        <v>4488.63</v>
      </c>
      <c r="I17" s="153">
        <f>IF('Finanical Statment'!J7=0,0,'Data Sheet'!I23)</f>
        <v>4236.77</v>
      </c>
      <c r="J17" s="153">
        <f>IF('Finanical Statment'!K7=0,0,'Data Sheet'!J23)</f>
        <v>4858.38</v>
      </c>
      <c r="K17" s="153">
        <f>IF('Finanical Statment'!L7=0,0,'Data Sheet'!K23)</f>
        <v>5604.08</v>
      </c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</row>
    <row r="18">
      <c r="A18" s="65" t="str">
        <f>'Data Sheet'!A24</f>
        <v>Other Expenses</v>
      </c>
      <c r="B18" s="153">
        <f>IF('Finanical Statment'!C7=0,0,'Data Sheet'!B24)</f>
        <v>1080.27</v>
      </c>
      <c r="C18" s="153">
        <f>IF('Finanical Statment'!D7=0,0,'Data Sheet'!C24)</f>
        <v>1000.96</v>
      </c>
      <c r="D18" s="153">
        <f>IF('Finanical Statment'!E7=0,0,'Data Sheet'!D24)</f>
        <v>1235.89</v>
      </c>
      <c r="E18" s="153">
        <f>IF('Finanical Statment'!F7=0,0,'Data Sheet'!E24)</f>
        <v>1169.23</v>
      </c>
      <c r="F18" s="153">
        <f>IF('Finanical Statment'!G7=0,0,'Data Sheet'!F24)</f>
        <v>1005.98</v>
      </c>
      <c r="G18" s="153">
        <f>IF('Finanical Statment'!H7=0,0,'Data Sheet'!G24)</f>
        <v>1039.85</v>
      </c>
      <c r="H18" s="153">
        <f>IF('Finanical Statment'!I7=0,0,'Data Sheet'!H24)</f>
        <v>1225.13</v>
      </c>
      <c r="I18" s="153">
        <f>IF('Finanical Statment'!J7=0,0,'Data Sheet'!I24)</f>
        <v>1074.39</v>
      </c>
      <c r="J18" s="153">
        <f>IF('Finanical Statment'!K7=0,0,'Data Sheet'!J24)</f>
        <v>1109.95</v>
      </c>
      <c r="K18" s="153">
        <f>IF('Finanical Statment'!L7=0,0,'Data Sheet'!K24)</f>
        <v>1308.56</v>
      </c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</row>
    <row r="19">
      <c r="A19" s="65" t="str">
        <f>'Data Sheet'!A27</f>
        <v>Interest</v>
      </c>
      <c r="B19" s="153">
        <f>IF('Finanical Statment'!C7=0,0,'Data Sheet'!B27)</f>
        <v>29.17</v>
      </c>
      <c r="C19" s="153">
        <f>IF('Finanical Statment'!D7=0,0,'Data Sheet'!C27)</f>
        <v>90.96</v>
      </c>
      <c r="D19" s="153">
        <f>IF('Finanical Statment'!E7=0,0,'Data Sheet'!D27)</f>
        <v>78.13</v>
      </c>
      <c r="E19" s="153">
        <f>IF('Finanical Statment'!F7=0,0,'Data Sheet'!E27)</f>
        <v>49.03</v>
      </c>
      <c r="F19" s="153">
        <f>IF('Finanical Statment'!G7=0,0,'Data Sheet'!F27)</f>
        <v>115.01</v>
      </c>
      <c r="G19" s="153">
        <f>IF('Finanical Statment'!H7=0,0,'Data Sheet'!G27)</f>
        <v>71.4</v>
      </c>
      <c r="H19" s="153">
        <f>IF('Finanical Statment'!I7=0,0,'Data Sheet'!H27)</f>
        <v>81.38</v>
      </c>
      <c r="I19" s="153">
        <f>IF('Finanical Statment'!J7=0,0,'Data Sheet'!I27)</f>
        <v>57.97</v>
      </c>
      <c r="J19" s="153">
        <f>IF('Finanical Statment'!K7=0,0,'Data Sheet'!J27)</f>
        <v>59.99</v>
      </c>
      <c r="K19" s="153">
        <f>IF('Finanical Statment'!L7=0,0,'Data Sheet'!K27)</f>
        <v>77.77</v>
      </c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</row>
    <row r="20">
      <c r="A20" s="44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44" t="str">
        <f t="array" ref="L20">SPARKLINE('Cost Analysis'!B20:K20, {"charttype","line";"color","#0070c0";"empty","ignore";"nan","convert"})</f>
        <v>#N/A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</row>
    <row r="21">
      <c r="A21" s="245" t="s">
        <v>211</v>
      </c>
      <c r="B21" s="147"/>
      <c r="C21" s="147"/>
      <c r="D21" s="147"/>
      <c r="E21" s="147"/>
      <c r="F21" s="147"/>
      <c r="G21" s="147"/>
      <c r="H21" s="147"/>
      <c r="I21" s="147"/>
      <c r="J21" s="147"/>
      <c r="K21" s="246"/>
      <c r="L21" s="44" t="str">
        <f t="array" ref="L21">SPARKLINE('Cost Analysis'!B21:K21, {"charttype","line";"color","#0070c0";"empty","ignore";"nan","convert"})</f>
        <v>#N/A</v>
      </c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</row>
    <row r="22">
      <c r="A22" s="65" t="str">
        <f t="shared" ref="A22:A29" si="2">A12</f>
        <v>Raw Material Cost</v>
      </c>
      <c r="B22" s="247">
        <f>IF('Finanical Statment'!C7=0,0,B12/B$5)</f>
        <v>0.3782039136</v>
      </c>
      <c r="C22" s="247">
        <f>IF('Finanical Statment'!D7=0,0,C12/C$5)</f>
        <v>0.3866306517</v>
      </c>
      <c r="D22" s="247">
        <f>IF('Finanical Statment'!E7=0,0,D12/D$5)</f>
        <v>0.3511901633</v>
      </c>
      <c r="E22" s="247">
        <f>IF('Finanical Statment'!F7=0,0,E12/E$5)</f>
        <v>0.3614088703</v>
      </c>
      <c r="F22" s="247">
        <f>IF('Finanical Statment'!G7=0,0,F12/F$5)</f>
        <v>0.3412677041</v>
      </c>
      <c r="G22" s="247">
        <f>IF('Finanical Statment'!H7=0,0,G12/G$5)</f>
        <v>0.3645774332</v>
      </c>
      <c r="H22" s="247">
        <f>IF('Finanical Statment'!I7=0,0,H12/H$5)</f>
        <v>0.3654472672</v>
      </c>
      <c r="I22" s="247">
        <f>IF('Finanical Statment'!J7=0,0,I12/I$5)</f>
        <v>0.421798327</v>
      </c>
      <c r="J22" s="247">
        <f>IF('Finanical Statment'!K7=0,0,J12/J$5)</f>
        <v>0.446389238</v>
      </c>
      <c r="K22" s="247">
        <f>IF('Finanical Statment'!L7=0,0,K12/K$5)</f>
        <v>0.4140547326</v>
      </c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</row>
    <row r="23">
      <c r="A23" s="65" t="str">
        <f t="shared" si="2"/>
        <v>Change in Inventory</v>
      </c>
      <c r="B23" s="247">
        <f>IF('Finanical Statment'!C7=0,0,B13/B$5)</f>
        <v>0.003193186057</v>
      </c>
      <c r="C23" s="247">
        <f>IF('Finanical Statment'!D7=0,0,C13/C$5)</f>
        <v>0.006072573592</v>
      </c>
      <c r="D23" s="247">
        <f>IF('Finanical Statment'!E7=0,0,D13/D$5)</f>
        <v>0.004985188342</v>
      </c>
      <c r="E23" s="247">
        <f>IF('Finanical Statment'!F7=0,0,E13/E$5)</f>
        <v>-0.01385558226</v>
      </c>
      <c r="F23" s="247">
        <f>IF('Finanical Statment'!G7=0,0,F13/F$5)</f>
        <v>-0.02365443208</v>
      </c>
      <c r="G23" s="247">
        <f>IF('Finanical Statment'!H7=0,0,G13/G$5)</f>
        <v>0.004203387783</v>
      </c>
      <c r="H23" s="247">
        <f>IF('Finanical Statment'!I7=0,0,H13/H$5)</f>
        <v>0.01423694564</v>
      </c>
      <c r="I23" s="247">
        <f>IF('Finanical Statment'!J7=0,0,I13/I$5)</f>
        <v>0.01309994732</v>
      </c>
      <c r="J23" s="247">
        <f>IF('Finanical Statment'!K7=0,0,J13/J$5)</f>
        <v>0.01131181801</v>
      </c>
      <c r="K23" s="247">
        <f>IF('Finanical Statment'!L7=0,0,K13/K$5)</f>
        <v>0.005056329733</v>
      </c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>
      <c r="A24" s="65" t="str">
        <f t="shared" si="2"/>
        <v>Power and Fuel</v>
      </c>
      <c r="B24" s="247">
        <f>IF('Finanical Statment'!C7=0,0,B14/B$5)</f>
        <v>0.01826749405</v>
      </c>
      <c r="C24" s="247">
        <f>IF('Finanical Statment'!D7=0,0,C14/C$5)</f>
        <v>0.01573196384</v>
      </c>
      <c r="D24" s="247">
        <f>IF('Finanical Statment'!E7=0,0,D14/D$5)</f>
        <v>0.01459171619</v>
      </c>
      <c r="E24" s="247">
        <f>IF('Finanical Statment'!F7=0,0,E14/E$5)</f>
        <v>0.01366291305</v>
      </c>
      <c r="F24" s="247">
        <f>IF('Finanical Statment'!G7=0,0,F14/F$5)</f>
        <v>0.01504064311</v>
      </c>
      <c r="G24" s="247">
        <f>IF('Finanical Statment'!H7=0,0,G14/G$5)</f>
        <v>0.01544758974</v>
      </c>
      <c r="H24" s="247">
        <f>IF('Finanical Statment'!I7=0,0,H14/H$5)</f>
        <v>0.01581061681</v>
      </c>
      <c r="I24" s="247">
        <f>IF('Finanical Statment'!J7=0,0,I14/I$5)</f>
        <v>0.01420211562</v>
      </c>
      <c r="J24" s="247">
        <f>IF('Finanical Statment'!K7=0,0,J14/J$5)</f>
        <v>0.01467188967</v>
      </c>
      <c r="K24" s="247">
        <f>IF('Finanical Statment'!L7=0,0,K14/K$5)</f>
        <v>0.01737671821</v>
      </c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>
      <c r="A25" s="65" t="str">
        <f t="shared" si="2"/>
        <v>Other Mfr. Exp</v>
      </c>
      <c r="B25" s="247">
        <f>IF('Finanical Statment'!C7=0,0,B15/B$5)</f>
        <v>0.03952736088</v>
      </c>
      <c r="C25" s="247">
        <f>IF('Finanical Statment'!D7=0,0,C15/C$5)</f>
        <v>0.03949929348</v>
      </c>
      <c r="D25" s="247">
        <f>IF('Finanical Statment'!E7=0,0,D15/D$5)</f>
        <v>0.0403548164</v>
      </c>
      <c r="E25" s="247">
        <f>IF('Finanical Statment'!F7=0,0,E15/E$5)</f>
        <v>0.03937326387</v>
      </c>
      <c r="F25" s="247">
        <f>IF('Finanical Statment'!G7=0,0,F15/F$5)</f>
        <v>0.03907160911</v>
      </c>
      <c r="G25" s="247">
        <f>IF('Finanical Statment'!H7=0,0,G15/G$5)</f>
        <v>0.03870554937</v>
      </c>
      <c r="H25" s="247">
        <f>IF('Finanical Statment'!I7=0,0,H15/H$5)</f>
        <v>0.03863897286</v>
      </c>
      <c r="I25" s="247">
        <f>IF('Finanical Statment'!J7=0,0,I15/I$5)</f>
        <v>0.03222213087</v>
      </c>
      <c r="J25" s="247">
        <f>IF('Finanical Statment'!K7=0,0,J15/J$5)</f>
        <v>0.03112679229</v>
      </c>
      <c r="K25" s="247">
        <f>IF('Finanical Statment'!L7=0,0,K15/K$5)</f>
        <v>0.03282334798</v>
      </c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</row>
    <row r="26">
      <c r="A26" s="65" t="str">
        <f t="shared" si="2"/>
        <v>Employee Cost</v>
      </c>
      <c r="B26" s="247">
        <f>IF('Finanical Statment'!C7=0,0,B16/B$5)</f>
        <v>0.07092872318</v>
      </c>
      <c r="C26" s="247">
        <f>IF('Finanical Statment'!D7=0,0,C16/C$5)</f>
        <v>0.07141894755</v>
      </c>
      <c r="D26" s="247">
        <f>IF('Finanical Statment'!E7=0,0,D16/D$5)</f>
        <v>0.08779754083</v>
      </c>
      <c r="E26" s="247">
        <f>IF('Finanical Statment'!F7=0,0,E16/E$5)</f>
        <v>0.08491778823</v>
      </c>
      <c r="F26" s="247">
        <f>IF('Finanical Statment'!G7=0,0,F16/F$5)</f>
        <v>0.08655907371</v>
      </c>
      <c r="G26" s="247">
        <f>IF('Finanical Statment'!H7=0,0,G16/G$5)</f>
        <v>0.08642772651</v>
      </c>
      <c r="H26" s="247">
        <f>IF('Finanical Statment'!I7=0,0,H16/H$5)</f>
        <v>0.08698096895</v>
      </c>
      <c r="I26" s="247">
        <f>IF('Finanical Statment'!J7=0,0,I16/I$5)</f>
        <v>0.09061228302</v>
      </c>
      <c r="J26" s="247">
        <f>IF('Finanical Statment'!K7=0,0,J16/J$5)</f>
        <v>0.08064287403</v>
      </c>
      <c r="K26" s="247">
        <f>IF('Finanical Statment'!L7=0,0,K16/K$5)</f>
        <v>0.08088407301</v>
      </c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</row>
    <row r="27">
      <c r="A27" s="65" t="str">
        <f t="shared" si="2"/>
        <v>Selling and admin</v>
      </c>
      <c r="B27" s="247">
        <f>IF('Finanical Statment'!C7=0,0,B17/B$5)</f>
        <v>0.0952007892</v>
      </c>
      <c r="C27" s="247">
        <f>IF('Finanical Statment'!D7=0,0,C17/C$5)</f>
        <v>0.09985766601</v>
      </c>
      <c r="D27" s="247">
        <f>IF('Finanical Statment'!E7=0,0,D17/D$5)</f>
        <v>0.1087407921</v>
      </c>
      <c r="E27" s="247">
        <f>IF('Finanical Statment'!F7=0,0,E17/E$5)</f>
        <v>0.09773146026</v>
      </c>
      <c r="F27" s="247">
        <f>IF('Finanical Statment'!G7=0,0,F17/F$5)</f>
        <v>0.09102339436</v>
      </c>
      <c r="G27" s="247">
        <f>IF('Finanical Statment'!H7=0,0,G17/G$5)</f>
        <v>0.09405108609</v>
      </c>
      <c r="H27" s="247">
        <f>IF('Finanical Statment'!I7=0,0,H17/H$5)</f>
        <v>0.09088558487</v>
      </c>
      <c r="I27" s="247">
        <f>IF('Finanical Statment'!J7=0,0,I17/I$5)</f>
        <v>0.08601277573</v>
      </c>
      <c r="J27" s="247">
        <f>IF('Finanical Statment'!K7=0,0,J17/J$5)</f>
        <v>0.08011240583</v>
      </c>
      <c r="K27" s="247">
        <f>IF('Finanical Statment'!L7=0,0,K17/K$5)</f>
        <v>0.07902082135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</row>
    <row r="28">
      <c r="A28" s="65" t="str">
        <f t="shared" si="2"/>
        <v>Other Expenses</v>
      </c>
      <c r="B28" s="247">
        <f>IF('Finanical Statment'!C7=0,0,B18/B$5)</f>
        <v>0.03059697624</v>
      </c>
      <c r="C28" s="247">
        <f>IF('Finanical Statment'!D7=0,0,C18/C$5)</f>
        <v>0.02578654023</v>
      </c>
      <c r="D28" s="247">
        <f>IF('Finanical Statment'!E7=0,0,D18/D$5)</f>
        <v>0.03153416122</v>
      </c>
      <c r="E28" s="247">
        <f>IF('Finanical Statment'!F7=0,0,E18/E$5)</f>
        <v>0.02733915394</v>
      </c>
      <c r="F28" s="247">
        <f>IF('Finanical Statment'!G7=0,0,F18/F$5)</f>
        <v>0.02315315402</v>
      </c>
      <c r="G28" s="247">
        <f>IF('Finanical Statment'!H7=0,0,G18/G$5)</f>
        <v>0.02151135777</v>
      </c>
      <c r="H28" s="247">
        <f>IF('Finanical Statment'!I7=0,0,H18/H$5)</f>
        <v>0.02480637892</v>
      </c>
      <c r="I28" s="247">
        <f>IF('Finanical Statment'!J7=0,0,I18/I$5)</f>
        <v>0.02181172594</v>
      </c>
      <c r="J28" s="247">
        <f>IF('Finanical Statment'!K7=0,0,J18/J$5)</f>
        <v>0.01830255453</v>
      </c>
      <c r="K28" s="247">
        <f>IF('Finanical Statment'!L7=0,0,K18/K$5)</f>
        <v>0.018451465</v>
      </c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</row>
    <row r="29">
      <c r="A29" s="65" t="str">
        <f t="shared" si="2"/>
        <v>Interest</v>
      </c>
      <c r="B29" s="247">
        <f>IF('Finanical Statment'!C7=0,0,B19/B$5)</f>
        <v>0.0008261951152</v>
      </c>
      <c r="C29" s="247">
        <f>IF('Finanical Statment'!D7=0,0,C19/C$5)</f>
        <v>0.002343294137</v>
      </c>
      <c r="D29" s="247">
        <f>IF('Finanical Statment'!E7=0,0,D19/D$5)</f>
        <v>0.001993513999</v>
      </c>
      <c r="E29" s="247">
        <f>IF('Finanical Statment'!F7=0,0,E19/E$5)</f>
        <v>0.001146428605</v>
      </c>
      <c r="F29" s="247">
        <f>IF('Finanical Statment'!G7=0,0,F19/F$5)</f>
        <v>0.002647015094</v>
      </c>
      <c r="G29" s="247">
        <f>IF('Finanical Statment'!H7=0,0,G19/G$5)</f>
        <v>0.001477050483</v>
      </c>
      <c r="H29" s="247">
        <f>IF('Finanical Statment'!I7=0,0,H19/H$5)</f>
        <v>0.001647778698</v>
      </c>
      <c r="I29" s="247">
        <f>IF('Finanical Statment'!J7=0,0,I19/I$5)</f>
        <v>0.001176877812</v>
      </c>
      <c r="J29" s="247">
        <f>IF('Finanical Statment'!K7=0,0,J19/J$5)</f>
        <v>0.0009892069426</v>
      </c>
      <c r="K29" s="247">
        <f>IF('Finanical Statment'!L7=0,0,K19/K$5)</f>
        <v>0.001096602703</v>
      </c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</row>
    <row r="30">
      <c r="A30" s="44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44" t="str">
        <f t="array" ref="L30">SPARKLINE('Cost Analysis'!B30:K30, {"charttype","line";"color","#0070c0";"empty","ignore";"nan","convert"})</f>
        <v>#N/A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</row>
    <row r="31">
      <c r="A31" s="245" t="s">
        <v>212</v>
      </c>
      <c r="B31" s="147"/>
      <c r="C31" s="147"/>
      <c r="D31" s="147"/>
      <c r="E31" s="147"/>
      <c r="F31" s="147"/>
      <c r="G31" s="147"/>
      <c r="H31" s="147"/>
      <c r="I31" s="147"/>
      <c r="J31" s="147"/>
      <c r="K31" s="246"/>
      <c r="L31" s="44" t="str">
        <f t="array" ref="L31">SPARKLINE('Cost Analysis'!B31:K31, {"charttype","line";"color","#0070c0";"empty","ignore";"nan","convert"})</f>
        <v>#N/A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</row>
    <row r="32">
      <c r="A32" s="44" t="s">
        <v>213</v>
      </c>
      <c r="B32" s="44"/>
      <c r="C32" s="199">
        <f>IF('Finanical Statment'!D7=0,0,((C12/B12)-1)/C$7)</f>
        <v>1.246354744</v>
      </c>
      <c r="D32" s="199">
        <f>IF('Finanical Statment'!E7=0,0,((D12/C12)-1)/D$7)</f>
        <v>-8.581391645</v>
      </c>
      <c r="E32" s="199">
        <f>IF('Finanical Statment'!F7=0,0,((E12/D12)-1)/E$7)</f>
        <v>1.348042034</v>
      </c>
      <c r="F32" s="199">
        <f>IF('Finanical Statment'!G7=0,0,((F12/E12)-1)/F$7)</f>
        <v>-2.553866455</v>
      </c>
      <c r="G32" s="199">
        <f>IF('Finanical Statment'!H7=0,0,((G12/F12)-1)/G$7)</f>
        <v>1.675117263</v>
      </c>
      <c r="H32" s="199">
        <f>IF('Finanical Statment'!I7=0,0,((H12/G12)-1)/H$7)</f>
        <v>1.112422798</v>
      </c>
      <c r="I32" s="199">
        <f>IF('Finanical Statment'!J7=0,0,((I12/H12)-1)/I$7)</f>
        <v>-57.31382943</v>
      </c>
      <c r="J32" s="199">
        <f>IF('Finanical Statment'!K7=0,0,((J12/I12)-1)/J$7)</f>
        <v>1.310490788</v>
      </c>
      <c r="K32" s="199">
        <f>IF('Finanical Statment'!L7=0,0,((K12/J12)-1)/K$7)</f>
        <v>0.5000172507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>
      <c r="A33" s="44" t="s">
        <v>214</v>
      </c>
      <c r="B33" s="44"/>
      <c r="C33" s="199">
        <f>IF('Finanical Statment'!D7=0,0,((C13/B13)-1)/C$7)</f>
        <v>10.97018802</v>
      </c>
      <c r="D33" s="199">
        <f>IF('Finanical Statment'!E7=0,0,((D13/C13)-1)/D$7)</f>
        <v>-17.71698222</v>
      </c>
      <c r="E33" s="199">
        <f>IF('Finanical Statment'!F7=0,0,((E13/D13)-1)/E$7)</f>
        <v>-44.20590711</v>
      </c>
      <c r="F33" s="199">
        <f>IF('Finanical Statment'!G7=0,0,((F13/E13)-1)/F$7)</f>
        <v>46.09886577</v>
      </c>
      <c r="G33" s="199">
        <f>IF('Finanical Statment'!H7=0,0,((G13/F13)-1)/G$7)</f>
        <v>-10.64050381</v>
      </c>
      <c r="H33" s="199">
        <f>IF('Finanical Statment'!I7=0,0,((H13/G13)-1)/H$7)</f>
        <v>113.4768888</v>
      </c>
      <c r="I33" s="199">
        <f>IF('Finanical Statment'!J7=0,0,((I13/H13)-1)/I$7)</f>
        <v>31.20210332</v>
      </c>
      <c r="J33" s="199">
        <f>IF('Finanical Statment'!K7=0,0,((J13/I13)-1)/J$7)</f>
        <v>0.2730436669</v>
      </c>
      <c r="K33" s="199">
        <f>IF('Finanical Statment'!L7=0,0,((K13/J13)-1)/K$7)</f>
        <v>-2.817080494</v>
      </c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>
      <c r="A34" s="44" t="s">
        <v>215</v>
      </c>
      <c r="B34" s="44"/>
      <c r="C34" s="199">
        <f>IF('Finanical Statment'!D7=0,0,((C14/B14)-1)/C$7)</f>
        <v>-0.5346780028</v>
      </c>
      <c r="D34" s="199">
        <f>IF('Finanical Statment'!E7=0,0,((D14/C14)-1)/D$7)</f>
        <v>-6.576025404</v>
      </c>
      <c r="E34" s="199">
        <f>IF('Finanical Statment'!F7=0,0,((E14/D14)-1)/E$7)</f>
        <v>0.238630634</v>
      </c>
      <c r="F34" s="199">
        <f>IF('Finanical Statment'!G7=0,0,((F14/E14)-1)/F$7)</f>
        <v>7.430372478</v>
      </c>
      <c r="G34" s="199">
        <f>IF('Finanical Statment'!H7=0,0,((G14/F14)-1)/G$7)</f>
        <v>1.267428832</v>
      </c>
      <c r="H34" s="199">
        <f>IF('Finanical Statment'!I7=0,0,((H14/G14)-1)/H$7)</f>
        <v>2.107352989</v>
      </c>
      <c r="I34" s="199">
        <f>IF('Finanical Statment'!J7=0,0,((I14/H14)-1)/I$7)</f>
        <v>39.47394924</v>
      </c>
      <c r="J34" s="199">
        <f>IF('Finanical Statment'!K7=0,0,((J14/I14)-1)/J$7)</f>
        <v>1.176163096</v>
      </c>
      <c r="K34" s="199">
        <f>IF('Finanical Statment'!L7=0,0,((K14/J14)-1)/K$7)</f>
        <v>2.27249534</v>
      </c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</row>
    <row r="35">
      <c r="A35" s="44" t="s">
        <v>216</v>
      </c>
      <c r="B35" s="44"/>
      <c r="C35" s="199">
        <f>IF('Finanical Statment'!D7=0,0,((C15/B15)-1)/C$7)</f>
        <v>0.992148877</v>
      </c>
      <c r="D35" s="199">
        <f>IF('Finanical Statment'!E7=0,0,((D15/C15)-1)/D$7)</f>
        <v>3.263953482</v>
      </c>
      <c r="E35" s="199">
        <f>IF('Finanical Statment'!F7=0,0,((E15/D15)-1)/E$7)</f>
        <v>0.7090648003</v>
      </c>
      <c r="F35" s="199">
        <f>IF('Finanical Statment'!G7=0,0,((F15/E15)-1)/F$7)</f>
        <v>0.5114330713</v>
      </c>
      <c r="G35" s="199">
        <f>IF('Finanical Statment'!H7=0,0,((G15/F15)-1)/G$7)</f>
        <v>0.9073964035</v>
      </c>
      <c r="H35" s="199">
        <f>IF('Finanical Statment'!I7=0,0,((H15/G15)-1)/H$7)</f>
        <v>0.9189495291</v>
      </c>
      <c r="I35" s="199">
        <f>IF('Finanical Statment'!J7=0,0,((I15/H15)-1)/I$7)</f>
        <v>63.80438479</v>
      </c>
      <c r="J35" s="199">
        <f>IF('Finanical Statment'!K7=0,0,((J15/I15)-1)/J$7)</f>
        <v>0.8189606093</v>
      </c>
      <c r="K35" s="199">
        <f>IF('Finanical Statment'!L7=0,0,((K15/J15)-1)/K$7)</f>
        <v>1.376215137</v>
      </c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</row>
    <row r="36">
      <c r="A36" s="44" t="s">
        <v>217</v>
      </c>
      <c r="B36" s="44"/>
      <c r="C36" s="199">
        <f>IF('Finanical Statment'!D7=0,0,((C16/B16)-1)/C$7)</f>
        <v>1.076418799</v>
      </c>
      <c r="D36" s="199">
        <f>IF('Finanical Statment'!E7=0,0,((D16/C16)-1)/D$7)</f>
        <v>24.97112017</v>
      </c>
      <c r="E36" s="199">
        <f>IF('Finanical Statment'!F7=0,0,((E16/D16)-1)/E$7)</f>
        <v>0.6076705365</v>
      </c>
      <c r="F36" s="199">
        <f>IF('Finanical Statment'!G7=0,0,((F16/E16)-1)/F$7)</f>
        <v>2.232539232</v>
      </c>
      <c r="G36" s="199">
        <f>IF('Finanical Statment'!H7=0,0,((G16/F16)-1)/G$7)</f>
        <v>0.9850015845</v>
      </c>
      <c r="H36" s="199">
        <f>IF('Finanical Statment'!I7=0,0,((H16/G16)-1)/H$7)</f>
        <v>1.30162698</v>
      </c>
      <c r="I36" s="199">
        <f>IF('Finanical Statment'!J7=0,0,((I16/H16)-1)/I$7)</f>
        <v>-14.78824162</v>
      </c>
      <c r="J36" s="199">
        <f>IF('Finanical Statment'!K7=0,0,((J16/I16)-1)/J$7)</f>
        <v>0.4140490092</v>
      </c>
      <c r="K36" s="199">
        <f>IF('Finanical Statment'!L7=0,0,((K16/J16)-1)/K$7)</f>
        <v>1.020644861</v>
      </c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</row>
    <row r="37">
      <c r="A37" s="44" t="s">
        <v>218</v>
      </c>
      <c r="B37" s="44"/>
      <c r="C37" s="199">
        <f>IF('Finanical Statment'!D7=0,0,((C17/B17)-1)/C$7)</f>
        <v>1.540856001</v>
      </c>
      <c r="D37" s="199">
        <f>IF('Finanical Statment'!E7=0,0,((D17/C17)-1)/D$7)</f>
        <v>10.29842934</v>
      </c>
      <c r="E37" s="199">
        <f>IF('Finanical Statment'!F7=0,0,((E17/D17)-1)/E$7)</f>
        <v>-0.2110067639</v>
      </c>
      <c r="F37" s="199">
        <f>IF('Finanical Statment'!G7=0,0,((F17/E17)-1)/F$7)</f>
        <v>-3.377016992</v>
      </c>
      <c r="G37" s="199">
        <f>IF('Finanical Statment'!H7=0,0,((G17/F17)-1)/G$7)</f>
        <v>1.328772743</v>
      </c>
      <c r="H37" s="199">
        <f>IF('Finanical Statment'!I7=0,0,((H17/G17)-1)/H$7)</f>
        <v>-0.5859389403</v>
      </c>
      <c r="I37" s="199">
        <f>IF('Finanical Statment'!J7=0,0,((I17/H17)-1)/I$7)</f>
        <v>21.27582751</v>
      </c>
      <c r="J37" s="199">
        <f>IF('Finanical Statment'!K7=0,0,((J17/I17)-1)/J$7)</f>
        <v>0.6346616788</v>
      </c>
      <c r="K37" s="199">
        <f>IF('Finanical Statment'!L7=0,0,((K17/J17)-1)/K$7)</f>
        <v>0.9059497202</v>
      </c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</row>
    <row r="38">
      <c r="A38" s="44" t="s">
        <v>219</v>
      </c>
      <c r="B38" s="44"/>
      <c r="C38" s="199">
        <f>IF('Finanical Statment'!D7=0,0,((C18/B18)-1)/C$7)</f>
        <v>-0.7383346447</v>
      </c>
      <c r="D38" s="199">
        <f>IF('Finanical Statment'!E7=0,0,((D18/C18)-1)/D$7)</f>
        <v>24.29808483</v>
      </c>
      <c r="E38" s="199">
        <f>IF('Finanical Statment'!F7=0,0,((E18/D18)-1)/E$7)</f>
        <v>-0.5912174491</v>
      </c>
      <c r="F38" s="199">
        <f>IF('Finanical Statment'!G7=0,0,((F18/E18)-1)/F$7)</f>
        <v>-8.764037625</v>
      </c>
      <c r="G38" s="199">
        <f>IF('Finanical Statment'!H7=0,0,((G18/F18)-1)/G$7)</f>
        <v>0.2991157904</v>
      </c>
      <c r="H38" s="199">
        <f>IF('Finanical Statment'!I7=0,0,((H18/G18)-1)/H$7)</f>
        <v>8.217689173</v>
      </c>
      <c r="I38" s="199">
        <f>IF('Finanical Statment'!J7=0,0,((I18/H18)-1)/I$7)</f>
        <v>46.65384109</v>
      </c>
      <c r="J38" s="199">
        <f>IF('Finanical Statment'!K7=0,0,((J18/I18)-1)/J$7)</f>
        <v>0.1431722885</v>
      </c>
      <c r="K38" s="199">
        <f>IF('Finanical Statment'!L7=0,0,((K18/J18)-1)/K$7)</f>
        <v>1.056158572</v>
      </c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</row>
    <row r="39">
      <c r="A39" s="44"/>
      <c r="B39" s="44"/>
      <c r="C39" s="199"/>
      <c r="D39" s="199"/>
      <c r="E39" s="199"/>
      <c r="F39" s="199"/>
      <c r="G39" s="199"/>
      <c r="H39" s="199"/>
      <c r="I39" s="199"/>
      <c r="J39" s="199"/>
      <c r="K39" s="199"/>
      <c r="L39" s="44" t="str">
        <f t="array" ref="L39">SPARKLINE('Cost Analysis'!B39:K39, {"charttype","line";"color","#0070c0";"empty","ignore";"nan","convert"})</f>
        <v>#N/A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</row>
    <row r="40">
      <c r="A40" s="245" t="s">
        <v>220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8"/>
      <c r="L40" s="44" t="str">
        <f t="array" ref="L40">SPARKLINE('Cost Analysis'!B40:K40, {"charttype","line";"color","#0070c0";"empty","ignore";"nan","convert"})</f>
        <v>#N/A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</row>
    <row r="41">
      <c r="A41" s="44" t="s">
        <v>221</v>
      </c>
      <c r="B41" s="44"/>
      <c r="C41" s="199">
        <f>IF('Finanical Statment'!D74=0,0,'Finanical Statment'!D74/'Cost Analysis'!C$7)</f>
        <v>4.5209669</v>
      </c>
      <c r="D41" s="199">
        <f>IF('Finanical Statment'!E7=0,0,'Finanical Statment'!E74/'Cost Analysis'!D$7)</f>
        <v>75.38426064</v>
      </c>
      <c r="E41" s="199">
        <f>IF('Finanical Statment'!F7=0,0,'Finanical Statment'!F74/'Cost Analysis'!E$7)</f>
        <v>-2.637874193</v>
      </c>
      <c r="F41" s="199">
        <f>IF('Finanical Statment'!G7=0,0,'Finanical Statment'!G74/'Cost Analysis'!F$7)</f>
        <v>0.2317334472</v>
      </c>
      <c r="G41" s="199">
        <f>IF('Finanical Statment'!H7=0,0,'Finanical Statment'!H74/'Cost Analysis'!G$7)</f>
        <v>1.599949262</v>
      </c>
      <c r="H41" s="199">
        <f>IF('Finanical Statment'!I7=0,0,'Finanical Statment'!I74/'Cost Analysis'!H$7)</f>
        <v>4.698085547</v>
      </c>
      <c r="I41" s="199">
        <f>IF('Finanical Statment'!J7=0,0,'Finanical Statment'!J74/'Cost Analysis'!I$7)</f>
        <v>68.06805366</v>
      </c>
      <c r="J41" s="199">
        <f>IF('Finanical Statment'!K7=0,0,'Finanical Statment'!K74/'Cost Analysis'!J$7)</f>
        <v>0.7010331013</v>
      </c>
      <c r="K41" s="199">
        <f>IF('Finanical Statment'!L7=0,0,'Finanical Statment'!L74/'Cost Analysis'!K$7)</f>
        <v>0.4088581062</v>
      </c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</row>
    <row r="42">
      <c r="A42" s="44" t="s">
        <v>222</v>
      </c>
      <c r="B42" s="44"/>
      <c r="C42" s="199">
        <f>IF('Finanical Statment'!D52=0,0,(('Finanical Statment'!D52/'Finanical Statment'!C52)-1)/('Cost Analysis'!C$7))</f>
        <v>-1.884766895</v>
      </c>
      <c r="D42" s="199">
        <f>IF('Finanical Statment'!E7=0,0,(('Finanical Statment'!E52/'Finanical Statment'!D52)-1)/('Cost Analysis'!D$7))</f>
        <v>-3.389292681</v>
      </c>
      <c r="E42" s="199">
        <f>IF('Finanical Statment'!F7=0,0,(('Finanical Statment'!F52/'Finanical Statment'!E52)-1)/('Cost Analysis'!E$7))</f>
        <v>3.185222805</v>
      </c>
      <c r="F42" s="199">
        <f>IF('Finanical Statment'!G7=0,0,(('Finanical Statment'!G52/'Finanical Statment'!F52)-1)/('Cost Analysis'!F$7))</f>
        <v>5.276716096</v>
      </c>
      <c r="G42" s="199">
        <f>IF('Finanical Statment'!H7=0,0,(('Finanical Statment'!H52/'Finanical Statment'!G52)-1)/('Cost Analysis'!G$7))</f>
        <v>4.481282744</v>
      </c>
      <c r="H42" s="199">
        <f>IF('Finanical Statment'!I7=0,0,(('Finanical Statment'!I52/'Finanical Statment'!H52)-1)/('Cost Analysis'!H$7))</f>
        <v>-16.83301712</v>
      </c>
      <c r="I42" s="199">
        <f>IF('Finanical Statment'!J7=0,0,(('Finanical Statment'!J52/'Finanical Statment'!I52)-1)/('Cost Analysis'!I$7))</f>
        <v>8.993759722</v>
      </c>
      <c r="J42" s="199">
        <f>IF('Finanical Statment'!K7=0,0,(('Finanical Statment'!K52/'Finanical Statment'!J52)-1)/('Cost Analysis'!J$7))</f>
        <v>-0.06881878732</v>
      </c>
      <c r="K42" s="199">
        <f>IF('Finanical Statment'!L7=0,0,(('Finanical Statment'!L52/'Finanical Statment'!K52)-1)/('Cost Analysis'!K$7))</f>
        <v>1.185018896</v>
      </c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</row>
    <row r="43">
      <c r="A43" s="44" t="s">
        <v>223</v>
      </c>
      <c r="B43" s="44"/>
      <c r="C43" s="199">
        <f>IF('Finanical Statment'!D53=0,0,(('Finanical Statment'!D53/'Finanical Statment'!C53)-1)/'Cost Analysis'!C$7)</f>
        <v>0.4040003301</v>
      </c>
      <c r="D43" s="199">
        <f>IF('Finanical Statment'!E7=0,0,(('Finanical Statment'!E53/'Finanical Statment'!D53)-1)/'Cost Analysis'!D$7)</f>
        <v>5.729533309</v>
      </c>
      <c r="E43" s="199">
        <f>IF('Finanical Statment'!F7=0,0,(('Finanical Statment'!F53/'Finanical Statment'!E53)-1)/'Cost Analysis'!E$7)</f>
        <v>-1.144258213</v>
      </c>
      <c r="F43" s="199">
        <f>IF('Finanical Statment'!G7=0,0,(('Finanical Statment'!G53/'Finanical Statment'!F53)-1)/'Cost Analysis'!F$7)</f>
        <v>-4.802885105</v>
      </c>
      <c r="G43" s="199">
        <f>IF('Finanical Statment'!H7=0,0,(('Finanical Statment'!H53/'Finanical Statment'!G53)-1)/'Cost Analysis'!G$7)</f>
        <v>0.4320146006</v>
      </c>
      <c r="H43" s="199">
        <f>IF('Finanical Statment'!I7=0,0,(('Finanical Statment'!I53/'Finanical Statment'!H53)-1)/'Cost Analysis'!H$7)</f>
        <v>5.984058939</v>
      </c>
      <c r="I43" s="199">
        <f>IF('Finanical Statment'!J7=0,0,(('Finanical Statment'!J53/'Finanical Statment'!I53)-1)/'Cost Analysis'!I$7)</f>
        <v>-64.81626554</v>
      </c>
      <c r="J43" s="199">
        <f>IF('Finanical Statment'!K7=0,0,(('Finanical Statment'!K53/'Finanical Statment'!J53)-1)/'Cost Analysis'!J$7)</f>
        <v>0.1942907056</v>
      </c>
      <c r="K43" s="199">
        <f>IF('Finanical Statment'!L7=0,0,(('Finanical Statment'!L53/'Finanical Statment'!K53)-1)/'Cost Analysis'!K$7)</f>
        <v>0.492773965</v>
      </c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</row>
    <row r="44">
      <c r="A44" s="44" t="s">
        <v>224</v>
      </c>
      <c r="B44" s="44"/>
      <c r="C44" s="199">
        <f>IF('Finanical Statment'!D60=0,0,(('Finanical Statment'!D60-'Finanical Statment'!C60)-1)/'Cost Analysis'!C$7)</f>
        <v>-874.9371667</v>
      </c>
      <c r="D44" s="199">
        <f>IF('Finanical Statment'!E60=0,0,(('Finanical Statment'!E60-'Finanical Statment'!D60)-1)/'Cost Analysis'!D$7)</f>
        <v>32921.33271</v>
      </c>
      <c r="E44" s="199">
        <f>IF('Finanical Statment'!F60=0,0,(('Finanical Statment'!F60-'Finanical Statment'!E60)-1)/'Cost Analysis'!E$7)</f>
        <v>3496.652189</v>
      </c>
      <c r="F44" s="199">
        <f>IF('Finanical Statment'!G60=0,0,(('Finanical Statment'!G60-'Finanical Statment'!F60)-1)/'Cost Analysis'!F$7)</f>
        <v>52475.58282</v>
      </c>
      <c r="G44" s="199">
        <f>IF('Finanical Statment'!H60=0,0,(('Finanical Statment'!H60-'Finanical Statment'!G60)-1)/'Cost Analysis'!G$7)</f>
        <v>115.4933138</v>
      </c>
      <c r="H44" s="199">
        <f>IF('Finanical Statment'!I60=0,0,(('Finanical Statment'!I60-'Finanical Statment'!H60)-1)/'Cost Analysis'!H$7)</f>
        <v>5488.312426</v>
      </c>
      <c r="I44" s="199">
        <f>IF('Finanical Statment'!J60=0,0,(('Finanical Statment'!J60-'Finanical Statment'!I60)-1)/'Cost Analysis'!I$7)</f>
        <v>-260873.2253</v>
      </c>
      <c r="J44" s="199">
        <f>IF('Finanical Statment'!K60=0,0,(('Finanical Statment'!K60-'Finanical Statment'!J60)-1)/'Cost Analysis'!J$7)</f>
        <v>419.5955815</v>
      </c>
      <c r="K44" s="199">
        <f>IF('Finanical Statment'!L60=0,0,(('Finanical Statment'!L60-'Finanical Statment'!K60)-1)/'Cost Analysis'!K$7)</f>
        <v>1422.487553</v>
      </c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</row>
    <row r="45">
      <c r="A45" s="44" t="s">
        <v>225</v>
      </c>
      <c r="B45" s="44"/>
      <c r="C45" s="199">
        <f>IF('Finanical Statment'!D7=0,0,((('Finanical Statment'!D68+'Finanical Statment'!D54-'Finanical Statment'!D59)/('Finanical Statment'!C68+'Finanical Statment'!C54-'Finanical Statment'!C59)-1)/'Cost Analysis'!C$7))</f>
        <v>2.928859739</v>
      </c>
      <c r="D45" s="199">
        <f>IF('Finanical Statment'!E7=0,0,((('Finanical Statment'!E68+'Finanical Statment'!E54-'Finanical Statment'!E59)/('Finanical Statment'!D68+'Finanical Statment'!D54-'Finanical Statment'!D59)-1)/'Cost Analysis'!D$7))</f>
        <v>24.44923523</v>
      </c>
      <c r="E45" s="199">
        <f>IF('Finanical Statment'!F7=0,0,((('Finanical Statment'!F68+'Finanical Statment'!F54-'Finanical Statment'!F59)/('Finanical Statment'!E68+'Finanical Statment'!E54-'Finanical Statment'!E59)-1)/'Cost Analysis'!E$7))</f>
        <v>0.1521838516</v>
      </c>
      <c r="F45" s="199">
        <f>IF('Finanical Statment'!G7=0,0,((('Finanical Statment'!G68+'Finanical Statment'!G54-'Finanical Statment'!G59)/('Finanical Statment'!F68+'Finanical Statment'!F54-'Finanical Statment'!F59)-1)/'Cost Analysis'!F$7))</f>
        <v>7.683821513</v>
      </c>
      <c r="G45" s="199">
        <f>IF('Finanical Statment'!H7=0,0,((('Finanical Statment'!H68+'Finanical Statment'!H54-'Finanical Statment'!H59)/('Finanical Statment'!G68+'Finanical Statment'!G54-'Finanical Statment'!G59)-1)/'Cost Analysis'!G$7))</f>
        <v>1.268375728</v>
      </c>
      <c r="H45" s="199">
        <f>IF('Finanical Statment'!I7=0,0,((('Finanical Statment'!I68+'Finanical Statment'!I54-'Finanical Statment'!I59)/('Finanical Statment'!H68+'Finanical Statment'!H54-'Finanical Statment'!H59)-1)/'Cost Analysis'!H$7))</f>
        <v>6.55491424</v>
      </c>
      <c r="I45" s="199">
        <f>IF('Finanical Statment'!J7=0,0,((('Finanical Statment'!J68+'Finanical Statment'!J54-'Finanical Statment'!J59)/('Finanical Statment'!I68+'Finanical Statment'!I54-'Finanical Statment'!I59)-1)/'Cost Analysis'!I$7))</f>
        <v>39.54561418</v>
      </c>
      <c r="J45" s="199">
        <f>IF('Finanical Statment'!K7=0,0,((('Finanical Statment'!K68+'Finanical Statment'!K54-'Finanical Statment'!K59)/('Finanical Statment'!J68+'Finanical Statment'!J54-'Finanical Statment'!J59)-1)/'Cost Analysis'!J$7))</f>
        <v>0.1419971036</v>
      </c>
      <c r="K45" s="199">
        <f>IF('Finanical Statment'!L7=0,0,((('Finanical Statment'!L68+'Finanical Statment'!L54-'Finanical Statment'!L59)/('Finanical Statment'!K68+'Finanical Statment'!K54-'Finanical Statment'!K59)-1)/'Cost Analysis'!K$7))</f>
        <v>0.6063817923</v>
      </c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</row>
    <row r="46">
      <c r="A46" s="44"/>
      <c r="B46" s="44"/>
      <c r="C46" s="199"/>
      <c r="D46" s="199"/>
      <c r="E46" s="199"/>
      <c r="F46" s="199"/>
      <c r="G46" s="199"/>
      <c r="H46" s="199"/>
      <c r="I46" s="199"/>
      <c r="J46" s="199"/>
      <c r="K46" s="199"/>
      <c r="L46" s="44" t="str">
        <f t="array" ref="L46">SPARKLINE('Cost Analysis'!B46:K46, {"charttype","line";"color","#0070c0";"empty","ignore";"nan","convert"})</f>
        <v>#N/A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</row>
    <row r="47">
      <c r="A47" s="245" t="s">
        <v>226</v>
      </c>
      <c r="B47" s="196"/>
      <c r="C47" s="196"/>
      <c r="D47" s="196"/>
      <c r="E47" s="196"/>
      <c r="F47" s="196"/>
      <c r="G47" s="196"/>
      <c r="H47" s="196"/>
      <c r="I47" s="196"/>
      <c r="J47" s="196"/>
      <c r="K47" s="198"/>
      <c r="L47" s="44" t="str">
        <f t="array" ref="L47">SPARKLINE('Cost Analysis'!B47:K47, {"charttype","line";"color","#0070c0";"empty","ignore";"nan","convert"})</f>
        <v>#N/A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</row>
    <row r="48">
      <c r="A48" s="44" t="s">
        <v>227</v>
      </c>
      <c r="B48" s="44"/>
      <c r="C48" s="247">
        <f>IF('Finanical Statment'!C66=0,0,('Finanical Statment'!D66/'Finanical Statment'!C66)-1)</f>
        <v>0.007833324951</v>
      </c>
      <c r="D48" s="247">
        <f>IF('Finanical Statment'!D66=0,0,('Finanical Statment'!E66/'Finanical Statment'!D66)-1)</f>
        <v>0.003954837502</v>
      </c>
      <c r="E48" s="247">
        <f>IF('Finanical Statment'!E66=0,0,('Finanical Statment'!F66/'Finanical Statment'!E66)-1)</f>
        <v>0.5095188389</v>
      </c>
      <c r="F48" s="247">
        <f>IF('Finanical Statment'!F66=0,0,('Finanical Statment'!G66/'Finanical Statment'!F66)-1)</f>
        <v>0.004684129937</v>
      </c>
      <c r="G48" s="247">
        <f>IF('Finanical Statment'!G66=0,0,('Finanical Statment'!H66/'Finanical Statment'!G66)-1)</f>
        <v>0.004449251493</v>
      </c>
      <c r="H48" s="247">
        <f>IF('Finanical Statment'!H66=0,0,('Finanical Statment'!I66/'Finanical Statment'!H66)-1)</f>
        <v>0.002740932896</v>
      </c>
      <c r="I48" s="247">
        <f>IF('Finanical Statment'!I66=0,0,('Finanical Statment'!J66/'Finanical Statment'!I66)-1)</f>
        <v>0.001350449879</v>
      </c>
      <c r="J48" s="247">
        <f>IF('Finanical Statment'!J66=0,0,('Finanical Statment'!K66/'Finanical Statment'!J66)-1)</f>
        <v>0.001178018978</v>
      </c>
      <c r="K48" s="247">
        <f>IF('Finanical Statment'!K66=0,0,('Finanical Statment'!L66/'Finanical Statment'!K66)-1)</f>
        <v>0.008496100882</v>
      </c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</row>
    <row r="49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</row>
    <row r="50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</row>
    <row r="5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</row>
    <row r="5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</row>
    <row r="53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</row>
    <row r="54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</row>
    <row r="5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</row>
    <row r="56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</row>
    <row r="60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</row>
    <row r="6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</row>
    <row r="62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</row>
    <row r="64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</row>
    <row r="6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</row>
    <row r="66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</row>
    <row r="67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</row>
    <row r="68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</row>
    <row r="69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</row>
    <row r="70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</row>
    <row r="7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</row>
    <row r="7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</row>
    <row r="73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</row>
    <row r="74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</row>
    <row r="7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</row>
    <row r="76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</row>
    <row r="77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</row>
    <row r="78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</row>
    <row r="79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</row>
    <row r="80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</row>
    <row r="8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</row>
    <row r="8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</row>
    <row r="8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</row>
    <row r="86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</row>
    <row r="87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</row>
    <row r="88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</row>
    <row r="89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</row>
    <row r="90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</row>
    <row r="94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</row>
    <row r="9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</row>
    <row r="96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</row>
    <row r="97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</row>
    <row r="98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</row>
    <row r="99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</row>
  </sheetData>
  <mergeCells count="3">
    <mergeCell ref="B1:F1"/>
    <mergeCell ref="A2:A3"/>
    <mergeCell ref="B2:K2"/>
  </mergeCells>
  <hyperlinks>
    <hyperlink r:id="rId1" ref="G1"/>
    <hyperlink r:id="rId2" ref="H1"/>
  </hyperlinks>
  <printOptions horizontalCentered="1" verticalCentered="1"/>
  <pageMargins bottom="0.7480314960629921" footer="0.0" header="0.0" left="0.31496062992125984" right="0.5118110236220472" top="0.7480314960629921"/>
  <pageSetup fitToWidth="0" paperSize="9" orientation="landscape"/>
  <drawing r:id="rId3"/>
  <extLst>
    <ext uri="{05C60535-1F16-4fd2-B633-F4F36F0B64E0}">
      <x14:sparklineGroups>
        <x14:sparklineGroup displayEmptyCellsAs="gap">
          <x14:colorSeries rgb="FF0070C0"/>
          <x14:sparklines>
            <x14:sparkline>
              <xm:f>'Cost Analysis'!B12:K12</xm:f>
              <xm:sqref>L12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Analysis'!B13:K13</xm:f>
              <xm:sqref>L13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Analysis'!B14:K14</xm:f>
              <xm:sqref>L14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Analysis'!B15:K15</xm:f>
              <xm:sqref>L15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Analysis'!B16:K16</xm:f>
              <xm:sqref>L16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Analysis'!B17:K17</xm:f>
              <xm:sqref>L17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Analysis'!B18:K18</xm:f>
              <xm:sqref>L18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Analysis'!B19:K19</xm:f>
              <xm:sqref>L19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Analysis'!B22:K22</xm:f>
              <xm:sqref>L22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Analysis'!B23:K23</xm:f>
              <xm:sqref>L23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Analysis'!B24:K24</xm:f>
              <xm:sqref>L24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Analysis'!B25:K25</xm:f>
              <xm:sqref>L25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Analysis'!B26:K26</xm:f>
              <xm:sqref>L26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Analysis'!B27:K27</xm:f>
              <xm:sqref>L27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Analysis'!B28:K28</xm:f>
              <xm:sqref>L28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Analysis'!B29:K29</xm:f>
              <xm:sqref>L29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Analysis'!B32:K32</xm:f>
              <xm:sqref>L32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Analysis'!B33:K33</xm:f>
              <xm:sqref>L33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Analysis'!B34:K34</xm:f>
              <xm:sqref>L34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Analysis'!B35:K35</xm:f>
              <xm:sqref>L35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Analysis'!B36:K36</xm:f>
              <xm:sqref>L36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Analysis'!B37:K37</xm:f>
              <xm:sqref>L37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Analysis'!B38:K38</xm:f>
              <xm:sqref>L38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Analysis'!B41:K41</xm:f>
              <xm:sqref>L41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Analysis'!B42:K42</xm:f>
              <xm:sqref>L42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Analysis'!B43:K43</xm:f>
              <xm:sqref>L43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Analysis'!B44:K44</xm:f>
              <xm:sqref>L44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Analysis'!B45:K45</xm:f>
              <xm:sqref>L45</xm:sqref>
            </x14:sparkline>
          </x14:sparklines>
        </x14:sparklineGroup>
        <x14:sparklineGroup displayEmptyCellsAs="gap">
          <x14:colorSeries rgb="FF0070C0"/>
          <x14:sparklines>
            <x14:sparkline>
              <xm:f>'Cost Analysis'!B48:K48</xm:f>
              <xm:sqref>L48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39.71"/>
    <col customWidth="1" min="2" max="11" width="15.71"/>
    <col customWidth="1" min="12" max="31" width="9.14"/>
  </cols>
  <sheetData>
    <row r="1">
      <c r="A1" s="178" t="s">
        <v>66</v>
      </c>
      <c r="B1" s="179" t="s">
        <v>67</v>
      </c>
      <c r="C1" s="135"/>
      <c r="D1" s="135"/>
      <c r="E1" s="135"/>
      <c r="F1" s="133"/>
      <c r="G1" s="180" t="s">
        <v>68</v>
      </c>
      <c r="H1" s="181" t="s">
        <v>69</v>
      </c>
      <c r="I1" s="182"/>
      <c r="J1" s="182"/>
      <c r="K1" s="184"/>
      <c r="L1" s="185"/>
      <c r="M1" s="206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</row>
    <row r="2">
      <c r="A2" s="243" t="s">
        <v>228</v>
      </c>
      <c r="B2" s="208" t="str">
        <f>Quarters!B2</f>
        <v>ITC LTD</v>
      </c>
      <c r="C2" s="209"/>
      <c r="D2" s="209"/>
      <c r="E2" s="209"/>
      <c r="F2" s="209"/>
      <c r="G2" s="209"/>
      <c r="H2" s="209"/>
      <c r="I2" s="209"/>
      <c r="J2" s="209"/>
      <c r="K2" s="210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</row>
    <row r="3">
      <c r="A3" s="189"/>
      <c r="B3" s="190">
        <v>2014.0</v>
      </c>
      <c r="C3" s="190">
        <f t="shared" ref="C3:K3" si="1">B3+1</f>
        <v>2015</v>
      </c>
      <c r="D3" s="190">
        <f t="shared" si="1"/>
        <v>2016</v>
      </c>
      <c r="E3" s="190">
        <f t="shared" si="1"/>
        <v>2017</v>
      </c>
      <c r="F3" s="190">
        <f t="shared" si="1"/>
        <v>2018</v>
      </c>
      <c r="G3" s="190">
        <f t="shared" si="1"/>
        <v>2019</v>
      </c>
      <c r="H3" s="190">
        <f t="shared" si="1"/>
        <v>2020</v>
      </c>
      <c r="I3" s="190">
        <f t="shared" si="1"/>
        <v>2021</v>
      </c>
      <c r="J3" s="190">
        <f t="shared" si="1"/>
        <v>2022</v>
      </c>
      <c r="K3" s="191">
        <f t="shared" si="1"/>
        <v>2023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</row>
    <row r="5">
      <c r="A5" s="39" t="s">
        <v>229</v>
      </c>
      <c r="B5" s="41"/>
      <c r="C5" s="42"/>
      <c r="D5" s="42"/>
      <c r="E5" s="42"/>
      <c r="F5" s="42"/>
      <c r="G5" s="42"/>
      <c r="H5" s="42"/>
      <c r="I5" s="42"/>
      <c r="J5" s="42"/>
      <c r="K5" s="42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</row>
    <row r="6">
      <c r="A6" s="44" t="s">
        <v>230</v>
      </c>
      <c r="B6" s="44"/>
      <c r="C6" s="247">
        <f>'Finanical Statment'!D8</f>
        <v>0.09943571185</v>
      </c>
      <c r="D6" s="247">
        <f>'Finanical Statment'!E8</f>
        <v>0.009659390244</v>
      </c>
      <c r="E6" s="247">
        <f>'Finanical Statment'!F8</f>
        <v>0.09123012036</v>
      </c>
      <c r="F6" s="247">
        <f>'Finanical Statment'!G8</f>
        <v>0.01593121896</v>
      </c>
      <c r="G6" s="247">
        <f>'Finanical Statment'!H8</f>
        <v>0.1125606286</v>
      </c>
      <c r="H6" s="247">
        <f>'Finanical Statment'!I8</f>
        <v>0.02168243911</v>
      </c>
      <c r="I6" s="247">
        <f>'Finanical Statment'!J8</f>
        <v>-0.002637296331</v>
      </c>
      <c r="J6" s="247">
        <f>'Finanical Statment'!K8</f>
        <v>0.2311749796</v>
      </c>
      <c r="K6" s="247">
        <f>'Finanical Statment'!L8</f>
        <v>0.1694215176</v>
      </c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</row>
    <row r="7">
      <c r="A7" s="44" t="s">
        <v>231</v>
      </c>
      <c r="B7" s="44"/>
      <c r="C7" s="247">
        <f>IF('Finanical Statment'!C52=0,0,('Finanical Statment'!D52/'Finanical Statment'!C52)-1)</f>
        <v>-0.1874131379</v>
      </c>
      <c r="D7" s="247">
        <f>IF('Finanical Statment'!D52=0,0,('Finanical Statment'!E52/'Finanical Statment'!D52)-1)</f>
        <v>-0.03273850066</v>
      </c>
      <c r="E7" s="247">
        <f>IF('Finanical Statment'!E52=0,0,('Finanical Statment'!F52/'Finanical Statment'!E52)-1)</f>
        <v>0.2905882598</v>
      </c>
      <c r="F7" s="247">
        <f>IF('Finanical Statment'!F52=0,0,('Finanical Statment'!G52/'Finanical Statment'!F52)-1)</f>
        <v>0.08406451952</v>
      </c>
      <c r="G7" s="247">
        <f>IF('Finanical Statment'!G52=0,0,('Finanical Statment'!H52/'Finanical Statment'!G52)-1)</f>
        <v>0.5044160027</v>
      </c>
      <c r="H7" s="247">
        <f>IF('Finanical Statment'!H52=0,0,('Finanical Statment'!I52/'Finanical Statment'!H52)-1)</f>
        <v>-0.3649808687</v>
      </c>
      <c r="I7" s="247">
        <f>IF('Finanical Statment'!I52=0,0,('Finanical Statment'!J52/'Finanical Statment'!I52)-1)</f>
        <v>-0.02371920952</v>
      </c>
      <c r="J7" s="247">
        <f>IF('Finanical Statment'!J52=0,0,('Finanical Statment'!K52/'Finanical Statment'!J52)-1)</f>
        <v>-0.01590918176</v>
      </c>
      <c r="K7" s="247">
        <f>IF('Finanical Statment'!K52=0,0,('Finanical Statment'!L52/'Finanical Statment'!K52)-1)</f>
        <v>0.2007676997</v>
      </c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</row>
    <row r="8">
      <c r="A8" s="44" t="s">
        <v>232</v>
      </c>
      <c r="B8" s="44"/>
      <c r="C8" s="247">
        <f>IF('Finanical Statment'!C53=0,0,('Finanical Statment'!D53/'Finanical Statment'!C53)-1)</f>
        <v>0.04017206041</v>
      </c>
      <c r="D8" s="247">
        <f>IF('Finanical Statment'!D53=0,0,('Finanical Statment'!E53/'Finanical Statment'!D53)-1)</f>
        <v>0.05534379815</v>
      </c>
      <c r="E8" s="247">
        <f>IF('Finanical Statment'!E53=0,0,('Finanical Statment'!F53/'Finanical Statment'!E53)-1)</f>
        <v>-0.1043908145</v>
      </c>
      <c r="F8" s="247">
        <f>IF('Finanical Statment'!F53=0,0,('Finanical Statment'!G53/'Finanical Statment'!F53)-1)</f>
        <v>-0.07651581425</v>
      </c>
      <c r="G8" s="247">
        <f>IF('Finanical Statment'!G53=0,0,('Finanical Statment'!H53/'Finanical Statment'!G53)-1)</f>
        <v>0.04862783502</v>
      </c>
      <c r="H8" s="247">
        <f>IF('Finanical Statment'!H53=0,0,('Finanical Statment'!I53/'Finanical Statment'!H53)-1)</f>
        <v>0.1297489936</v>
      </c>
      <c r="I8" s="247">
        <f>IF('Finanical Statment'!I53=0,0,('Finanical Statment'!J53/'Finanical Statment'!I53)-1)</f>
        <v>0.1709396993</v>
      </c>
      <c r="J8" s="247">
        <f>IF('Finanical Statment'!J53=0,0,('Finanical Statment'!K53/'Finanical Statment'!J53)-1)</f>
        <v>0.04491514991</v>
      </c>
      <c r="K8" s="247">
        <f>IF('Finanical Statment'!K53=0,0,('Finanical Statment'!L53/'Finanical Statment'!K53)-1)</f>
        <v>0.08348651298</v>
      </c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</row>
    <row r="9">
      <c r="A9" s="44" t="s">
        <v>233</v>
      </c>
      <c r="B9" s="44"/>
      <c r="C9" s="247">
        <f>IF('Finanical Statment'!C60=0,0,('Finanical Statment'!D60/'Finanical Statment'!C60)-1)</f>
        <v>-0.0408357075</v>
      </c>
      <c r="D9" s="247">
        <f>IF('Finanical Statment'!D60=0,0,('Finanical Statment'!E60/'Finanical Statment'!D60)-1)</f>
        <v>0.1579207921</v>
      </c>
      <c r="E9" s="247">
        <f>IF('Finanical Statment'!E60=0,0,('Finanical Statment'!F60/'Finanical Statment'!E60)-1)</f>
        <v>0.1368106028</v>
      </c>
      <c r="F9" s="247">
        <f>IF('Finanical Statment'!F60=0,0,('Finanical Statment'!G60/'Finanical Statment'!F60)-1)</f>
        <v>0.3147799925</v>
      </c>
      <c r="G9" s="247">
        <f>IF('Finanical Statment'!G60=0,0,('Finanical Statment'!H60/'Finanical Statment'!G60)-1)</f>
        <v>0.004004576659</v>
      </c>
      <c r="H9" s="247">
        <f>IF('Finanical Statment'!H60=0,0,('Finanical Statment'!I60/'Finanical Statment'!H60)-1)</f>
        <v>0.03418803419</v>
      </c>
      <c r="I9" s="247">
        <f>IF('Finanical Statment'!I60=0,0,('Finanical Statment'!J60/'Finanical Statment'!I60)-1)</f>
        <v>0.1898071625</v>
      </c>
      <c r="J9" s="247">
        <f>IF('Finanical Statment'!J60=0,0,('Finanical Statment'!K60/'Finanical Statment'!J60)-1)</f>
        <v>0.0226904376</v>
      </c>
      <c r="K9" s="247">
        <f>IF('Finanical Statment'!K60=0,0,('Finanical Statment'!L60/'Finanical Statment'!K60)-1)</f>
        <v>0.05478831786</v>
      </c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</row>
    <row r="10">
      <c r="A10" s="44" t="s">
        <v>234</v>
      </c>
      <c r="B10" s="247">
        <f>IF('Finanical Statment'!C7=0,0,'Finanical Statment'!C53/'Finanical Statment'!C7)</f>
        <v>0.2338168996</v>
      </c>
      <c r="C10" s="247">
        <f>IF('Finanical Statment'!D7=0,0,'Finanical Statment'!D53/'Finanical Statment'!D7)</f>
        <v>0.2212133039</v>
      </c>
      <c r="D10" s="247">
        <f>IF('Finanical Statment'!E7=0,0,'Finanical Statment'!E53/'Finanical Statment'!E7)</f>
        <v>0.2312226188</v>
      </c>
      <c r="E10" s="247">
        <f>IF('Finanical Statment'!F7=0,0,'Finanical Statment'!F53/'Finanical Statment'!F7)</f>
        <v>0.189772164</v>
      </c>
      <c r="F10" s="247">
        <f>IF('Finanical Statment'!G7=0,0,'Finanical Statment'!G53/'Finanical Statment'!G7)</f>
        <v>0.1725034028</v>
      </c>
      <c r="G10" s="247">
        <f>IF('Finanical Statment'!H7=0,0,'Finanical Statment'!H53/'Finanical Statment'!H7)</f>
        <v>0.1625905728</v>
      </c>
      <c r="H10" s="247">
        <f>IF('Finanical Statment'!I7=0,0,'Finanical Statment'!I53/'Finanical Statment'!I7)</f>
        <v>0.1797882874</v>
      </c>
      <c r="I10" s="247">
        <f>IF('Finanical Statment'!J7=0,0,'Finanical Statment'!J53/'Finanical Statment'!J7)</f>
        <v>0.2110779182</v>
      </c>
      <c r="J10" s="247">
        <f>IF('Finanical Statment'!K7=0,0,'Finanical Statment'!K53/'Finanical Statment'!K7)</f>
        <v>0.1791447342</v>
      </c>
      <c r="K10" s="247">
        <f>IF('Finanical Statment'!L7=0,0,'Finanical Statment'!L53/'Finanical Statment'!L7)</f>
        <v>0.1659802736</v>
      </c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>
      <c r="A11" s="44" t="s">
        <v>235</v>
      </c>
      <c r="B11" s="247">
        <f>IF('Finanical Statment'!C7=0,0,'Finanical Statment'!C52/'Finanical Statment'!C7)</f>
        <v>0.06908684905</v>
      </c>
      <c r="C11" s="247">
        <f>IF('Finanical Statment'!D7=0,0,'Finanical Statment'!D52/'Finanical Statment'!D7)</f>
        <v>0.05106170855</v>
      </c>
      <c r="D11" s="247">
        <f>IF('Finanical Statment'!E7=0,0,'Finanical Statment'!E52/'Finanical Statment'!E7)</f>
        <v>0.04891751144</v>
      </c>
      <c r="E11" s="247">
        <f>IF('Finanical Statment'!F7=0,0,'Finanical Statment'!F52/'Finanical Statment'!F7)</f>
        <v>0.05785431027</v>
      </c>
      <c r="F11" s="247">
        <f>IF('Finanical Statment'!G7=0,0,'Finanical Statment'!G52/'Finanical Statment'!G7)</f>
        <v>0.06173430238</v>
      </c>
      <c r="G11" s="247">
        <f>IF('Finanical Statment'!H7=0,0,'Finanical Statment'!H52/'Finanical Statment'!H7)</f>
        <v>0.08347776294</v>
      </c>
      <c r="H11" s="247">
        <f>IF('Finanical Statment'!I7=0,0,'Finanical Statment'!I52/'Finanical Statment'!I7)</f>
        <v>0.05188498351</v>
      </c>
      <c r="I11" s="247">
        <f>IF('Finanical Statment'!J7=0,0,'Finanical Statment'!J52/'Finanical Statment'!J7)</f>
        <v>0.0507882564</v>
      </c>
      <c r="J11" s="247">
        <f>IF('Finanical Statment'!K7=0,0,'Finanical Statment'!K52/'Finanical Statment'!K7)</f>
        <v>0.04059557546</v>
      </c>
      <c r="K11" s="247">
        <f>IF('Finanical Statment'!L7=0,0,'Finanical Statment'!L52/'Finanical Statment'!L7)</f>
        <v>0.04168373425</v>
      </c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>
      <c r="A12" s="44" t="s">
        <v>236</v>
      </c>
      <c r="B12" s="247">
        <f>IF('Finanical Statment'!C7=0,0,'Finanical Statment'!C60/'Finanical Statment'!C7)</f>
        <v>0.05964919138</v>
      </c>
      <c r="C12" s="247">
        <f>IF('Finanical Statment'!D7=0,0,'Finanical Statment'!D60/'Finanical Statment'!D7)</f>
        <v>0.05203885396</v>
      </c>
      <c r="D12" s="247">
        <f>IF('Finanical Statment'!E7=0,0,'Finanical Statment'!E60/'Finanical Statment'!E7)</f>
        <v>0.05968039477</v>
      </c>
      <c r="E12" s="247">
        <f>IF('Finanical Statment'!F7=0,0,'Finanical Statment'!F60/'Finanical Statment'!F7)</f>
        <v>0.06217323394</v>
      </c>
      <c r="F12" s="247">
        <f>IF('Finanical Statment'!G7=0,0,'Finanical Statment'!G60/'Finanical Statment'!G7)</f>
        <v>0.08046226214</v>
      </c>
      <c r="G12" s="247">
        <f>IF('Finanical Statment'!H7=0,0,'Finanical Statment'!H60/'Finanical Statment'!H7)</f>
        <v>0.07261130527</v>
      </c>
      <c r="H12" s="247">
        <f>IF('Finanical Statment'!I7=0,0,'Finanical Statment'!I60/'Finanical Statment'!I7)</f>
        <v>0.073500082</v>
      </c>
      <c r="I12" s="247">
        <f>IF('Finanical Statment'!J7=0,0,'Finanical Statment'!J60/'Finanical Statment'!J7)</f>
        <v>0.08768216788</v>
      </c>
      <c r="J12" s="247">
        <f>IF('Finanical Statment'!K7=0,0,'Finanical Statment'!K60/'Finanical Statment'!K7)</f>
        <v>0.0728342568</v>
      </c>
      <c r="K12" s="247">
        <f>IF('Finanical Statment'!L7=0,0,'Finanical Statment'!L60/'Finanical Statment'!L7)</f>
        <v>0.06569463796</v>
      </c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>
      <c r="A13" s="44" t="s">
        <v>237</v>
      </c>
      <c r="B13" s="247">
        <f>IF('Finanical Statment'!C7=0,0,'Finanical Statment'!C20/('Finanical Statment'!C51+'Finanical Statment'!C54))</f>
        <v>0.08963441403</v>
      </c>
      <c r="C13" s="247">
        <f>IF('Finanical Statment'!D7=0,0,'Finanical Statment'!D20/('Finanical Statment'!D51+'Finanical Statment'!D54))</f>
        <v>0.08284593493</v>
      </c>
      <c r="D13" s="247">
        <f>IF('Finanical Statment'!E7=0,0,'Finanical Statment'!E20/('Finanical Statment'!E51+'Finanical Statment'!E54))</f>
        <v>0.08326984221</v>
      </c>
      <c r="E13" s="247">
        <f>IF('Finanical Statment'!F7=0,0,'Finanical Statment'!F20/('Finanical Statment'!F51+'Finanical Statment'!F54))</f>
        <v>0.08558318304</v>
      </c>
      <c r="F13" s="247">
        <f>IF('Finanical Statment'!G7=0,0,'Finanical Statment'!G20/('Finanical Statment'!G51+'Finanical Statment'!G54))</f>
        <v>0.0897630935</v>
      </c>
      <c r="G13" s="247">
        <f>IF('Finanical Statment'!H7=0,0,'Finanical Statment'!H20/('Finanical Statment'!H51+'Finanical Statment'!H54))</f>
        <v>0.07125887807</v>
      </c>
      <c r="H13" s="247">
        <f>IF('Finanical Statment'!I7=0,0,'Finanical Statment'!I20/('Finanical Statment'!I51+'Finanical Statment'!I54))</f>
        <v>0.0672585863</v>
      </c>
      <c r="I13" s="247">
        <f>IF('Finanical Statment'!J7=0,0,'Finanical Statment'!J20/('Finanical Statment'!J51+'Finanical Statment'!J54))</f>
        <v>0.08726581779</v>
      </c>
      <c r="J13" s="247">
        <f>IF('Finanical Statment'!K7=0,0,'Finanical Statment'!K20/('Finanical Statment'!K51+'Finanical Statment'!K54))</f>
        <v>0.06474630138</v>
      </c>
      <c r="K13" s="247">
        <f>IF('Finanical Statment'!L7=0,0,'Finanical Statment'!L20/('Finanical Statment'!L51+'Finanical Statment'!L54))</f>
        <v>0.06116422672</v>
      </c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</row>
    <row r="14">
      <c r="A14" s="44" t="s">
        <v>238</v>
      </c>
      <c r="B14" s="247">
        <f>IF('Finanical Statment'!C7=0,0,'Common Size Analysis '!B12)</f>
        <v>0.02732986598</v>
      </c>
      <c r="C14" s="247">
        <f>IF('Finanical Statment'!D7=0,0,'Common Size Analysis '!C12)</f>
        <v>0.02648210907</v>
      </c>
      <c r="D14" s="247">
        <f>IF('Finanical Statment'!E7=0,0,'Common Size Analysis '!D12)</f>
        <v>0.027490234</v>
      </c>
      <c r="E14" s="247">
        <f>IF('Finanical Statment'!F7=0,0,'Common Size Analysis '!E12)</f>
        <v>0.02695475079</v>
      </c>
      <c r="F14" s="247">
        <f>IF('Finanical Statment'!G7=0,0,'Common Size Analysis '!F12)</f>
        <v>0.02845362856</v>
      </c>
      <c r="G14" s="247">
        <f>IF('Finanical Statment'!H7=0,0,'Common Size Analysis '!G12)</f>
        <v>0.02889164531</v>
      </c>
      <c r="H14" s="247">
        <f>IF('Finanical Statment'!I7=0,0,'Common Size Analysis '!H12)</f>
        <v>0.03330606609</v>
      </c>
      <c r="I14" s="247">
        <f>IF('Finanical Statment'!J7=0,0,'Common Size Analysis '!I12)</f>
        <v>0.03340794134</v>
      </c>
      <c r="J14" s="247">
        <f>IF('Finanical Statment'!K7=0,0,'Common Size Analysis '!J12)</f>
        <v>0.02856662776</v>
      </c>
      <c r="K14" s="247">
        <f>IF('Finanical Statment'!L7=0,0,'Common Size Analysis '!K12)</f>
        <v>0.0255081041</v>
      </c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</row>
    <row r="15">
      <c r="A15" s="44" t="s">
        <v>239</v>
      </c>
      <c r="B15" s="157">
        <f>IF('Finanical Statment'!C7=0,0,'Key ratios'!B57)</f>
        <v>0.8168046253</v>
      </c>
      <c r="C15" s="157">
        <f>IF('Finanical Statment'!D7=0,0,'Key ratios'!C57)</f>
        <v>1.007943164</v>
      </c>
      <c r="D15" s="157">
        <f>IF('Finanical Statment'!E7=0,0,'Key ratios'!D57)</f>
        <v>1.031384527</v>
      </c>
      <c r="E15" s="157">
        <f>IF('Finanical Statment'!F7=0,0,'Key ratios'!E57)</f>
        <v>1.014324397</v>
      </c>
      <c r="F15" s="157">
        <f>IF('Finanical Statment'!G7=0,0,'Key ratios'!F57)</f>
        <v>1.145894604</v>
      </c>
      <c r="G15" s="157">
        <f>IF('Finanical Statment'!H7=0,0,'Key ratios'!G57)</f>
        <v>0.9803293887</v>
      </c>
      <c r="H15" s="157">
        <f>IF('Finanical Statment'!I7=0,0,'Key ratios'!H57)</f>
        <v>0.9420808862</v>
      </c>
      <c r="I15" s="157">
        <f>IF('Finanical Statment'!J7=0,0,'Key ratios'!I57)</f>
        <v>0.936044409</v>
      </c>
      <c r="J15" s="157">
        <f>IF('Finanical Statment'!K7=0,0,'Key ratios'!J57)</f>
        <v>1.017569355</v>
      </c>
      <c r="K15" s="157">
        <f>IF('Finanical Statment'!L7=0,0,'Key ratios'!K57)</f>
        <v>0.9692366066</v>
      </c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</row>
    <row r="16">
      <c r="A16" s="44" t="s">
        <v>240</v>
      </c>
      <c r="B16" s="157">
        <f>IF('Finanical Statment'!C7=0,0,'Key ratios'!B58)</f>
        <v>0.5614400722</v>
      </c>
      <c r="C16" s="157">
        <f>IF('Finanical Statment'!D7=0,0,'Key ratios'!C58)</f>
        <v>0.6906723587</v>
      </c>
      <c r="D16" s="157">
        <f>IF('Finanical Statment'!E7=0,0,'Key ratios'!D58)</f>
        <v>0.6743314003</v>
      </c>
      <c r="E16" s="157">
        <f>IF('Finanical Statment'!F7=0,0,'Key ratios'!E58)</f>
        <v>0.6869842678</v>
      </c>
      <c r="F16" s="157">
        <f>IF('Finanical Statment'!G7=0,0,'Key ratios'!F58)</f>
        <v>0.7971507071</v>
      </c>
      <c r="G16" s="157">
        <f>IF('Finanical Statment'!H7=0,0,'Key ratios'!G58)</f>
        <v>0.6788123894</v>
      </c>
      <c r="H16" s="157">
        <f>IF('Finanical Statment'!I7=0,0,'Key ratios'!H58)</f>
        <v>0.7594090844</v>
      </c>
      <c r="I16" s="157">
        <f>IF('Finanical Statment'!J7=0,0,'Key ratios'!I58)</f>
        <v>0.7340832991</v>
      </c>
      <c r="J16" s="157">
        <f>IF('Finanical Statment'!K7=0,0,'Key ratios'!J58)</f>
        <v>0.7649418251</v>
      </c>
      <c r="K16" s="157">
        <f>IF('Finanical Statment'!L7=0,0,'Key ratios'!K58)</f>
        <v>0.734413284</v>
      </c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</row>
    <row r="17">
      <c r="A17" s="44" t="s">
        <v>241</v>
      </c>
      <c r="B17" s="247">
        <f>IF('Finanical Statment'!C7=0,0,'Key ratios'!B43*'Finanical Statment'!C42)</f>
        <v>0.1548887982</v>
      </c>
      <c r="C17" s="247">
        <f>IF('Finanical Statment'!D7=0,0,'Key ratios'!C43*'Finanical Statment'!D42)</f>
        <v>0.1498618739</v>
      </c>
      <c r="D17" s="247">
        <f>IF('Finanical Statment'!E7=0,0,'Key ratios'!D43*'Finanical Statment'!E42)</f>
        <v>0.06234231313</v>
      </c>
      <c r="E17" s="247">
        <f>IF('Finanical Statment'!F7=0,0,'Key ratios'!E43*'Finanical Statment'!F42)</f>
        <v>0.1014202292</v>
      </c>
      <c r="F17" s="247">
        <f>IF('Finanical Statment'!G7=0,0,'Key ratios'!F43*'Finanical Statment'!G42)</f>
        <v>0.0991708073</v>
      </c>
      <c r="G17" s="247">
        <f>IF('Finanical Statment'!H7=0,0,'Key ratios'!G43*'Finanical Statment'!H42)</f>
        <v>0.09785449555</v>
      </c>
      <c r="H17" s="247">
        <f>IF('Finanical Statment'!I7=0,0,'Key ratios'!H43*'Finanical Statment'!I42)</f>
        <v>0.04774083599</v>
      </c>
      <c r="I17" s="247">
        <f>IF('Finanical Statment'!J7=0,0,'Key ratios'!I43*'Finanical Statment'!J42)</f>
        <v>0.002500855879</v>
      </c>
      <c r="J17" s="247">
        <f>IF('Finanical Statment'!K7=0,0,'Key ratios'!J43*'Finanical Statment'!K42)</f>
        <v>0.02131643343</v>
      </c>
      <c r="K17" s="247">
        <f>IF('Finanical Statment'!L7=0,0,'Key ratios'!K43*'Finanical Statment'!L42)</f>
        <v>0.003084653286</v>
      </c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</row>
    <row r="18">
      <c r="A18" s="44" t="s">
        <v>92</v>
      </c>
      <c r="B18" s="244">
        <f>'Finanical Statment'!C38</f>
        <v>4771.92</v>
      </c>
      <c r="C18" s="244">
        <f>'Finanical Statment'!D38</f>
        <v>5009.69</v>
      </c>
      <c r="D18" s="244">
        <f>'Finanical Statment'!E38</f>
        <v>6840.12</v>
      </c>
      <c r="E18" s="244">
        <f>'Finanical Statment'!F38</f>
        <v>5770.02</v>
      </c>
      <c r="F18" s="244">
        <f>'Finanical Statment'!G38</f>
        <v>6285.21</v>
      </c>
      <c r="G18" s="244">
        <f>'Finanical Statment'!H38</f>
        <v>7048.7</v>
      </c>
      <c r="H18" s="244">
        <f>'Finanical Statment'!I38</f>
        <v>12476.58</v>
      </c>
      <c r="I18" s="244">
        <f>'Finanical Statment'!J38</f>
        <v>13231.96</v>
      </c>
      <c r="J18" s="244">
        <f>'Finanical Statment'!K38</f>
        <v>14171.8</v>
      </c>
      <c r="K18" s="244">
        <f>'Finanical Statment'!L38</f>
        <v>19263.4</v>
      </c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</row>
    <row r="19">
      <c r="A19" s="44" t="s">
        <v>242</v>
      </c>
      <c r="B19" s="157">
        <f>'Finanical Statment'!C40</f>
        <v>0.53076651</v>
      </c>
      <c r="C19" s="157">
        <f>'Finanical Statment'!D40</f>
        <v>0.5129919933</v>
      </c>
      <c r="D19" s="157">
        <f>'Finanical Statment'!E40</f>
        <v>0.7199474574</v>
      </c>
      <c r="E19" s="157">
        <f>'Finanical Statment'!F40</f>
        <v>0.5507199899</v>
      </c>
      <c r="F19" s="157">
        <f>'Finanical Statment'!G40</f>
        <v>0.5468881062</v>
      </c>
      <c r="G19" s="157">
        <f>'Finanical Statment'!H40</f>
        <v>0.5491395227</v>
      </c>
      <c r="H19" s="157">
        <f>'Finanical Statment'!I40</f>
        <v>0.8001510956</v>
      </c>
      <c r="I19" s="157">
        <f>'Finanical Statment'!J40</f>
        <v>0.9887229057</v>
      </c>
      <c r="J19" s="157">
        <f>'Finanical Statment'!K40</f>
        <v>0.9141250831</v>
      </c>
      <c r="K19" s="157">
        <f>'Finanical Statment'!L40</f>
        <v>0.9890474371</v>
      </c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</row>
    <row r="20">
      <c r="A20" s="44" t="s">
        <v>243</v>
      </c>
      <c r="B20" s="247">
        <f>IF('Finanical Statment'!C7=0,0,'Finanical Statment'!C50/'Finanical Statment'!C49)</f>
        <v>0.2412582325</v>
      </c>
      <c r="C20" s="247">
        <f>IF('Finanical Statment'!D7=0,0,'Finanical Statment'!D50/'Finanical Statment'!D49)</f>
        <v>0.1764458338</v>
      </c>
      <c r="D20" s="247">
        <f>IF('Finanical Statment'!E7=0,0,'Finanical Statment'!E50/'Finanical Statment'!E49)</f>
        <v>0.1694434828</v>
      </c>
      <c r="E20" s="247">
        <f>IF('Finanical Statment'!F7=0,0,'Finanical Statment'!F50/'Finanical Statment'!F49)</f>
        <v>0.2346805105</v>
      </c>
      <c r="F20" s="247">
        <f>IF('Finanical Statment'!G7=0,0,'Finanical Statment'!G50/'Finanical Statment'!G49)</f>
        <v>0.3333541112</v>
      </c>
      <c r="G20" s="247">
        <f>IF('Finanical Statment'!H7=0,0,'Finanical Statment'!H50/'Finanical Statment'!H49)</f>
        <v>0.2135015709</v>
      </c>
      <c r="H20" s="247">
        <f>IF('Finanical Statment'!I7=0,0,'Finanical Statment'!I50/'Finanical Statment'!I49)</f>
        <v>0.1499750844</v>
      </c>
      <c r="I20" s="247">
        <f>IF('Finanical Statment'!J7=0,0,'Finanical Statment'!J50/'Finanical Statment'!J49)</f>
        <v>0.1721696008</v>
      </c>
      <c r="J20" s="247">
        <f>IF('Finanical Statment'!K7=0,0,'Finanical Statment'!K50/'Finanical Statment'!K49)</f>
        <v>0.1331130149</v>
      </c>
      <c r="K20" s="247">
        <f>IF('Finanical Statment'!L7=0,0,'Finanical Statment'!L50/'Finanical Statment'!L49)</f>
        <v>0.1161761105</v>
      </c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</row>
    <row r="21">
      <c r="A21" s="44" t="s">
        <v>244</v>
      </c>
      <c r="B21" s="247">
        <f>'Cost Analysis'!B26</f>
        <v>0.07092872318</v>
      </c>
      <c r="C21" s="247">
        <f>'Cost Analysis'!C26</f>
        <v>0.07141894755</v>
      </c>
      <c r="D21" s="247">
        <f>'Cost Analysis'!D26</f>
        <v>0.08779754083</v>
      </c>
      <c r="E21" s="247">
        <f>'Cost Analysis'!E26</f>
        <v>0.08491778823</v>
      </c>
      <c r="F21" s="247">
        <f>'Cost Analysis'!F26</f>
        <v>0.08655907371</v>
      </c>
      <c r="G21" s="247">
        <f>'Cost Analysis'!G26</f>
        <v>0.08642772651</v>
      </c>
      <c r="H21" s="247">
        <f>'Cost Analysis'!H26</f>
        <v>0.08698096895</v>
      </c>
      <c r="I21" s="247">
        <f>'Cost Analysis'!I26</f>
        <v>0.09061228302</v>
      </c>
      <c r="J21" s="247">
        <f>'Cost Analysis'!J26</f>
        <v>0.08064287403</v>
      </c>
      <c r="K21" s="247">
        <f>'Cost Analysis'!K26</f>
        <v>0.08088407301</v>
      </c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</row>
    <row r="22">
      <c r="A22" s="44" t="s">
        <v>245</v>
      </c>
      <c r="B22" s="244">
        <f>IF('Finanical Statment'!C7=0,0,'Finanical Statment'!C100-'Capital Allocation'!H33)</f>
        <v>256635.5054</v>
      </c>
      <c r="C22" s="244">
        <f>IF('Finanical Statment'!D7=0,0,'Finanical Statment'!D100-'Capital Allocation'!I33)</f>
        <v>237074.0759</v>
      </c>
      <c r="D22" s="244">
        <f>IF('Finanical Statment'!E7=0,0,'Finanical Statment'!E100-'Capital Allocation'!J33)</f>
        <v>227445.3164</v>
      </c>
      <c r="E22" s="244">
        <f>IF('Finanical Statment'!F7=0,0,'Finanical Statment'!F100-'Capital Allocation'!K33)</f>
        <v>297000.372</v>
      </c>
      <c r="F22" s="244">
        <f>IF('Finanical Statment'!G7=0,0,'Finanical Statment'!G100-'Capital Allocation'!L33)</f>
        <v>262173.435</v>
      </c>
      <c r="G22" s="244">
        <f>IF('Finanical Statment'!H7=0,0,'Finanical Statment'!H100-'Capital Allocation'!M33)</f>
        <v>309384.605</v>
      </c>
      <c r="H22" s="244">
        <f>IF('Finanical Statment'!I7=0,0,'Finanical Statment'!I100-'Capital Allocation'!N33)</f>
        <v>152783.704</v>
      </c>
      <c r="I22" s="244">
        <f>IF('Finanical Statment'!J7=0,0,'Finanical Statment'!J100-'Capital Allocation'!O33)</f>
        <v>212988.13</v>
      </c>
      <c r="J22" s="244">
        <f>IF('Finanical Statment'!K7=0,0,'Finanical Statment'!K100-'Capital Allocation'!P33)</f>
        <v>250832.9245</v>
      </c>
      <c r="K22" s="244">
        <f>IF('Finanical Statment'!L7=0,0,'Finanical Statment'!L100-'Capital Allocation'!Q33)</f>
        <v>412032.69</v>
      </c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</row>
    <row r="23">
      <c r="A23" s="44" t="s">
        <v>246</v>
      </c>
      <c r="B23" s="200">
        <f>IF('Finanical Statment'!C7=0,0,B22/'Finanical Statment'!C99)</f>
        <v>215.1213812</v>
      </c>
      <c r="C23" s="200">
        <f>IF('Finanical Statment'!D7=0,0,C22/'Finanical Statment'!D99)</f>
        <v>197.1788743</v>
      </c>
      <c r="D23" s="200">
        <f>IF('Finanical Statment'!E7=0,0,D22/'Finanical Statment'!E99)</f>
        <v>188.42605</v>
      </c>
      <c r="E23" s="200">
        <f>IF('Finanical Statment'!F7=0,0,E22/'Finanical Statment'!F99)</f>
        <v>244.497071</v>
      </c>
      <c r="F23" s="200">
        <f>IF('Finanical Statment'!G7=0,0,F22/'Finanical Statment'!G99)</f>
        <v>214.8205428</v>
      </c>
      <c r="G23" s="200">
        <f>IF('Finanical Statment'!H7=0,0,G22/'Finanical Statment'!H99)</f>
        <v>252.381679</v>
      </c>
      <c r="H23" s="200">
        <f>IF('Finanical Statment'!I7=0,0,H22/'Finanical Statment'!I99)</f>
        <v>124.2932136</v>
      </c>
      <c r="I23" s="200">
        <f>IF('Finanical Statment'!J7=0,0,I22/'Finanical Statment'!J99)</f>
        <v>173.0372823</v>
      </c>
      <c r="J23" s="200">
        <f>IF('Finanical Statment'!K7=0,0,J22/'Finanical Statment'!K99)</f>
        <v>203.5436324</v>
      </c>
      <c r="K23" s="200">
        <f>IF('Finanical Statment'!L7=0,0,K22/'Finanical Statment'!L99)</f>
        <v>331.5357982</v>
      </c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>
      <c r="A24" s="44" t="s">
        <v>247</v>
      </c>
      <c r="B24" s="44"/>
      <c r="C24" s="157">
        <f>IF('Finanical Statment'!D7=0,0,'Finanical Statment'!D28/AVERAGE('Finanical Statment'!C49:D49))</f>
        <v>1.017698049</v>
      </c>
      <c r="D24" s="157">
        <f>IF('Finanical Statment'!E7=0,0,'Finanical Statment'!E28/AVERAGE('Finanical Statment'!D49:E49))</f>
        <v>0.9772518235</v>
      </c>
      <c r="E24" s="157">
        <f>IF('Finanical Statment'!F7=0,0,'Finanical Statment'!F28/AVERAGE('Finanical Statment'!E49:F49))</f>
        <v>1.03395246</v>
      </c>
      <c r="F24" s="157">
        <f>IF('Finanical Statment'!G7=0,0,'Finanical Statment'!G28/AVERAGE('Finanical Statment'!F49:G49))</f>
        <v>1.074058285</v>
      </c>
      <c r="G24" s="157">
        <f>IF('Finanical Statment'!H7=0,0,'Finanical Statment'!H28/AVERAGE('Finanical Statment'!G49:H49))</f>
        <v>1.066897319</v>
      </c>
      <c r="H24" s="157">
        <f>IF('Finanical Statment'!I7=0,0,'Finanical Statment'!I28/AVERAGE('Finanical Statment'!H49:I49))</f>
        <v>0.9752141343</v>
      </c>
      <c r="I24" s="157">
        <f>IF('Finanical Statment'!J7=0,0,'Finanical Statment'!J28/AVERAGE('Finanical Statment'!I49:J49))</f>
        <v>0.7970426435</v>
      </c>
      <c r="J24" s="157">
        <f>IF('Finanical Statment'!K7=0,0,'Finanical Statment'!K28/AVERAGE('Finanical Statment'!J49:K49))</f>
        <v>0.8727304631</v>
      </c>
      <c r="K24" s="157">
        <f>IF('Finanical Statment'!L7=0,0,'Finanical Statment'!L28/AVERAGE('Finanical Statment'!K49:L49))</f>
        <v>1.034889781</v>
      </c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>
      <c r="A25" s="44"/>
      <c r="B25" s="44"/>
      <c r="C25" s="157"/>
      <c r="D25" s="157"/>
      <c r="E25" s="157"/>
      <c r="F25" s="157"/>
      <c r="G25" s="157"/>
      <c r="H25" s="157"/>
      <c r="I25" s="157"/>
      <c r="J25" s="157"/>
      <c r="K25" s="157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</row>
    <row r="26">
      <c r="A26" s="39" t="s">
        <v>248</v>
      </c>
      <c r="B26" s="41"/>
      <c r="C26" s="42"/>
      <c r="D26" s="42"/>
      <c r="E26" s="42"/>
      <c r="F26" s="42"/>
      <c r="G26" s="42"/>
      <c r="H26" s="42"/>
      <c r="I26" s="42"/>
      <c r="J26" s="42"/>
      <c r="K26" s="42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</row>
    <row r="27">
      <c r="A27" s="44" t="s">
        <v>12</v>
      </c>
      <c r="B27" s="244">
        <f>'Finanical Statment'!C7</f>
        <v>35306.43</v>
      </c>
      <c r="C27" s="244">
        <f>'Finanical Statment'!D7</f>
        <v>38817.15</v>
      </c>
      <c r="D27" s="244">
        <f>'Finanical Statment'!E7</f>
        <v>39192.1</v>
      </c>
      <c r="E27" s="244">
        <f>'Finanical Statment'!F7</f>
        <v>42767.6</v>
      </c>
      <c r="F27" s="244">
        <f>'Finanical Statment'!G7</f>
        <v>43448.94</v>
      </c>
      <c r="G27" s="244">
        <f>'Finanical Statment'!H7</f>
        <v>48339.58</v>
      </c>
      <c r="H27" s="244">
        <f>'Finanical Statment'!I7</f>
        <v>49387.7</v>
      </c>
      <c r="I27" s="244">
        <f>'Finanical Statment'!J7</f>
        <v>49257.45</v>
      </c>
      <c r="J27" s="244">
        <f>'Finanical Statment'!K7</f>
        <v>60644.54</v>
      </c>
      <c r="K27" s="244">
        <f>'Finanical Statment'!L7</f>
        <v>70919.03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</row>
    <row r="28">
      <c r="A28" s="44" t="s">
        <v>84</v>
      </c>
      <c r="B28" s="244">
        <f>'Finanical Statment'!C23</f>
        <v>13080.72</v>
      </c>
      <c r="C28" s="244">
        <f>'Finanical Statment'!D23</f>
        <v>14453.01</v>
      </c>
      <c r="D28" s="244">
        <f>'Finanical Statment'!E23</f>
        <v>14937.2</v>
      </c>
      <c r="E28" s="244">
        <f>'Finanical Statment'!F23</f>
        <v>16075.35</v>
      </c>
      <c r="F28" s="244">
        <f>'Finanical Statment'!G23</f>
        <v>17524.12</v>
      </c>
      <c r="G28" s="244">
        <f>'Finanical Statment'!H23</f>
        <v>19221.22</v>
      </c>
      <c r="H28" s="244">
        <f>'Finanical Statment'!I23</f>
        <v>20115.95</v>
      </c>
      <c r="I28" s="244">
        <f>'Finanical Statment'!J23</f>
        <v>17996.14</v>
      </c>
      <c r="J28" s="244">
        <f>'Finanical Statment'!K23</f>
        <v>20800.46</v>
      </c>
      <c r="K28" s="244">
        <f>'Finanical Statment'!L23</f>
        <v>25992.89</v>
      </c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</row>
    <row r="29">
      <c r="A29" s="44" t="s">
        <v>249</v>
      </c>
      <c r="B29" s="244">
        <f>'Finanical Statment'!C16</f>
        <v>13079.9</v>
      </c>
      <c r="C29" s="244">
        <f>'Finanical Statment'!D16</f>
        <v>14251.62</v>
      </c>
      <c r="D29" s="244">
        <f>'Finanical Statment'!E16</f>
        <v>14531.49</v>
      </c>
      <c r="E29" s="244">
        <f>'Finanical Statment'!F16</f>
        <v>15469.51</v>
      </c>
      <c r="F29" s="244">
        <f>'Finanical Statment'!G16</f>
        <v>16520.59</v>
      </c>
      <c r="G29" s="244">
        <f>'Finanical Statment'!H16</f>
        <v>18537.39</v>
      </c>
      <c r="H29" s="244">
        <f>'Finanical Statment'!I16</f>
        <v>19343.54</v>
      </c>
      <c r="I29" s="244">
        <f>'Finanical Statment'!J16</f>
        <v>17064.78</v>
      </c>
      <c r="J29" s="244">
        <f>'Finanical Statment'!K16</f>
        <v>20623.15</v>
      </c>
      <c r="K29" s="244">
        <f>'Finanical Statment'!L16</f>
        <v>25704.26</v>
      </c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</row>
    <row r="30">
      <c r="A30" s="44" t="s">
        <v>81</v>
      </c>
      <c r="B30" s="157">
        <f>'Finanical Statment'!C17</f>
        <v>0.3704679289</v>
      </c>
      <c r="C30" s="157">
        <f>'Finanical Statment'!D17</f>
        <v>0.3671475108</v>
      </c>
      <c r="D30" s="157">
        <f>'Finanical Statment'!E17</f>
        <v>0.3707759982</v>
      </c>
      <c r="E30" s="157">
        <f>'Finanical Statment'!F17</f>
        <v>0.3617109681</v>
      </c>
      <c r="F30" s="157">
        <f>'Finanical Statment'!G17</f>
        <v>0.3802299895</v>
      </c>
      <c r="G30" s="157">
        <f>'Finanical Statment'!H17</f>
        <v>0.3834826451</v>
      </c>
      <c r="H30" s="157">
        <f>'Finanical Statment'!I17</f>
        <v>0.391667156</v>
      </c>
      <c r="I30" s="157">
        <f>'Finanical Statment'!J17</f>
        <v>0.3464405892</v>
      </c>
      <c r="J30" s="157">
        <f>'Finanical Statment'!K17</f>
        <v>0.3400660637</v>
      </c>
      <c r="K30" s="157">
        <f>'Finanical Statment'!L17</f>
        <v>0.3624451716</v>
      </c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</row>
    <row r="31">
      <c r="A31" s="44" t="s">
        <v>250</v>
      </c>
      <c r="B31" s="44"/>
      <c r="C31" s="247">
        <f t="shared" ref="C31:K31" si="2">IF(B27=0,0,(C27/B27)-1)</f>
        <v>0.09943571185</v>
      </c>
      <c r="D31" s="247">
        <f t="shared" si="2"/>
        <v>0.009659390244</v>
      </c>
      <c r="E31" s="247">
        <f t="shared" si="2"/>
        <v>0.09123012036</v>
      </c>
      <c r="F31" s="247">
        <f t="shared" si="2"/>
        <v>0.01593121896</v>
      </c>
      <c r="G31" s="247">
        <f t="shared" si="2"/>
        <v>0.1125606286</v>
      </c>
      <c r="H31" s="247">
        <f t="shared" si="2"/>
        <v>0.02168243911</v>
      </c>
      <c r="I31" s="247">
        <f t="shared" si="2"/>
        <v>-0.002637296331</v>
      </c>
      <c r="J31" s="247">
        <f t="shared" si="2"/>
        <v>0.2311749796</v>
      </c>
      <c r="K31" s="247">
        <f t="shared" si="2"/>
        <v>0.1694215176</v>
      </c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</row>
    <row r="32">
      <c r="A32" s="44" t="s">
        <v>251</v>
      </c>
      <c r="B32" s="44"/>
      <c r="C32" s="247"/>
      <c r="D32" s="247"/>
      <c r="E32" s="247">
        <f t="shared" ref="E32:K32" si="3">IF(B27=0,0,(E27/B27)-1)</f>
        <v>0.2113260956</v>
      </c>
      <c r="F32" s="247">
        <f t="shared" si="3"/>
        <v>0.1193232888</v>
      </c>
      <c r="G32" s="247">
        <f t="shared" si="3"/>
        <v>0.2334011191</v>
      </c>
      <c r="H32" s="247">
        <f t="shared" si="3"/>
        <v>0.1547924129</v>
      </c>
      <c r="I32" s="247">
        <f t="shared" si="3"/>
        <v>0.1336858851</v>
      </c>
      <c r="J32" s="247">
        <f t="shared" si="3"/>
        <v>0.2545524806</v>
      </c>
      <c r="K32" s="247">
        <f t="shared" si="3"/>
        <v>0.4359654327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>
      <c r="A33" s="44" t="s">
        <v>252</v>
      </c>
      <c r="B33" s="44"/>
      <c r="C33" s="247">
        <f t="shared" ref="C33:K33" si="4">IF(B29=0,0,(C28/B28)-1)</f>
        <v>0.1049093628</v>
      </c>
      <c r="D33" s="247">
        <f t="shared" si="4"/>
        <v>0.03350098007</v>
      </c>
      <c r="E33" s="247">
        <f t="shared" si="4"/>
        <v>0.07619567255</v>
      </c>
      <c r="F33" s="247">
        <f t="shared" si="4"/>
        <v>0.09012369871</v>
      </c>
      <c r="G33" s="247">
        <f t="shared" si="4"/>
        <v>0.09684366462</v>
      </c>
      <c r="H33" s="247">
        <f t="shared" si="4"/>
        <v>0.04654907441</v>
      </c>
      <c r="I33" s="247">
        <f t="shared" si="4"/>
        <v>-0.105379562</v>
      </c>
      <c r="J33" s="247">
        <f t="shared" si="4"/>
        <v>0.1558289722</v>
      </c>
      <c r="K33" s="247">
        <f t="shared" si="4"/>
        <v>0.249630537</v>
      </c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>
      <c r="A34" s="44" t="s">
        <v>253</v>
      </c>
      <c r="B34" s="44"/>
      <c r="C34" s="247"/>
      <c r="D34" s="247"/>
      <c r="E34" s="247">
        <f t="shared" ref="E34:K34" si="5">IF(B28=0,0,(E28/B28)-1)</f>
        <v>0.2289346458</v>
      </c>
      <c r="F34" s="247">
        <f t="shared" si="5"/>
        <v>0.2124893015</v>
      </c>
      <c r="G34" s="247">
        <f t="shared" si="5"/>
        <v>0.286802078</v>
      </c>
      <c r="H34" s="247">
        <f t="shared" si="5"/>
        <v>0.2513537808</v>
      </c>
      <c r="I34" s="247">
        <f t="shared" si="5"/>
        <v>0.02693544669</v>
      </c>
      <c r="J34" s="247">
        <f t="shared" si="5"/>
        <v>0.082161278</v>
      </c>
      <c r="K34" s="247">
        <f t="shared" si="5"/>
        <v>0.2921532416</v>
      </c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</row>
    <row r="35">
      <c r="A35" s="248" t="s">
        <v>254</v>
      </c>
      <c r="B35" s="248"/>
      <c r="C35" s="249">
        <f t="shared" ref="C35:K35" si="6">IF(C31=0,0,IF(C27-B27&gt;0,(C33/C31),0))</f>
        <v>1.055047134</v>
      </c>
      <c r="D35" s="249">
        <f t="shared" si="6"/>
        <v>3.46822928</v>
      </c>
      <c r="E35" s="249">
        <f t="shared" si="6"/>
        <v>0.8352030256</v>
      </c>
      <c r="F35" s="249">
        <f t="shared" si="6"/>
        <v>5.65704978</v>
      </c>
      <c r="G35" s="249">
        <f t="shared" si="6"/>
        <v>0.8603689033</v>
      </c>
      <c r="H35" s="249">
        <f t="shared" si="6"/>
        <v>2.146855996</v>
      </c>
      <c r="I35" s="249">
        <f t="shared" si="6"/>
        <v>0</v>
      </c>
      <c r="J35" s="249">
        <f t="shared" si="6"/>
        <v>0.6740736929</v>
      </c>
      <c r="K35" s="249">
        <f t="shared" si="6"/>
        <v>1.473428763</v>
      </c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</row>
    <row r="36">
      <c r="A36" s="250" t="s">
        <v>255</v>
      </c>
      <c r="B36" s="250"/>
      <c r="C36" s="250"/>
      <c r="D36" s="250"/>
      <c r="E36" s="251">
        <f t="shared" ref="E36:K36" si="7">IF(E32=0,0,IF(E27-D27&gt;0,(E34/E32),0))</f>
        <v>1.083324069</v>
      </c>
      <c r="F36" s="251">
        <f t="shared" si="7"/>
        <v>1.780786497</v>
      </c>
      <c r="G36" s="251">
        <f t="shared" si="7"/>
        <v>1.228794785</v>
      </c>
      <c r="H36" s="251">
        <f t="shared" si="7"/>
        <v>1.62381202</v>
      </c>
      <c r="I36" s="251">
        <f t="shared" si="7"/>
        <v>0</v>
      </c>
      <c r="J36" s="251">
        <f t="shared" si="7"/>
        <v>0.3227675402</v>
      </c>
      <c r="K36" s="251">
        <f t="shared" si="7"/>
        <v>0.6701293719</v>
      </c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</row>
    <row r="3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</row>
    <row r="38">
      <c r="A38" s="44" t="s">
        <v>85</v>
      </c>
      <c r="B38" s="157">
        <f>'Finanical Statment'!C24</f>
        <v>0.3704911542</v>
      </c>
      <c r="C38" s="157">
        <f>'Finanical Statment'!D24</f>
        <v>0.3723356815</v>
      </c>
      <c r="D38" s="157">
        <f>'Finanical Statment'!E24</f>
        <v>0.3811278293</v>
      </c>
      <c r="E38" s="157">
        <f>'Finanical Statment'!F24</f>
        <v>0.375876832</v>
      </c>
      <c r="F38" s="157">
        <f>'Finanical Statment'!G24</f>
        <v>0.4033267555</v>
      </c>
      <c r="G38" s="157">
        <f>'Finanical Statment'!H24</f>
        <v>0.3976290237</v>
      </c>
      <c r="H38" s="157">
        <f>'Finanical Statment'!I24</f>
        <v>0.4073068801</v>
      </c>
      <c r="I38" s="157">
        <f>'Finanical Statment'!J24</f>
        <v>0.3653485919</v>
      </c>
      <c r="J38" s="157">
        <f>'Finanical Statment'!K24</f>
        <v>0.3429898223</v>
      </c>
      <c r="K38" s="157">
        <f>'Finanical Statment'!L24</f>
        <v>0.3665150242</v>
      </c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</row>
    <row r="39">
      <c r="A39" s="44" t="s">
        <v>256</v>
      </c>
      <c r="B39" s="244">
        <f>IF('Finanical Statment'!C7=0,0,'Capital Allocation'!H33)</f>
        <v>23989.18</v>
      </c>
      <c r="C39" s="244">
        <f>IF('Finanical Statment'!D7=0,0,'Capital Allocation'!I33)</f>
        <v>24108.07</v>
      </c>
      <c r="D39" s="244">
        <f>IF('Finanical Statment'!E7=0,0,'Capital Allocation'!J33)</f>
        <v>36700</v>
      </c>
      <c r="E39" s="244">
        <f>IF('Finanical Statment'!F7=0,0,'Capital Allocation'!K33)</f>
        <v>43491.25</v>
      </c>
      <c r="F39" s="244">
        <f>IF('Finanical Statment'!G7=0,0,'Capital Allocation'!L33)</f>
        <v>49646.43</v>
      </c>
      <c r="G39" s="244">
        <f>IF('Finanical Statment'!H7=0,0,'Capital Allocation'!M33)</f>
        <v>55002.28</v>
      </c>
      <c r="H39" s="244">
        <f>IF('Finanical Statment'!I7=0,0,'Capital Allocation'!N33)</f>
        <v>58273.37</v>
      </c>
      <c r="I39" s="244">
        <f>IF('Finanical Statment'!J7=0,0,'Capital Allocation'!O33)</f>
        <v>55959.15</v>
      </c>
      <c r="J39" s="244">
        <f>IF('Finanical Statment'!K7=0,0,'Capital Allocation'!P33)</f>
        <v>58050.59</v>
      </c>
      <c r="K39" s="244">
        <f>IF('Finanical Statment'!L7=0,0,'Capital Allocation'!Q33)</f>
        <v>64581.11</v>
      </c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</row>
    <row r="40">
      <c r="A40" s="44" t="s">
        <v>257</v>
      </c>
      <c r="B40" s="199">
        <f>IF('Finanical Statment'!C7=0,0,B27/B39)</f>
        <v>1.471764771</v>
      </c>
      <c r="C40" s="199">
        <f>IF('Finanical Statment'!D7=0,0,C27/C39)</f>
        <v>1.610130964</v>
      </c>
      <c r="D40" s="199">
        <f>IF('Finanical Statment'!E7=0,0,D27/D39)</f>
        <v>1.067904632</v>
      </c>
      <c r="E40" s="199">
        <f>IF('Finanical Statment'!F7=0,0,E27/E39)</f>
        <v>0.9833610209</v>
      </c>
      <c r="F40" s="199">
        <f>IF('Finanical Statment'!G7=0,0,F27/F39)</f>
        <v>0.8751674592</v>
      </c>
      <c r="G40" s="199">
        <f>IF('Finanical Statment'!H7=0,0,G27/G39)</f>
        <v>0.8788650216</v>
      </c>
      <c r="H40" s="199">
        <f>IF('Finanical Statment'!I7=0,0,H27/H39)</f>
        <v>0.8475174853</v>
      </c>
      <c r="I40" s="199">
        <f>IF('Finanical Statment'!J7=0,0,I27/I39)</f>
        <v>0.8802394247</v>
      </c>
      <c r="J40" s="199">
        <f>IF('Finanical Statment'!K7=0,0,J27/J39)</f>
        <v>1.0446843</v>
      </c>
      <c r="K40" s="199">
        <f>IF('Finanical Statment'!L7=0,0,K27/K39)</f>
        <v>1.098138914</v>
      </c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</row>
    <row r="41">
      <c r="A41" s="44" t="s">
        <v>258</v>
      </c>
      <c r="B41" s="157">
        <f>'Capital Allocation'!I36</f>
        <v>0.3738912102</v>
      </c>
      <c r="C41" s="157">
        <f>'Capital Allocation'!J36</f>
        <v>0.2829400296</v>
      </c>
      <c r="D41" s="157">
        <f>'Capital Allocation'!K36</f>
        <v>0.233431366</v>
      </c>
      <c r="E41" s="157">
        <f>'Capital Allocation'!L36</f>
        <v>0.2166681936</v>
      </c>
      <c r="F41" s="157">
        <f>'Capital Allocation'!M36</f>
        <v>0.2195777478</v>
      </c>
      <c r="G41" s="157">
        <f>'Capital Allocation'!N36</f>
        <v>0.2432073013</v>
      </c>
      <c r="H41" s="157">
        <f>'Capital Allocation'!O36</f>
        <v>0.2014063905</v>
      </c>
      <c r="I41" s="157">
        <f>'Capital Allocation'!P36</f>
        <v>0.24770673</v>
      </c>
      <c r="J41" s="157">
        <f>'Capital Allocation'!Q36</f>
        <v>0.2928878946</v>
      </c>
      <c r="K41" s="157" t="str">
        <f>'Capital Allocation'!R36</f>
        <v/>
      </c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</row>
    <row r="42">
      <c r="A42" s="44" t="s">
        <v>259</v>
      </c>
      <c r="B42" s="44"/>
      <c r="C42" s="44"/>
      <c r="D42" s="44"/>
      <c r="E42" s="44"/>
      <c r="F42" s="157">
        <f t="shared" ref="F42:K42" si="8">IF(B41=0,0,AVERAGE(B41:F41))</f>
        <v>0.2653017094</v>
      </c>
      <c r="G42" s="157">
        <f t="shared" si="8"/>
        <v>0.2391649277</v>
      </c>
      <c r="H42" s="157">
        <f t="shared" si="8"/>
        <v>0.2228581998</v>
      </c>
      <c r="I42" s="157">
        <f t="shared" si="8"/>
        <v>0.2257132726</v>
      </c>
      <c r="J42" s="157">
        <f t="shared" si="8"/>
        <v>0.2409572128</v>
      </c>
      <c r="K42" s="157">
        <f t="shared" si="8"/>
        <v>0.2463020791</v>
      </c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</row>
    <row r="43">
      <c r="A43" s="44" t="s">
        <v>260</v>
      </c>
      <c r="B43" s="252">
        <f>IF('Finanical Statment'!C7=0,0,B39*(B41-'Capital Allocation'!$C$9))</f>
        <v>6090.641942</v>
      </c>
      <c r="C43" s="252">
        <f>IF('Finanical Statment'!D7=0,0,C39*(C41-'Capital Allocation'!$C$9))</f>
        <v>3928.16964</v>
      </c>
      <c r="D43" s="252">
        <f>IF('Finanical Statment'!E7=0,0,D39*(D41-'Capital Allocation'!$C$9))</f>
        <v>4162.931132</v>
      </c>
      <c r="E43" s="252">
        <f>IF('Finanical Statment'!F7=0,0,E39*(E41-'Capital Allocation'!$C$9))</f>
        <v>4204.220575</v>
      </c>
      <c r="F43" s="252">
        <f>IF('Finanical Statment'!G7=0,0,F39*(F41-'Capital Allocation'!$C$9))</f>
        <v>4943.679684</v>
      </c>
      <c r="G43" s="252">
        <f>IF('Finanical Statment'!H7=0,0,G39*(G41-'Capital Allocation'!$C$9))</f>
        <v>6776.682484</v>
      </c>
      <c r="H43" s="252">
        <f>IF('Finanical Statment'!I7=0,0,H39*(H41-'Capital Allocation'!$C$9))</f>
        <v>4743.824715</v>
      </c>
      <c r="I43" s="252">
        <f>IF('Finanical Statment'!J7=0,0,I39*(I41-'Capital Allocation'!$C$9))</f>
        <v>7146.36006</v>
      </c>
      <c r="J43" s="252">
        <f>IF('Finanical Statment'!K7=0,0,J39*(J41-'Capital Allocation'!$C$9))</f>
        <v>10036.24429</v>
      </c>
      <c r="K43" s="252">
        <f>IF('Finanical Statment'!L7=0,0,K39*(K41-'Capital Allocation'!$C$9))</f>
        <v>-7749.7332</v>
      </c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</row>
    <row r="44">
      <c r="A44" s="44" t="s">
        <v>261</v>
      </c>
      <c r="B44" s="199">
        <f>IF('Finanical Statment'!C7=0,0,B43/'Finanical Statment'!C99)</f>
        <v>5.105401551</v>
      </c>
      <c r="C44" s="199">
        <f>IF('Finanical Statment'!D7=0,0,C43/'Finanical Statment'!D99)</f>
        <v>3.267131021</v>
      </c>
      <c r="D44" s="199">
        <f>IF('Finanical Statment'!E7=0,0,D43/'Finanical Statment'!E99)</f>
        <v>3.448761584</v>
      </c>
      <c r="E44" s="199">
        <f>IF('Finanical Statment'!F7=0,0,E43/'Finanical Statment'!F99)</f>
        <v>3.461004474</v>
      </c>
      <c r="F44" s="199">
        <f>IF('Finanical Statment'!G7=0,0,F43/'Finanical Statment'!G99)</f>
        <v>4.050768733</v>
      </c>
      <c r="G44" s="199">
        <f>IF('Finanical Statment'!H7=0,0,G43/'Finanical Statment'!H99)</f>
        <v>5.528104746</v>
      </c>
      <c r="H44" s="199">
        <f>IF('Finanical Statment'!I7=0,0,H43/'Finanical Statment'!I99)</f>
        <v>3.859215369</v>
      </c>
      <c r="I44" s="199">
        <f>IF('Finanical Statment'!J7=0,0,I43/'Finanical Statment'!J99)</f>
        <v>5.805895018</v>
      </c>
      <c r="J44" s="199">
        <f>IF('Finanical Statment'!K7=0,0,J43/'Finanical Statment'!K99)</f>
        <v>8.144120719</v>
      </c>
      <c r="K44" s="199">
        <f>IF('Finanical Statment'!L7=0,0,K43/'Finanical Statment'!L99)</f>
        <v>-6.235704216</v>
      </c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</row>
    <row r="4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</row>
    <row r="46">
      <c r="A46" s="39" t="s">
        <v>262</v>
      </c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</row>
    <row r="47">
      <c r="A47" s="44" t="str">
        <f>'Price Implied Value'!F33</f>
        <v>Incremental Fixed  Capital Investment Rate</v>
      </c>
      <c r="B47" s="44"/>
      <c r="C47" s="157">
        <f>IF('Finanical Statment'!C7=0,0,'Price Implied Value'!I33)</f>
        <v>0.5597256403</v>
      </c>
      <c r="D47" s="157">
        <f>IF('Finanical Statment'!D7=0,0,'Price Implied Value'!J33)</f>
        <v>-0.8998533138</v>
      </c>
      <c r="E47" s="157">
        <f>IF('Finanical Statment'!E7=0,0,'Price Implied Value'!K33)</f>
        <v>0.54739477</v>
      </c>
      <c r="F47" s="157">
        <f>IF('Finanical Statment'!F7=0,0,'Price Implied Value'!L33)</f>
        <v>3.535268735</v>
      </c>
      <c r="G47" s="157">
        <f>IF('Finanical Statment'!G7=0,0,'Price Implied Value'!M33)</f>
        <v>0.3022896799</v>
      </c>
      <c r="H47" s="157">
        <f>IF('Finanical Statment'!H7=0,0,'Price Implied Value'!N33)</f>
        <v>1.392102049</v>
      </c>
      <c r="I47" s="157">
        <f>IF('Finanical Statment'!I7=0,0,'Price Implied Value'!O33)</f>
        <v>-17.96859885</v>
      </c>
      <c r="J47" s="157">
        <f>IF('Finanical Statment'!J7=0,0,'Price Implied Value'!P33)</f>
        <v>0.01383935667</v>
      </c>
      <c r="K47" s="157">
        <f>IF('Finanical Statment'!K7=0,0,'Price Implied Value'!Q33)</f>
        <v>0.1441424343</v>
      </c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</row>
    <row r="48">
      <c r="A48" s="44" t="str">
        <f>'Price Implied Value'!F39</f>
        <v>Incremental Working Capital Rate</v>
      </c>
      <c r="B48" s="44"/>
      <c r="C48" s="157">
        <f>IF('Finanical Statment'!C7=0,0,'Price Implied Value'!I39)</f>
        <v>0.8019323671</v>
      </c>
      <c r="D48" s="157">
        <f>IF('Finanical Statment'!D7=0,0,'Price Implied Value'!J39)</f>
        <v>17.62987065</v>
      </c>
      <c r="E48" s="157">
        <f>IF('Finanical Statment'!E7=0,0,'Price Implied Value'!K39)</f>
        <v>-1.055925045</v>
      </c>
      <c r="F48" s="157">
        <f>IF('Finanical Statment'!F7=0,0,'Price Implied Value'!L39)</f>
        <v>0.06454927056</v>
      </c>
      <c r="G48" s="157">
        <f>IF('Finanical Statment'!G7=0,0,'Price Implied Value'!M39)</f>
        <v>0.4402961576</v>
      </c>
      <c r="H48" s="157">
        <f>IF('Finanical Statment'!H7=0,0,'Price Implied Value'!N39)</f>
        <v>1.37136015</v>
      </c>
      <c r="I48" s="157">
        <f>IF('Finanical Statment'!I7=0,0,'Price Implied Value'!O39)</f>
        <v>21.42825336</v>
      </c>
      <c r="J48" s="157">
        <f>IF('Finanical Statment'!J7=0,0,'Price Implied Value'!P39)</f>
        <v>0.1815512128</v>
      </c>
      <c r="K48" s="157">
        <f>IF('Finanical Statment'!K7=0,0,'Price Implied Value'!Q39)</f>
        <v>0.09994072698</v>
      </c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</row>
    <row r="49">
      <c r="A49" s="44" t="s">
        <v>263</v>
      </c>
      <c r="B49" s="44"/>
      <c r="C49" s="247">
        <f>IF('Finanical Statment'!C7=0,0,((C48+C47)*('Capital Allocation'!$C$9))/((1+'Capital Allocation'!$C$9)*(1-'Finanical Statment'!C33)))</f>
        <v>0.2117891548</v>
      </c>
      <c r="D49" s="247">
        <f>IF('Finanical Statment'!D7=0,0,((D48+D47)*('Capital Allocation'!$C$9))/((1+'Capital Allocation'!$C$9)*(1-'Finanical Statment'!D33)))</f>
        <v>2.636184383</v>
      </c>
      <c r="E49" s="247">
        <f>IF('Finanical Statment'!E7=0,0,((E48+E47)*('Capital Allocation'!$C$9))/((1+'Capital Allocation'!$C$9)*(1-'Finanical Statment'!E33)))</f>
        <v>-0.08521356744</v>
      </c>
      <c r="F49" s="247">
        <f>IF('Finanical Statment'!F7=0,0,((F48+F47)*('Capital Allocation'!$C$9))/((1+'Capital Allocation'!$C$9)*(1-'Finanical Statment'!F33)))</f>
        <v>0.5899715925</v>
      </c>
      <c r="G49" s="247">
        <f>IF('Finanical Statment'!G7=0,0,((G48+G47)*('Capital Allocation'!$C$9))/((1+'Capital Allocation'!$C$9)*(1-'Finanical Statment'!G33)))</f>
        <v>0.1205216699</v>
      </c>
      <c r="H49" s="247">
        <f>IF('Finanical Statment'!H7=0,0,((H48+H47)*('Capital Allocation'!$C$9))/((1+'Capital Allocation'!$C$9)*(1-'Finanical Statment'!H33)))</f>
        <v>0.4417281972</v>
      </c>
      <c r="I49" s="247">
        <f>IF('Finanical Statment'!I7=0,0,((I48+I47)*('Capital Allocation'!$C$9))/((1+'Capital Allocation'!$C$9)*(1-'Finanical Statment'!I33)))</f>
        <v>0.4762691254</v>
      </c>
      <c r="J49" s="247">
        <f>IF('Finanical Statment'!J7=0,0,((J48+J47)*('Capital Allocation'!$C$9))/((1+'Capital Allocation'!$C$9)*(1-'Finanical Statment'!J33)))</f>
        <v>0.02806049796</v>
      </c>
      <c r="K49" s="247">
        <f>IF('Finanical Statment'!K7=0,0,((K48+K47)*('Capital Allocation'!$C$9))/((1+'Capital Allocation'!$C$9)*(1-'Finanical Statment'!K33)))</f>
        <v>0.03498647981</v>
      </c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</row>
    <row r="50">
      <c r="A50" s="44" t="s">
        <v>264</v>
      </c>
      <c r="B50" s="44"/>
      <c r="C50" s="247">
        <f>IF('Finanical Statment'!C7=0,0,(B28+(C49*(C27-B27)))/C27)</f>
        <v>0.3561377489</v>
      </c>
      <c r="D50" s="247">
        <f>IF('Finanical Statment'!D7=0,0,(C28+(D49*(D27-C27)))/D27)</f>
        <v>0.3939938746</v>
      </c>
      <c r="E50" s="247">
        <f>IF('Finanical Statment'!E7=0,0,(D28+(E49*(E27-D27)))/E27)</f>
        <v>0.3421402859</v>
      </c>
      <c r="F50" s="247">
        <f>IF('Finanical Statment'!F7=0,0,(E28+(F49*(F27-E27)))/F27)</f>
        <v>0.3792341365</v>
      </c>
      <c r="G50" s="247">
        <f>IF('Finanical Statment'!G7=0,0,(F28+(G49*(G27-F27)))/G27)</f>
        <v>0.3747146355</v>
      </c>
      <c r="H50" s="247">
        <f>IF('Finanical Statment'!H7=0,0,(G28+(H49*(H27-G27)))/H27)</f>
        <v>0.398564909</v>
      </c>
      <c r="I50" s="247">
        <f>IF('Finanical Statment'!I7=0,0,(H28+(I49*(I27-H27)))/I27)</f>
        <v>0.4071245253</v>
      </c>
      <c r="J50" s="247">
        <f>IF('Finanical Statment'!J7=0,0,(I28+(J49*(J27-I27)))/J27)</f>
        <v>0.3020167589</v>
      </c>
      <c r="K50" s="247">
        <f>IF('Finanical Statment'!K7=0,0,(J28+(K49*(K27-J27)))/K27)</f>
        <v>0.2983674232</v>
      </c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</row>
    <row r="51">
      <c r="A51" s="44" t="s">
        <v>265</v>
      </c>
      <c r="B51" s="44"/>
      <c r="C51" s="157">
        <f>IF('Finanical Statment'!C7=0,0,B30-C50)</f>
        <v>0.01433017998</v>
      </c>
      <c r="D51" s="157">
        <f>IF('Finanical Statment'!D7=0,0,C30-D50)</f>
        <v>-0.02684636382</v>
      </c>
      <c r="E51" s="157">
        <f>IF('Finanical Statment'!E7=0,0,D30-E50)</f>
        <v>0.02863571236</v>
      </c>
      <c r="F51" s="157">
        <f>IF('Finanical Statment'!F7=0,0,E30-F50)</f>
        <v>-0.01752316843</v>
      </c>
      <c r="G51" s="157">
        <f>IF('Finanical Statment'!G7=0,0,F30-G50)</f>
        <v>0.005515354006</v>
      </c>
      <c r="H51" s="157">
        <f>IF('Finanical Statment'!H7=0,0,G30-H50)</f>
        <v>-0.01508226397</v>
      </c>
      <c r="I51" s="157">
        <f>IF('Finanical Statment'!I7=0,0,H30-I50)</f>
        <v>-0.01545736926</v>
      </c>
      <c r="J51" s="157">
        <f>IF('Finanical Statment'!J7=0,0,I30-J50)</f>
        <v>0.04442383029</v>
      </c>
      <c r="K51" s="157">
        <f>IF('Finanical Statment'!K7=0,0,J30-K50)</f>
        <v>0.04169864046</v>
      </c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</row>
    <row r="5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</row>
    <row r="53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</row>
    <row r="54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</row>
    <row r="5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</row>
    <row r="56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</row>
    <row r="60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</row>
    <row r="6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</row>
    <row r="62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</row>
    <row r="63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</row>
    <row r="64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</row>
    <row r="6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</row>
    <row r="66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</row>
    <row r="67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</row>
    <row r="68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</row>
    <row r="69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</row>
    <row r="70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</row>
    <row r="7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</row>
    <row r="7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</row>
    <row r="73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</row>
    <row r="74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</row>
    <row r="7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</row>
    <row r="76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</row>
    <row r="77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</row>
    <row r="78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</row>
    <row r="79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</row>
    <row r="80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</row>
    <row r="8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</row>
    <row r="84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</row>
    <row r="8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</row>
    <row r="86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</row>
    <row r="87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</row>
    <row r="88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</row>
    <row r="89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</row>
    <row r="90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</row>
    <row r="94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</row>
    <row r="9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</row>
    <row r="96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</row>
    <row r="97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</row>
    <row r="98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</row>
    <row r="99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</row>
    <row r="100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</row>
    <row r="10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</row>
    <row r="10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</row>
    <row r="103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</row>
    <row r="104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</row>
  </sheetData>
  <mergeCells count="3">
    <mergeCell ref="B1:F1"/>
    <mergeCell ref="A2:A3"/>
    <mergeCell ref="B2:K2"/>
  </mergeCells>
  <hyperlinks>
    <hyperlink r:id="rId2" ref="G1"/>
    <hyperlink r:id="rId3" ref="H1"/>
  </hyperlinks>
  <printOptions horizontalCentered="1" verticalCentered="1"/>
  <pageMargins bottom="0.7480314960629921" footer="0.0" header="0.0" left="0.7086614173228347" right="0.7086614173228347" top="0.7480314960629921"/>
  <pageSetup fitToWidth="0" paperSize="9" orientation="landscape"/>
  <drawing r:id="rId4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0"/>
  <cols>
    <col customWidth="1" min="1" max="1" width="1.29"/>
    <col customWidth="1" min="2" max="2" width="29.0"/>
    <col customWidth="1" min="3" max="3" width="11.14"/>
    <col customWidth="1" min="4" max="5" width="5.57"/>
    <col customWidth="1" min="6" max="6" width="8.71"/>
    <col customWidth="1" min="7" max="7" width="29.57"/>
    <col customWidth="1" min="8" max="8" width="19.57"/>
    <col customWidth="1" min="9" max="9" width="18.71"/>
    <col customWidth="1" min="10" max="10" width="14.71"/>
    <col customWidth="1" min="11" max="11" width="11.29"/>
    <col customWidth="1" min="12" max="12" width="12.71"/>
    <col customWidth="1" min="13" max="13" width="13.43"/>
    <col customWidth="1" min="14" max="17" width="12.71"/>
    <col customWidth="1" min="18" max="19" width="9.14"/>
    <col customWidth="1" min="20" max="20" width="34.0"/>
    <col customWidth="1" min="21" max="21" width="8.71"/>
    <col customWidth="1" min="22" max="24" width="9.14"/>
    <col customWidth="1" min="25" max="26" width="9.57"/>
    <col customWidth="1" min="27" max="33" width="9.14"/>
  </cols>
  <sheetData>
    <row r="1">
      <c r="A1" s="253" t="s">
        <v>66</v>
      </c>
      <c r="B1" s="5"/>
      <c r="C1" s="5"/>
      <c r="D1" s="5"/>
      <c r="E1" s="6"/>
      <c r="F1" s="21"/>
      <c r="G1" s="134" t="s">
        <v>67</v>
      </c>
      <c r="H1" s="135"/>
      <c r="I1" s="135"/>
      <c r="J1" s="133"/>
      <c r="K1" s="136" t="s">
        <v>68</v>
      </c>
      <c r="L1" s="137" t="s">
        <v>69</v>
      </c>
      <c r="M1" s="254"/>
      <c r="N1" s="21"/>
      <c r="O1" s="21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255"/>
      <c r="AA1" s="23"/>
      <c r="AB1" s="23"/>
      <c r="AC1" s="23"/>
      <c r="AD1" s="23"/>
      <c r="AE1" s="23"/>
      <c r="AF1" s="23"/>
      <c r="AG1" s="23"/>
    </row>
    <row r="2">
      <c r="A2" s="35"/>
      <c r="B2" s="256" t="s">
        <v>266</v>
      </c>
      <c r="C2" s="257"/>
      <c r="D2" s="257"/>
      <c r="E2" s="25"/>
      <c r="F2" s="258"/>
      <c r="G2" s="258"/>
      <c r="H2" s="26" t="str">
        <f>'Data Sheet'!B1</f>
        <v>ITC LTD</v>
      </c>
      <c r="I2" s="5"/>
      <c r="J2" s="5"/>
      <c r="K2" s="5"/>
      <c r="L2" s="5"/>
      <c r="M2" s="5"/>
      <c r="N2" s="5"/>
      <c r="O2" s="5"/>
      <c r="P2" s="5"/>
      <c r="Q2" s="187"/>
      <c r="R2" s="35"/>
      <c r="S2" s="35"/>
      <c r="T2" s="35"/>
      <c r="U2" s="35"/>
      <c r="V2" s="35"/>
      <c r="W2" s="35"/>
      <c r="X2" s="35"/>
      <c r="Y2" s="35"/>
      <c r="Z2" s="35"/>
      <c r="AA2" s="44"/>
      <c r="AB2" s="44"/>
      <c r="AC2" s="44"/>
      <c r="AD2" s="44"/>
      <c r="AE2" s="44"/>
      <c r="AF2" s="44"/>
      <c r="AG2" s="44"/>
    </row>
    <row r="3">
      <c r="A3" s="35"/>
      <c r="B3" s="259"/>
      <c r="C3" s="260"/>
      <c r="D3" s="260"/>
      <c r="E3" s="31"/>
      <c r="F3" s="190"/>
      <c r="G3" s="190"/>
      <c r="H3" s="190">
        <v>2014.0</v>
      </c>
      <c r="I3" s="190">
        <f t="shared" ref="I3:Q3" si="1">H3+1</f>
        <v>2015</v>
      </c>
      <c r="J3" s="190">
        <f t="shared" si="1"/>
        <v>2016</v>
      </c>
      <c r="K3" s="190">
        <f t="shared" si="1"/>
        <v>2017</v>
      </c>
      <c r="L3" s="190">
        <f t="shared" si="1"/>
        <v>2018</v>
      </c>
      <c r="M3" s="190">
        <f t="shared" si="1"/>
        <v>2019</v>
      </c>
      <c r="N3" s="190">
        <f t="shared" si="1"/>
        <v>2020</v>
      </c>
      <c r="O3" s="190">
        <f t="shared" si="1"/>
        <v>2021</v>
      </c>
      <c r="P3" s="190">
        <f t="shared" si="1"/>
        <v>2022</v>
      </c>
      <c r="Q3" s="191">
        <f t="shared" si="1"/>
        <v>2023</v>
      </c>
      <c r="R3" s="35"/>
      <c r="S3" s="35"/>
      <c r="T3" s="35"/>
      <c r="U3" s="35"/>
      <c r="V3" s="35"/>
      <c r="W3" s="35"/>
      <c r="X3" s="35"/>
      <c r="Y3" s="35"/>
      <c r="Z3" s="35"/>
      <c r="AA3" s="44"/>
      <c r="AB3" s="44"/>
      <c r="AC3" s="44"/>
      <c r="AD3" s="44"/>
      <c r="AE3" s="44"/>
      <c r="AF3" s="44"/>
      <c r="AG3" s="44"/>
    </row>
    <row r="4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>
      <c r="A5" s="44"/>
      <c r="B5" s="261" t="str">
        <f>'Data Sheet'!A6</f>
        <v>Number of shares</v>
      </c>
      <c r="C5" s="262">
        <f>'Data Sheet'!B6</f>
        <v>1247.023836</v>
      </c>
      <c r="D5" s="109"/>
      <c r="E5" s="109"/>
      <c r="F5" s="44"/>
      <c r="G5" s="44" t="str">
        <f>NP</f>
        <v>Net Profit</v>
      </c>
      <c r="H5" s="263">
        <f>'Finanical Statment'!C34</f>
        <v>8990.62</v>
      </c>
      <c r="I5" s="263">
        <f>'Finanical Statment'!D34</f>
        <v>9765.63</v>
      </c>
      <c r="J5" s="263">
        <f>'Finanical Statment'!E34</f>
        <v>9500.86</v>
      </c>
      <c r="K5" s="263">
        <f>'Finanical Statment'!F34</f>
        <v>10477.23</v>
      </c>
      <c r="L5" s="263">
        <f>'Finanical Statment'!G34</f>
        <v>11492.68</v>
      </c>
      <c r="M5" s="263">
        <f>'Finanical Statment'!H34</f>
        <v>12835.9</v>
      </c>
      <c r="N5" s="263">
        <f>'Finanical Statment'!I34</f>
        <v>15592.78</v>
      </c>
      <c r="O5" s="263">
        <f>'Finanical Statment'!J34</f>
        <v>13382.88</v>
      </c>
      <c r="P5" s="263">
        <f>'Finanical Statment'!K34</f>
        <v>15503.13</v>
      </c>
      <c r="Q5" s="263">
        <f>'Finanical Statment'!L34</f>
        <v>19476.72</v>
      </c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>
      <c r="A6" s="44"/>
      <c r="B6" s="264" t="str">
        <f>'Data Sheet'!A7</f>
        <v>Face Value</v>
      </c>
      <c r="C6" s="265">
        <f>'Data Sheet'!B7</f>
        <v>1</v>
      </c>
      <c r="D6" s="109"/>
      <c r="E6" s="109"/>
      <c r="F6" s="44"/>
      <c r="G6" s="44" t="str">
        <f>'Finanical Statment'!A38</f>
        <v>Dividend Paid</v>
      </c>
      <c r="H6" s="263">
        <f>'Finanical Statment'!C38</f>
        <v>4771.92</v>
      </c>
      <c r="I6" s="263">
        <f>'Finanical Statment'!D38</f>
        <v>5009.69</v>
      </c>
      <c r="J6" s="263">
        <f>'Finanical Statment'!E38</f>
        <v>6840.12</v>
      </c>
      <c r="K6" s="263">
        <f>'Finanical Statment'!F38</f>
        <v>5770.02</v>
      </c>
      <c r="L6" s="263">
        <f>'Finanical Statment'!G38</f>
        <v>6285.21</v>
      </c>
      <c r="M6" s="263">
        <f>'Finanical Statment'!H38</f>
        <v>7048.7</v>
      </c>
      <c r="N6" s="263">
        <f>'Finanical Statment'!I38</f>
        <v>12476.58</v>
      </c>
      <c r="O6" s="263">
        <f>'Finanical Statment'!J38</f>
        <v>13231.96</v>
      </c>
      <c r="P6" s="263">
        <f>'Finanical Statment'!K38</f>
        <v>14171.8</v>
      </c>
      <c r="Q6" s="263">
        <f>'Finanical Statment'!L38</f>
        <v>19263.4</v>
      </c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>
      <c r="A7" s="44"/>
      <c r="B7" s="266" t="s">
        <v>267</v>
      </c>
      <c r="C7" s="267">
        <v>434.0</v>
      </c>
      <c r="D7" s="109"/>
      <c r="E7" s="109"/>
      <c r="F7" s="44"/>
      <c r="G7" s="44" t="str">
        <f>'Finanical Statment'!A41</f>
        <v>Retained Earning</v>
      </c>
      <c r="H7" s="263">
        <f>'Finanical Statment'!C41</f>
        <v>4218.7</v>
      </c>
      <c r="I7" s="263">
        <f>'Finanical Statment'!D41</f>
        <v>4755.94</v>
      </c>
      <c r="J7" s="263">
        <f>'Finanical Statment'!E41</f>
        <v>2660.74</v>
      </c>
      <c r="K7" s="263">
        <f>'Finanical Statment'!F41</f>
        <v>4707.21</v>
      </c>
      <c r="L7" s="263">
        <f>'Finanical Statment'!G41</f>
        <v>5207.47</v>
      </c>
      <c r="M7" s="263">
        <f>'Finanical Statment'!H41</f>
        <v>5787.2</v>
      </c>
      <c r="N7" s="263">
        <f>'Finanical Statment'!I41</f>
        <v>3116.2</v>
      </c>
      <c r="O7" s="263">
        <f>'Finanical Statment'!J41</f>
        <v>150.92</v>
      </c>
      <c r="P7" s="263">
        <f>'Finanical Statment'!K41</f>
        <v>1331.33</v>
      </c>
      <c r="Q7" s="263">
        <f>'Finanical Statment'!L41</f>
        <v>213.32</v>
      </c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>
      <c r="A8" s="44"/>
      <c r="B8" s="264" t="str">
        <f>'Data Sheet'!A9</f>
        <v>Market Capitalization</v>
      </c>
      <c r="C8" s="265">
        <f>C5*C7</f>
        <v>541208.345</v>
      </c>
      <c r="D8" s="268"/>
      <c r="E8" s="268"/>
      <c r="F8" s="44"/>
      <c r="G8" s="44" t="s">
        <v>123</v>
      </c>
      <c r="H8" s="263">
        <f>'Finanical Statment'!C100</f>
        <v>280624.6854</v>
      </c>
      <c r="I8" s="263">
        <f>'Finanical Statment'!D100</f>
        <v>261182.1459</v>
      </c>
      <c r="J8" s="263">
        <f>'Finanical Statment'!E100</f>
        <v>264145.3164</v>
      </c>
      <c r="K8" s="263">
        <f>'Finanical Statment'!F100</f>
        <v>340491.622</v>
      </c>
      <c r="L8" s="263">
        <f>'Finanical Statment'!G100</f>
        <v>311819.865</v>
      </c>
      <c r="M8" s="263">
        <f>'Finanical Statment'!H100</f>
        <v>364386.885</v>
      </c>
      <c r="N8" s="263">
        <f>'Finanical Statment'!I100</f>
        <v>211057.074</v>
      </c>
      <c r="O8" s="263">
        <f>'Finanical Statment'!J100</f>
        <v>268947.28</v>
      </c>
      <c r="P8" s="263">
        <f>'Finanical Statment'!K100</f>
        <v>308883.5145</v>
      </c>
      <c r="Q8" s="263">
        <f>'Finanical Statment'!L100</f>
        <v>476613.8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>
      <c r="A9" s="44"/>
      <c r="B9" s="269" t="s">
        <v>268</v>
      </c>
      <c r="C9" s="270">
        <v>0.12</v>
      </c>
      <c r="D9" s="268"/>
      <c r="E9" s="268"/>
      <c r="F9" s="44"/>
      <c r="G9" s="44" t="s">
        <v>269</v>
      </c>
      <c r="H9" s="46"/>
      <c r="I9" s="263">
        <f>'Finanical Statment'!D84</f>
        <v>2993</v>
      </c>
      <c r="J9" s="263">
        <f>'Finanical Statment'!E84</f>
        <v>740</v>
      </c>
      <c r="K9" s="263">
        <f>'Finanical Statment'!F84</f>
        <v>3110</v>
      </c>
      <c r="L9" s="263">
        <f>'Finanical Statment'!G84</f>
        <v>3645</v>
      </c>
      <c r="M9" s="263">
        <f>'Finanical Statment'!H84</f>
        <v>2875</v>
      </c>
      <c r="N9" s="263">
        <f>'Finanical Statment'!I84</f>
        <v>3104</v>
      </c>
      <c r="O9" s="263">
        <f>'Finanical Statment'!J84</f>
        <v>3986</v>
      </c>
      <c r="P9" s="263">
        <f>'Finanical Statment'!K84</f>
        <v>1890</v>
      </c>
      <c r="Q9" s="263">
        <f>'Finanical Statment'!L84</f>
        <v>3290</v>
      </c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</row>
    <row r="10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271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>
      <c r="A11" s="44"/>
      <c r="B11" s="272" t="s">
        <v>270</v>
      </c>
      <c r="C11" s="273">
        <f>IF(H5=0,0,(Q5/H5)^(1/10)-1)</f>
        <v>0.08037025324</v>
      </c>
      <c r="D11" s="44"/>
      <c r="E11" s="44"/>
      <c r="F11" s="44"/>
      <c r="G11" s="274" t="s">
        <v>271</v>
      </c>
      <c r="H11" s="135"/>
      <c r="I11" s="135"/>
      <c r="J11" s="166"/>
      <c r="K11" s="271"/>
      <c r="L11" s="274" t="s">
        <v>272</v>
      </c>
      <c r="M11" s="135"/>
      <c r="N11" s="135"/>
      <c r="O11" s="135"/>
      <c r="P11" s="166"/>
      <c r="Q11" s="44"/>
      <c r="R11" s="44"/>
      <c r="S11" s="44"/>
      <c r="T11" s="109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>
      <c r="A12" s="44"/>
      <c r="B12" s="275" t="s">
        <v>273</v>
      </c>
      <c r="C12" s="276">
        <f>IF(M5=0,0,(Q5/M5)^(1/5)-1)</f>
        <v>0.0869708542</v>
      </c>
      <c r="D12" s="44"/>
      <c r="E12" s="44"/>
      <c r="F12" s="44"/>
      <c r="G12" s="277" t="s">
        <v>274</v>
      </c>
      <c r="H12" s="147" t="s">
        <v>275</v>
      </c>
      <c r="I12" s="147" t="s">
        <v>276</v>
      </c>
      <c r="J12" s="246" t="s">
        <v>277</v>
      </c>
      <c r="K12" s="44"/>
      <c r="L12" s="278" t="s">
        <v>278</v>
      </c>
      <c r="M12" s="133"/>
      <c r="N12" s="279" t="s">
        <v>279</v>
      </c>
      <c r="O12" s="135"/>
      <c r="P12" s="166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</row>
    <row r="13">
      <c r="A13" s="44"/>
      <c r="B13" s="275" t="s">
        <v>280</v>
      </c>
      <c r="C13" s="276">
        <f>IF(H8=0,0,(C8/H8)^(1/10)-1)</f>
        <v>0.0678834633</v>
      </c>
      <c r="D13" s="44"/>
      <c r="E13" s="44"/>
      <c r="F13" s="44"/>
      <c r="G13" s="280" t="s">
        <v>281</v>
      </c>
      <c r="H13" s="271">
        <f>SUM(O7:Q7)</f>
        <v>1695.57</v>
      </c>
      <c r="I13" s="281">
        <f>C8-O8</f>
        <v>272261.065</v>
      </c>
      <c r="J13" s="282">
        <f t="shared" ref="J13:J15" si="2">I13/H13</f>
        <v>160.5719994</v>
      </c>
      <c r="K13" s="44"/>
      <c r="L13" s="283" t="s">
        <v>282</v>
      </c>
      <c r="M13" s="284"/>
      <c r="N13" s="285">
        <f>IF(C12=0,0,C14/C12)</f>
        <v>0.9466576841</v>
      </c>
      <c r="O13" s="284"/>
      <c r="P13" s="286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</row>
    <row r="14">
      <c r="A14" s="44"/>
      <c r="B14" s="287" t="s">
        <v>283</v>
      </c>
      <c r="C14" s="288">
        <f>IF(M8=0,0,(C8/M8)^(1/5)-1)</f>
        <v>0.08233162743</v>
      </c>
      <c r="D14" s="44"/>
      <c r="E14" s="44"/>
      <c r="F14" s="44"/>
      <c r="G14" s="280" t="s">
        <v>282</v>
      </c>
      <c r="H14" s="271">
        <f>SUM(M7:Q7)</f>
        <v>10598.97</v>
      </c>
      <c r="I14" s="281">
        <f>C8-M8</f>
        <v>176821.46</v>
      </c>
      <c r="J14" s="282">
        <f t="shared" si="2"/>
        <v>16.68289089</v>
      </c>
      <c r="K14" s="44"/>
      <c r="L14" s="289" t="s">
        <v>284</v>
      </c>
      <c r="M14" s="290"/>
      <c r="N14" s="291">
        <f>IF(C11=0,0,C13/C11)</f>
        <v>0.8446341844</v>
      </c>
      <c r="O14" s="290"/>
      <c r="P14" s="292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</row>
    <row r="15">
      <c r="A15" s="44"/>
      <c r="B15" s="44"/>
      <c r="C15" s="44"/>
      <c r="D15" s="44"/>
      <c r="E15" s="44"/>
      <c r="F15" s="44"/>
      <c r="G15" s="293" t="s">
        <v>284</v>
      </c>
      <c r="H15" s="294">
        <f>SUM(H7:Q7)</f>
        <v>32149.03</v>
      </c>
      <c r="I15" s="295">
        <f>C8-H8</f>
        <v>260583.6596</v>
      </c>
      <c r="J15" s="296">
        <f t="shared" si="2"/>
        <v>8.105490573</v>
      </c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</row>
    <row r="16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</row>
    <row r="17">
      <c r="A17" s="44"/>
      <c r="B17" s="44"/>
      <c r="C17" s="44"/>
      <c r="D17" s="44"/>
      <c r="E17" s="44"/>
      <c r="F17" s="44"/>
      <c r="G17" s="297" t="s">
        <v>285</v>
      </c>
      <c r="H17" s="298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</row>
    <row r="18">
      <c r="A18" s="44"/>
      <c r="B18" s="44"/>
      <c r="C18" s="44"/>
      <c r="D18" s="44"/>
      <c r="E18" s="44"/>
      <c r="F18" s="44"/>
      <c r="G18" s="212" t="s">
        <v>286</v>
      </c>
      <c r="H18" s="235">
        <f>SUM(O9:Q9)/SUM(O5:Q5)</f>
        <v>0.1895261082</v>
      </c>
      <c r="I18" s="299"/>
      <c r="J18" s="299"/>
      <c r="K18" s="299"/>
      <c r="L18" s="299"/>
      <c r="M18" s="299"/>
      <c r="N18" s="299"/>
      <c r="O18" s="299"/>
      <c r="P18" s="299"/>
      <c r="Q18" s="299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</row>
    <row r="19">
      <c r="A19" s="44"/>
      <c r="B19" s="44"/>
      <c r="C19" s="44"/>
      <c r="D19" s="44"/>
      <c r="E19" s="44"/>
      <c r="F19" s="44"/>
      <c r="G19" s="212" t="s">
        <v>287</v>
      </c>
      <c r="H19" s="235">
        <f>SUM(M9:Q9)/SUM(M5:Q5)</f>
        <v>0.19722258</v>
      </c>
      <c r="I19" s="299"/>
      <c r="J19" s="299"/>
      <c r="K19" s="299"/>
      <c r="L19" s="299"/>
      <c r="M19" s="299"/>
      <c r="N19" s="299"/>
      <c r="O19" s="299"/>
      <c r="P19" s="299"/>
      <c r="Q19" s="299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</row>
    <row r="20">
      <c r="A20" s="44"/>
      <c r="B20" s="44"/>
      <c r="C20" s="44"/>
      <c r="D20" s="44"/>
      <c r="E20" s="44"/>
      <c r="F20" s="44"/>
      <c r="G20" s="227" t="s">
        <v>288</v>
      </c>
      <c r="H20" s="300">
        <f>SUM(I9:Q9)/SUM(H5:Q5)</f>
        <v>0.2018053601</v>
      </c>
      <c r="I20" s="299"/>
      <c r="J20" s="299"/>
      <c r="K20" s="299"/>
      <c r="L20" s="299"/>
      <c r="M20" s="299"/>
      <c r="N20" s="299"/>
      <c r="O20" s="299"/>
      <c r="P20" s="299"/>
      <c r="Q20" s="299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</row>
    <row r="21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</row>
    <row r="22">
      <c r="A22" s="44"/>
      <c r="B22" s="44"/>
      <c r="C22" s="44"/>
      <c r="D22" s="44"/>
      <c r="E22" s="44"/>
      <c r="F22" s="44"/>
      <c r="G22" s="301" t="s">
        <v>289</v>
      </c>
      <c r="H22" s="302"/>
      <c r="I22" s="302">
        <f>IF('Finanical Statment'!C7=0,0,I30-($C$9*I34))</f>
        <v>6105.734505</v>
      </c>
      <c r="J22" s="302">
        <f>IF('Finanical Statment'!D7=0,0,J30-($C$9*J34))</f>
        <v>4954.034364</v>
      </c>
      <c r="K22" s="302">
        <f>IF('Finanical Statment'!E7=0,0,K30-($C$9*K34))</f>
        <v>4548.101514</v>
      </c>
      <c r="L22" s="302">
        <f>IF('Finanical Statment'!F7=0,0,L30-($C$9*L34))</f>
        <v>4501.725641</v>
      </c>
      <c r="M22" s="302">
        <f>IF('Finanical Statment'!G7=0,0,M30-($C$9*M34))</f>
        <v>5210.341425</v>
      </c>
      <c r="N22" s="302">
        <f>IF('Finanical Statment'!H7=0,0,N30-($C$9*N34))</f>
        <v>6978.193569</v>
      </c>
      <c r="O22" s="302">
        <f>IF('Finanical Statment'!I7=0,0,O30-($C$9*O34))</f>
        <v>4649.628567</v>
      </c>
      <c r="P22" s="302">
        <f>IF('Finanical Statment'!J7=0,0,P30-($C$9*P34))</f>
        <v>7279.905541</v>
      </c>
      <c r="Q22" s="302">
        <f>IF('Finanical Statment'!K7=0,0,Q30-($C$9*Q34))</f>
        <v>10600.76821</v>
      </c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</row>
    <row r="23">
      <c r="A23" s="44"/>
      <c r="B23" s="44"/>
      <c r="C23" s="44"/>
      <c r="D23" s="44"/>
      <c r="E23" s="44"/>
      <c r="F23" s="44"/>
      <c r="G23" s="49" t="s">
        <v>290</v>
      </c>
      <c r="H23" s="49"/>
      <c r="I23" s="299">
        <f>IF('Finanical Statment'!C7=0,0,I22/$C$5)</f>
        <v>4.896245225</v>
      </c>
      <c r="J23" s="299">
        <f>IF('Finanical Statment'!D7=0,0,J22/$C$5)</f>
        <v>3.972686182</v>
      </c>
      <c r="K23" s="299">
        <f>IF('Finanical Statment'!E7=0,0,K22/$C$5)</f>
        <v>3.647164859</v>
      </c>
      <c r="L23" s="299">
        <f>IF('Finanical Statment'!F7=0,0,L22/$C$5)</f>
        <v>3.609975615</v>
      </c>
      <c r="M23" s="299">
        <f>IF('Finanical Statment'!G7=0,0,M22/$C$5)</f>
        <v>4.178221195</v>
      </c>
      <c r="N23" s="299">
        <f>IF('Finanical Statment'!H7=0,0,N22/$C$5)</f>
        <v>5.595878255</v>
      </c>
      <c r="O23" s="299">
        <f>IF('Finanical Statment'!I7=0,0,O22/$C$5)</f>
        <v>3.728580346</v>
      </c>
      <c r="P23" s="299">
        <f>IF('Finanical Statment'!J7=0,0,P22/$C$5)</f>
        <v>5.837823888</v>
      </c>
      <c r="Q23" s="299">
        <f>IF('Finanical Statment'!K7=0,0,Q22/$C$5)</f>
        <v>8.500854516</v>
      </c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>
      <c r="A24" s="44"/>
      <c r="B24" s="44"/>
      <c r="C24" s="44"/>
      <c r="D24" s="44"/>
      <c r="E24" s="44"/>
      <c r="F24" s="44"/>
      <c r="G24" s="49" t="s">
        <v>291</v>
      </c>
      <c r="H24" s="49"/>
      <c r="I24" s="303">
        <f>IF(I22=0,0,I22/'Finanical Statment'!D7)</f>
        <v>0.1572947655</v>
      </c>
      <c r="J24" s="303">
        <f>IF(J22=0,0,J22/'Finanical Statment'!E7)</f>
        <v>0.1264039019</v>
      </c>
      <c r="K24" s="303">
        <f>IF(K22=0,0,K22/'Finanical Statment'!F7)</f>
        <v>0.1063445579</v>
      </c>
      <c r="L24" s="303">
        <f>IF(L22=0,0,L22/'Finanical Statment'!G7)</f>
        <v>0.103609562</v>
      </c>
      <c r="M24" s="303">
        <f>IF(M22=0,0,M22/'Finanical Statment'!H7)</f>
        <v>0.107786237</v>
      </c>
      <c r="N24" s="303">
        <f>IF(N22=0,0,N22/'Finanical Statment'!I7)</f>
        <v>0.1412941597</v>
      </c>
      <c r="O24" s="303">
        <f>IF(O22=0,0,O22/'Finanical Statment'!J7)</f>
        <v>0.09439442291</v>
      </c>
      <c r="P24" s="303">
        <f>IF(P22=0,0,P22/'Finanical Statment'!K7)</f>
        <v>0.1200422254</v>
      </c>
      <c r="Q24" s="303">
        <f>IF(Q22=0,0,Q22/'Finanical Statment'!L7)</f>
        <v>0.1494770615</v>
      </c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>
      <c r="A25" s="44"/>
      <c r="B25" s="44"/>
      <c r="C25" s="44"/>
      <c r="D25" s="44"/>
      <c r="E25" s="44"/>
      <c r="F25" s="44"/>
      <c r="G25" s="49" t="s">
        <v>292</v>
      </c>
      <c r="H25" s="49"/>
      <c r="I25" s="44"/>
      <c r="J25" s="303"/>
      <c r="K25" s="303">
        <f t="shared" ref="K25:Q25" si="3">IF(I24=0,0,K24-I24)</f>
        <v>-0.05095020755</v>
      </c>
      <c r="L25" s="303">
        <f t="shared" si="3"/>
        <v>-0.02279433995</v>
      </c>
      <c r="M25" s="303">
        <f t="shared" si="3"/>
        <v>0.001441679061</v>
      </c>
      <c r="N25" s="303">
        <f t="shared" si="3"/>
        <v>0.03768459771</v>
      </c>
      <c r="O25" s="303">
        <f t="shared" si="3"/>
        <v>-0.01339181405</v>
      </c>
      <c r="P25" s="303">
        <f t="shared" si="3"/>
        <v>-0.02125193424</v>
      </c>
      <c r="Q25" s="303">
        <f t="shared" si="3"/>
        <v>0.05508263863</v>
      </c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</row>
    <row r="26" ht="25.5" customHeight="1">
      <c r="A26" s="304" t="s">
        <v>293</v>
      </c>
      <c r="B26" s="135"/>
      <c r="C26" s="135"/>
      <c r="D26" s="135"/>
      <c r="E26" s="133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246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</row>
    <row r="27">
      <c r="A27" s="35"/>
      <c r="B27" s="305" t="s">
        <v>294</v>
      </c>
      <c r="C27" s="5"/>
      <c r="D27" s="5"/>
      <c r="E27" s="6"/>
      <c r="F27" s="35"/>
      <c r="G27" s="35"/>
      <c r="H27" s="305" t="s">
        <v>295</v>
      </c>
      <c r="I27" s="5"/>
      <c r="J27" s="5"/>
      <c r="K27" s="5"/>
      <c r="L27" s="5"/>
      <c r="M27" s="5"/>
      <c r="N27" s="5"/>
      <c r="O27" s="5"/>
      <c r="P27" s="5"/>
      <c r="Q27" s="6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</row>
    <row r="28">
      <c r="A28" s="44"/>
      <c r="B28" s="44"/>
      <c r="C28" s="306" t="s">
        <v>296</v>
      </c>
      <c r="D28" s="307" t="s">
        <v>147</v>
      </c>
      <c r="E28" s="308" t="s">
        <v>146</v>
      </c>
      <c r="F28" s="44"/>
      <c r="G28" s="44" t="s">
        <v>297</v>
      </c>
      <c r="H28" s="271">
        <f>IF('Finanical Statment'!C7=0,0,'Finanical Statment'!C16-'Finanical Statment'!C22)</f>
        <v>12114.98</v>
      </c>
      <c r="I28" s="271">
        <f>IF('Finanical Statment'!D7=0,0,'Finanical Statment'!D16-'Finanical Statment'!D22)</f>
        <v>13223.66</v>
      </c>
      <c r="J28" s="271">
        <f>IF('Finanical Statment'!E7=0,0,'Finanical Statment'!E16-'Finanical Statment'!E22)</f>
        <v>13454.09</v>
      </c>
      <c r="K28" s="271">
        <f>IF('Finanical Statment'!F7=0,0,'Finanical Statment'!F16-'Finanical Statment'!F22)</f>
        <v>14316.72</v>
      </c>
      <c r="L28" s="271">
        <f>IF('Finanical Statment'!G7=0,0,'Finanical Statment'!G16-'Finanical Statment'!G22)</f>
        <v>15284.31</v>
      </c>
      <c r="M28" s="271">
        <f>IF('Finanical Statment'!H7=0,0,'Finanical Statment'!H16-'Finanical Statment'!H22)</f>
        <v>17140.78</v>
      </c>
      <c r="N28" s="271">
        <f>IF('Finanical Statment'!I7=0,0,'Finanical Statment'!I16-'Finanical Statment'!I22)</f>
        <v>17698.63</v>
      </c>
      <c r="O28" s="271">
        <f>IF('Finanical Statment'!J7=0,0,'Finanical Statment'!J16-'Finanical Statment'!J22)</f>
        <v>15419.19</v>
      </c>
      <c r="P28" s="271">
        <f>IF('Finanical Statment'!K7=0,0,'Finanical Statment'!K16-'Finanical Statment'!K22)</f>
        <v>18890.74</v>
      </c>
      <c r="Q28" s="271">
        <f>IF('Finanical Statment'!L7=0,0,'Finanical Statment'!L16-'Finanical Statment'!L22)</f>
        <v>23895.25</v>
      </c>
      <c r="R28" s="44"/>
      <c r="S28" s="44"/>
      <c r="T28" s="109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</row>
    <row r="29">
      <c r="A29" s="44"/>
      <c r="B29" s="44"/>
      <c r="C29" s="309">
        <f>MEDIAN(H29:Q29)</f>
        <v>0.3155923448</v>
      </c>
      <c r="D29" s="310">
        <f>MIN(H29:Q29)</f>
        <v>0.2217062807</v>
      </c>
      <c r="E29" s="311">
        <f>MAX(H29:Q29)</f>
        <v>0.3606019758</v>
      </c>
      <c r="F29" s="44"/>
      <c r="G29" s="312" t="s">
        <v>88</v>
      </c>
      <c r="H29" s="313">
        <f>IF('Finanical Statment'!C7=0,0,'Finanical Statment'!C33)</f>
        <v>0.3111454195</v>
      </c>
      <c r="I29" s="313">
        <f>'Finanical Statment'!D33</f>
        <v>0.3200392702</v>
      </c>
      <c r="J29" s="313">
        <f>'Finanical Statment'!E33</f>
        <v>0.3606019758</v>
      </c>
      <c r="K29" s="313">
        <f>'Finanical Statment'!F33</f>
        <v>0.3462485461</v>
      </c>
      <c r="L29" s="313">
        <f>'Finanical Statment'!G33</f>
        <v>0.3398467814</v>
      </c>
      <c r="M29" s="313">
        <f>'Finanical Statment'!H33</f>
        <v>0.3297117153</v>
      </c>
      <c r="N29" s="313">
        <f>'Finanical Statment'!I33</f>
        <v>0.2217062807</v>
      </c>
      <c r="O29" s="313">
        <f>'Finanical Statment'!J33</f>
        <v>0.2539439642</v>
      </c>
      <c r="P29" s="313">
        <f>'Finanical Statment'!K33</f>
        <v>0.2525179034</v>
      </c>
      <c r="Q29" s="313">
        <f>'Finanical Statment'!L33</f>
        <v>0.2484418363</v>
      </c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</row>
    <row r="30">
      <c r="A30" s="44"/>
      <c r="B30" s="314" t="s">
        <v>298</v>
      </c>
      <c r="C30" s="5"/>
      <c r="D30" s="5"/>
      <c r="E30" s="6"/>
      <c r="F30" s="44"/>
      <c r="G30" s="63" t="s">
        <v>299</v>
      </c>
      <c r="H30" s="315">
        <f t="shared" ref="H30:Q30" si="4">H28-(H29*H28)</f>
        <v>8345.459466</v>
      </c>
      <c r="I30" s="315">
        <f t="shared" si="4"/>
        <v>8991.569505</v>
      </c>
      <c r="J30" s="315">
        <f t="shared" si="4"/>
        <v>8602.518564</v>
      </c>
      <c r="K30" s="315">
        <f t="shared" si="4"/>
        <v>9359.576514</v>
      </c>
      <c r="L30" s="315">
        <f t="shared" si="4"/>
        <v>10089.98644</v>
      </c>
      <c r="M30" s="315">
        <f t="shared" si="4"/>
        <v>11489.26402</v>
      </c>
      <c r="N30" s="315">
        <f t="shared" si="4"/>
        <v>13774.73257</v>
      </c>
      <c r="O30" s="315">
        <f t="shared" si="4"/>
        <v>11503.57977</v>
      </c>
      <c r="P30" s="315">
        <f t="shared" si="4"/>
        <v>14120.48994</v>
      </c>
      <c r="Q30" s="315">
        <f t="shared" si="4"/>
        <v>17958.67021</v>
      </c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</row>
    <row r="31">
      <c r="A31" s="44"/>
      <c r="B31" s="316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</row>
    <row r="32" ht="15.0" customHeight="1">
      <c r="A32" s="44"/>
      <c r="F32" s="44"/>
      <c r="G32" s="317" t="s">
        <v>300</v>
      </c>
      <c r="H32" s="318"/>
      <c r="I32" s="318"/>
      <c r="J32" s="318"/>
      <c r="K32" s="319"/>
      <c r="L32" s="319"/>
      <c r="M32" s="319"/>
      <c r="N32" s="319"/>
      <c r="O32" s="319"/>
      <c r="P32" s="319"/>
      <c r="Q32" s="319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>
      <c r="A33" s="44"/>
      <c r="F33" s="44"/>
      <c r="G33" s="44" t="s">
        <v>301</v>
      </c>
      <c r="H33" s="271">
        <f>IF('Finanical Statment'!C7=0,0,'Finanical Statment'!C68+('Finanical Statment'!C59-'Finanical Statment'!C54))</f>
        <v>23989.18</v>
      </c>
      <c r="I33" s="271">
        <f>IF('Finanical Statment'!D7=0,0,'Finanical Statment'!D68+('Finanical Statment'!D59-'Finanical Statment'!D54))</f>
        <v>24108.07</v>
      </c>
      <c r="J33" s="271">
        <f>IF('Finanical Statment'!E7=0,0,'Finanical Statment'!E68+('Finanical Statment'!E59-'Finanical Statment'!E54))</f>
        <v>36700</v>
      </c>
      <c r="K33" s="271">
        <f>IF('Finanical Statment'!F7=0,0,'Finanical Statment'!F68+('Finanical Statment'!F59-'Finanical Statment'!F54))</f>
        <v>43491.25</v>
      </c>
      <c r="L33" s="271">
        <f>IF('Finanical Statment'!G7=0,0,'Finanical Statment'!G68+('Finanical Statment'!G59-'Finanical Statment'!G54))</f>
        <v>49646.43</v>
      </c>
      <c r="M33" s="271">
        <f>IF('Finanical Statment'!H7=0,0,'Finanical Statment'!H68+('Finanical Statment'!H59-'Finanical Statment'!H54))</f>
        <v>55002.28</v>
      </c>
      <c r="N33" s="271">
        <f>IF('Finanical Statment'!I7=0,0,'Finanical Statment'!I68+('Finanical Statment'!I59-'Finanical Statment'!I54))</f>
        <v>58273.37</v>
      </c>
      <c r="O33" s="271">
        <f>IF('Finanical Statment'!J7=0,0,'Finanical Statment'!J68+('Finanical Statment'!J59-'Finanical Statment'!J54))</f>
        <v>55959.15</v>
      </c>
      <c r="P33" s="271">
        <f>IF('Finanical Statment'!K7=0,0,'Finanical Statment'!K68+('Finanical Statment'!K59-'Finanical Statment'!K54))</f>
        <v>58050.59</v>
      </c>
      <c r="Q33" s="271">
        <f>IF('Finanical Statment'!L7=0,0,'Finanical Statment'!L68+('Finanical Statment'!L59-'Finanical Statment'!L54))</f>
        <v>64581.11</v>
      </c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>
      <c r="A34" s="44"/>
      <c r="F34" s="44"/>
      <c r="G34" s="44" t="s">
        <v>302</v>
      </c>
      <c r="H34" s="44"/>
      <c r="I34" s="271">
        <f t="shared" ref="I34:Q34" si="5">IF(I33=0,0,AVERAGE(H33:I33))</f>
        <v>24048.625</v>
      </c>
      <c r="J34" s="271">
        <f t="shared" si="5"/>
        <v>30404.035</v>
      </c>
      <c r="K34" s="271">
        <f t="shared" si="5"/>
        <v>40095.625</v>
      </c>
      <c r="L34" s="271">
        <f t="shared" si="5"/>
        <v>46568.84</v>
      </c>
      <c r="M34" s="271">
        <f t="shared" si="5"/>
        <v>52324.355</v>
      </c>
      <c r="N34" s="271">
        <f t="shared" si="5"/>
        <v>56637.825</v>
      </c>
      <c r="O34" s="271">
        <f t="shared" si="5"/>
        <v>57116.26</v>
      </c>
      <c r="P34" s="271">
        <f t="shared" si="5"/>
        <v>57004.87</v>
      </c>
      <c r="Q34" s="271">
        <f t="shared" si="5"/>
        <v>61315.85</v>
      </c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>
      <c r="A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</row>
    <row r="36">
      <c r="A36" s="44"/>
      <c r="B36" s="44"/>
      <c r="C36" s="320">
        <f>MEDIAN(H36:Q36)</f>
        <v>0.2432073013</v>
      </c>
      <c r="D36" s="321">
        <f>MIN(H36:Q36)</f>
        <v>0.2014063905</v>
      </c>
      <c r="E36" s="322">
        <f>MAX(H36:Q36)</f>
        <v>0.3738912102</v>
      </c>
      <c r="F36" s="44"/>
      <c r="G36" s="323" t="s">
        <v>298</v>
      </c>
      <c r="H36" s="324"/>
      <c r="I36" s="325">
        <f t="shared" ref="I36:Q36" si="6">IF(I34=0,0,I30/I34)</f>
        <v>0.3738912102</v>
      </c>
      <c r="J36" s="325">
        <f t="shared" si="6"/>
        <v>0.2829400296</v>
      </c>
      <c r="K36" s="325">
        <f t="shared" si="6"/>
        <v>0.233431366</v>
      </c>
      <c r="L36" s="325">
        <f t="shared" si="6"/>
        <v>0.2166681936</v>
      </c>
      <c r="M36" s="325">
        <f t="shared" si="6"/>
        <v>0.2195777478</v>
      </c>
      <c r="N36" s="325">
        <f t="shared" si="6"/>
        <v>0.2432073013</v>
      </c>
      <c r="O36" s="325">
        <f t="shared" si="6"/>
        <v>0.2014063905</v>
      </c>
      <c r="P36" s="325">
        <f t="shared" si="6"/>
        <v>0.24770673</v>
      </c>
      <c r="Q36" s="325">
        <f t="shared" si="6"/>
        <v>0.2928878946</v>
      </c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>
      <c r="A37" s="44"/>
      <c r="B37" s="44"/>
      <c r="C37" s="326"/>
      <c r="D37" s="44"/>
      <c r="E37" s="44"/>
      <c r="F37" s="44"/>
      <c r="G37" s="317" t="s">
        <v>303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>
      <c r="A38" s="44"/>
      <c r="B38" s="44"/>
      <c r="C38" s="320">
        <f t="shared" ref="C38:C39" si="7">MEDIAN(H38:Q38)</f>
        <v>0.2328402514</v>
      </c>
      <c r="D38" s="321">
        <f t="shared" ref="D38:D39" si="8">MIN(H38:Q38)</f>
        <v>0.2188473638</v>
      </c>
      <c r="E38" s="322">
        <f t="shared" ref="E38:E39" si="9">MAX(H38:Q38)</f>
        <v>0.2789101855</v>
      </c>
      <c r="F38" s="44"/>
      <c r="G38" s="49" t="s">
        <v>304</v>
      </c>
      <c r="H38" s="44"/>
      <c r="I38" s="171">
        <f>IF('Finanical Statment'!D7=0,0,I30/'Finanical Statment'!D7)</f>
        <v>0.2316390952</v>
      </c>
      <c r="J38" s="171">
        <f>IF('Finanical Statment'!E7=0,0,J30/'Finanical Statment'!E7)</f>
        <v>0.2194962394</v>
      </c>
      <c r="K38" s="171">
        <f>IF('Finanical Statment'!F7=0,0,K30/'Finanical Statment'!F7)</f>
        <v>0.2188473638</v>
      </c>
      <c r="L38" s="171">
        <f>IF('Finanical Statment'!G7=0,0,L30/'Finanical Statment'!G7)</f>
        <v>0.2322262969</v>
      </c>
      <c r="M38" s="171">
        <f>IF('Finanical Statment'!H7=0,0,M30/'Finanical Statment'!H7)</f>
        <v>0.237678193</v>
      </c>
      <c r="N38" s="171">
        <f>IF('Finanical Statment'!I7=0,0,N30/'Finanical Statment'!I7)</f>
        <v>0.2789101855</v>
      </c>
      <c r="O38" s="171">
        <f>IF('Finanical Statment'!J7=0,0,O30/'Finanical Statment'!J7)</f>
        <v>0.2335398963</v>
      </c>
      <c r="P38" s="171">
        <f>IF('Finanical Statment'!K7=0,0,P30/'Finanical Statment'!K7)</f>
        <v>0.2328402514</v>
      </c>
      <c r="Q38" s="171">
        <f>IF('Finanical Statment'!L7=0,0,Q30/'Finanical Statment'!L7)</f>
        <v>0.2532278038</v>
      </c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>
      <c r="A39" s="44"/>
      <c r="B39" s="44"/>
      <c r="C39" s="327">
        <f t="shared" si="7"/>
        <v>1.063848405</v>
      </c>
      <c r="D39" s="328">
        <f t="shared" si="8"/>
        <v>0.8624067822</v>
      </c>
      <c r="E39" s="329">
        <f t="shared" si="9"/>
        <v>1.614110994</v>
      </c>
      <c r="F39" s="44"/>
      <c r="G39" s="49" t="s">
        <v>305</v>
      </c>
      <c r="H39" s="44"/>
      <c r="I39" s="330">
        <f>IF('Finanical Statment'!D7=0,0,'Finanical Statment'!D7/'Capital Allocation'!I34)</f>
        <v>1.614110994</v>
      </c>
      <c r="J39" s="330">
        <f>IF('Finanical Statment'!E7=0,0,'Finanical Statment'!E7/'Capital Allocation'!J34)</f>
        <v>1.289042721</v>
      </c>
      <c r="K39" s="330">
        <f>IF('Finanical Statment'!F7=0,0,'Finanical Statment'!F7/'Capital Allocation'!K34)</f>
        <v>1.066640064</v>
      </c>
      <c r="L39" s="330">
        <f>IF('Finanical Statment'!G7=0,0,'Finanical Statment'!G7/'Capital Allocation'!L34)</f>
        <v>0.9330045584</v>
      </c>
      <c r="M39" s="330">
        <f>IF('Finanical Statment'!H7=0,0,'Finanical Statment'!H7/'Capital Allocation'!M34)</f>
        <v>0.9238447373</v>
      </c>
      <c r="N39" s="330">
        <f>IF('Finanical Statment'!I7=0,0,'Finanical Statment'!I7/'Capital Allocation'!N34)</f>
        <v>0.8719914651</v>
      </c>
      <c r="O39" s="330">
        <f>IF('Finanical Statment'!J7=0,0,'Finanical Statment'!J7/'Capital Allocation'!O34)</f>
        <v>0.8624067822</v>
      </c>
      <c r="P39" s="330">
        <f>IF('Finanical Statment'!K7=0,0,'Finanical Statment'!K7/'Capital Allocation'!P34)</f>
        <v>1.063848405</v>
      </c>
      <c r="Q39" s="330">
        <f>IF('Finanical Statment'!L7=0,0,'Finanical Statment'!L7/'Capital Allocation'!Q34)</f>
        <v>1.156618232</v>
      </c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</row>
    <row r="40">
      <c r="A40" s="44"/>
      <c r="B40" s="44"/>
      <c r="C40" s="200"/>
      <c r="D40" s="200"/>
      <c r="E40" s="200"/>
      <c r="F40" s="44"/>
      <c r="G40" s="49"/>
      <c r="H40" s="44"/>
      <c r="I40" s="330"/>
      <c r="J40" s="330"/>
      <c r="K40" s="330"/>
      <c r="L40" s="330"/>
      <c r="M40" s="330"/>
      <c r="N40" s="330"/>
      <c r="O40" s="330"/>
      <c r="P40" s="330"/>
      <c r="Q40" s="330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>
      <c r="A42" s="35"/>
      <c r="B42" s="331" t="s">
        <v>306</v>
      </c>
      <c r="C42" s="209"/>
      <c r="D42" s="209"/>
      <c r="E42" s="332"/>
      <c r="F42" s="333"/>
      <c r="G42" s="333" t="s">
        <v>307</v>
      </c>
      <c r="H42" s="334" t="s">
        <v>308</v>
      </c>
      <c r="I42" s="135"/>
      <c r="J42" s="135"/>
      <c r="K42" s="135"/>
      <c r="L42" s="135"/>
      <c r="M42" s="135"/>
      <c r="N42" s="135"/>
      <c r="O42" s="135"/>
      <c r="P42" s="135"/>
      <c r="Q42" s="166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>
      <c r="A43" s="44"/>
      <c r="B43" s="335"/>
      <c r="C43" s="306" t="s">
        <v>296</v>
      </c>
      <c r="D43" s="307" t="s">
        <v>147</v>
      </c>
      <c r="E43" s="308" t="s">
        <v>146</v>
      </c>
      <c r="F43" s="23"/>
      <c r="G43" s="23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>
      <c r="A44" s="44"/>
      <c r="B44" s="335"/>
      <c r="C44" s="309">
        <f>MEDIAN(H44:Q44)</f>
        <v>0.3419017324</v>
      </c>
      <c r="D44" s="310">
        <f>MIN(H44:Q44)</f>
        <v>0.3114994359</v>
      </c>
      <c r="E44" s="311">
        <f>MAX(H44:Q44)</f>
        <v>0.3583610899</v>
      </c>
      <c r="F44" s="23"/>
      <c r="G44" s="63" t="s">
        <v>309</v>
      </c>
      <c r="H44" s="336">
        <f>IF('Finanical Statment'!C7=0,0,H45-H46-H47)</f>
        <v>0.343138063</v>
      </c>
      <c r="I44" s="336">
        <f>IF('Finanical Statment'!D7=0,0,I45-I46-I47)</f>
        <v>0.3406654018</v>
      </c>
      <c r="J44" s="336">
        <f>IF('Finanical Statment'!E7=0,0,J45-J46-J47)</f>
        <v>0.3432857642</v>
      </c>
      <c r="K44" s="336">
        <f>IF('Finanical Statment'!F7=0,0,K45-K46-K47)</f>
        <v>0.3347562173</v>
      </c>
      <c r="L44" s="336">
        <f>IF('Finanical Statment'!G7=0,0,L45-L46-L47)</f>
        <v>0.3517763609</v>
      </c>
      <c r="M44" s="336">
        <f>IF('Finanical Statment'!H7=0,0,M45-M46-M47)</f>
        <v>0.3545909998</v>
      </c>
      <c r="N44" s="336">
        <f>IF('Finanical Statment'!I7=0,0,N45-N46-N47)</f>
        <v>0.3583610899</v>
      </c>
      <c r="O44" s="336">
        <f>IF('Finanical Statment'!J7=0,0,O45-O46-O47)</f>
        <v>0.3130326479</v>
      </c>
      <c r="P44" s="336">
        <f>IF('Finanical Statment'!K7=0,0,P45-P46-P47)</f>
        <v>0.3114994359</v>
      </c>
      <c r="Q44" s="336">
        <f>IF('Finanical Statment'!L7=0,0,Q45-Q46-Q47)</f>
        <v>0.3369370675</v>
      </c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>
      <c r="A45" s="44"/>
      <c r="B45" s="314" t="s">
        <v>309</v>
      </c>
      <c r="C45" s="5"/>
      <c r="D45" s="5"/>
      <c r="E45" s="6"/>
      <c r="F45" s="23"/>
      <c r="G45" s="337" t="s">
        <v>310</v>
      </c>
      <c r="H45" s="338">
        <f>IF('Finanical Statment'!D7=0,0,'Finanical Statment'!C11)</f>
        <v>0.5671944176</v>
      </c>
      <c r="I45" s="338">
        <f>IF('Finanical Statment'!E7=0,0,'Finanical Statment'!D11)</f>
        <v>0.5642106646</v>
      </c>
      <c r="J45" s="338">
        <f>IF('Finanical Statment'!F7=0,0,'Finanical Statment'!E11)</f>
        <v>0.5988484924</v>
      </c>
      <c r="K45" s="338">
        <f>IF('Finanical Statment'!G7=0,0,'Finanical Statment'!F11)</f>
        <v>0.5716993706</v>
      </c>
      <c r="L45" s="338">
        <f>IF('Finanical Statment'!H7=0,0,'Finanical Statment'!G11)</f>
        <v>0.5809656116</v>
      </c>
      <c r="M45" s="338">
        <f>IF('Finanical Statment'!I7=0,0,'Finanical Statment'!H11)</f>
        <v>0.5854728154</v>
      </c>
      <c r="N45" s="338">
        <f>IF('Finanical Statment'!J7=0,0,'Finanical Statment'!I11)</f>
        <v>0.5943400887</v>
      </c>
      <c r="O45" s="338">
        <f>IF('Finanical Statment'!K7=0,0,'Finanical Statment'!J11)</f>
        <v>0.5448773739</v>
      </c>
      <c r="P45" s="338">
        <f>IF('Finanical Statment'!L7=0,0,'Finanical Statment'!K11)</f>
        <v>0.519123898</v>
      </c>
      <c r="Q45" s="338">
        <f>IF('Finanical Statment'!M7=0,0,'Finanical Statment'!L11)</f>
        <v>0.540801531</v>
      </c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>
      <c r="A46" s="44"/>
      <c r="B46" s="339"/>
      <c r="C46" s="257"/>
      <c r="D46" s="257"/>
      <c r="E46" s="25"/>
      <c r="F46" s="23"/>
      <c r="G46" s="340" t="s">
        <v>311</v>
      </c>
      <c r="H46" s="338">
        <f>IF('Finanical Statment'!D7=0,0,SUM('Common Size Analysis '!B9:B10))</f>
        <v>0.1967264886</v>
      </c>
      <c r="I46" s="338">
        <f>IF('Finanical Statment'!E7=0,0,SUM('Common Size Analysis '!C9:C10))</f>
        <v>0.1970631538</v>
      </c>
      <c r="J46" s="338">
        <f>IF('Finanical Statment'!F7=0,0,SUM('Common Size Analysis '!D9:D10))</f>
        <v>0.2280724942</v>
      </c>
      <c r="K46" s="338">
        <f>IF('Finanical Statment'!G7=0,0,SUM('Common Size Analysis '!E9:E10))</f>
        <v>0.2099884024</v>
      </c>
      <c r="L46" s="338">
        <f>IF('Finanical Statment'!H7=0,0,SUM('Common Size Analysis '!F9:F10))</f>
        <v>0.2007356221</v>
      </c>
      <c r="M46" s="338">
        <f>IF('Finanical Statment'!I7=0,0,SUM('Common Size Analysis '!G9:G10))</f>
        <v>0.2019901704</v>
      </c>
      <c r="N46" s="338">
        <f>IF('Finanical Statment'!J7=0,0,SUM('Common Size Analysis '!H9:H10))</f>
        <v>0.2026729327</v>
      </c>
      <c r="O46" s="338">
        <f>IF('Finanical Statment'!K7=0,0,SUM('Common Size Analysis '!I9:I10))</f>
        <v>0.1984367847</v>
      </c>
      <c r="P46" s="338">
        <f>IF('Finanical Statment'!L7=0,0,SUM('Common Size Analysis '!J9:J10))</f>
        <v>0.1790578344</v>
      </c>
      <c r="Q46" s="338">
        <f>IF('Finanical Statment'!M7=0,0,SUM('Common Size Analysis '!K9:K10))</f>
        <v>0.1783563594</v>
      </c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>
      <c r="A47" s="44"/>
      <c r="B47" s="341"/>
      <c r="E47" s="342"/>
      <c r="F47" s="23"/>
      <c r="G47" s="340" t="s">
        <v>312</v>
      </c>
      <c r="H47" s="343">
        <f>IF('Finanical Statment'!C7=0,0,'Finanical Statment'!C22/'Finanical Statment'!C7)</f>
        <v>0.02732986598</v>
      </c>
      <c r="I47" s="343">
        <f>IF('Finanical Statment'!D7=0,0,'Finanical Statment'!D22/'Finanical Statment'!D7)</f>
        <v>0.02648210907</v>
      </c>
      <c r="J47" s="343">
        <f>IF('Finanical Statment'!E7=0,0,'Finanical Statment'!E22/'Finanical Statment'!E7)</f>
        <v>0.027490234</v>
      </c>
      <c r="K47" s="343">
        <f>IF('Finanical Statment'!F7=0,0,'Finanical Statment'!F22/'Finanical Statment'!F7)</f>
        <v>0.02695475079</v>
      </c>
      <c r="L47" s="343">
        <f>IF('Finanical Statment'!G7=0,0,'Finanical Statment'!G22/'Finanical Statment'!G7)</f>
        <v>0.02845362856</v>
      </c>
      <c r="M47" s="343">
        <f>IF('Finanical Statment'!H7=0,0,'Finanical Statment'!H22/'Finanical Statment'!H7)</f>
        <v>0.02889164531</v>
      </c>
      <c r="N47" s="343">
        <f>IF('Finanical Statment'!I7=0,0,'Finanical Statment'!I22/'Finanical Statment'!I7)</f>
        <v>0.03330606609</v>
      </c>
      <c r="O47" s="343">
        <f>IF('Finanical Statment'!J7=0,0,'Finanical Statment'!J22/'Finanical Statment'!J7)</f>
        <v>0.03340794134</v>
      </c>
      <c r="P47" s="343">
        <f>IF('Finanical Statment'!K7=0,0,'Finanical Statment'!K22/'Finanical Statment'!K7)</f>
        <v>0.02856662776</v>
      </c>
      <c r="Q47" s="343">
        <f>IF('Finanical Statment'!L7=0,0,'Finanical Statment'!L22/'Finanical Statment'!L7)</f>
        <v>0.0255081041</v>
      </c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>
      <c r="A48" s="44"/>
      <c r="B48" s="30"/>
      <c r="C48" s="260"/>
      <c r="D48" s="260"/>
      <c r="E48" s="31"/>
      <c r="F48" s="23"/>
      <c r="G48" s="23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>
      <c r="A49" s="44"/>
      <c r="B49" s="335"/>
      <c r="C49" s="326"/>
      <c r="D49" s="44"/>
      <c r="E49" s="44"/>
      <c r="F49" s="23"/>
      <c r="G49" s="23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44"/>
      <c r="S49" s="44"/>
      <c r="T49" s="331" t="s">
        <v>313</v>
      </c>
      <c r="U49" s="209"/>
      <c r="V49" s="209"/>
      <c r="W49" s="209"/>
      <c r="X49" s="209"/>
      <c r="Y49" s="209"/>
      <c r="Z49" s="210"/>
      <c r="AA49" s="162"/>
      <c r="AB49" s="44"/>
      <c r="AC49" s="44"/>
      <c r="AD49" s="44"/>
      <c r="AE49" s="44"/>
      <c r="AF49" s="44"/>
      <c r="AG49" s="44"/>
    </row>
    <row r="50">
      <c r="A50" s="44"/>
      <c r="B50" s="335"/>
      <c r="C50" s="345">
        <f>MEDIAN(H50:Q50)</f>
        <v>1.168151566</v>
      </c>
      <c r="D50" s="346">
        <f>MIN(H50:Q50)</f>
        <v>1.051372022</v>
      </c>
      <c r="E50" s="347">
        <f>MAX(H50:Q50)</f>
        <v>1.422720609</v>
      </c>
      <c r="F50" s="23"/>
      <c r="G50" s="348" t="s">
        <v>314</v>
      </c>
      <c r="H50" s="349"/>
      <c r="I50" s="349">
        <f>IF('Finanical Statment'!D7=0,0,'Finanical Statment'!D7/'Capital Allocation'!I75)</f>
        <v>1.134211101</v>
      </c>
      <c r="J50" s="349">
        <f>IF('Finanical Statment'!E7=0,0,'Finanical Statment'!E7/'Capital Allocation'!J75)</f>
        <v>1.051372022</v>
      </c>
      <c r="K50" s="349">
        <f>IF('Finanical Statment'!F7=0,0,'Finanical Statment'!F7/'Capital Allocation'!K75)</f>
        <v>1.168151566</v>
      </c>
      <c r="L50" s="349">
        <f>IF('Finanical Statment'!G7=0,0,'Finanical Statment'!G7/'Capital Allocation'!L75)</f>
        <v>1.168768349</v>
      </c>
      <c r="M50" s="349">
        <f>IF('Finanical Statment'!H7=0,0,'Finanical Statment'!H7/'Capital Allocation'!M75)</f>
        <v>1.180777104</v>
      </c>
      <c r="N50" s="349">
        <f>IF('Finanical Statment'!I7=0,0,'Finanical Statment'!I7/'Capital Allocation'!N75)</f>
        <v>1.119865039</v>
      </c>
      <c r="O50" s="349">
        <f>IF('Finanical Statment'!J7=0,0,'Finanical Statment'!J7/'Capital Allocation'!O75)</f>
        <v>1.099640366</v>
      </c>
      <c r="P50" s="349">
        <f>IF('Finanical Statment'!K7=0,0,'Finanical Statment'!K7/'Capital Allocation'!P75)</f>
        <v>1.311107148</v>
      </c>
      <c r="Q50" s="349">
        <f>IF('Finanical Statment'!L7=0,0,'Finanical Statment'!L7/'Capital Allocation'!Q75)</f>
        <v>1.422720609</v>
      </c>
      <c r="R50" s="44"/>
      <c r="S50" s="44"/>
      <c r="T50" s="350" t="s">
        <v>309</v>
      </c>
      <c r="U50" s="351"/>
      <c r="V50" s="44"/>
      <c r="W50" s="352" t="s">
        <v>315</v>
      </c>
      <c r="X50" s="353" t="s">
        <v>296</v>
      </c>
      <c r="Y50" s="353" t="s">
        <v>147</v>
      </c>
      <c r="Z50" s="354" t="s">
        <v>146</v>
      </c>
      <c r="AA50" s="44"/>
      <c r="AB50" s="44"/>
      <c r="AC50" s="44"/>
      <c r="AD50" s="44"/>
      <c r="AE50" s="44"/>
      <c r="AF50" s="44"/>
      <c r="AG50" s="44"/>
    </row>
    <row r="51">
      <c r="A51" s="44"/>
      <c r="B51" s="335"/>
      <c r="C51" s="23"/>
      <c r="D51" s="23"/>
      <c r="E51" s="23"/>
      <c r="F51" s="23"/>
      <c r="G51" s="23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44"/>
      <c r="S51" s="44"/>
      <c r="T51" s="355" t="s">
        <v>310</v>
      </c>
      <c r="U51" s="356">
        <v>0.55</v>
      </c>
      <c r="V51" s="44"/>
      <c r="W51" s="357">
        <f t="shared" ref="W51:W53" si="10">AVERAGE(H45:Q45)</f>
        <v>0.5667534264</v>
      </c>
      <c r="X51" s="171">
        <f t="shared" ref="X51:X53" si="11">MEDIAN(H45:Q45)</f>
        <v>0.5694468941</v>
      </c>
      <c r="Y51" s="171">
        <f t="shared" ref="Y51:Y53" si="12">MIN(H45:Q45)</f>
        <v>0.519123898</v>
      </c>
      <c r="Z51" s="358">
        <f t="shared" ref="Z51:Z53" si="13">MAX(H45:Q45)</f>
        <v>0.5988484924</v>
      </c>
      <c r="AA51" s="44"/>
      <c r="AB51" s="44"/>
      <c r="AC51" s="44"/>
      <c r="AD51" s="44"/>
      <c r="AE51" s="44"/>
      <c r="AF51" s="44"/>
      <c r="AG51" s="44"/>
    </row>
    <row r="52">
      <c r="A52" s="44"/>
      <c r="B52" s="44"/>
      <c r="C52" s="44"/>
      <c r="D52" s="44"/>
      <c r="E52" s="44"/>
      <c r="F52" s="44"/>
      <c r="G52" s="44" t="s">
        <v>316</v>
      </c>
      <c r="H52" s="271">
        <f>IF('Finanical Statment'!C7=0,0,('Finanical Statment'!C52+'Finanical Statment'!C53)-'Finanical Statment'!C60)</f>
        <v>8588.45</v>
      </c>
      <c r="I52" s="271">
        <f>IF('Finanical Statment'!D7=0,0,('Finanical Statment'!D52+'Finanical Statment'!D53)-'Finanical Statment'!D60)</f>
        <v>8548.94</v>
      </c>
      <c r="J52" s="271">
        <f>IF('Finanical Statment'!E7=0,0,('Finanical Statment'!E52+'Finanical Statment'!E53)-'Finanical Statment'!E60)</f>
        <v>8640.28</v>
      </c>
      <c r="K52" s="271">
        <f>IF('Finanical Statment'!F7=0,0,('Finanical Statment'!F52+'Finanical Statment'!F53)-'Finanical Statment'!F60)</f>
        <v>7931.39</v>
      </c>
      <c r="L52" s="271">
        <f>IF('Finanical Statment'!G7=0,0,('Finanical Statment'!G52+'Finanical Statment'!G53)-'Finanical Statment'!G60)</f>
        <v>6681.38</v>
      </c>
      <c r="M52" s="271">
        <f>IF('Finanical Statment'!H7=0,0,('Finanical Statment'!H52+'Finanical Statment'!H53)-'Finanical Statment'!H60)</f>
        <v>8384.84</v>
      </c>
      <c r="N52" s="271">
        <f>IF('Finanical Statment'!I7=0,0,('Finanical Statment'!I52+'Finanical Statment'!I53)-'Finanical Statment'!I60)</f>
        <v>7811.81</v>
      </c>
      <c r="O52" s="271">
        <f>IF('Finanical Statment'!J7=0,0,('Finanical Statment'!J52+'Finanical Statment'!J53)-'Finanical Statment'!J60)</f>
        <v>8579.86</v>
      </c>
      <c r="P52" s="271">
        <f>IF('Finanical Statment'!K7=0,0,('Finanical Statment'!K52+'Finanical Statment'!K53)-'Finanical Statment'!K60)</f>
        <v>8909.05</v>
      </c>
      <c r="Q52" s="271">
        <f>IF('Finanical Statment'!L7=0,0,('Finanical Statment'!L52+'Finanical Statment'!L53)-'Finanical Statment'!L60)</f>
        <v>10068.33</v>
      </c>
      <c r="R52" s="44"/>
      <c r="S52" s="44"/>
      <c r="T52" s="355" t="s">
        <v>317</v>
      </c>
      <c r="U52" s="359">
        <v>0.2</v>
      </c>
      <c r="V52" s="44"/>
      <c r="W52" s="357">
        <f t="shared" si="10"/>
        <v>0.1993100243</v>
      </c>
      <c r="X52" s="171">
        <f t="shared" si="11"/>
        <v>0.1995862034</v>
      </c>
      <c r="Y52" s="171">
        <f t="shared" si="12"/>
        <v>0.1783563594</v>
      </c>
      <c r="Z52" s="358">
        <f t="shared" si="13"/>
        <v>0.2280724942</v>
      </c>
      <c r="AA52" s="44"/>
      <c r="AB52" s="44"/>
      <c r="AC52" s="44"/>
      <c r="AD52" s="44"/>
      <c r="AE52" s="44"/>
      <c r="AF52" s="44"/>
      <c r="AG52" s="44"/>
    </row>
    <row r="53">
      <c r="A53" s="44"/>
      <c r="B53" s="44"/>
      <c r="C53" s="326"/>
      <c r="D53" s="44"/>
      <c r="E53" s="44"/>
      <c r="F53" s="44"/>
      <c r="G53" s="49" t="s">
        <v>318</v>
      </c>
      <c r="H53" s="49"/>
      <c r="I53" s="360">
        <f t="shared" ref="I53:Q53" si="14">IF(H52=0,0,AVERAGE(H52:I52))</f>
        <v>8568.695</v>
      </c>
      <c r="J53" s="360">
        <f t="shared" si="14"/>
        <v>8594.61</v>
      </c>
      <c r="K53" s="360">
        <f t="shared" si="14"/>
        <v>8285.835</v>
      </c>
      <c r="L53" s="360">
        <f t="shared" si="14"/>
        <v>7306.385</v>
      </c>
      <c r="M53" s="360">
        <f t="shared" si="14"/>
        <v>7533.11</v>
      </c>
      <c r="N53" s="360">
        <f t="shared" si="14"/>
        <v>8098.325</v>
      </c>
      <c r="O53" s="360">
        <f t="shared" si="14"/>
        <v>8195.835</v>
      </c>
      <c r="P53" s="360">
        <f t="shared" si="14"/>
        <v>8744.455</v>
      </c>
      <c r="Q53" s="360">
        <f t="shared" si="14"/>
        <v>9488.69</v>
      </c>
      <c r="R53" s="44"/>
      <c r="S53" s="44"/>
      <c r="T53" s="355" t="s">
        <v>319</v>
      </c>
      <c r="U53" s="361">
        <v>0.03</v>
      </c>
      <c r="V53" s="44"/>
      <c r="W53" s="357">
        <f t="shared" si="10"/>
        <v>0.0286390973</v>
      </c>
      <c r="X53" s="171">
        <f t="shared" si="11"/>
        <v>0.02797193128</v>
      </c>
      <c r="Y53" s="171">
        <f t="shared" si="12"/>
        <v>0.0255081041</v>
      </c>
      <c r="Z53" s="358">
        <f t="shared" si="13"/>
        <v>0.03340794134</v>
      </c>
      <c r="AA53" s="44"/>
      <c r="AB53" s="44"/>
      <c r="AC53" s="44"/>
      <c r="AD53" s="44"/>
      <c r="AE53" s="44"/>
      <c r="AF53" s="44"/>
      <c r="AG53" s="44"/>
    </row>
    <row r="54">
      <c r="A54" s="44"/>
      <c r="B54" s="44"/>
      <c r="C54" s="362">
        <f t="shared" ref="C54:C55" si="15">MEDIAN(H54:Q54)</f>
        <v>0.1663877241</v>
      </c>
      <c r="D54" s="363">
        <f t="shared" ref="D54:D55" si="16">MIN(H54:Q54)</f>
        <v>0.1337961052</v>
      </c>
      <c r="E54" s="364">
        <f t="shared" ref="E54:E55" si="17">MAX(H54:Q54)</f>
        <v>0.220745083</v>
      </c>
      <c r="F54" s="44"/>
      <c r="G54" s="44" t="s">
        <v>320</v>
      </c>
      <c r="H54" s="44"/>
      <c r="I54" s="171">
        <f>IF('Finanical Statment'!D7=0,0,I53/'Finanical Statment'!D7)</f>
        <v>0.220745083</v>
      </c>
      <c r="J54" s="171">
        <f>IF('Finanical Statment'!E7=0,0,J53/'Finanical Statment'!E7)</f>
        <v>0.2192944496</v>
      </c>
      <c r="K54" s="171">
        <f>IF('Finanical Statment'!F7=0,0,K53/'Finanical Statment'!F7)</f>
        <v>0.1937409394</v>
      </c>
      <c r="L54" s="171">
        <f>IF('Finanical Statment'!G7=0,0,L53/'Finanical Statment'!G7)</f>
        <v>0.1681602589</v>
      </c>
      <c r="M54" s="171">
        <f>IF('Finanical Statment'!H7=0,0,M53/'Finanical Statment'!H7)</f>
        <v>0.1558373076</v>
      </c>
      <c r="N54" s="171">
        <f>IF('Finanical Statment'!I7=0,0,N53/'Finanical Statment'!I7)</f>
        <v>0.1639745321</v>
      </c>
      <c r="O54" s="171">
        <f>IF('Finanical Statment'!J7=0,0,O53/'Finanical Statment'!J7)</f>
        <v>0.1663877241</v>
      </c>
      <c r="P54" s="171">
        <f>IF('Finanical Statment'!K7=0,0,P53/'Finanical Statment'!K7)</f>
        <v>0.1441919586</v>
      </c>
      <c r="Q54" s="171">
        <f>IF('Finanical Statment'!L7=0,0,Q53/'Finanical Statment'!L7)</f>
        <v>0.1337961052</v>
      </c>
      <c r="R54" s="44"/>
      <c r="S54" s="44"/>
      <c r="T54" s="365" t="s">
        <v>321</v>
      </c>
      <c r="U54" s="366">
        <f>U51-U52-U53</f>
        <v>0.32</v>
      </c>
      <c r="V54" s="44"/>
      <c r="W54" s="367">
        <f>AVERAGE(H44:Q44)</f>
        <v>0.3388043048</v>
      </c>
      <c r="X54" s="368">
        <f>MEDIAN(H44:Q44)</f>
        <v>0.3419017324</v>
      </c>
      <c r="Y54" s="368">
        <f>MIN(H44:Q44)</f>
        <v>0.3114994359</v>
      </c>
      <c r="Z54" s="369">
        <f>MAX(H44:Q44)</f>
        <v>0.3583610899</v>
      </c>
      <c r="AA54" s="44"/>
      <c r="AB54" s="44"/>
      <c r="AC54" s="44"/>
      <c r="AD54" s="44"/>
      <c r="AE54" s="44"/>
      <c r="AF54" s="44"/>
      <c r="AG54" s="44"/>
    </row>
    <row r="55">
      <c r="A55" s="44"/>
      <c r="B55" s="44"/>
      <c r="C55" s="370">
        <f t="shared" si="15"/>
        <v>6.010058768</v>
      </c>
      <c r="D55" s="371">
        <f t="shared" si="16"/>
        <v>4.530112228</v>
      </c>
      <c r="E55" s="372">
        <f t="shared" si="17"/>
        <v>7.474059117</v>
      </c>
      <c r="F55" s="44"/>
      <c r="G55" s="63" t="s">
        <v>322</v>
      </c>
      <c r="H55" s="63"/>
      <c r="I55" s="373">
        <f t="shared" ref="I55:Q55" si="18">IF(I54=0,0,1/I54)</f>
        <v>4.530112228</v>
      </c>
      <c r="J55" s="373">
        <f t="shared" si="18"/>
        <v>4.560078933</v>
      </c>
      <c r="K55" s="373">
        <f t="shared" si="18"/>
        <v>5.161531698</v>
      </c>
      <c r="L55" s="373">
        <f t="shared" si="18"/>
        <v>5.946708256</v>
      </c>
      <c r="M55" s="373">
        <f t="shared" si="18"/>
        <v>6.416948644</v>
      </c>
      <c r="N55" s="373">
        <f t="shared" si="18"/>
        <v>6.098508025</v>
      </c>
      <c r="O55" s="373">
        <f t="shared" si="18"/>
        <v>6.010058768</v>
      </c>
      <c r="P55" s="373">
        <f t="shared" si="18"/>
        <v>6.935199506</v>
      </c>
      <c r="Q55" s="373">
        <f t="shared" si="18"/>
        <v>7.474059117</v>
      </c>
      <c r="R55" s="44"/>
      <c r="S55" s="44"/>
      <c r="T55" s="212"/>
      <c r="U55" s="44"/>
      <c r="V55" s="44"/>
      <c r="W55" s="44"/>
      <c r="X55" s="44"/>
      <c r="Y55" s="44"/>
      <c r="Z55" s="234"/>
      <c r="AA55" s="44"/>
      <c r="AB55" s="44"/>
      <c r="AC55" s="44"/>
      <c r="AD55" s="44"/>
      <c r="AE55" s="44"/>
      <c r="AF55" s="44"/>
      <c r="AG55" s="44"/>
    </row>
    <row r="56">
      <c r="A56" s="44"/>
      <c r="B56" s="314" t="s">
        <v>323</v>
      </c>
      <c r="C56" s="5"/>
      <c r="D56" s="5"/>
      <c r="E56" s="6"/>
      <c r="F56" s="44"/>
      <c r="G56" s="374" t="str">
        <f>'Key ratios'!A7</f>
        <v>Average Inventory Days</v>
      </c>
      <c r="H56" s="44"/>
      <c r="I56" s="375">
        <f>'Key ratios'!C7</f>
        <v>79.18368749</v>
      </c>
      <c r="J56" s="375">
        <f>'Key ratios'!D7</f>
        <v>82.1833233</v>
      </c>
      <c r="K56" s="375">
        <f>'Key ratios'!E7</f>
        <v>73.30365744</v>
      </c>
      <c r="L56" s="375">
        <f>'Key ratios'!F7</f>
        <v>65.5721906</v>
      </c>
      <c r="M56" s="375">
        <f>'Key ratios'!G7</f>
        <v>57.96954845</v>
      </c>
      <c r="N56" s="375">
        <f>'Key ratios'!H7</f>
        <v>61.8544177</v>
      </c>
      <c r="O56" s="375">
        <f>'Key ratios'!I7</f>
        <v>71.41984461</v>
      </c>
      <c r="P56" s="375">
        <f>'Key ratios'!J7</f>
        <v>63.98249661</v>
      </c>
      <c r="Q56" s="375">
        <f>'Key ratios'!K7</f>
        <v>58.24873909</v>
      </c>
      <c r="R56" s="44"/>
      <c r="S56" s="44"/>
      <c r="T56" s="376" t="s">
        <v>324</v>
      </c>
      <c r="U56" s="377"/>
      <c r="V56" s="44"/>
      <c r="W56" s="352" t="s">
        <v>315</v>
      </c>
      <c r="X56" s="353" t="s">
        <v>296</v>
      </c>
      <c r="Y56" s="353" t="s">
        <v>147</v>
      </c>
      <c r="Z56" s="354" t="s">
        <v>146</v>
      </c>
      <c r="AA56" s="44"/>
      <c r="AB56" s="44"/>
      <c r="AC56" s="44"/>
      <c r="AD56" s="44"/>
      <c r="AE56" s="44"/>
      <c r="AF56" s="44"/>
      <c r="AG56" s="44"/>
    </row>
    <row r="57">
      <c r="A57" s="44"/>
      <c r="B57" s="339"/>
      <c r="C57" s="257"/>
      <c r="D57" s="257"/>
      <c r="E57" s="25"/>
      <c r="F57" s="44"/>
      <c r="G57" s="374" t="str">
        <f>'Key ratios'!A9</f>
        <v>Average Receivables Days</v>
      </c>
      <c r="H57" s="44"/>
      <c r="I57" s="375">
        <f>'Key ratios'!C9</f>
        <v>20.7867811</v>
      </c>
      <c r="J57" s="375">
        <f>'Key ratios'!D9</f>
        <v>17.85489167</v>
      </c>
      <c r="K57" s="375">
        <f>'Key ratios'!E9</f>
        <v>21.11682325</v>
      </c>
      <c r="L57" s="375">
        <f>'Key ratios'!F9</f>
        <v>22.53302037</v>
      </c>
      <c r="M57" s="375">
        <f>'Key ratios'!G9</f>
        <v>30.46938347</v>
      </c>
      <c r="N57" s="375">
        <f>'Key ratios'!H9</f>
        <v>18.93801898</v>
      </c>
      <c r="O57" s="375">
        <f>'Key ratios'!I9</f>
        <v>18.53771358</v>
      </c>
      <c r="P57" s="375">
        <f>'Key ratios'!J9</f>
        <v>14.81738504</v>
      </c>
      <c r="Q57" s="375">
        <f>'Key ratios'!K9</f>
        <v>15.214563</v>
      </c>
      <c r="R57" s="44"/>
      <c r="S57" s="44"/>
      <c r="T57" s="212" t="s">
        <v>325</v>
      </c>
      <c r="U57" s="378">
        <v>2.2</v>
      </c>
      <c r="V57" s="44"/>
      <c r="W57" s="379">
        <f>AVERAGE($I$64:$Q$64)</f>
        <v>2.181778226</v>
      </c>
      <c r="X57" s="330">
        <f>MEDIAN($I$64:$Q$64)</f>
        <v>2.197492951</v>
      </c>
      <c r="Y57" s="330">
        <f>MIN($I$64:$Q$64)</f>
        <v>1.884386195</v>
      </c>
      <c r="Z57" s="380">
        <f>MAX($I$64:$Q$64)</f>
        <v>2.518802664</v>
      </c>
      <c r="AA57" s="44"/>
      <c r="AB57" s="44"/>
      <c r="AC57" s="44"/>
      <c r="AD57" s="44"/>
      <c r="AE57" s="44"/>
      <c r="AF57" s="44"/>
      <c r="AG57" s="44"/>
    </row>
    <row r="58">
      <c r="A58" s="44"/>
      <c r="B58" s="341"/>
      <c r="E58" s="342"/>
      <c r="F58" s="44"/>
      <c r="G58" s="374" t="str">
        <f>'Key ratios'!A11</f>
        <v>Average Payable Days</v>
      </c>
      <c r="H58" s="44"/>
      <c r="I58" s="375">
        <f>'Key ratios'!C11</f>
        <v>19.39851329</v>
      </c>
      <c r="J58" s="375">
        <f>'Key ratios'!D11</f>
        <v>20.29790442</v>
      </c>
      <c r="K58" s="375">
        <f>'Key ratios'!E11</f>
        <v>21.3277107</v>
      </c>
      <c r="L58" s="375">
        <f>'Key ratios'!F11</f>
        <v>25.85304728</v>
      </c>
      <c r="M58" s="375">
        <f>'Key ratios'!G11</f>
        <v>26.45027119</v>
      </c>
      <c r="N58" s="375">
        <f>'Key ratios'!H11</f>
        <v>26.38409968</v>
      </c>
      <c r="O58" s="375">
        <f>'Key ratios'!I11</f>
        <v>29.45123022</v>
      </c>
      <c r="P58" s="375">
        <f>'Key ratios'!J11</f>
        <v>26.28958848</v>
      </c>
      <c r="Q58" s="375">
        <f>'Key ratios'!K11</f>
        <v>23.3557904</v>
      </c>
      <c r="R58" s="44"/>
      <c r="S58" s="44"/>
      <c r="T58" s="212" t="s">
        <v>326</v>
      </c>
      <c r="U58" s="381">
        <f>IF(U62=0,0,365/U62)</f>
        <v>5.615384615</v>
      </c>
      <c r="V58" s="44"/>
      <c r="W58" s="379">
        <f t="shared" ref="W58:W62" si="20">AVERAGE(I55:Q55)</f>
        <v>5.903689464</v>
      </c>
      <c r="X58" s="330">
        <f t="shared" ref="X58:X62" si="21">MEDIAN(I55:Q55)</f>
        <v>6.010058768</v>
      </c>
      <c r="Y58" s="330">
        <f t="shared" ref="Y58:Y62" si="22">MIN(I55:Q55)</f>
        <v>4.530112228</v>
      </c>
      <c r="Z58" s="380">
        <f t="shared" ref="Z58:Z62" si="23">MAX(I55:Q55)</f>
        <v>7.474059117</v>
      </c>
      <c r="AA58" s="44"/>
      <c r="AB58" s="44"/>
      <c r="AC58" s="44"/>
      <c r="AD58" s="44"/>
      <c r="AE58" s="44"/>
      <c r="AF58" s="44"/>
      <c r="AG58" s="44"/>
    </row>
    <row r="59">
      <c r="A59" s="44"/>
      <c r="B59" s="30"/>
      <c r="C59" s="260"/>
      <c r="D59" s="260"/>
      <c r="E59" s="31"/>
      <c r="F59" s="44"/>
      <c r="G59" s="382" t="s">
        <v>327</v>
      </c>
      <c r="H59" s="382"/>
      <c r="I59" s="383">
        <f t="shared" ref="I59:Q59" si="19">I56+I57-I58</f>
        <v>80.57195531</v>
      </c>
      <c r="J59" s="383">
        <f t="shared" si="19"/>
        <v>79.74031055</v>
      </c>
      <c r="K59" s="383">
        <f t="shared" si="19"/>
        <v>73.09276999</v>
      </c>
      <c r="L59" s="383">
        <f t="shared" si="19"/>
        <v>62.25216369</v>
      </c>
      <c r="M59" s="383">
        <f t="shared" si="19"/>
        <v>61.98866074</v>
      </c>
      <c r="N59" s="383">
        <f t="shared" si="19"/>
        <v>54.40833699</v>
      </c>
      <c r="O59" s="383">
        <f t="shared" si="19"/>
        <v>60.50632798</v>
      </c>
      <c r="P59" s="383">
        <f t="shared" si="19"/>
        <v>52.51029318</v>
      </c>
      <c r="Q59" s="383">
        <f t="shared" si="19"/>
        <v>50.10751169</v>
      </c>
      <c r="R59" s="44"/>
      <c r="S59" s="44"/>
      <c r="T59" s="384" t="str">
        <f t="shared" ref="T59:T62" si="24">G56</f>
        <v>Average Inventory Days</v>
      </c>
      <c r="U59" s="385">
        <v>65.0</v>
      </c>
      <c r="V59" s="44"/>
      <c r="W59" s="386">
        <f t="shared" si="20"/>
        <v>68.19087837</v>
      </c>
      <c r="X59" s="387">
        <f t="shared" si="21"/>
        <v>65.5721906</v>
      </c>
      <c r="Y59" s="387">
        <f t="shared" si="22"/>
        <v>57.96954845</v>
      </c>
      <c r="Z59" s="388">
        <f t="shared" si="23"/>
        <v>82.1833233</v>
      </c>
      <c r="AA59" s="44"/>
      <c r="AB59" s="44"/>
      <c r="AC59" s="44"/>
      <c r="AD59" s="44"/>
      <c r="AE59" s="44"/>
      <c r="AF59" s="44"/>
      <c r="AG59" s="44"/>
    </row>
    <row r="60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384" t="str">
        <f t="shared" si="24"/>
        <v>Average Receivables Days</v>
      </c>
      <c r="U60" s="389">
        <v>20.0</v>
      </c>
      <c r="V60" s="44"/>
      <c r="W60" s="386">
        <f t="shared" si="20"/>
        <v>20.02984228</v>
      </c>
      <c r="X60" s="387">
        <f t="shared" si="21"/>
        <v>18.93801898</v>
      </c>
      <c r="Y60" s="387">
        <f t="shared" si="22"/>
        <v>14.81738504</v>
      </c>
      <c r="Z60" s="388">
        <f t="shared" si="23"/>
        <v>30.46938347</v>
      </c>
      <c r="AA60" s="44"/>
      <c r="AB60" s="44"/>
      <c r="AC60" s="44"/>
      <c r="AD60" s="44"/>
      <c r="AE60" s="44"/>
      <c r="AF60" s="44"/>
      <c r="AG60" s="44"/>
    </row>
    <row r="61">
      <c r="A61" s="44"/>
      <c r="B61" s="44"/>
      <c r="C61" s="44"/>
      <c r="D61" s="44"/>
      <c r="E61" s="44"/>
      <c r="F61" s="44"/>
      <c r="G61" s="44" t="s">
        <v>328</v>
      </c>
      <c r="H61" s="271">
        <f>IF('Finanical Statment'!C7=0,0,'Finanical Statment'!C49+'Finanical Statment'!C50)</f>
        <v>16038.67</v>
      </c>
      <c r="I61" s="271">
        <f>IF('Finanical Statment'!D7=0,0,'Finanical Statment'!D49+'Finanical Statment'!D50)</f>
        <v>18003.48</v>
      </c>
      <c r="J61" s="271">
        <f>IF('Finanical Statment'!E7=0,0,'Finanical Statment'!E49+'Finanical Statment'!E50)</f>
        <v>17666.35</v>
      </c>
      <c r="K61" s="271">
        <f>IF('Finanical Statment'!F7=0,0,'Finanical Statment'!F49+'Finanical Statment'!F50)</f>
        <v>19623.37</v>
      </c>
      <c r="L61" s="271">
        <f>IF('Finanical Statment'!G7=0,0,'Finanical Statment'!G49+'Finanical Statment'!G50)</f>
        <v>22032.29</v>
      </c>
      <c r="M61" s="271">
        <f>IF('Finanical Statment'!H7=0,0,'Finanical Statment'!H49+'Finanical Statment'!H50)</f>
        <v>23510.61</v>
      </c>
      <c r="N61" s="271">
        <f>IF('Finanical Statment'!I7=0,0,'Finanical Statment'!I49+'Finanical Statment'!I50)</f>
        <v>24969.8</v>
      </c>
      <c r="O61" s="271">
        <f>IF('Finanical Statment'!J7=0,0,'Finanical Statment'!J49+'Finanical Statment'!J50)</f>
        <v>27309.77</v>
      </c>
      <c r="P61" s="271">
        <f>IF('Finanical Statment'!K7=0,0,'Finanical Statment'!K49+'Finanical Statment'!K50)</f>
        <v>27457.13</v>
      </c>
      <c r="Q61" s="271">
        <f>IF('Finanical Statment'!L7=0,0,'Finanical Statment'!L49+'Finanical Statment'!L50)</f>
        <v>28854.57</v>
      </c>
      <c r="R61" s="44"/>
      <c r="S61" s="44"/>
      <c r="T61" s="384" t="str">
        <f t="shared" si="24"/>
        <v>Average Payable Days</v>
      </c>
      <c r="U61" s="390">
        <v>20.0</v>
      </c>
      <c r="V61" s="44"/>
      <c r="W61" s="386">
        <f t="shared" si="20"/>
        <v>24.31201729</v>
      </c>
      <c r="X61" s="387">
        <f t="shared" si="21"/>
        <v>25.85304728</v>
      </c>
      <c r="Y61" s="387">
        <f t="shared" si="22"/>
        <v>19.39851329</v>
      </c>
      <c r="Z61" s="388">
        <f t="shared" si="23"/>
        <v>29.45123022</v>
      </c>
      <c r="AA61" s="44"/>
      <c r="AB61" s="44"/>
      <c r="AC61" s="44"/>
      <c r="AD61" s="44"/>
      <c r="AE61" s="44"/>
      <c r="AF61" s="44"/>
      <c r="AG61" s="44"/>
    </row>
    <row r="62">
      <c r="A62" s="44"/>
      <c r="B62" s="44"/>
      <c r="C62" s="326"/>
      <c r="D62" s="44"/>
      <c r="E62" s="44"/>
      <c r="F62" s="44"/>
      <c r="G62" s="391" t="s">
        <v>329</v>
      </c>
      <c r="H62" s="392"/>
      <c r="I62" s="360">
        <f t="shared" ref="I62:Q62" si="25">IF(H61=0,0,AVERAGE(H61:I61))</f>
        <v>17021.075</v>
      </c>
      <c r="J62" s="360">
        <f t="shared" si="25"/>
        <v>17834.915</v>
      </c>
      <c r="K62" s="360">
        <f t="shared" si="25"/>
        <v>18644.86</v>
      </c>
      <c r="L62" s="360">
        <f t="shared" si="25"/>
        <v>20827.83</v>
      </c>
      <c r="M62" s="360">
        <f t="shared" si="25"/>
        <v>22771.45</v>
      </c>
      <c r="N62" s="360">
        <f t="shared" si="25"/>
        <v>24240.205</v>
      </c>
      <c r="O62" s="360">
        <f t="shared" si="25"/>
        <v>26139.785</v>
      </c>
      <c r="P62" s="360">
        <f t="shared" si="25"/>
        <v>27383.45</v>
      </c>
      <c r="Q62" s="360">
        <f t="shared" si="25"/>
        <v>28155.85</v>
      </c>
      <c r="R62" s="44"/>
      <c r="S62" s="44"/>
      <c r="T62" s="384" t="str">
        <f t="shared" si="24"/>
        <v>Avg Working Capital Cycle Day</v>
      </c>
      <c r="U62" s="393">
        <f>U59+U60-U61</f>
        <v>65</v>
      </c>
      <c r="V62" s="44"/>
      <c r="W62" s="386">
        <f t="shared" si="20"/>
        <v>63.90870335</v>
      </c>
      <c r="X62" s="387">
        <f t="shared" si="21"/>
        <v>61.98866074</v>
      </c>
      <c r="Y62" s="387">
        <f t="shared" si="22"/>
        <v>50.10751169</v>
      </c>
      <c r="Z62" s="388">
        <f t="shared" si="23"/>
        <v>80.57195531</v>
      </c>
      <c r="AA62" s="44"/>
      <c r="AB62" s="44"/>
      <c r="AC62" s="44"/>
      <c r="AD62" s="44"/>
      <c r="AE62" s="44"/>
      <c r="AF62" s="44"/>
      <c r="AG62" s="44"/>
    </row>
    <row r="63">
      <c r="A63" s="44"/>
      <c r="B63" s="44"/>
      <c r="C63" s="362">
        <f t="shared" ref="C63:C64" si="26">MEDIAN(H63:Q63)</f>
        <v>0.4550640308</v>
      </c>
      <c r="D63" s="363">
        <f t="shared" ref="D63:D64" si="27">MIN(H63:Q63)</f>
        <v>0.3970140314</v>
      </c>
      <c r="E63" s="364">
        <f t="shared" ref="E63:E64" si="28">MAX(H63:Q63)</f>
        <v>0.5306767809</v>
      </c>
      <c r="F63" s="44"/>
      <c r="G63" s="44" t="s">
        <v>330</v>
      </c>
      <c r="H63" s="44"/>
      <c r="I63" s="394">
        <f>IF('Finanical Statment'!D7=0,0,I62/'Finanical Statment'!D7)</f>
        <v>0.4384936813</v>
      </c>
      <c r="J63" s="394">
        <f>IF('Finanical Statment'!E7=0,0,J62/'Finanical Statment'!E7)</f>
        <v>0.4550640308</v>
      </c>
      <c r="K63" s="394">
        <f>IF('Finanical Statment'!F7=0,0,K62/'Finanical Statment'!F7)</f>
        <v>0.4359575941</v>
      </c>
      <c r="L63" s="394">
        <f>IF('Finanical Statment'!G7=0,0,L62/'Finanical Statment'!G7)</f>
        <v>0.4793633631</v>
      </c>
      <c r="M63" s="394">
        <f>IF('Finanical Statment'!H7=0,0,M62/'Finanical Statment'!H7)</f>
        <v>0.4710725662</v>
      </c>
      <c r="N63" s="394">
        <f>IF('Finanical Statment'!I7=0,0,N62/'Finanical Statment'!I7)</f>
        <v>0.4908146158</v>
      </c>
      <c r="O63" s="394">
        <f>IF('Finanical Statment'!J7=0,0,O62/'Finanical Statment'!J7)</f>
        <v>0.5306767809</v>
      </c>
      <c r="P63" s="394">
        <f>IF('Finanical Statment'!K7=0,0,P62/'Finanical Statment'!K7)</f>
        <v>0.4515402376</v>
      </c>
      <c r="Q63" s="394">
        <f>IF('Finanical Statment'!L7=0,0,Q62/'Finanical Statment'!L7)</f>
        <v>0.3970140314</v>
      </c>
      <c r="R63" s="44"/>
      <c r="S63" s="44"/>
      <c r="T63" s="365" t="s">
        <v>331</v>
      </c>
      <c r="U63" s="395">
        <f>IF(U57=0,0,1/(1/U58+1/U57))</f>
        <v>1.580708661</v>
      </c>
      <c r="V63" s="44"/>
      <c r="W63" s="396">
        <f>AVERAGE(I50:Q50)</f>
        <v>1.184068145</v>
      </c>
      <c r="X63" s="291">
        <f>MEDIAN(I50:Q50)</f>
        <v>1.168151566</v>
      </c>
      <c r="Y63" s="291">
        <f>MIN(I50:Q50)</f>
        <v>1.051372022</v>
      </c>
      <c r="Z63" s="397">
        <f>MAX(I50:Q50)</f>
        <v>1.422720609</v>
      </c>
      <c r="AA63" s="44"/>
      <c r="AB63" s="44"/>
      <c r="AC63" s="44"/>
      <c r="AD63" s="44"/>
      <c r="AE63" s="44"/>
      <c r="AF63" s="44"/>
      <c r="AG63" s="44"/>
    </row>
    <row r="64">
      <c r="A64" s="44"/>
      <c r="B64" s="44"/>
      <c r="C64" s="370">
        <f t="shared" si="26"/>
        <v>2.197492951</v>
      </c>
      <c r="D64" s="371">
        <f t="shared" si="27"/>
        <v>1.884386195</v>
      </c>
      <c r="E64" s="372">
        <f t="shared" si="28"/>
        <v>2.518802664</v>
      </c>
      <c r="F64" s="44"/>
      <c r="G64" s="63" t="s">
        <v>332</v>
      </c>
      <c r="H64" s="63"/>
      <c r="I64" s="398">
        <f t="shared" ref="I64:Q64" si="29">IF(I63=0,0,1/I63)</f>
        <v>2.280534573</v>
      </c>
      <c r="J64" s="398">
        <f t="shared" si="29"/>
        <v>2.197492951</v>
      </c>
      <c r="K64" s="398">
        <f t="shared" si="29"/>
        <v>2.29380108</v>
      </c>
      <c r="L64" s="398">
        <f t="shared" si="29"/>
        <v>2.086100184</v>
      </c>
      <c r="M64" s="398">
        <f t="shared" si="29"/>
        <v>2.122815192</v>
      </c>
      <c r="N64" s="398">
        <f t="shared" si="29"/>
        <v>2.037429139</v>
      </c>
      <c r="O64" s="398">
        <f t="shared" si="29"/>
        <v>1.884386195</v>
      </c>
      <c r="P64" s="398">
        <f t="shared" si="29"/>
        <v>2.214642056</v>
      </c>
      <c r="Q64" s="398">
        <f t="shared" si="29"/>
        <v>2.518802664</v>
      </c>
      <c r="R64" s="44"/>
      <c r="S64" s="44"/>
      <c r="T64" s="212"/>
      <c r="U64" s="44"/>
      <c r="V64" s="44"/>
      <c r="W64" s="44"/>
      <c r="X64" s="44"/>
      <c r="Y64" s="44"/>
      <c r="Z64" s="234"/>
      <c r="AA64" s="44"/>
      <c r="AB64" s="44"/>
      <c r="AC64" s="44"/>
      <c r="AD64" s="44"/>
      <c r="AE64" s="44"/>
      <c r="AF64" s="44"/>
      <c r="AG64" s="44"/>
    </row>
    <row r="6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376" t="s">
        <v>333</v>
      </c>
      <c r="U65" s="377"/>
      <c r="V65" s="44"/>
      <c r="W65" s="352" t="s">
        <v>315</v>
      </c>
      <c r="X65" s="353" t="s">
        <v>296</v>
      </c>
      <c r="Y65" s="353" t="s">
        <v>147</v>
      </c>
      <c r="Z65" s="354" t="s">
        <v>146</v>
      </c>
      <c r="AA65" s="44"/>
      <c r="AB65" s="44"/>
      <c r="AC65" s="44"/>
      <c r="AD65" s="44"/>
      <c r="AE65" s="44"/>
      <c r="AF65" s="44"/>
      <c r="AG65" s="44"/>
    </row>
    <row r="66">
      <c r="A66" s="44"/>
      <c r="B66" s="344"/>
      <c r="C66" s="344"/>
      <c r="D66" s="344"/>
      <c r="E66" s="344"/>
      <c r="F66" s="44"/>
      <c r="G66" s="65" t="str">
        <f>'Finanical Statment'!A54</f>
        <v>Cash &amp; Bank</v>
      </c>
      <c r="H66" s="244">
        <f>IF('Finanical Statment'!C7=0,0,'Finanical Statment'!C54)</f>
        <v>3490.19</v>
      </c>
      <c r="I66" s="244">
        <f>IF('Finanical Statment'!D7=0,0,'Finanical Statment'!D54)</f>
        <v>7896.22</v>
      </c>
      <c r="J66" s="244">
        <f>IF('Finanical Statment'!E7=0,0,'Finanical Statment'!E54)</f>
        <v>6063.3</v>
      </c>
      <c r="K66" s="244">
        <f>IF('Finanical Statment'!F7=0,0,'Finanical Statment'!F54)</f>
        <v>2967.4</v>
      </c>
      <c r="L66" s="244">
        <f>IF('Finanical Statment'!G7=0,0,'Finanical Statment'!G54)</f>
        <v>2899.6</v>
      </c>
      <c r="M66" s="244">
        <f>IF('Finanical Statment'!H7=0,0,'Finanical Statment'!H54)</f>
        <v>4152.03</v>
      </c>
      <c r="N66" s="244">
        <f>IF('Finanical Statment'!I7=0,0,'Finanical Statment'!I54)</f>
        <v>7277.34</v>
      </c>
      <c r="O66" s="244">
        <f>IF('Finanical Statment'!J7=0,0,'Finanical Statment'!J54)</f>
        <v>4659.02</v>
      </c>
      <c r="P66" s="244">
        <f>IF('Finanical Statment'!K7=0,0,'Finanical Statment'!K54)</f>
        <v>4654.42</v>
      </c>
      <c r="Q66" s="244">
        <f>IF('Finanical Statment'!L7=0,0,'Finanical Statment'!L54)</f>
        <v>4880.19</v>
      </c>
      <c r="R66" s="44"/>
      <c r="S66" s="44"/>
      <c r="T66" s="399" t="s">
        <v>334</v>
      </c>
      <c r="U66" s="400">
        <f>U54*U63</f>
        <v>0.5058267717</v>
      </c>
      <c r="V66" s="44"/>
      <c r="W66" s="357">
        <f t="shared" ref="W66:W67" si="30">AVERAGE(I78:Q78)</f>
        <v>0.4001674863</v>
      </c>
      <c r="X66" s="171">
        <f t="shared" ref="X66:X67" si="31">MEDIAN(I78:Q78)</f>
        <v>0.4013160558</v>
      </c>
      <c r="Y66" s="171">
        <f t="shared" ref="Y66:Y67" si="32">MIN(G78:Q78)</f>
        <v>0.3442233354</v>
      </c>
      <c r="Z66" s="358">
        <f t="shared" ref="Z66:Z67" si="33">MAX(I78:Q78)</f>
        <v>0.47936731</v>
      </c>
      <c r="AA66" s="44"/>
      <c r="AB66" s="44"/>
      <c r="AC66" s="44"/>
      <c r="AD66" s="44"/>
      <c r="AE66" s="44"/>
      <c r="AF66" s="44"/>
      <c r="AG66" s="44"/>
    </row>
    <row r="67">
      <c r="A67" s="44"/>
      <c r="B67" s="344"/>
      <c r="C67" s="344"/>
      <c r="D67" s="344"/>
      <c r="E67" s="344"/>
      <c r="F67" s="44"/>
      <c r="G67" s="65" t="str">
        <f>'Finanical Statment'!A55</f>
        <v>Other Assets</v>
      </c>
      <c r="H67" s="244">
        <f>IF('Finanical Statment'!C7=0,0,'Finanical Statment'!C55)</f>
        <v>3341.08</v>
      </c>
      <c r="I67" s="244">
        <f>IF('Finanical Statment'!D7=0,0,'Finanical Statment'!D55)</f>
        <v>2540.81</v>
      </c>
      <c r="J67" s="244">
        <f>IF('Finanical Statment'!E7=0,0,'Finanical Statment'!E55)</f>
        <v>5194.82</v>
      </c>
      <c r="K67" s="244">
        <f>IF('Finanical Statment'!F7=0,0,'Finanical Statment'!F55)</f>
        <v>5135.78</v>
      </c>
      <c r="L67" s="244">
        <f>IF('Finanical Statment'!G7=0,0,'Finanical Statment'!G55)</f>
        <v>7078.75</v>
      </c>
      <c r="M67" s="244">
        <f>IF('Finanical Statment'!H7=0,0,'Finanical Statment'!H55)</f>
        <v>7138.07</v>
      </c>
      <c r="N67" s="244">
        <f>IF('Finanical Statment'!I7=0,0,'Finanical Statment'!I55)</f>
        <v>4958.45</v>
      </c>
      <c r="O67" s="244">
        <f>IF('Finanical Statment'!J7=0,0,'Finanical Statment'!J55)</f>
        <v>4022.24</v>
      </c>
      <c r="P67" s="244">
        <f>IF('Finanical Statment'!K7=0,0,'Finanical Statment'!K55)</f>
        <v>6917.41</v>
      </c>
      <c r="Q67" s="244">
        <f>IF('Finanical Statment'!L7=0,0,'Finanical Statment'!L55)</f>
        <v>7953.85</v>
      </c>
      <c r="R67" s="44"/>
      <c r="S67" s="44"/>
      <c r="T67" s="212" t="s">
        <v>335</v>
      </c>
      <c r="U67" s="401">
        <v>0.25</v>
      </c>
      <c r="V67" s="44"/>
      <c r="W67" s="357">
        <f t="shared" si="30"/>
        <v>0.3039735396</v>
      </c>
      <c r="X67" s="171">
        <f t="shared" si="31"/>
        <v>0.3200392702</v>
      </c>
      <c r="Y67" s="171">
        <f t="shared" si="32"/>
        <v>0.2217062807</v>
      </c>
      <c r="Z67" s="358">
        <f t="shared" si="33"/>
        <v>0.3606019758</v>
      </c>
      <c r="AA67" s="44"/>
      <c r="AB67" s="44"/>
      <c r="AC67" s="44"/>
      <c r="AD67" s="44"/>
      <c r="AE67" s="44"/>
      <c r="AF67" s="44"/>
      <c r="AG67" s="44"/>
    </row>
    <row r="68">
      <c r="A68" s="44"/>
      <c r="B68" s="344"/>
      <c r="C68" s="344"/>
      <c r="D68" s="344"/>
      <c r="E68" s="344"/>
      <c r="F68" s="44"/>
      <c r="G68" s="402" t="s">
        <v>336</v>
      </c>
      <c r="H68" s="403">
        <f t="shared" ref="H68:Q68" si="34">H66+H67</f>
        <v>6831.27</v>
      </c>
      <c r="I68" s="403">
        <f t="shared" si="34"/>
        <v>10437.03</v>
      </c>
      <c r="J68" s="403">
        <f t="shared" si="34"/>
        <v>11258.12</v>
      </c>
      <c r="K68" s="403">
        <f t="shared" si="34"/>
        <v>8103.18</v>
      </c>
      <c r="L68" s="403">
        <f t="shared" si="34"/>
        <v>9978.35</v>
      </c>
      <c r="M68" s="403">
        <f t="shared" si="34"/>
        <v>11290.1</v>
      </c>
      <c r="N68" s="403">
        <f t="shared" si="34"/>
        <v>12235.79</v>
      </c>
      <c r="O68" s="403">
        <f t="shared" si="34"/>
        <v>8681.26</v>
      </c>
      <c r="P68" s="403">
        <f t="shared" si="34"/>
        <v>11571.83</v>
      </c>
      <c r="Q68" s="403">
        <f t="shared" si="34"/>
        <v>12834.04</v>
      </c>
      <c r="R68" s="44"/>
      <c r="S68" s="44"/>
      <c r="T68" s="212"/>
      <c r="U68" s="129"/>
      <c r="V68" s="44"/>
      <c r="W68" s="357"/>
      <c r="X68" s="171"/>
      <c r="Y68" s="171"/>
      <c r="Z68" s="358"/>
      <c r="AA68" s="44"/>
      <c r="AB68" s="44"/>
      <c r="AC68" s="44"/>
      <c r="AD68" s="44"/>
      <c r="AE68" s="44"/>
      <c r="AF68" s="44"/>
      <c r="AG68" s="44"/>
    </row>
    <row r="69">
      <c r="A69" s="44"/>
      <c r="B69" s="344"/>
      <c r="C69" s="344"/>
      <c r="D69" s="344"/>
      <c r="E69" s="344"/>
      <c r="F69" s="44"/>
      <c r="G69" s="49" t="s">
        <v>337</v>
      </c>
      <c r="H69" s="49"/>
      <c r="I69" s="404">
        <f t="shared" ref="I69:Q69" si="35">IF(H68=0,0,AVERAGE(H68:I68))</f>
        <v>8634.15</v>
      </c>
      <c r="J69" s="404">
        <f t="shared" si="35"/>
        <v>10847.575</v>
      </c>
      <c r="K69" s="404">
        <f t="shared" si="35"/>
        <v>9680.65</v>
      </c>
      <c r="L69" s="404">
        <f t="shared" si="35"/>
        <v>9040.765</v>
      </c>
      <c r="M69" s="404">
        <f t="shared" si="35"/>
        <v>10634.225</v>
      </c>
      <c r="N69" s="404">
        <f t="shared" si="35"/>
        <v>11762.945</v>
      </c>
      <c r="O69" s="404">
        <f t="shared" si="35"/>
        <v>10458.525</v>
      </c>
      <c r="P69" s="404">
        <f t="shared" si="35"/>
        <v>10126.545</v>
      </c>
      <c r="Q69" s="404">
        <f t="shared" si="35"/>
        <v>12202.935</v>
      </c>
      <c r="R69" s="44"/>
      <c r="S69" s="44"/>
      <c r="T69" s="399" t="s">
        <v>338</v>
      </c>
      <c r="U69" s="400">
        <f>U66*(1-U67)</f>
        <v>0.3793700787</v>
      </c>
      <c r="V69" s="44"/>
      <c r="W69" s="367">
        <f>AVERAGE(I80:Q80)</f>
        <v>0.2785241499</v>
      </c>
      <c r="X69" s="368">
        <f>MEDIAN(I80:Q80)</f>
        <v>0.2687866916</v>
      </c>
      <c r="Y69" s="368">
        <f>MIN(G80:Q80)</f>
        <v>0.2454121392</v>
      </c>
      <c r="Z69" s="369">
        <f>MAX(I80:Q80)</f>
        <v>0.3583184819</v>
      </c>
      <c r="AA69" s="44"/>
      <c r="AB69" s="44"/>
      <c r="AC69" s="44"/>
      <c r="AD69" s="44"/>
      <c r="AE69" s="44"/>
      <c r="AF69" s="44"/>
      <c r="AG69" s="44"/>
    </row>
    <row r="70">
      <c r="A70" s="44"/>
      <c r="B70" s="344"/>
      <c r="C70" s="362">
        <f t="shared" ref="C70:C71" si="36">MEDIAN(H70:Q70)</f>
        <v>0.2433398263</v>
      </c>
      <c r="D70" s="363">
        <f t="shared" ref="D70:D71" si="37">MIN(H70:Q70)</f>
        <v>0.2012206705</v>
      </c>
      <c r="E70" s="364">
        <f t="shared" ref="E70:E71" si="38">MAX(H70:Q70)</f>
        <v>0.2794531541</v>
      </c>
      <c r="F70" s="44"/>
      <c r="G70" s="44" t="s">
        <v>339</v>
      </c>
      <c r="H70" s="44"/>
      <c r="I70" s="157">
        <f>IF('Finanical Statment'!C7=0,0,I69/'Finanical Statment'!C7)</f>
        <v>0.2445489391</v>
      </c>
      <c r="J70" s="157">
        <f>IF('Finanical Statment'!D7=0,0,J69/'Finanical Statment'!D7)</f>
        <v>0.2794531541</v>
      </c>
      <c r="K70" s="157">
        <f>IF('Finanical Statment'!E7=0,0,K69/'Finanical Statment'!E7)</f>
        <v>0.2470051362</v>
      </c>
      <c r="L70" s="157">
        <f>IF('Finanical Statment'!F7=0,0,L69/'Finanical Statment'!F7)</f>
        <v>0.2113928535</v>
      </c>
      <c r="M70" s="157">
        <f>IF('Finanical Statment'!G7=0,0,M69/'Finanical Statment'!G7)</f>
        <v>0.244752231</v>
      </c>
      <c r="N70" s="157">
        <f>IF('Finanical Statment'!H7=0,0,N69/'Finanical Statment'!H7)</f>
        <v>0.2433398263</v>
      </c>
      <c r="O70" s="157">
        <f>IF('Finanical Statment'!I7=0,0,O69/'Finanical Statment'!I7)</f>
        <v>0.211763759</v>
      </c>
      <c r="P70" s="157">
        <f>IF('Finanical Statment'!J7=0,0,P69/'Finanical Statment'!J7)</f>
        <v>0.2055840284</v>
      </c>
      <c r="Q70" s="157">
        <f>IF('Finanical Statment'!K7=0,0,Q69/'Finanical Statment'!K7)</f>
        <v>0.2012206705</v>
      </c>
      <c r="R70" s="44"/>
      <c r="S70" s="44"/>
      <c r="T70" s="109"/>
      <c r="U70" s="109"/>
      <c r="V70" s="109"/>
      <c r="W70" s="109"/>
      <c r="X70" s="109"/>
      <c r="Y70" s="109"/>
      <c r="Z70" s="109"/>
      <c r="AA70" s="44"/>
      <c r="AB70" s="44"/>
      <c r="AC70" s="44"/>
      <c r="AD70" s="44"/>
      <c r="AE70" s="44"/>
      <c r="AF70" s="44"/>
      <c r="AG70" s="44"/>
    </row>
    <row r="71">
      <c r="A71" s="44"/>
      <c r="B71" s="344"/>
      <c r="C71" s="370">
        <f t="shared" si="36"/>
        <v>4.109479386</v>
      </c>
      <c r="D71" s="371">
        <f t="shared" si="37"/>
        <v>3.578417296</v>
      </c>
      <c r="E71" s="372">
        <f t="shared" si="38"/>
        <v>4.969668363</v>
      </c>
      <c r="F71" s="44"/>
      <c r="G71" s="63" t="s">
        <v>340</v>
      </c>
      <c r="H71" s="405"/>
      <c r="I71" s="348">
        <f t="shared" ref="I71:Q71" si="39">IF(I70=0,0,1/I70)</f>
        <v>4.089161064</v>
      </c>
      <c r="J71" s="348">
        <f t="shared" si="39"/>
        <v>3.578417296</v>
      </c>
      <c r="K71" s="348">
        <f t="shared" si="39"/>
        <v>4.048498809</v>
      </c>
      <c r="L71" s="348">
        <f t="shared" si="39"/>
        <v>4.730528888</v>
      </c>
      <c r="M71" s="348">
        <f t="shared" si="39"/>
        <v>4.085764595</v>
      </c>
      <c r="N71" s="348">
        <f t="shared" si="39"/>
        <v>4.109479386</v>
      </c>
      <c r="O71" s="348">
        <f t="shared" si="39"/>
        <v>4.722243337</v>
      </c>
      <c r="P71" s="348">
        <f t="shared" si="39"/>
        <v>4.864191094</v>
      </c>
      <c r="Q71" s="348">
        <f t="shared" si="39"/>
        <v>4.969668363</v>
      </c>
      <c r="R71" s="44"/>
      <c r="S71" s="44"/>
      <c r="T71" s="331" t="s">
        <v>341</v>
      </c>
      <c r="U71" s="209"/>
      <c r="V71" s="209"/>
      <c r="W71" s="209"/>
      <c r="X71" s="209"/>
      <c r="Y71" s="209"/>
      <c r="Z71" s="210"/>
      <c r="AA71" s="44"/>
      <c r="AB71" s="44"/>
      <c r="AC71" s="44"/>
      <c r="AD71" s="44"/>
      <c r="AE71" s="44"/>
      <c r="AF71" s="44"/>
      <c r="AG71" s="44"/>
    </row>
    <row r="72">
      <c r="A72" s="44"/>
      <c r="B72" s="344"/>
      <c r="C72" s="344"/>
      <c r="D72" s="344"/>
      <c r="E72" s="344"/>
      <c r="F72" s="44"/>
      <c r="G72" s="44"/>
      <c r="H72" s="49"/>
      <c r="I72" s="404"/>
      <c r="J72" s="404"/>
      <c r="K72" s="404"/>
      <c r="L72" s="404"/>
      <c r="M72" s="404"/>
      <c r="N72" s="404"/>
      <c r="O72" s="404"/>
      <c r="P72" s="404"/>
      <c r="Q72" s="404"/>
      <c r="R72" s="44"/>
      <c r="S72" s="44"/>
      <c r="T72" s="376" t="s">
        <v>342</v>
      </c>
      <c r="U72" s="377"/>
      <c r="V72" s="44"/>
      <c r="W72" s="352" t="s">
        <v>315</v>
      </c>
      <c r="X72" s="353" t="s">
        <v>296</v>
      </c>
      <c r="Y72" s="353" t="s">
        <v>147</v>
      </c>
      <c r="Z72" s="354" t="s">
        <v>146</v>
      </c>
      <c r="AA72" s="44"/>
      <c r="AB72" s="44"/>
      <c r="AC72" s="44"/>
      <c r="AD72" s="44"/>
      <c r="AE72" s="44"/>
      <c r="AF72" s="44"/>
      <c r="AG72" s="44"/>
    </row>
    <row r="73">
      <c r="A73" s="44"/>
      <c r="B73" s="314" t="s">
        <v>334</v>
      </c>
      <c r="C73" s="5"/>
      <c r="D73" s="5"/>
      <c r="E73" s="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212" t="s">
        <v>343</v>
      </c>
      <c r="U73" s="385">
        <v>0.01</v>
      </c>
      <c r="V73" s="44"/>
      <c r="W73" s="406">
        <f>AVERAGE('Key ratios'!B25:K25)</f>
        <v>0.003838716573</v>
      </c>
      <c r="X73" s="407">
        <f>MEDIAN('Key ratios'!B25:K25)</f>
        <v>0.004122235609</v>
      </c>
      <c r="Y73" s="407">
        <f>MIN('Key ratios'!B25:K25)</f>
        <v>0.0002272540123</v>
      </c>
      <c r="Z73" s="408">
        <f>MAX('Key ratios'!B25:K25)</f>
        <v>0.008900038771</v>
      </c>
      <c r="AA73" s="44"/>
      <c r="AB73" s="44"/>
      <c r="AC73" s="44"/>
      <c r="AD73" s="44"/>
      <c r="AE73" s="44"/>
      <c r="AF73" s="44"/>
      <c r="AG73" s="44"/>
    </row>
    <row r="74">
      <c r="A74" s="44"/>
      <c r="B74" s="316"/>
      <c r="F74" s="44"/>
      <c r="G74" s="317" t="s">
        <v>344</v>
      </c>
      <c r="H74" s="317"/>
      <c r="I74" s="317"/>
      <c r="J74" s="317"/>
      <c r="K74" s="317"/>
      <c r="L74" s="409"/>
      <c r="M74" s="44"/>
      <c r="N74" s="44"/>
      <c r="O74" s="44"/>
      <c r="P74" s="44"/>
      <c r="Q74" s="44"/>
      <c r="R74" s="44"/>
      <c r="S74" s="44"/>
      <c r="T74" s="212" t="s">
        <v>345</v>
      </c>
      <c r="U74" s="359">
        <v>0.12</v>
      </c>
      <c r="V74" s="44"/>
      <c r="W74" s="357">
        <f>AVERAGE('Key ratios'!B31:K31)</f>
        <v>1.197999791</v>
      </c>
      <c r="X74" s="171">
        <f>MEDIAN('Key ratios'!B31:K31)</f>
        <v>0.3158534839</v>
      </c>
      <c r="Y74" s="171">
        <f>MIN('Key ratios'!B31:K31)</f>
        <v>0.1203333196</v>
      </c>
      <c r="Z74" s="358">
        <f>MAX('Key ratios'!B31:K31)</f>
        <v>5.3125</v>
      </c>
      <c r="AA74" s="44"/>
      <c r="AB74" s="44"/>
      <c r="AC74" s="44"/>
      <c r="AD74" s="44"/>
      <c r="AE74" s="44"/>
      <c r="AF74" s="44"/>
      <c r="AG74" s="44"/>
    </row>
    <row r="75">
      <c r="A75" s="44"/>
      <c r="F75" s="44"/>
      <c r="G75" s="63" t="s">
        <v>346</v>
      </c>
      <c r="H75" s="63"/>
      <c r="I75" s="315">
        <f>'Capital Allocation'!I62+'Capital Allocation'!I53+I69</f>
        <v>34223.92</v>
      </c>
      <c r="J75" s="315">
        <f>'Capital Allocation'!J62+'Capital Allocation'!J53+J69</f>
        <v>37277.1</v>
      </c>
      <c r="K75" s="315">
        <f>'Capital Allocation'!K62+'Capital Allocation'!K53+K69</f>
        <v>36611.345</v>
      </c>
      <c r="L75" s="315">
        <f>'Capital Allocation'!L62+'Capital Allocation'!L53+L69</f>
        <v>37174.98</v>
      </c>
      <c r="M75" s="315">
        <f>'Capital Allocation'!M62+'Capital Allocation'!M53+M69</f>
        <v>40938.785</v>
      </c>
      <c r="N75" s="315">
        <f>'Capital Allocation'!N62+'Capital Allocation'!N53+N69</f>
        <v>44101.475</v>
      </c>
      <c r="O75" s="315">
        <f>'Capital Allocation'!O62+'Capital Allocation'!O53+O69</f>
        <v>44794.145</v>
      </c>
      <c r="P75" s="315">
        <f>'Capital Allocation'!P62+'Capital Allocation'!P53+P69</f>
        <v>46254.45</v>
      </c>
      <c r="Q75" s="315">
        <f>'Capital Allocation'!Q62+'Capital Allocation'!Q53+Q69</f>
        <v>49847.475</v>
      </c>
      <c r="R75" s="44"/>
      <c r="S75" s="44"/>
      <c r="T75" s="212" t="s">
        <v>88</v>
      </c>
      <c r="U75" s="361">
        <f>U67</f>
        <v>0.25</v>
      </c>
      <c r="V75" s="44"/>
      <c r="W75" s="357">
        <f t="shared" ref="W75:Z75" si="40">W67</f>
        <v>0.3039735396</v>
      </c>
      <c r="X75" s="171">
        <f t="shared" si="40"/>
        <v>0.3200392702</v>
      </c>
      <c r="Y75" s="171">
        <f t="shared" si="40"/>
        <v>0.2217062807</v>
      </c>
      <c r="Z75" s="358">
        <f t="shared" si="40"/>
        <v>0.3606019758</v>
      </c>
      <c r="AA75" s="44"/>
      <c r="AB75" s="44"/>
      <c r="AC75" s="44"/>
      <c r="AD75" s="44"/>
      <c r="AE75" s="44"/>
      <c r="AF75" s="44"/>
      <c r="AG75" s="44"/>
    </row>
    <row r="76">
      <c r="A76" s="44"/>
      <c r="F76" s="44"/>
      <c r="G76" s="59" t="s">
        <v>347</v>
      </c>
      <c r="H76" s="59"/>
      <c r="I76" s="410">
        <f>IF(I75=0,0,'Finanical Statment'!C7/'Capital Allocation'!I75)</f>
        <v>1.031630217</v>
      </c>
      <c r="J76" s="410">
        <f>IF(J75=0,0,'Finanical Statment'!D7/'Capital Allocation'!J75)</f>
        <v>1.041313568</v>
      </c>
      <c r="K76" s="410">
        <f>IF(K75=0,0,'Finanical Statment'!E7/'Capital Allocation'!K75)</f>
        <v>1.070490582</v>
      </c>
      <c r="L76" s="410">
        <f>IF(L75=0,0,'Finanical Statment'!F7/'Capital Allocation'!L75)</f>
        <v>1.150440431</v>
      </c>
      <c r="M76" s="410">
        <f>IF(M75=0,0,'Finanical Statment'!G7/'Capital Allocation'!M75)</f>
        <v>1.061314839</v>
      </c>
      <c r="N76" s="410">
        <f>IF(N75=0,0,'Finanical Statment'!H7/'Capital Allocation'!N75)</f>
        <v>1.09609894</v>
      </c>
      <c r="O76" s="410">
        <f>IF(O75=0,0,'Finanical Statment'!I7/'Capital Allocation'!O75)</f>
        <v>1.102548112</v>
      </c>
      <c r="P76" s="410">
        <f>IF(P75=0,0,'Finanical Statment'!J7/'Capital Allocation'!P75)</f>
        <v>1.064923483</v>
      </c>
      <c r="Q76" s="410">
        <f>IF(Q75=0,0,'Finanical Statment'!K7/'Capital Allocation'!Q75)</f>
        <v>1.216602045</v>
      </c>
      <c r="R76" s="44"/>
      <c r="S76" s="44"/>
      <c r="T76" s="399" t="s">
        <v>348</v>
      </c>
      <c r="U76" s="400">
        <f>U69+U73*(U69-(U74*(1-U75)))</f>
        <v>0.3822637795</v>
      </c>
      <c r="V76" s="411"/>
      <c r="W76" s="367">
        <f>AVERAGE(H109:Q109)</f>
        <v>0.2512575744</v>
      </c>
      <c r="X76" s="368">
        <f>MEDIAN(H109:Q109)</f>
        <v>0.2323120586</v>
      </c>
      <c r="Y76" s="368">
        <f>MIN(H109:Q109)</f>
        <v>0.2170394179</v>
      </c>
      <c r="Z76" s="369">
        <f>MAX(H109:Q109)</f>
        <v>0.3300889673</v>
      </c>
      <c r="AA76" s="44"/>
      <c r="AB76" s="44"/>
      <c r="AC76" s="44"/>
      <c r="AD76" s="44"/>
      <c r="AE76" s="44"/>
      <c r="AF76" s="44"/>
      <c r="AG76" s="44"/>
    </row>
    <row r="77">
      <c r="A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109"/>
      <c r="W77" s="109"/>
      <c r="X77" s="109"/>
      <c r="Y77" s="109"/>
      <c r="Z77" s="109"/>
      <c r="AA77" s="44"/>
      <c r="AB77" s="44"/>
      <c r="AC77" s="44"/>
      <c r="AD77" s="44"/>
      <c r="AE77" s="44"/>
      <c r="AF77" s="44"/>
      <c r="AG77" s="44"/>
    </row>
    <row r="78">
      <c r="A78" s="44"/>
      <c r="B78" s="44"/>
      <c r="C78" s="412">
        <f>MEDIAN(H78:Q78)</f>
        <v>0.4013160558</v>
      </c>
      <c r="D78" s="413">
        <f>MIN(H78:Q78)</f>
        <v>0.3442233354</v>
      </c>
      <c r="E78" s="414">
        <f>MAX(H78:Q78)</f>
        <v>0.47936731</v>
      </c>
      <c r="F78" s="44"/>
      <c r="G78" s="323" t="s">
        <v>334</v>
      </c>
      <c r="H78" s="324"/>
      <c r="I78" s="325">
        <f t="shared" ref="I78:Q78" si="41">IF(I75&gt;0,I50*I44,0)</f>
        <v>0.3863864806</v>
      </c>
      <c r="J78" s="325">
        <f t="shared" si="41"/>
        <v>0.360921048</v>
      </c>
      <c r="K78" s="325">
        <f t="shared" si="41"/>
        <v>0.3910459995</v>
      </c>
      <c r="L78" s="325">
        <f t="shared" si="41"/>
        <v>0.4111450766</v>
      </c>
      <c r="M78" s="325">
        <f t="shared" si="41"/>
        <v>0.4186929339</v>
      </c>
      <c r="N78" s="325">
        <f t="shared" si="41"/>
        <v>0.4013160558</v>
      </c>
      <c r="O78" s="325">
        <f t="shared" si="41"/>
        <v>0.3442233354</v>
      </c>
      <c r="P78" s="325">
        <f t="shared" si="41"/>
        <v>0.4084091369</v>
      </c>
      <c r="Q78" s="325">
        <f t="shared" si="41"/>
        <v>0.47936731</v>
      </c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>
      <c r="A79" s="44"/>
      <c r="B79" s="44"/>
      <c r="C79" s="44"/>
      <c r="D79" s="44"/>
      <c r="E79" s="44"/>
      <c r="F79" s="44"/>
      <c r="G79" s="44" t="s">
        <v>335</v>
      </c>
      <c r="H79" s="44"/>
      <c r="I79" s="171">
        <f>'Finanical Statment'!C33</f>
        <v>0.3111454195</v>
      </c>
      <c r="J79" s="171">
        <f>'Finanical Statment'!D33</f>
        <v>0.3200392702</v>
      </c>
      <c r="K79" s="171">
        <f>'Finanical Statment'!E33</f>
        <v>0.3606019758</v>
      </c>
      <c r="L79" s="171">
        <f>'Finanical Statment'!F33</f>
        <v>0.3462485461</v>
      </c>
      <c r="M79" s="171">
        <f>'Finanical Statment'!G33</f>
        <v>0.3398467814</v>
      </c>
      <c r="N79" s="171">
        <f>'Finanical Statment'!H33</f>
        <v>0.3297117153</v>
      </c>
      <c r="O79" s="171">
        <f>'Finanical Statment'!I33</f>
        <v>0.2217062807</v>
      </c>
      <c r="P79" s="171">
        <f>'Finanical Statment'!J33</f>
        <v>0.2539439642</v>
      </c>
      <c r="Q79" s="171">
        <f>'Finanical Statment'!K33</f>
        <v>0.2525179034</v>
      </c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>
      <c r="A80" s="44"/>
      <c r="B80" s="44"/>
      <c r="C80" s="412">
        <f>MEDIAN(H80:Q80)</f>
        <v>0.2687866916</v>
      </c>
      <c r="D80" s="413">
        <f>MIN(H80:Q80)</f>
        <v>0.2454121392</v>
      </c>
      <c r="E80" s="414">
        <f>MAX(H80:Q80)</f>
        <v>0.3583184819</v>
      </c>
      <c r="F80" s="44"/>
      <c r="G80" s="323" t="s">
        <v>349</v>
      </c>
      <c r="H80" s="325"/>
      <c r="I80" s="325">
        <f t="shared" ref="I80:Q80" si="42">IF(I79=0,0,I78*(1-I79))</f>
        <v>0.266164097</v>
      </c>
      <c r="J80" s="325">
        <f t="shared" si="42"/>
        <v>0.2454121392</v>
      </c>
      <c r="K80" s="325">
        <f t="shared" si="42"/>
        <v>0.2500340395</v>
      </c>
      <c r="L80" s="325">
        <f t="shared" si="42"/>
        <v>0.2687866916</v>
      </c>
      <c r="M80" s="325">
        <f t="shared" si="42"/>
        <v>0.2764014879</v>
      </c>
      <c r="N80" s="325">
        <f t="shared" si="42"/>
        <v>0.2689974506</v>
      </c>
      <c r="O80" s="325">
        <f t="shared" si="42"/>
        <v>0.26790686</v>
      </c>
      <c r="P80" s="325">
        <f t="shared" si="42"/>
        <v>0.3046961016</v>
      </c>
      <c r="Q80" s="325">
        <f t="shared" si="42"/>
        <v>0.3583184819</v>
      </c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>
      <c r="A82" s="35"/>
      <c r="B82" s="305" t="s">
        <v>350</v>
      </c>
      <c r="C82" s="5"/>
      <c r="D82" s="5"/>
      <c r="E82" s="6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>
      <c r="A84" s="44"/>
      <c r="B84" s="278" t="s">
        <v>351</v>
      </c>
      <c r="C84" s="135"/>
      <c r="D84" s="135"/>
      <c r="E84" s="166"/>
      <c r="F84" s="44"/>
      <c r="G84" s="44" t="str">
        <f t="shared" ref="G84:Q84" si="43">G30</f>
        <v>NOPAT</v>
      </c>
      <c r="H84" s="271">
        <f t="shared" si="43"/>
        <v>8345.459466</v>
      </c>
      <c r="I84" s="271">
        <f t="shared" si="43"/>
        <v>8991.569505</v>
      </c>
      <c r="J84" s="271">
        <f t="shared" si="43"/>
        <v>8602.518564</v>
      </c>
      <c r="K84" s="271">
        <f t="shared" si="43"/>
        <v>9359.576514</v>
      </c>
      <c r="L84" s="271">
        <f t="shared" si="43"/>
        <v>10089.98644</v>
      </c>
      <c r="M84" s="271">
        <f t="shared" si="43"/>
        <v>11489.26402</v>
      </c>
      <c r="N84" s="271">
        <f t="shared" si="43"/>
        <v>13774.73257</v>
      </c>
      <c r="O84" s="271">
        <f t="shared" si="43"/>
        <v>11503.57977</v>
      </c>
      <c r="P84" s="271">
        <f t="shared" si="43"/>
        <v>14120.48994</v>
      </c>
      <c r="Q84" s="271">
        <f t="shared" si="43"/>
        <v>17958.67021</v>
      </c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>
      <c r="A85" s="44"/>
      <c r="B85" s="415" t="s">
        <v>352</v>
      </c>
      <c r="C85" s="416"/>
      <c r="D85" s="417">
        <f>SUM(H84:Q84)</f>
        <v>114235.847</v>
      </c>
      <c r="E85" s="418"/>
      <c r="F85" s="44"/>
      <c r="G85" s="44" t="s">
        <v>353</v>
      </c>
      <c r="H85" s="271"/>
      <c r="I85" s="271">
        <f t="shared" ref="I85:Q85" si="44">IF(H84=0,0,I84-H84)</f>
        <v>646.1100392</v>
      </c>
      <c r="J85" s="271">
        <f t="shared" si="44"/>
        <v>-389.0509408</v>
      </c>
      <c r="K85" s="271">
        <f t="shared" si="44"/>
        <v>757.0579506</v>
      </c>
      <c r="L85" s="271">
        <f t="shared" si="44"/>
        <v>730.4099266</v>
      </c>
      <c r="M85" s="271">
        <f t="shared" si="44"/>
        <v>1399.277583</v>
      </c>
      <c r="N85" s="271">
        <f t="shared" si="44"/>
        <v>2285.468545</v>
      </c>
      <c r="O85" s="271">
        <f t="shared" si="44"/>
        <v>-2271.152802</v>
      </c>
      <c r="P85" s="271">
        <f t="shared" si="44"/>
        <v>2616.910175</v>
      </c>
      <c r="Q85" s="271">
        <f t="shared" si="44"/>
        <v>3838.18027</v>
      </c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>
      <c r="A86" s="44"/>
      <c r="B86" s="419" t="s">
        <v>354</v>
      </c>
      <c r="C86" s="420"/>
      <c r="D86" s="421">
        <f>SUM(I87:Q87)</f>
        <v>40591.93</v>
      </c>
      <c r="E86" s="422"/>
      <c r="F86" s="44"/>
      <c r="G86" s="44" t="s">
        <v>355</v>
      </c>
      <c r="H86" s="271">
        <f t="shared" ref="H86:Q86" si="45">H33</f>
        <v>23989.18</v>
      </c>
      <c r="I86" s="271">
        <f t="shared" si="45"/>
        <v>24108.07</v>
      </c>
      <c r="J86" s="271">
        <f t="shared" si="45"/>
        <v>36700</v>
      </c>
      <c r="K86" s="271">
        <f t="shared" si="45"/>
        <v>43491.25</v>
      </c>
      <c r="L86" s="271">
        <f t="shared" si="45"/>
        <v>49646.43</v>
      </c>
      <c r="M86" s="271">
        <f t="shared" si="45"/>
        <v>55002.28</v>
      </c>
      <c r="N86" s="271">
        <f t="shared" si="45"/>
        <v>58273.37</v>
      </c>
      <c r="O86" s="271">
        <f t="shared" si="45"/>
        <v>55959.15</v>
      </c>
      <c r="P86" s="271">
        <f t="shared" si="45"/>
        <v>58050.59</v>
      </c>
      <c r="Q86" s="271">
        <f t="shared" si="45"/>
        <v>64581.11</v>
      </c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>
      <c r="A87" s="44"/>
      <c r="B87" s="423" t="s">
        <v>356</v>
      </c>
      <c r="C87" s="420"/>
      <c r="D87" s="424">
        <f>D86/D85</f>
        <v>0.3553344337</v>
      </c>
      <c r="E87" s="422"/>
      <c r="F87" s="44"/>
      <c r="G87" s="44" t="s">
        <v>357</v>
      </c>
      <c r="H87" s="271"/>
      <c r="I87" s="271">
        <f t="shared" ref="I87:Q87" si="46">IF(H86=0,0,I86-H86)</f>
        <v>118.89</v>
      </c>
      <c r="J87" s="271">
        <f t="shared" si="46"/>
        <v>12591.93</v>
      </c>
      <c r="K87" s="271">
        <f t="shared" si="46"/>
        <v>6791.25</v>
      </c>
      <c r="L87" s="271">
        <f t="shared" si="46"/>
        <v>6155.18</v>
      </c>
      <c r="M87" s="271">
        <f t="shared" si="46"/>
        <v>5355.85</v>
      </c>
      <c r="N87" s="271">
        <f t="shared" si="46"/>
        <v>3271.09</v>
      </c>
      <c r="O87" s="271">
        <f t="shared" si="46"/>
        <v>-2314.22</v>
      </c>
      <c r="P87" s="271">
        <f t="shared" si="46"/>
        <v>2091.44</v>
      </c>
      <c r="Q87" s="271">
        <f t="shared" si="46"/>
        <v>6530.52</v>
      </c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ht="33.75" customHeight="1">
      <c r="A88" s="44"/>
      <c r="B88" s="425" t="s">
        <v>358</v>
      </c>
      <c r="C88" s="426"/>
      <c r="D88" s="427">
        <f>IF(H84=0,0,(Q84-H84)/D86)</f>
        <v>0.2368256633</v>
      </c>
      <c r="E88" s="428"/>
      <c r="F88" s="44"/>
      <c r="G88" s="429" t="s">
        <v>359</v>
      </c>
      <c r="H88" s="430"/>
      <c r="I88" s="431"/>
      <c r="J88" s="431">
        <f t="shared" ref="J88:Q88" si="47">IF(I87=0,0,J85/I87)</f>
        <v>-3.272360508</v>
      </c>
      <c r="K88" s="431">
        <f t="shared" si="47"/>
        <v>0.06012247134</v>
      </c>
      <c r="L88" s="431">
        <f t="shared" si="47"/>
        <v>0.1075516181</v>
      </c>
      <c r="M88" s="431">
        <f t="shared" si="47"/>
        <v>0.2273333328</v>
      </c>
      <c r="N88" s="431">
        <f t="shared" si="47"/>
        <v>0.4267237777</v>
      </c>
      <c r="O88" s="431">
        <f t="shared" si="47"/>
        <v>-0.6943107045</v>
      </c>
      <c r="P88" s="431">
        <f t="shared" si="47"/>
        <v>-1.130795765</v>
      </c>
      <c r="Q88" s="431">
        <f t="shared" si="47"/>
        <v>1.835185456</v>
      </c>
      <c r="R88" s="44"/>
      <c r="S88" s="44"/>
      <c r="T88" s="109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>
      <c r="A89" s="44"/>
      <c r="B89" s="44"/>
      <c r="C89" s="44"/>
      <c r="D89" s="44"/>
      <c r="E89" s="44"/>
      <c r="F89" s="44"/>
      <c r="G89" s="432" t="s">
        <v>360</v>
      </c>
      <c r="H89" s="432"/>
      <c r="I89" s="432"/>
      <c r="J89" s="432"/>
      <c r="K89" s="432"/>
      <c r="L89" s="433">
        <f t="shared" ref="L89:Q89" si="48">IF(I84=0,0,(L84-I84)/(L86-I86))</f>
        <v>0.04301047273</v>
      </c>
      <c r="M89" s="433">
        <f t="shared" si="48"/>
        <v>0.1577260025</v>
      </c>
      <c r="N89" s="433">
        <f t="shared" si="48"/>
        <v>0.2986821954</v>
      </c>
      <c r="O89" s="433">
        <f t="shared" si="48"/>
        <v>0.2239277722</v>
      </c>
      <c r="P89" s="433">
        <f t="shared" si="48"/>
        <v>0.863175306</v>
      </c>
      <c r="Q89" s="433">
        <f t="shared" si="48"/>
        <v>0.663302172</v>
      </c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>
      <c r="A90" s="44"/>
      <c r="B90" s="44"/>
      <c r="C90" s="44"/>
      <c r="D90" s="44"/>
      <c r="E90" s="44"/>
      <c r="F90" s="44"/>
      <c r="G90" s="432" t="s">
        <v>361</v>
      </c>
      <c r="H90" s="432"/>
      <c r="I90" s="432"/>
      <c r="J90" s="432"/>
      <c r="K90" s="432"/>
      <c r="L90" s="432"/>
      <c r="M90" s="433">
        <f t="shared" ref="M90:Q90" si="49">IF(H84=0,0,(M84-H84)/(M86-H86))</f>
        <v>0.1013702132</v>
      </c>
      <c r="N90" s="433">
        <f t="shared" si="49"/>
        <v>0.1400006165</v>
      </c>
      <c r="O90" s="433">
        <f t="shared" si="49"/>
        <v>0.1506328786</v>
      </c>
      <c r="P90" s="433">
        <f t="shared" si="49"/>
        <v>0.3270006351</v>
      </c>
      <c r="Q90" s="433">
        <f t="shared" si="49"/>
        <v>0.5268732755</v>
      </c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ht="20.25" customHeight="1">
      <c r="A94" s="434" t="s">
        <v>362</v>
      </c>
      <c r="B94" s="135"/>
      <c r="C94" s="135"/>
      <c r="D94" s="135"/>
      <c r="E94" s="133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246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ht="16.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>
      <c r="A96" s="44"/>
      <c r="B96" s="44"/>
      <c r="C96" s="44"/>
      <c r="D96" s="44"/>
      <c r="E96" s="44"/>
      <c r="F96" s="44"/>
      <c r="G96" s="44" t="str">
        <f>Revenue</f>
        <v>Revenue</v>
      </c>
      <c r="H96" s="48">
        <f>'Finanical Statment'!C7</f>
        <v>35306.43</v>
      </c>
      <c r="I96" s="48">
        <f>'Finanical Statment'!D7</f>
        <v>38817.15</v>
      </c>
      <c r="J96" s="48">
        <f>'Finanical Statment'!E7</f>
        <v>39192.1</v>
      </c>
      <c r="K96" s="48">
        <f>'Finanical Statment'!F7</f>
        <v>42767.6</v>
      </c>
      <c r="L96" s="48">
        <f>'Finanical Statment'!G7</f>
        <v>43448.94</v>
      </c>
      <c r="M96" s="48">
        <f>'Finanical Statment'!H7</f>
        <v>48339.58</v>
      </c>
      <c r="N96" s="48">
        <f>'Finanical Statment'!I7</f>
        <v>49387.7</v>
      </c>
      <c r="O96" s="48">
        <f>'Finanical Statment'!J7</f>
        <v>49257.45</v>
      </c>
      <c r="P96" s="48">
        <f>'Finanical Statment'!K7</f>
        <v>60644.54</v>
      </c>
      <c r="Q96" s="48">
        <f>'Finanical Statment'!L7</f>
        <v>70919.03</v>
      </c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>
      <c r="A97" s="44"/>
      <c r="B97" s="44"/>
      <c r="C97" s="44"/>
      <c r="D97" s="44"/>
      <c r="E97" s="44"/>
      <c r="F97" s="44"/>
      <c r="G97" s="44" t="str">
        <f>EBT</f>
        <v>EBT</v>
      </c>
      <c r="H97" s="48">
        <f>'Finanical Statment'!C28</f>
        <v>13051.55</v>
      </c>
      <c r="I97" s="48">
        <f>'Finanical Statment'!D28</f>
        <v>14362.05</v>
      </c>
      <c r="J97" s="48">
        <f>'Finanical Statment'!E28</f>
        <v>14859.07</v>
      </c>
      <c r="K97" s="48">
        <f>'Finanical Statment'!F28</f>
        <v>16026.32</v>
      </c>
      <c r="L97" s="48">
        <f>'Finanical Statment'!G28</f>
        <v>17409.11</v>
      </c>
      <c r="M97" s="48">
        <f>'Finanical Statment'!H28</f>
        <v>19149.82</v>
      </c>
      <c r="N97" s="48">
        <f>'Finanical Statment'!I28</f>
        <v>20034.57</v>
      </c>
      <c r="O97" s="48">
        <f>'Finanical Statment'!J28</f>
        <v>17938.17</v>
      </c>
      <c r="P97" s="48">
        <f>'Finanical Statment'!K28</f>
        <v>20740.47</v>
      </c>
      <c r="Q97" s="48">
        <f>'Finanical Statment'!L28</f>
        <v>25915.12</v>
      </c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>
      <c r="A98" s="44"/>
      <c r="B98" s="44"/>
      <c r="C98" s="44"/>
      <c r="D98" s="44"/>
      <c r="E98" s="44"/>
      <c r="F98" s="44"/>
      <c r="G98" s="44" t="s">
        <v>84</v>
      </c>
      <c r="H98" s="48">
        <f>'Finanical Statment'!C23</f>
        <v>13080.72</v>
      </c>
      <c r="I98" s="48">
        <f>'Finanical Statment'!D23</f>
        <v>14453.01</v>
      </c>
      <c r="J98" s="48">
        <f>'Finanical Statment'!E23</f>
        <v>14937.2</v>
      </c>
      <c r="K98" s="48">
        <f>'Finanical Statment'!F23</f>
        <v>16075.35</v>
      </c>
      <c r="L98" s="48">
        <f>'Finanical Statment'!G23</f>
        <v>17524.12</v>
      </c>
      <c r="M98" s="48">
        <f>'Finanical Statment'!H23</f>
        <v>19221.22</v>
      </c>
      <c r="N98" s="48">
        <f>'Finanical Statment'!I23</f>
        <v>20115.95</v>
      </c>
      <c r="O98" s="48">
        <f>'Finanical Statment'!J23</f>
        <v>17996.14</v>
      </c>
      <c r="P98" s="48">
        <f>'Finanical Statment'!K23</f>
        <v>20800.46</v>
      </c>
      <c r="Q98" s="48">
        <f>'Finanical Statment'!L23</f>
        <v>25992.89</v>
      </c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>
      <c r="A99" s="44"/>
      <c r="B99" s="44"/>
      <c r="C99" s="44"/>
      <c r="D99" s="44"/>
      <c r="E99" s="44"/>
      <c r="F99" s="44"/>
      <c r="G99" s="435" t="str">
        <f>Int</f>
        <v>Interest</v>
      </c>
      <c r="H99" s="48">
        <f>'Finanical Statment'!C27</f>
        <v>29.17</v>
      </c>
      <c r="I99" s="48">
        <f>'Finanical Statment'!D27</f>
        <v>90.96</v>
      </c>
      <c r="J99" s="48">
        <f>'Finanical Statment'!E27</f>
        <v>78.13</v>
      </c>
      <c r="K99" s="48">
        <f>'Finanical Statment'!F27</f>
        <v>49.03</v>
      </c>
      <c r="L99" s="48">
        <f>'Finanical Statment'!G27</f>
        <v>115.01</v>
      </c>
      <c r="M99" s="48">
        <f>'Finanical Statment'!H27</f>
        <v>71.4</v>
      </c>
      <c r="N99" s="48">
        <f>'Finanical Statment'!I27</f>
        <v>81.38</v>
      </c>
      <c r="O99" s="48">
        <f>'Finanical Statment'!J27</f>
        <v>57.97</v>
      </c>
      <c r="P99" s="48">
        <f>'Finanical Statment'!K27</f>
        <v>59.99</v>
      </c>
      <c r="Q99" s="48">
        <f>'Finanical Statment'!L27</f>
        <v>77.77</v>
      </c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>
      <c r="A100" s="44"/>
      <c r="B100" s="44"/>
      <c r="C100" s="44"/>
      <c r="D100" s="44"/>
      <c r="E100" s="44"/>
      <c r="F100" s="44"/>
      <c r="G100" s="374" t="str">
        <f>Tax</f>
        <v>Tax</v>
      </c>
      <c r="H100" s="48">
        <f>'Finanical Statment'!C32</f>
        <v>4060.93</v>
      </c>
      <c r="I100" s="48">
        <f>'Finanical Statment'!D32</f>
        <v>4596.42</v>
      </c>
      <c r="J100" s="48">
        <f>'Finanical Statment'!E32</f>
        <v>5358.21</v>
      </c>
      <c r="K100" s="48">
        <f>'Finanical Statment'!F32</f>
        <v>5549.09</v>
      </c>
      <c r="L100" s="48">
        <f>'Finanical Statment'!G32</f>
        <v>5916.43</v>
      </c>
      <c r="M100" s="48">
        <f>'Finanical Statment'!H32</f>
        <v>6313.92</v>
      </c>
      <c r="N100" s="48">
        <f>'Finanical Statment'!I32</f>
        <v>4441.79</v>
      </c>
      <c r="O100" s="48">
        <f>'Finanical Statment'!J32</f>
        <v>4555.29</v>
      </c>
      <c r="P100" s="48">
        <f>'Finanical Statment'!K32</f>
        <v>5237.34</v>
      </c>
      <c r="Q100" s="48">
        <f>'Finanical Statment'!L32</f>
        <v>6438.4</v>
      </c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>
      <c r="A101" s="44"/>
      <c r="B101" s="44"/>
      <c r="C101" s="44"/>
      <c r="D101" s="44"/>
      <c r="E101" s="44"/>
      <c r="F101" s="44"/>
      <c r="G101" s="374" t="str">
        <f>NP</f>
        <v>Net Profit</v>
      </c>
      <c r="H101" s="48">
        <f>'Finanical Statment'!C34</f>
        <v>8990.62</v>
      </c>
      <c r="I101" s="48">
        <f>'Finanical Statment'!D34</f>
        <v>9765.63</v>
      </c>
      <c r="J101" s="48">
        <f>'Finanical Statment'!E34</f>
        <v>9500.86</v>
      </c>
      <c r="K101" s="48">
        <f>'Finanical Statment'!F34</f>
        <v>10477.23</v>
      </c>
      <c r="L101" s="48">
        <f>'Finanical Statment'!G34</f>
        <v>11492.68</v>
      </c>
      <c r="M101" s="48">
        <f>'Finanical Statment'!H34</f>
        <v>12835.9</v>
      </c>
      <c r="N101" s="48">
        <f>'Finanical Statment'!I34</f>
        <v>15592.78</v>
      </c>
      <c r="O101" s="48">
        <f>'Finanical Statment'!J34</f>
        <v>13382.88</v>
      </c>
      <c r="P101" s="48">
        <f>'Finanical Statment'!K34</f>
        <v>15503.13</v>
      </c>
      <c r="Q101" s="48">
        <f>'Finanical Statment'!L34</f>
        <v>19476.72</v>
      </c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>
      <c r="A102" s="44"/>
      <c r="B102" s="44"/>
      <c r="C102" s="44"/>
      <c r="D102" s="44"/>
      <c r="E102" s="44"/>
      <c r="F102" s="44"/>
      <c r="G102" s="374" t="s">
        <v>105</v>
      </c>
      <c r="H102" s="48">
        <f>'Finanical Statment'!C68</f>
        <v>27236.96</v>
      </c>
      <c r="I102" s="48">
        <f>'Finanical Statment'!D68</f>
        <v>31735.49</v>
      </c>
      <c r="J102" s="48">
        <f>'Finanical Statment'!E68</f>
        <v>42679.52</v>
      </c>
      <c r="K102" s="48">
        <f>'Finanical Statment'!F68</f>
        <v>46412.93</v>
      </c>
      <c r="L102" s="48">
        <f>'Finanical Statment'!G68</f>
        <v>52510.11</v>
      </c>
      <c r="M102" s="48">
        <f>'Finanical Statment'!H68</f>
        <v>59140.87</v>
      </c>
      <c r="N102" s="48">
        <f>'Finanical Statment'!I68</f>
        <v>65273.26</v>
      </c>
      <c r="O102" s="48">
        <f>'Finanical Statment'!J68</f>
        <v>60347.34</v>
      </c>
      <c r="P102" s="48">
        <f>'Finanical Statment'!K68</f>
        <v>62455.57</v>
      </c>
      <c r="Q102" s="48">
        <f>'Finanical Statment'!L68</f>
        <v>69155.26</v>
      </c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>
      <c r="A103" s="44"/>
      <c r="B103" s="44"/>
      <c r="C103" s="44"/>
      <c r="D103" s="44"/>
      <c r="E103" s="44"/>
      <c r="F103" s="44"/>
      <c r="G103" s="374" t="str">
        <f>Asset</f>
        <v>Total  Asset</v>
      </c>
      <c r="H103" s="48">
        <f>'Finanical Statment'!C56</f>
        <v>40848.41</v>
      </c>
      <c r="I103" s="48">
        <f>'Finanical Statment'!D56</f>
        <v>45952.22</v>
      </c>
      <c r="J103" s="48">
        <f>'Finanical Statment'!E56</f>
        <v>51651.34</v>
      </c>
      <c r="K103" s="48">
        <f>'Finanical Statment'!F56</f>
        <v>55898.32</v>
      </c>
      <c r="L103" s="48">
        <f>'Finanical Statment'!G56</f>
        <v>64240.88</v>
      </c>
      <c r="M103" s="48">
        <f>'Finanical Statment'!H56</f>
        <v>71739.04</v>
      </c>
      <c r="N103" s="48">
        <f>'Finanical Statment'!I56</f>
        <v>77310.75</v>
      </c>
      <c r="O103" s="48">
        <f>'Finanical Statment'!J56</f>
        <v>73760.76</v>
      </c>
      <c r="P103" s="48">
        <f>'Finanical Statment'!K56</f>
        <v>77196.02</v>
      </c>
      <c r="Q103" s="48">
        <f>'Finanical Statment'!L56</f>
        <v>85830.96</v>
      </c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>
      <c r="A104" s="44"/>
      <c r="B104" s="44"/>
      <c r="C104" s="44"/>
      <c r="D104" s="44"/>
      <c r="E104" s="44"/>
      <c r="F104" s="44"/>
      <c r="G104" s="374"/>
      <c r="H104" s="316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>
      <c r="A105" s="44"/>
      <c r="B105" s="44"/>
      <c r="C105" s="44"/>
      <c r="D105" s="44"/>
      <c r="E105" s="44"/>
      <c r="F105" s="44"/>
      <c r="G105" s="436" t="s">
        <v>363</v>
      </c>
      <c r="H105" s="203"/>
      <c r="I105" s="203"/>
      <c r="J105" s="203"/>
      <c r="K105" s="203"/>
      <c r="L105" s="203"/>
      <c r="M105" s="203"/>
      <c r="N105" s="203"/>
      <c r="O105" s="203"/>
      <c r="P105" s="203"/>
      <c r="Q105" s="205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>
      <c r="A106" s="44"/>
      <c r="B106" s="44"/>
      <c r="C106" s="44"/>
      <c r="D106" s="44"/>
      <c r="E106" s="44"/>
      <c r="F106" s="44"/>
      <c r="G106" s="374" t="s">
        <v>90</v>
      </c>
      <c r="H106" s="50">
        <f>IF('Finanical Statment'!C7=0,0,H101/H96)</f>
        <v>0.2546454003</v>
      </c>
      <c r="I106" s="50">
        <f>IF('Finanical Statment'!D7=0,0,I101/I96)</f>
        <v>0.2515802938</v>
      </c>
      <c r="J106" s="50">
        <f>IF('Finanical Statment'!E7=0,0,J101/J96)</f>
        <v>0.2424177321</v>
      </c>
      <c r="K106" s="50">
        <f>IF('Finanical Statment'!F7=0,0,K101/K96)</f>
        <v>0.244980546</v>
      </c>
      <c r="L106" s="50">
        <f>IF('Finanical Statment'!G7=0,0,L101/L96)</f>
        <v>0.2645100203</v>
      </c>
      <c r="M106" s="50">
        <f>IF('Finanical Statment'!H7=0,0,M101/M96)</f>
        <v>0.2655360266</v>
      </c>
      <c r="N106" s="50">
        <f>IF('Finanical Statment'!I7=0,0,N101/N96)</f>
        <v>0.3157219308</v>
      </c>
      <c r="O106" s="50">
        <f>IF('Finanical Statment'!J7=0,0,O101/O96)</f>
        <v>0.2716925054</v>
      </c>
      <c r="P106" s="50">
        <f>IF('Finanical Statment'!K7=0,0,P101/P96)</f>
        <v>0.255639337</v>
      </c>
      <c r="Q106" s="50">
        <f>IF('Finanical Statment'!L7=0,0,Q101/Q96)</f>
        <v>0.2746331979</v>
      </c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>
      <c r="A107" s="44"/>
      <c r="B107" s="44"/>
      <c r="C107" s="44"/>
      <c r="D107" s="44"/>
      <c r="E107" s="44"/>
      <c r="F107" s="44"/>
      <c r="G107" s="374" t="s">
        <v>364</v>
      </c>
      <c r="H107" s="74">
        <f>IF('Finanical Statment'!C7=0,0,H96/H103)</f>
        <v>0.8643281342</v>
      </c>
      <c r="I107" s="74">
        <f>IF('Finanical Statment'!D7=0,0,I96/I103)</f>
        <v>0.8447285028</v>
      </c>
      <c r="J107" s="74">
        <f>IF('Finanical Statment'!E7=0,0,J96/J103)</f>
        <v>0.7587818632</v>
      </c>
      <c r="K107" s="74">
        <f>IF('Finanical Statment'!F7=0,0,K96/K103)</f>
        <v>0.7650963392</v>
      </c>
      <c r="L107" s="74">
        <f>IF('Finanical Statment'!G7=0,0,L96/L103)</f>
        <v>0.6763440974</v>
      </c>
      <c r="M107" s="74">
        <f>IF('Finanical Statment'!H7=0,0,M96/M103)</f>
        <v>0.6738252979</v>
      </c>
      <c r="N107" s="74">
        <f>IF('Finanical Statment'!I7=0,0,N96/N103)</f>
        <v>0.6388206039</v>
      </c>
      <c r="O107" s="74">
        <f>IF('Finanical Statment'!J7=0,0,O96/O103)</f>
        <v>0.6678001962</v>
      </c>
      <c r="P107" s="74">
        <f>IF('Finanical Statment'!K7=0,0,P96/P103)</f>
        <v>0.785591537</v>
      </c>
      <c r="Q107" s="74">
        <f>IF('Finanical Statment'!L7=0,0,Q96/Q103)</f>
        <v>0.8262639728</v>
      </c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>
      <c r="A108" s="44"/>
      <c r="B108" s="44"/>
      <c r="C108" s="44"/>
      <c r="D108" s="44"/>
      <c r="E108" s="44"/>
      <c r="F108" s="44"/>
      <c r="G108" s="437" t="s">
        <v>365</v>
      </c>
      <c r="H108" s="438">
        <f>IF('Finanical Statment'!C7=0,0,H103/H102)</f>
        <v>1.499741895</v>
      </c>
      <c r="I108" s="438">
        <f>IF('Finanical Statment'!D7=0,0,I103/I102)</f>
        <v>1.447975752</v>
      </c>
      <c r="J108" s="438">
        <f>IF('Finanical Statment'!E7=0,0,J103/J102)</f>
        <v>1.210213704</v>
      </c>
      <c r="K108" s="438">
        <f>IF('Finanical Statment'!F7=0,0,K103/K102)</f>
        <v>1.204369558</v>
      </c>
      <c r="L108" s="438">
        <f>IF('Finanical Statment'!G7=0,0,L103/L102)</f>
        <v>1.223400218</v>
      </c>
      <c r="M108" s="438">
        <f>IF('Finanical Statment'!H7=0,0,M103/M102)</f>
        <v>1.213019693</v>
      </c>
      <c r="N108" s="438">
        <f>IF('Finanical Statment'!I7=0,0,N103/N102)</f>
        <v>1.184416865</v>
      </c>
      <c r="O108" s="438">
        <f>IF('Finanical Statment'!J7=0,0,O103/O102)</f>
        <v>1.222270277</v>
      </c>
      <c r="P108" s="438">
        <f>IF('Finanical Statment'!K7=0,0,P103/P102)</f>
        <v>1.236014978</v>
      </c>
      <c r="Q108" s="438">
        <f>IF('Finanical Statment'!L7=0,0,Q103/Q102)</f>
        <v>1.241134225</v>
      </c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>
      <c r="A109" s="44"/>
      <c r="B109" s="44"/>
      <c r="C109" s="44"/>
      <c r="D109" s="44"/>
      <c r="E109" s="44"/>
      <c r="F109" s="44"/>
      <c r="G109" s="439" t="s">
        <v>348</v>
      </c>
      <c r="H109" s="55">
        <f t="shared" ref="H109:Q109" si="50">H106*H107*H108</f>
        <v>0.3300889673</v>
      </c>
      <c r="I109" s="55">
        <f t="shared" si="50"/>
        <v>0.3077195279</v>
      </c>
      <c r="J109" s="55">
        <f t="shared" si="50"/>
        <v>0.2226093452</v>
      </c>
      <c r="K109" s="55">
        <f t="shared" si="50"/>
        <v>0.2257394653</v>
      </c>
      <c r="L109" s="55">
        <f t="shared" si="50"/>
        <v>0.2188660431</v>
      </c>
      <c r="M109" s="55">
        <f t="shared" si="50"/>
        <v>0.2170394179</v>
      </c>
      <c r="N109" s="55">
        <f t="shared" si="50"/>
        <v>0.238884652</v>
      </c>
      <c r="O109" s="55">
        <f t="shared" si="50"/>
        <v>0.221764207</v>
      </c>
      <c r="P109" s="55">
        <f t="shared" si="50"/>
        <v>0.2482265393</v>
      </c>
      <c r="Q109" s="55">
        <f t="shared" si="50"/>
        <v>0.281637579</v>
      </c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>
      <c r="A110" s="44"/>
      <c r="B110" s="44"/>
      <c r="C110" s="44"/>
      <c r="D110" s="44"/>
      <c r="E110" s="44"/>
      <c r="F110" s="44"/>
      <c r="G110" s="37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>
      <c r="A111" s="44"/>
      <c r="B111" s="44"/>
      <c r="C111" s="44"/>
      <c r="D111" s="44"/>
      <c r="E111" s="44"/>
      <c r="F111" s="44"/>
      <c r="G111" s="436" t="s">
        <v>366</v>
      </c>
      <c r="H111" s="203"/>
      <c r="I111" s="203"/>
      <c r="J111" s="203"/>
      <c r="K111" s="203"/>
      <c r="L111" s="203"/>
      <c r="M111" s="203"/>
      <c r="N111" s="203"/>
      <c r="O111" s="203"/>
      <c r="P111" s="203"/>
      <c r="Q111" s="205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>
      <c r="A112" s="44"/>
      <c r="B112" s="44"/>
      <c r="C112" s="44"/>
      <c r="D112" s="44"/>
      <c r="E112" s="44"/>
      <c r="F112" s="44"/>
      <c r="G112" s="374" t="s">
        <v>367</v>
      </c>
      <c r="H112" s="50">
        <f>IF('Finanical Statment'!C7=0,0,1-'Finanical Statment'!C33)</f>
        <v>0.6888545805</v>
      </c>
      <c r="I112" s="50">
        <f>IF('Finanical Statment'!D7=0,0,1-'Finanical Statment'!D33)</f>
        <v>0.6799607298</v>
      </c>
      <c r="J112" s="50">
        <f>IF('Finanical Statment'!E7=0,0,1-'Finanical Statment'!E33)</f>
        <v>0.6393980242</v>
      </c>
      <c r="K112" s="50">
        <f>IF('Finanical Statment'!F7=0,0,1-'Finanical Statment'!F33)</f>
        <v>0.6537514539</v>
      </c>
      <c r="L112" s="50">
        <f>IF('Finanical Statment'!G7=0,0,1-'Finanical Statment'!G33)</f>
        <v>0.6601532186</v>
      </c>
      <c r="M112" s="50">
        <f>IF('Finanical Statment'!H7=0,0,1-'Finanical Statment'!H33)</f>
        <v>0.6702882847</v>
      </c>
      <c r="N112" s="50">
        <f>IF('Finanical Statment'!I7=0,0,1-'Finanical Statment'!I33)</f>
        <v>0.7782937193</v>
      </c>
      <c r="O112" s="50">
        <f>IF('Finanical Statment'!J7=0,0,1-'Finanical Statment'!J33)</f>
        <v>0.7460560358</v>
      </c>
      <c r="P112" s="50">
        <f>IF('Finanical Statment'!K7=0,0,1-'Finanical Statment'!K33)</f>
        <v>0.7474820966</v>
      </c>
      <c r="Q112" s="50">
        <f>IF('Finanical Statment'!L7=0,0,1-'Finanical Statment'!L33)</f>
        <v>0.7515581637</v>
      </c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>
      <c r="A113" s="44"/>
      <c r="B113" s="44"/>
      <c r="C113" s="44"/>
      <c r="D113" s="44"/>
      <c r="E113" s="44"/>
      <c r="F113" s="44"/>
      <c r="G113" s="374" t="s">
        <v>368</v>
      </c>
      <c r="H113" s="74">
        <f>IF('Finanical Statment'!C7=0,0,'Finanical Statment'!C28/('Finanical Statment'!C27+'Finanical Statment'!C28+'Finanical Statment'!C20))</f>
        <v>0.9291700542</v>
      </c>
      <c r="I113" s="74">
        <f>IF('Finanical Statment'!D7=0,0,'Finanical Statment'!D28/('Finanical Statment'!D27+'Finanical Statment'!D28+'Finanical Statment'!D20))</f>
        <v>0.9158092277</v>
      </c>
      <c r="J113" s="74">
        <f>IF('Finanical Statment'!E7=0,0,'Finanical Statment'!E28/('Finanical Statment'!E27+'Finanical Statment'!E28+'Finanical Statment'!E20))</f>
        <v>0.9049201873</v>
      </c>
      <c r="K113" s="74">
        <f>IF('Finanical Statment'!F7=0,0,'Finanical Statment'!F28/('Finanical Statment'!F27+'Finanical Statment'!F28+'Finanical Statment'!F20))</f>
        <v>0.8986395634</v>
      </c>
      <c r="L113" s="74">
        <f>IF('Finanical Statment'!G7=0,0,'Finanical Statment'!G28/('Finanical Statment'!G27+'Finanical Statment'!G28+'Finanical Statment'!G20))</f>
        <v>0.8808526442</v>
      </c>
      <c r="M113" s="74">
        <f>IF('Finanical Statment'!H7=0,0,'Finanical Statment'!H28/('Finanical Statment'!H27+'Finanical Statment'!H28+'Finanical Statment'!H20))</f>
        <v>0.8989825206</v>
      </c>
      <c r="N113" s="74">
        <f>IF('Finanical Statment'!I7=0,0,'Finanical Statment'!I28/('Finanical Statment'!I27+'Finanical Statment'!I28+'Finanical Statment'!I20))</f>
        <v>0.8891106351</v>
      </c>
      <c r="O113" s="74">
        <f>IF('Finanical Statment'!J7=0,0,'Finanical Statment'!J28/('Finanical Statment'!J27+'Finanical Statment'!J28+'Finanical Statment'!J20))</f>
        <v>0.871923955</v>
      </c>
      <c r="P113" s="74">
        <f>IF('Finanical Statment'!K7=0,0,'Finanical Statment'!K28/('Finanical Statment'!K27+'Finanical Statment'!K28+'Finanical Statment'!K20))</f>
        <v>0.9132675302</v>
      </c>
      <c r="Q113" s="74">
        <f>IF('Finanical Statment'!L7=0,0,'Finanical Statment'!L28/('Finanical Statment'!L27+'Finanical Statment'!L28+'Finanical Statment'!L20))</f>
        <v>0.922557175</v>
      </c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>
      <c r="A114" s="44"/>
      <c r="B114" s="44"/>
      <c r="C114" s="44"/>
      <c r="D114" s="44"/>
      <c r="E114" s="44"/>
      <c r="F114" s="44"/>
      <c r="G114" s="374" t="s">
        <v>85</v>
      </c>
      <c r="H114" s="50">
        <f>IF('Finanical Statment'!C7=0,0,('Finanical Statment'!C28+'Finanical Statment'!C27+'Finanical Statment'!C20)/'Finanical Statment'!C7)</f>
        <v>0.3978442454</v>
      </c>
      <c r="I114" s="50">
        <f>IF('Finanical Statment'!D7=0,0,('Finanical Statment'!D28+'Finanical Statment'!D27+'Finanical Statment'!D20)/'Finanical Statment'!D7)</f>
        <v>0.4040059613</v>
      </c>
      <c r="J114" s="50">
        <f>IF('Finanical Statment'!E7=0,0,('Finanical Statment'!E28+'Finanical Statment'!E27+'Finanical Statment'!E20)/'Finanical Statment'!E7)</f>
        <v>0.4189698944</v>
      </c>
      <c r="K114" s="50">
        <f>IF('Finanical Statment'!F7=0,0,('Finanical Statment'!F28+'Finanical Statment'!F27+'Finanical Statment'!F20)/'Finanical Statment'!F7)</f>
        <v>0.4169974467</v>
      </c>
      <c r="L114" s="50">
        <f>IF('Finanical Statment'!G7=0,0,('Finanical Statment'!G28+'Finanical Statment'!G27+'Finanical Statment'!G20)/'Finanical Statment'!G7)</f>
        <v>0.4548771501</v>
      </c>
      <c r="M114" s="50">
        <f>IF('Finanical Statment'!H7=0,0,('Finanical Statment'!H28+'Finanical Statment'!H27+'Finanical Statment'!H20)/'Finanical Statment'!H7)</f>
        <v>0.4406670476</v>
      </c>
      <c r="N114" s="50">
        <f>IF('Finanical Statment'!I7=0,0,('Finanical Statment'!I28+'Finanical Statment'!I27+'Finanical Statment'!I20)/'Finanical Statment'!I7)</f>
        <v>0.4562526702</v>
      </c>
      <c r="O114" s="50">
        <f>IF('Finanical Statment'!J7=0,0,('Finanical Statment'!J28+'Finanical Statment'!J27+'Finanical Statment'!J20)/'Finanical Statment'!J7)</f>
        <v>0.417664536</v>
      </c>
      <c r="P114" s="50">
        <f>IF('Finanical Statment'!K7=0,0,('Finanical Statment'!K28+'Finanical Statment'!K27+'Finanical Statment'!K20)/'Finanical Statment'!K7)</f>
        <v>0.3744802088</v>
      </c>
      <c r="Q114" s="50">
        <f>IF('Finanical Statment'!L7=0,0,('Finanical Statment'!L28+'Finanical Statment'!L27+'Finanical Statment'!L20)/'Finanical Statment'!L7)</f>
        <v>0.396092981</v>
      </c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>
      <c r="A115" s="44"/>
      <c r="B115" s="44"/>
      <c r="C115" s="44"/>
      <c r="D115" s="44"/>
      <c r="E115" s="44"/>
      <c r="F115" s="44"/>
      <c r="G115" s="374" t="s">
        <v>364</v>
      </c>
      <c r="H115" s="74">
        <f>'Key ratios'!B17</f>
        <v>0.8643281342</v>
      </c>
      <c r="I115" s="74">
        <f>'Key ratios'!C17</f>
        <v>0.8447285028</v>
      </c>
      <c r="J115" s="74">
        <f>'Key ratios'!D17</f>
        <v>0.7587818632</v>
      </c>
      <c r="K115" s="74">
        <f>'Key ratios'!E17</f>
        <v>0.7650963392</v>
      </c>
      <c r="L115" s="74">
        <f>'Key ratios'!F17</f>
        <v>0.6763440974</v>
      </c>
      <c r="M115" s="74">
        <f>'Key ratios'!G17</f>
        <v>0.6738252979</v>
      </c>
      <c r="N115" s="74">
        <f>'Key ratios'!H17</f>
        <v>0.6388206039</v>
      </c>
      <c r="O115" s="74">
        <f>'Key ratios'!I17</f>
        <v>0.6678001962</v>
      </c>
      <c r="P115" s="74">
        <f>'Key ratios'!J17</f>
        <v>0.785591537</v>
      </c>
      <c r="Q115" s="74">
        <f>'Key ratios'!K17</f>
        <v>0.8262639728</v>
      </c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>
      <c r="A116" s="44"/>
      <c r="B116" s="44"/>
      <c r="C116" s="44"/>
      <c r="D116" s="44"/>
      <c r="E116" s="44"/>
      <c r="F116" s="44"/>
      <c r="G116" s="374" t="s">
        <v>169</v>
      </c>
      <c r="H116" s="74">
        <f>'Key ratios'!B28</f>
        <v>1.499741895</v>
      </c>
      <c r="I116" s="74">
        <f>'Key ratios'!C28</f>
        <v>1.447975752</v>
      </c>
      <c r="J116" s="74">
        <f>'Key ratios'!D28</f>
        <v>1.210213704</v>
      </c>
      <c r="K116" s="74">
        <f>'Key ratios'!E28</f>
        <v>1.204369558</v>
      </c>
      <c r="L116" s="74">
        <f>'Key ratios'!F28</f>
        <v>1.223400218</v>
      </c>
      <c r="M116" s="74">
        <f>'Key ratios'!G28</f>
        <v>1.213019693</v>
      </c>
      <c r="N116" s="74">
        <f>'Key ratios'!H28</f>
        <v>1.184416865</v>
      </c>
      <c r="O116" s="74">
        <f>'Key ratios'!I28</f>
        <v>1.222270277</v>
      </c>
      <c r="P116" s="74">
        <f>'Key ratios'!J28</f>
        <v>1.236014978</v>
      </c>
      <c r="Q116" s="74">
        <f>'Key ratios'!K28</f>
        <v>1.241134225</v>
      </c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>
      <c r="A117" s="44"/>
      <c r="B117" s="44"/>
      <c r="C117" s="44"/>
      <c r="D117" s="44"/>
      <c r="E117" s="44"/>
      <c r="F117" s="44"/>
      <c r="G117" s="439" t="s">
        <v>348</v>
      </c>
      <c r="H117" s="55">
        <f t="shared" ref="H117:Q117" si="51">H112*H116*H115*H114*H113</f>
        <v>0.3300889673</v>
      </c>
      <c r="I117" s="55">
        <f t="shared" si="51"/>
        <v>0.3077195279</v>
      </c>
      <c r="J117" s="55">
        <f t="shared" si="51"/>
        <v>0.2226093452</v>
      </c>
      <c r="K117" s="55">
        <f t="shared" si="51"/>
        <v>0.2257394653</v>
      </c>
      <c r="L117" s="55">
        <f t="shared" si="51"/>
        <v>0.2188660431</v>
      </c>
      <c r="M117" s="55">
        <f t="shared" si="51"/>
        <v>0.2170394179</v>
      </c>
      <c r="N117" s="55">
        <f t="shared" si="51"/>
        <v>0.238884652</v>
      </c>
      <c r="O117" s="55">
        <f t="shared" si="51"/>
        <v>0.221764207</v>
      </c>
      <c r="P117" s="55">
        <f t="shared" si="51"/>
        <v>0.2482265393</v>
      </c>
      <c r="Q117" s="55">
        <f t="shared" si="51"/>
        <v>0.281637579</v>
      </c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>
      <c r="A118" s="44"/>
      <c r="B118" s="44"/>
      <c r="C118" s="44"/>
      <c r="D118" s="44"/>
      <c r="E118" s="44"/>
      <c r="F118" s="44"/>
      <c r="G118" s="37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>
      <c r="A119" s="44"/>
      <c r="B119" s="44"/>
      <c r="C119" s="44"/>
      <c r="D119" s="44"/>
      <c r="E119" s="44"/>
      <c r="F119" s="44"/>
      <c r="G119" s="440" t="s">
        <v>369</v>
      </c>
      <c r="H119" s="441" t="str">
        <f t="shared" ref="H119:Q119" si="52">IF(H117=H109,"OK","Error")</f>
        <v>OK</v>
      </c>
      <c r="I119" s="441" t="str">
        <f t="shared" si="52"/>
        <v>OK</v>
      </c>
      <c r="J119" s="441" t="str">
        <f t="shared" si="52"/>
        <v>OK</v>
      </c>
      <c r="K119" s="441" t="str">
        <f t="shared" si="52"/>
        <v>OK</v>
      </c>
      <c r="L119" s="441" t="str">
        <f t="shared" si="52"/>
        <v>OK</v>
      </c>
      <c r="M119" s="441" t="str">
        <f t="shared" si="52"/>
        <v>OK</v>
      </c>
      <c r="N119" s="441" t="str">
        <f t="shared" si="52"/>
        <v>OK</v>
      </c>
      <c r="O119" s="441" t="str">
        <f t="shared" si="52"/>
        <v>OK</v>
      </c>
      <c r="P119" s="441" t="str">
        <f t="shared" si="52"/>
        <v>OK</v>
      </c>
      <c r="Q119" s="441" t="str">
        <f t="shared" si="52"/>
        <v>OK</v>
      </c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>
      <c r="A121" s="44"/>
      <c r="B121" s="44"/>
      <c r="C121" s="44"/>
      <c r="D121" s="44"/>
      <c r="E121" s="44"/>
      <c r="F121" s="44"/>
      <c r="G121" s="429" t="s">
        <v>370</v>
      </c>
      <c r="H121" s="430"/>
      <c r="I121" s="431"/>
      <c r="J121" s="431"/>
      <c r="K121" s="442">
        <f t="shared" ref="K121:Q121" si="53">IF(H101=0,0,+(K101-H101)/SUM(H7:J7))</f>
        <v>0.1277663471</v>
      </c>
      <c r="L121" s="442">
        <f t="shared" si="53"/>
        <v>0.1424501542</v>
      </c>
      <c r="M121" s="442">
        <f t="shared" si="53"/>
        <v>0.2652030708</v>
      </c>
      <c r="N121" s="442">
        <f t="shared" si="53"/>
        <v>0.3257921981</v>
      </c>
      <c r="O121" s="442">
        <f t="shared" si="53"/>
        <v>0.1339534699</v>
      </c>
      <c r="P121" s="442">
        <f t="shared" si="53"/>
        <v>0.2945809293</v>
      </c>
      <c r="Q121" s="442">
        <f t="shared" si="53"/>
        <v>0.8446193826</v>
      </c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157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38">
    <mergeCell ref="A1:E1"/>
    <mergeCell ref="G1:J1"/>
    <mergeCell ref="B2:E3"/>
    <mergeCell ref="H2:Q2"/>
    <mergeCell ref="G11:J11"/>
    <mergeCell ref="L11:P11"/>
    <mergeCell ref="N12:P12"/>
    <mergeCell ref="L12:M12"/>
    <mergeCell ref="L13:M13"/>
    <mergeCell ref="N13:P13"/>
    <mergeCell ref="L14:M14"/>
    <mergeCell ref="N14:P14"/>
    <mergeCell ref="A26:E26"/>
    <mergeCell ref="H27:Q27"/>
    <mergeCell ref="T71:Z71"/>
    <mergeCell ref="B73:E73"/>
    <mergeCell ref="B27:E27"/>
    <mergeCell ref="B30:E30"/>
    <mergeCell ref="B31:E35"/>
    <mergeCell ref="B42:E42"/>
    <mergeCell ref="H42:Q42"/>
    <mergeCell ref="B45:E45"/>
    <mergeCell ref="T49:Z49"/>
    <mergeCell ref="B85:C85"/>
    <mergeCell ref="B86:C86"/>
    <mergeCell ref="B87:C87"/>
    <mergeCell ref="B88:C88"/>
    <mergeCell ref="D86:E86"/>
    <mergeCell ref="D87:E87"/>
    <mergeCell ref="D88:E88"/>
    <mergeCell ref="A94:E94"/>
    <mergeCell ref="B46:E48"/>
    <mergeCell ref="B56:E56"/>
    <mergeCell ref="B57:E59"/>
    <mergeCell ref="B74:E77"/>
    <mergeCell ref="B82:E82"/>
    <mergeCell ref="B84:E84"/>
    <mergeCell ref="D85:E85"/>
  </mergeCells>
  <hyperlinks>
    <hyperlink r:id="rId2" ref="K1"/>
    <hyperlink r:id="rId3" ref="L1"/>
  </hyperlinks>
  <printOptions horizontalCentered="1" verticalCentered="1"/>
  <pageMargins bottom="0.7480314960629921" footer="0.0" header="0.0" left="0.7086614173228347" right="0.7086614173228347" top="0.7480314960629921"/>
  <pageSetup fitToWidth="0" paperSize="9" orientation="landscape"/>
  <drawing r:id="rId4"/>
  <legacyDrawing r:id="rId5"/>
  <extLst>
    <ext uri="{05C60535-1F16-4fd2-B633-F4F36F0B64E0}">
      <x14:sparklineGroups>
        <x14:sparklineGroup lineWeight="2.25" displayEmptyCellsAs="gap">
          <x14:colorSeries rgb="FFC00000"/>
          <x14:sparklines>
            <x14:sparkline>
              <xm:f>'Capital Allocation'!I36:Q36</xm:f>
              <xm:sqref>B31</xm:sqref>
            </x14:sparkline>
          </x14:sparklines>
        </x14:sparklineGroup>
        <x14:sparklineGroup lineWeight="2.25" displayEmptyCellsAs="gap" displayXAxis="1">
          <x14:colorSeries rgb="FFC00000"/>
          <x14:colorAxis rgb="FF000000"/>
          <x14:sparklines>
            <x14:sparkline>
              <xm:f>'Capital Allocation'!H44:Q44</xm:f>
              <xm:sqref>B46</xm:sqref>
            </x14:sparkline>
          </x14:sparklines>
        </x14:sparklineGroup>
        <x14:sparklineGroup lineWeight="2.25" displayEmptyCellsAs="gap">
          <x14:colorSeries rgb="FFC00000"/>
          <x14:sparklines>
            <x14:sparkline>
              <xm:f>'Capital Allocation'!I50:Q50</xm:f>
              <xm:sqref>B57</xm:sqref>
            </x14:sparkline>
          </x14:sparklines>
        </x14:sparklineGroup>
        <x14:sparklineGroup lineWeight="2.25" displayEmptyCellsAs="gap">
          <x14:colorSeries rgb="FFC00000"/>
          <x14:sparklines>
            <x14:sparkline>
              <xm:f>'Capital Allocation'!I78:Q78</xm:f>
              <xm:sqref>B74</xm:sqref>
            </x14:sparkline>
          </x14:sparklines>
        </x14:sparklineGroup>
      </x14:sparklineGroups>
    </ext>
  </extLst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2012-08-17T09:55:37Z</dcterms:created>
  <dc:creator>Pratyush</dc:creator>
</cp:coreProperties>
</file>