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tabRatio="877"/>
  </bookViews>
  <sheets>
    <sheet name="Dashboard" sheetId="1" r:id="rId1"/>
    <sheet name="Buffet Value" sheetId="11" r:id="rId2"/>
    <sheet name="Earnings Value" sheetId="12" r:id="rId3"/>
    <sheet name="FCF Valaution" sheetId="9" r:id="rId4"/>
    <sheet name="Piotroski Score" sheetId="14" r:id="rId5"/>
    <sheet name="Altman Z Score" sheetId="15" r:id="rId6"/>
    <sheet name="ROE-DUPONT" sheetId="16" r:id="rId7"/>
    <sheet name="MICAP" sheetId="17" r:id="rId8"/>
    <sheet name="Maintenance Capex" sheetId="18" r:id="rId9"/>
    <sheet name="InputBS-1" sheetId="2" r:id="rId10"/>
    <sheet name="InputPL-1" sheetId="3" r:id="rId11"/>
    <sheet name="InputCF-1" sheetId="7" r:id="rId12"/>
    <sheet name="InputCF-2" sheetId="6" r:id="rId13"/>
    <sheet name="Input-SP" sheetId="8" r:id="rId14"/>
  </sheets>
  <calcPr calcId="145621"/>
</workbook>
</file>

<file path=xl/calcChain.xml><?xml version="1.0" encoding="utf-8"?>
<calcChain xmlns="http://schemas.openxmlformats.org/spreadsheetml/2006/main">
  <c r="C5" i="18" l="1"/>
  <c r="C6" i="18" s="1"/>
  <c r="D5" i="18"/>
  <c r="E5" i="18"/>
  <c r="B5" i="18"/>
  <c r="B6" i="18" s="1"/>
  <c r="D6" i="18"/>
  <c r="E6" i="18"/>
  <c r="C7" i="18"/>
  <c r="D7" i="18"/>
  <c r="E7" i="18"/>
  <c r="B7" i="18"/>
  <c r="C4" i="18"/>
  <c r="D4" i="18"/>
  <c r="E4" i="18"/>
  <c r="B4" i="18"/>
  <c r="E3" i="18"/>
  <c r="D3" i="18"/>
  <c r="C3" i="18"/>
  <c r="B3" i="18"/>
  <c r="C2" i="18"/>
  <c r="D2" i="18"/>
  <c r="E2" i="18"/>
  <c r="F2" i="18"/>
  <c r="B2" i="18"/>
  <c r="C24" i="7" l="1"/>
  <c r="C25" i="7"/>
  <c r="C27" i="7"/>
  <c r="C37" i="2"/>
  <c r="D37" i="2"/>
  <c r="E37" i="2"/>
  <c r="F37" i="2"/>
  <c r="G37" i="2"/>
  <c r="C41" i="2"/>
  <c r="D41" i="2"/>
  <c r="E41" i="2"/>
  <c r="F41" i="2"/>
  <c r="G41" i="2"/>
  <c r="B16" i="17"/>
  <c r="B15" i="17"/>
  <c r="C42" i="2"/>
  <c r="F38" i="6"/>
  <c r="G38" i="6"/>
  <c r="H38" i="6"/>
  <c r="E38" i="6"/>
  <c r="E33" i="6"/>
  <c r="D39" i="6" l="1"/>
  <c r="B17" i="17" s="1"/>
  <c r="B18" i="17" s="1"/>
  <c r="F33" i="6"/>
  <c r="G33" i="6"/>
  <c r="H33" i="6"/>
  <c r="H35" i="6" s="1"/>
  <c r="E34" i="6"/>
  <c r="F34" i="6"/>
  <c r="G34" i="6"/>
  <c r="H34" i="6"/>
  <c r="F35" i="6" l="1"/>
  <c r="G35" i="6"/>
  <c r="E35" i="6"/>
  <c r="F4" i="16"/>
  <c r="E4" i="16"/>
  <c r="D4" i="16"/>
  <c r="C4" i="16"/>
  <c r="B4" i="16"/>
  <c r="F3" i="16"/>
  <c r="E3" i="16"/>
  <c r="D3" i="16"/>
  <c r="C3" i="16"/>
  <c r="B3" i="16"/>
  <c r="B6" i="15"/>
  <c r="B5" i="15"/>
  <c r="C11" i="14"/>
  <c r="D11" i="14"/>
  <c r="E11" i="14"/>
  <c r="F11" i="14"/>
  <c r="B11" i="14"/>
  <c r="C6" i="14"/>
  <c r="D6" i="14"/>
  <c r="E6" i="14"/>
  <c r="F6" i="14"/>
  <c r="B6" i="14"/>
  <c r="C5" i="14"/>
  <c r="D5" i="14"/>
  <c r="E5" i="14"/>
  <c r="F5" i="14"/>
  <c r="B5" i="14"/>
  <c r="C4" i="14"/>
  <c r="D4" i="14"/>
  <c r="E4" i="14"/>
  <c r="F4" i="14"/>
  <c r="B4" i="14"/>
  <c r="G38" i="3"/>
  <c r="F38" i="3"/>
  <c r="E38" i="3"/>
  <c r="D38" i="3"/>
  <c r="C38" i="3"/>
  <c r="C39" i="3"/>
  <c r="D36" i="6" l="1"/>
  <c r="B4" i="17"/>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E2" i="16"/>
  <c r="D2" i="16"/>
  <c r="C2" i="16"/>
  <c r="B2" i="16"/>
  <c r="F2" i="16"/>
  <c r="D8" i="17" l="1"/>
  <c r="D9" i="17" s="1"/>
  <c r="E3" i="17"/>
  <c r="E5" i="17" s="1"/>
  <c r="O2" i="17"/>
  <c r="P2" i="17" s="1"/>
  <c r="Q2" i="17" s="1"/>
  <c r="R2" i="17" s="1"/>
  <c r="S2" i="17" s="1"/>
  <c r="T2" i="17" s="1"/>
  <c r="U2" i="17" s="1"/>
  <c r="V2" i="17" s="1"/>
  <c r="W2" i="17" s="1"/>
  <c r="X2" i="17" s="1"/>
  <c r="D5" i="16"/>
  <c r="B5" i="16"/>
  <c r="C5" i="16"/>
  <c r="F5" i="16"/>
  <c r="E5" i="16"/>
  <c r="F3" i="17" l="1"/>
  <c r="G3" i="17" s="1"/>
  <c r="E6" i="17"/>
  <c r="E8" i="17" s="1"/>
  <c r="E9" i="17" s="1"/>
  <c r="D8" i="8"/>
  <c r="C8" i="8"/>
  <c r="F5" i="17" l="1"/>
  <c r="F6" i="17" s="1"/>
  <c r="F8" i="17" s="1"/>
  <c r="F9" i="17" s="1"/>
  <c r="G5" i="17"/>
  <c r="H3" i="17"/>
  <c r="B12" i="11"/>
  <c r="H5" i="17" l="1"/>
  <c r="H6" i="17" s="1"/>
  <c r="H8" i="17" s="1"/>
  <c r="H9" i="17" s="1"/>
  <c r="I3" i="17"/>
  <c r="G6" i="17"/>
  <c r="G8" i="17" s="1"/>
  <c r="G9" i="17" s="1"/>
  <c r="J3" i="17" l="1"/>
  <c r="I5" i="17"/>
  <c r="I6" i="17" s="1"/>
  <c r="I8" i="17" s="1"/>
  <c r="I9" i="17" s="1"/>
  <c r="J5" i="17" l="1"/>
  <c r="K3" i="17"/>
  <c r="G1" i="3"/>
  <c r="F1" i="3"/>
  <c r="E1" i="3"/>
  <c r="D1" i="3"/>
  <c r="C1" i="3"/>
  <c r="B7" i="8"/>
  <c r="B6" i="8"/>
  <c r="B5" i="8"/>
  <c r="B4" i="8"/>
  <c r="B3" i="8"/>
  <c r="F4" i="12"/>
  <c r="E4" i="12"/>
  <c r="D4" i="12"/>
  <c r="C4" i="12"/>
  <c r="B4" i="12"/>
  <c r="L3" i="17" l="1"/>
  <c r="K5" i="17"/>
  <c r="K6" i="17" s="1"/>
  <c r="K8" i="17" s="1"/>
  <c r="K9" i="17" s="1"/>
  <c r="J6" i="17"/>
  <c r="J8" i="17" s="1"/>
  <c r="J9" i="17" s="1"/>
  <c r="H3" i="11"/>
  <c r="G3" i="11"/>
  <c r="F3" i="11"/>
  <c r="E3" i="11"/>
  <c r="D3" i="11"/>
  <c r="B7" i="15"/>
  <c r="F3" i="14"/>
  <c r="E3" i="14"/>
  <c r="D3" i="14"/>
  <c r="C3" i="14"/>
  <c r="B3" i="14"/>
  <c r="B10" i="14"/>
  <c r="B4" i="15"/>
  <c r="F10" i="15"/>
  <c r="L5" i="17" l="1"/>
  <c r="L6" i="17" s="1"/>
  <c r="L8" i="17" s="1"/>
  <c r="L9" i="17" s="1"/>
  <c r="M3" i="17"/>
  <c r="B13" i="9"/>
  <c r="B12" i="17" s="1"/>
  <c r="M5" i="17" l="1"/>
  <c r="M6" i="17" s="1"/>
  <c r="M8" i="17" s="1"/>
  <c r="M9" i="17" s="1"/>
  <c r="N3" i="17"/>
  <c r="B11" i="15"/>
  <c r="B9" i="15"/>
  <c r="B8" i="15"/>
  <c r="C9" i="14"/>
  <c r="D9" i="14"/>
  <c r="E9" i="14"/>
  <c r="F9" i="14"/>
  <c r="B9" i="14"/>
  <c r="B15" i="14" s="1"/>
  <c r="C10" i="14"/>
  <c r="B22" i="14"/>
  <c r="B8" i="14"/>
  <c r="B14" i="14" s="1"/>
  <c r="C8" i="14"/>
  <c r="D8" i="14"/>
  <c r="E8" i="14"/>
  <c r="F8" i="14"/>
  <c r="D40" i="3"/>
  <c r="C7" i="14" s="1"/>
  <c r="E40" i="3"/>
  <c r="D7" i="14" s="1"/>
  <c r="F40" i="3"/>
  <c r="E7" i="14" s="1"/>
  <c r="G40" i="3"/>
  <c r="F7" i="14" s="1"/>
  <c r="C40" i="3"/>
  <c r="B7" i="14" s="1"/>
  <c r="B19" i="14" l="1"/>
  <c r="O3" i="17"/>
  <c r="N5" i="17"/>
  <c r="N6" i="17" s="1"/>
  <c r="N8" i="17" s="1"/>
  <c r="N9" i="17" s="1"/>
  <c r="B18" i="14"/>
  <c r="B21" i="14"/>
  <c r="B16" i="14"/>
  <c r="E8" i="15"/>
  <c r="E5" i="15"/>
  <c r="E6" i="15"/>
  <c r="B17" i="14"/>
  <c r="E4" i="15"/>
  <c r="B20" i="14"/>
  <c r="H3" i="3"/>
  <c r="H28" i="3"/>
  <c r="H5" i="11"/>
  <c r="H6" i="11"/>
  <c r="G6" i="11"/>
  <c r="F6" i="11"/>
  <c r="E6" i="11"/>
  <c r="B7" i="11"/>
  <c r="F8" i="12"/>
  <c r="E8" i="12"/>
  <c r="D8" i="12"/>
  <c r="C8" i="12"/>
  <c r="B8" i="12"/>
  <c r="F6" i="12"/>
  <c r="E6" i="12"/>
  <c r="D6" i="12"/>
  <c r="C6" i="12"/>
  <c r="B6" i="12"/>
  <c r="G39" i="3"/>
  <c r="H4" i="11" s="1"/>
  <c r="F39" i="3"/>
  <c r="G4" i="11" s="1"/>
  <c r="E39" i="3"/>
  <c r="D5" i="12" s="1"/>
  <c r="D39" i="3"/>
  <c r="E4" i="11" s="1"/>
  <c r="D4" i="11"/>
  <c r="G5" i="11"/>
  <c r="F5" i="11"/>
  <c r="E5" i="11"/>
  <c r="D5" i="11"/>
  <c r="B4" i="11"/>
  <c r="B6" i="11"/>
  <c r="B5" i="11"/>
  <c r="B10" i="9"/>
  <c r="B9" i="9"/>
  <c r="P3" i="17" l="1"/>
  <c r="O5" i="17"/>
  <c r="O6" i="17" s="1"/>
  <c r="O8" i="17" s="1"/>
  <c r="O9" i="17" s="1"/>
  <c r="I5" i="11"/>
  <c r="D13" i="11"/>
  <c r="I4" i="11"/>
  <c r="B23" i="14"/>
  <c r="J12" i="14" s="1"/>
  <c r="J14" i="14" s="1"/>
  <c r="D14" i="11"/>
  <c r="E8" i="11"/>
  <c r="D6" i="11"/>
  <c r="I6" i="11" s="1"/>
  <c r="B11" i="11"/>
  <c r="B8" i="11"/>
  <c r="B10" i="11"/>
  <c r="D9" i="12"/>
  <c r="D7" i="12"/>
  <c r="D8" i="11"/>
  <c r="B9" i="11"/>
  <c r="E5" i="12"/>
  <c r="F4" i="11"/>
  <c r="B5" i="12"/>
  <c r="F5" i="12"/>
  <c r="C5" i="12"/>
  <c r="H7" i="11"/>
  <c r="G7" i="11"/>
  <c r="E7" i="11"/>
  <c r="G8" i="11"/>
  <c r="H8" i="11"/>
  <c r="B17" i="12" l="1"/>
  <c r="B18" i="12"/>
  <c r="P5" i="17"/>
  <c r="P6" i="17" s="1"/>
  <c r="P8" i="17" s="1"/>
  <c r="P9" i="17" s="1"/>
  <c r="Q3" i="17"/>
  <c r="E13" i="11"/>
  <c r="D22" i="11"/>
  <c r="B13" i="12"/>
  <c r="B19" i="12" s="1"/>
  <c r="D7" i="11"/>
  <c r="D10" i="12"/>
  <c r="F8" i="11"/>
  <c r="B15" i="11" s="1"/>
  <c r="F7" i="11"/>
  <c r="C9" i="12"/>
  <c r="C7" i="12"/>
  <c r="E9" i="12"/>
  <c r="E7" i="12"/>
  <c r="F7" i="12"/>
  <c r="F9" i="12"/>
  <c r="B9" i="12"/>
  <c r="B7" i="12"/>
  <c r="B14" i="11" l="1"/>
  <c r="D23" i="11" s="1"/>
  <c r="D24" i="11" s="1"/>
  <c r="F13" i="11"/>
  <c r="G13" i="11" s="1"/>
  <c r="E14" i="11"/>
  <c r="Q5" i="17"/>
  <c r="Q6" i="17" s="1"/>
  <c r="Q8" i="17" s="1"/>
  <c r="Q9" i="17" s="1"/>
  <c r="R3" i="17"/>
  <c r="E10" i="12"/>
  <c r="C10" i="12"/>
  <c r="B10" i="12"/>
  <c r="F10" i="12"/>
  <c r="F14" i="11" l="1"/>
  <c r="B16" i="12"/>
  <c r="D11" i="11"/>
  <c r="R5" i="17"/>
  <c r="R6" i="17" s="1"/>
  <c r="R8" i="17" s="1"/>
  <c r="R9" i="17" s="1"/>
  <c r="S3" i="17"/>
  <c r="H13" i="11"/>
  <c r="G14" i="11"/>
  <c r="B16" i="11"/>
  <c r="E22" i="11"/>
  <c r="E23" i="11" s="1"/>
  <c r="E24" i="11" s="1"/>
  <c r="F22" i="11" s="1"/>
  <c r="S5" i="17" l="1"/>
  <c r="S6" i="17" s="1"/>
  <c r="S8" i="17" s="1"/>
  <c r="S9" i="17" s="1"/>
  <c r="T3" i="17"/>
  <c r="I13" i="11"/>
  <c r="H14" i="11"/>
  <c r="F23" i="11"/>
  <c r="F24" i="11" s="1"/>
  <c r="F4" i="9"/>
  <c r="H4" i="9"/>
  <c r="E4" i="9"/>
  <c r="I4" i="9"/>
  <c r="G4" i="9"/>
  <c r="B6" i="9"/>
  <c r="T5" i="17" l="1"/>
  <c r="T6" i="17" s="1"/>
  <c r="T8" i="17" s="1"/>
  <c r="T9" i="17" s="1"/>
  <c r="U3" i="17"/>
  <c r="D16" i="11"/>
  <c r="D18" i="11" s="1"/>
  <c r="I14" i="11"/>
  <c r="D17" i="11" s="1"/>
  <c r="G22" i="11"/>
  <c r="G23" i="11" s="1"/>
  <c r="G24" i="11" s="1"/>
  <c r="J4" i="9"/>
  <c r="K4" i="9"/>
  <c r="M4" i="9"/>
  <c r="N4" i="9"/>
  <c r="L4" i="9"/>
  <c r="U5" i="17" l="1"/>
  <c r="U6" i="17" s="1"/>
  <c r="U8" i="17" s="1"/>
  <c r="U9" i="17" s="1"/>
  <c r="V3" i="17"/>
  <c r="D19" i="11"/>
  <c r="D20" i="11" s="1"/>
  <c r="B19" i="11"/>
  <c r="H22" i="11"/>
  <c r="V5" i="17" l="1"/>
  <c r="V6" i="17" s="1"/>
  <c r="V8" i="17" s="1"/>
  <c r="V9" i="17" s="1"/>
  <c r="W3" i="17"/>
  <c r="H23" i="11"/>
  <c r="H24" i="11" s="1"/>
  <c r="X3" i="17" l="1"/>
  <c r="X5" i="17" s="1"/>
  <c r="W5" i="17"/>
  <c r="W6" i="17" s="1"/>
  <c r="W8" i="17" s="1"/>
  <c r="W9" i="17" s="1"/>
  <c r="I22" i="11"/>
  <c r="I23" i="11" s="1"/>
  <c r="X6" i="17" l="1"/>
  <c r="X8" i="17" s="1"/>
  <c r="X9" i="17" s="1"/>
  <c r="B6" i="17" s="1"/>
  <c r="D25" i="11"/>
  <c r="D27" i="11" s="1"/>
  <c r="I24" i="11"/>
  <c r="D26" i="11" s="1"/>
  <c r="B20" i="11" l="1"/>
  <c r="D28" i="11"/>
  <c r="D29" i="11" s="1"/>
  <c r="B8" i="1" l="1"/>
  <c r="H36" i="1" s="1"/>
  <c r="I35" i="6"/>
  <c r="B10" i="15" l="1"/>
  <c r="E7" i="15"/>
  <c r="B14" i="15" s="1"/>
  <c r="I5" i="15" s="1"/>
  <c r="I7" i="15" s="1"/>
  <c r="D5" i="9"/>
  <c r="E5" i="9" s="1"/>
  <c r="F5" i="9" s="1"/>
  <c r="E6" i="9" l="1"/>
  <c r="F6" i="9"/>
  <c r="G5" i="9"/>
  <c r="G6" i="9" l="1"/>
  <c r="H5" i="9"/>
  <c r="H6" i="9" l="1"/>
  <c r="I5" i="9"/>
  <c r="J5" i="9" l="1"/>
  <c r="I6" i="9"/>
  <c r="K5" i="9" l="1"/>
  <c r="J6" i="9"/>
  <c r="K6" i="9" l="1"/>
  <c r="L5" i="9"/>
  <c r="L6" i="9" l="1"/>
  <c r="M5" i="9"/>
  <c r="N5" i="9" l="1"/>
  <c r="D7" i="9" s="1"/>
  <c r="M6" i="9"/>
  <c r="N6" i="9" l="1"/>
  <c r="D8" i="9" s="1"/>
  <c r="D9" i="9" l="1"/>
  <c r="D10" i="9" s="1"/>
</calcChain>
</file>

<file path=xl/sharedStrings.xml><?xml version="1.0" encoding="utf-8"?>
<sst xmlns="http://schemas.openxmlformats.org/spreadsheetml/2006/main" count="465" uniqueCount="335">
  <si>
    <t>Company</t>
  </si>
  <si>
    <t>Sector</t>
  </si>
  <si>
    <t>Face value</t>
  </si>
  <si>
    <t>No of shares outstanding</t>
  </si>
  <si>
    <t>Market Cap</t>
  </si>
  <si>
    <t>Promoter Shareholding</t>
  </si>
  <si>
    <t>Business Summary</t>
  </si>
  <si>
    <t>Sources Of Funds</t>
  </si>
  <si>
    <t>Equity Share Capital</t>
  </si>
  <si>
    <t>Share Application Money</t>
  </si>
  <si>
    <t>Preference Share Capital</t>
  </si>
  <si>
    <t>Reserves</t>
  </si>
  <si>
    <t>Networth</t>
  </si>
  <si>
    <t>Secured Loans</t>
  </si>
  <si>
    <t>Unsecured Loans</t>
  </si>
  <si>
    <t>Total Debt</t>
  </si>
  <si>
    <t>Total Liabilities</t>
  </si>
  <si>
    <t>Application Of Funds</t>
  </si>
  <si>
    <t>Gross Block</t>
  </si>
  <si>
    <t>Less: Accum. Depreciation</t>
  </si>
  <si>
    <t>Net Block</t>
  </si>
  <si>
    <t>Capital Work in Progress</t>
  </si>
  <si>
    <t>Investments</t>
  </si>
  <si>
    <t>Inventories</t>
  </si>
  <si>
    <t>Sundry Debtors</t>
  </si>
  <si>
    <t>Cash and Bank Balance</t>
  </si>
  <si>
    <t>Total Current Assets</t>
  </si>
  <si>
    <t>Loans and Advances</t>
  </si>
  <si>
    <t>Fixed Deposits</t>
  </si>
  <si>
    <t>Total CA, Loans &amp; Advances</t>
  </si>
  <si>
    <t>Current Liabilities</t>
  </si>
  <si>
    <t>Provisions</t>
  </si>
  <si>
    <t>Total CL &amp; Provisions</t>
  </si>
  <si>
    <t>Net Current Assets</t>
  </si>
  <si>
    <t>Miscellaneous Expenses</t>
  </si>
  <si>
    <t>Total Assets</t>
  </si>
  <si>
    <t>Contingent Liabilities</t>
  </si>
  <si>
    <t>Book Value (Rs)</t>
  </si>
  <si>
    <t>Income</t>
  </si>
  <si>
    <t>Sales Turnover</t>
  </si>
  <si>
    <t>Excise Duty</t>
  </si>
  <si>
    <t>Net Sales</t>
  </si>
  <si>
    <t>Other Income</t>
  </si>
  <si>
    <t>Stock Adjustments</t>
  </si>
  <si>
    <t>Total Income</t>
  </si>
  <si>
    <t>Expenditure</t>
  </si>
  <si>
    <t>Raw Materials</t>
  </si>
  <si>
    <t>Power &amp; Fuel Cost</t>
  </si>
  <si>
    <t>Employee Cost</t>
  </si>
  <si>
    <t>Other Manufacturing Expenses</t>
  </si>
  <si>
    <t>Selling and Admin Expenses</t>
  </si>
  <si>
    <t>Preoperative Exp Capitalised</t>
  </si>
  <si>
    <t>Total Expenses</t>
  </si>
  <si>
    <t>Operating Profit</t>
  </si>
  <si>
    <t>PBDIT</t>
  </si>
  <si>
    <t>Interest</t>
  </si>
  <si>
    <t>PBDT</t>
  </si>
  <si>
    <t>Depreciation</t>
  </si>
  <si>
    <t>Other Written Off</t>
  </si>
  <si>
    <t>Profit Before Tax</t>
  </si>
  <si>
    <t>Extra-ordinary items</t>
  </si>
  <si>
    <t>PBT (Post Extra-ord Items)</t>
  </si>
  <si>
    <t>Tax</t>
  </si>
  <si>
    <t>Reported Net Profit</t>
  </si>
  <si>
    <t>Total Value Addition</t>
  </si>
  <si>
    <t>Preference Dividend</t>
  </si>
  <si>
    <t>Equity Dividend</t>
  </si>
  <si>
    <t>Corporate Dividend Tax</t>
  </si>
  <si>
    <t>Per share data (annualised)</t>
  </si>
  <si>
    <t>Shares in issue (lakhs)</t>
  </si>
  <si>
    <t>Earning Per Share (Rs)</t>
  </si>
  <si>
    <t>Equity Dividend (%)</t>
  </si>
  <si>
    <t>Period Ending</t>
  </si>
  <si>
    <t>-  </t>
  </si>
  <si>
    <t xml:space="preserve">Net Income </t>
  </si>
  <si>
    <t>Current Assets</t>
  </si>
  <si>
    <t>Stockholders' Equity</t>
  </si>
  <si>
    <t>Retained Earnings</t>
  </si>
  <si>
    <t>Operating Activities, Cash Flows Provided By or Used In</t>
  </si>
  <si>
    <t>Adjustments To Net Income</t>
  </si>
  <si>
    <t>Changes In Accounts Receivables</t>
  </si>
  <si>
    <t>Changes In Liabilities</t>
  </si>
  <si>
    <t>Changes In Inventories</t>
  </si>
  <si>
    <t>Changes In Other Operating Activities</t>
  </si>
  <si>
    <t xml:space="preserve">Total Cash Flow From Operating Activities </t>
  </si>
  <si>
    <t>Investing Activities, Cash Flows Provided By or Used In</t>
  </si>
  <si>
    <t>Capital Expenditures</t>
  </si>
  <si>
    <t>Other Cash flows from Investing Activities</t>
  </si>
  <si>
    <t xml:space="preserve">Total Cash Flows From Investing Activities </t>
  </si>
  <si>
    <t>Financing Activities, Cash Flows Provided By or Used In</t>
  </si>
  <si>
    <t>Dividends Paid</t>
  </si>
  <si>
    <t>Sale Purchase of Stock</t>
  </si>
  <si>
    <t>Net Borrowings</t>
  </si>
  <si>
    <t>Other Cash Flows from Financing Activities</t>
  </si>
  <si>
    <t xml:space="preserve">Total Cash Flows From Financing Activities </t>
  </si>
  <si>
    <t>Effect Of Exchange Rate Changes</t>
  </si>
  <si>
    <t xml:space="preserve">Change In Cash and Cash Equivalents </t>
  </si>
  <si>
    <t>High</t>
  </si>
  <si>
    <t>Low</t>
  </si>
  <si>
    <t>Year</t>
  </si>
  <si>
    <t>Free Cash Flow</t>
  </si>
  <si>
    <t>Inputs</t>
  </si>
  <si>
    <t>FCF Growth ( 1- 5 years)</t>
  </si>
  <si>
    <t>FCF Growth ( 5- 10 years)</t>
  </si>
  <si>
    <t>Terminal growth rate</t>
  </si>
  <si>
    <t>Shares Outstanding</t>
  </si>
  <si>
    <t>Net debt</t>
  </si>
  <si>
    <t xml:space="preserve"> </t>
  </si>
  <si>
    <t>CAGR</t>
  </si>
  <si>
    <t>Growth</t>
  </si>
  <si>
    <t>FCF</t>
  </si>
  <si>
    <t>NPV</t>
  </si>
  <si>
    <t>Terminal Value</t>
  </si>
  <si>
    <t>PV (1-10)</t>
  </si>
  <si>
    <t>Total Cash Value</t>
  </si>
  <si>
    <t>Per Share DCF</t>
  </si>
  <si>
    <t>Average Free Cash flow</t>
  </si>
  <si>
    <t>Average Free Cash Flow ( In Cr)</t>
  </si>
  <si>
    <t>DPS</t>
  </si>
  <si>
    <t>Input</t>
  </si>
  <si>
    <t>EPS</t>
  </si>
  <si>
    <t>CMP</t>
  </si>
  <si>
    <t>BVPS</t>
  </si>
  <si>
    <t>P/E</t>
  </si>
  <si>
    <t>Earnings Yeild</t>
  </si>
  <si>
    <t>Dividend Yeild</t>
  </si>
  <si>
    <t>CMP/BV</t>
  </si>
  <si>
    <t>Years</t>
  </si>
  <si>
    <t>Discount rate</t>
  </si>
  <si>
    <t>ROE</t>
  </si>
  <si>
    <t>Payout Ratio</t>
  </si>
  <si>
    <t>Current Data</t>
  </si>
  <si>
    <t>Average Data</t>
  </si>
  <si>
    <t>Payout</t>
  </si>
  <si>
    <t>P/E Ratio</t>
  </si>
  <si>
    <t>Stock Price High</t>
  </si>
  <si>
    <t>High P/E</t>
  </si>
  <si>
    <t>Stock Price Low</t>
  </si>
  <si>
    <t>Low P/E</t>
  </si>
  <si>
    <t>Average P/E</t>
  </si>
  <si>
    <t>Diluted EPS</t>
  </si>
  <si>
    <t>PE Valuation</t>
  </si>
  <si>
    <t>Economic Valuation</t>
  </si>
  <si>
    <t>Diluted BV / Share</t>
  </si>
  <si>
    <t>Growth rate</t>
  </si>
  <si>
    <t>Dividend per share (Diluted)</t>
  </si>
  <si>
    <t>Bond Yeild</t>
  </si>
  <si>
    <t>Projections Historical</t>
  </si>
  <si>
    <t>Earnings after 5 years</t>
  </si>
  <si>
    <t>Sum Of dividend paid</t>
  </si>
  <si>
    <t>Projected Price</t>
  </si>
  <si>
    <t>Total Gain</t>
  </si>
  <si>
    <t>Return</t>
  </si>
  <si>
    <t>Projections Growth</t>
  </si>
  <si>
    <t>Historical Earnings Growth</t>
  </si>
  <si>
    <t>Sustainable Earnings Growth</t>
  </si>
  <si>
    <t>Year Ending</t>
  </si>
  <si>
    <t>Graham Instrinic Value</t>
  </si>
  <si>
    <t>Current Yeild of AA Bond</t>
  </si>
  <si>
    <t>Sustainable Growth</t>
  </si>
  <si>
    <t>Graham Number (Defensive)</t>
  </si>
  <si>
    <t>Piotroski F Score</t>
  </si>
  <si>
    <t>ROA</t>
  </si>
  <si>
    <t>LT Debt / Total Assets</t>
  </si>
  <si>
    <t>Current Ratio</t>
  </si>
  <si>
    <t>Gross Margin</t>
  </si>
  <si>
    <t>Operating Margin</t>
  </si>
  <si>
    <t>Net Income</t>
  </si>
  <si>
    <t>Operating Cash Flow</t>
  </si>
  <si>
    <t>Asset Turnover</t>
  </si>
  <si>
    <t>_</t>
  </si>
  <si>
    <t>Piotroski 1: Net Income</t>
  </si>
  <si>
    <t>Piotroski 2: Operating Cash Flow</t>
  </si>
  <si>
    <t>Piotroski 3: Return on Assets</t>
  </si>
  <si>
    <t>Piotroski 4: Quality of Earnings</t>
  </si>
  <si>
    <t>Piotroski 5: LT Debt vs Assets</t>
  </si>
  <si>
    <t>Piotroski 6: Current Ratio</t>
  </si>
  <si>
    <t>Piotroski 7: Shares Outstanding</t>
  </si>
  <si>
    <t>Piotroski 8: Gross Margin</t>
  </si>
  <si>
    <t>Piotroski 9: Asset Turnover</t>
  </si>
  <si>
    <t>Working Capital</t>
  </si>
  <si>
    <t>EBITDA</t>
  </si>
  <si>
    <t>Market Value of Equity</t>
  </si>
  <si>
    <t>Score</t>
  </si>
  <si>
    <t>T1 = Working Capital/Total Assets</t>
  </si>
  <si>
    <t>T2 = Retained Earnings/Total Assets</t>
  </si>
  <si>
    <t>T3 = EBITDA/Total Assets</t>
  </si>
  <si>
    <t>T4 = Market Value of Equity/Total Liabilities</t>
  </si>
  <si>
    <t>T5 = Net Sales/Total Assets</t>
  </si>
  <si>
    <t>Piotroski Score</t>
  </si>
  <si>
    <r>
      <t>Stock Price</t>
    </r>
    <r>
      <rPr>
        <sz val="10"/>
        <color theme="0"/>
        <rFont val="Arial"/>
        <family val="2"/>
      </rPr>
      <t>#</t>
    </r>
  </si>
  <si>
    <t>Snapshot</t>
  </si>
  <si>
    <t>Buffet Valuation ( Adapted from Buffetology)</t>
  </si>
  <si>
    <t>Other data</t>
  </si>
  <si>
    <t>Value</t>
  </si>
  <si>
    <t>Altman Zscore = 1.2T1 + 1.4T2 + 3.3T3 + 0.6T4 + 0.999T5.</t>
  </si>
  <si>
    <t>www.tankrich.com</t>
  </si>
  <si>
    <t>Value of stock based on</t>
  </si>
  <si>
    <r>
      <rPr>
        <vertAlign val="superscript"/>
        <sz val="11"/>
        <rFont val="Calibri"/>
        <family val="2"/>
        <scheme val="minor"/>
      </rPr>
      <t>#</t>
    </r>
    <r>
      <rPr>
        <sz val="11"/>
        <rFont val="Calibri"/>
        <family val="2"/>
        <scheme val="minor"/>
      </rPr>
      <t>Stock price when report requested</t>
    </r>
  </si>
  <si>
    <t>Value of Stock</t>
  </si>
  <si>
    <t>Year 0</t>
  </si>
  <si>
    <t>Earnings Data</t>
  </si>
  <si>
    <t>Basis</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</si>
  <si>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</si>
  <si>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</si>
  <si>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</si>
  <si>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</si>
  <si>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</si>
  <si>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</si>
  <si>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</si>
  <si>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</si>
  <si>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</si>
  <si>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</si>
  <si>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</si>
  <si>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</si>
  <si>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</si>
  <si>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</si>
  <si>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</si>
  <si>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</si>
  <si>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</si>
  <si>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</si>
  <si>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Qualatative parameters</t>
  </si>
  <si>
    <t>Model Assumptions</t>
  </si>
  <si>
    <t>Current EPS is converted to perpuity with model discount factor</t>
  </si>
  <si>
    <t xml:space="preserve"> Theoretically, the maximum price that a defensive investor should pay for the given stock</t>
  </si>
  <si>
    <t>The formula as described by Graham in the 1962 edition of Security Analysis</t>
  </si>
  <si>
    <t>Valuations based on Earnings</t>
  </si>
  <si>
    <t>Discounted cash flow valuations</t>
  </si>
  <si>
    <t>Piotrosoki Score</t>
  </si>
  <si>
    <t>Altman Zscore</t>
  </si>
  <si>
    <t>CY</t>
  </si>
  <si>
    <t>CY-1</t>
  </si>
  <si>
    <t>CY-2</t>
  </si>
  <si>
    <t>CY-3</t>
  </si>
  <si>
    <t>CY-4</t>
  </si>
  <si>
    <t>CFO</t>
  </si>
  <si>
    <t>Capital Expenditure</t>
  </si>
  <si>
    <t>Income Statement</t>
  </si>
  <si>
    <t>Revenue</t>
  </si>
  <si>
    <t>—</t>
  </si>
  <si>
    <t>Operating Income</t>
  </si>
  <si>
    <t>Earnings Per Share</t>
  </si>
  <si>
    <t>Diluted Average Shares</t>
  </si>
  <si>
    <t>Balance Sheet</t>
  </si>
  <si>
    <t>Non Current Assets</t>
  </si>
  <si>
    <t>Cash Flow</t>
  </si>
  <si>
    <t>Cash From Operations</t>
  </si>
  <si>
    <t>Financials</t>
  </si>
  <si>
    <t>Annual</t>
  </si>
  <si>
    <t>Quarterly</t>
  </si>
  <si>
    <t>Copy From MoneyControl (2)</t>
  </si>
  <si>
    <t>Copy From MoneyControl (1)</t>
  </si>
  <si>
    <t>Copy From Moneycontrol (1)</t>
  </si>
  <si>
    <t>Copy From Morningstar india</t>
  </si>
  <si>
    <t>Copy From YahooFinance India</t>
  </si>
  <si>
    <t>Manual Input use Yahoo Finance India</t>
  </si>
  <si>
    <t>Growth Multiplier (1-time)</t>
  </si>
  <si>
    <t>You Can Change this !</t>
  </si>
  <si>
    <t>Average FCF (INR Cr)</t>
  </si>
  <si>
    <t>Last FCF (INR Cr)</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</si>
  <si>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</si>
  <si>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</si>
  <si>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</si>
  <si>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</si>
  <si>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</si>
  <si>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</si>
  <si>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</si>
  <si>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</si>
  <si>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</si>
  <si>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</si>
  <si>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</si>
  <si>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</si>
  <si>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</si>
  <si>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</si>
  <si>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</si>
  <si>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FCF as per Model</t>
  </si>
  <si>
    <t>* The module will pick FCF / Share, You can change Input cells</t>
  </si>
  <si>
    <t>The company is valued at it's average PE for last 5 years multiplied by current EPS</t>
  </si>
  <si>
    <t>Model FCF / Share</t>
  </si>
  <si>
    <t>Less: Revaluation Reserves</t>
  </si>
  <si>
    <t>Deferred Credit</t>
  </si>
  <si>
    <t>Currency in INR.</t>
  </si>
  <si>
    <t>2014-03</t>
  </si>
  <si>
    <t>2013-03</t>
  </si>
  <si>
    <t>2012-03</t>
  </si>
  <si>
    <t>Total Share Capital</t>
  </si>
  <si>
    <t>94,000  </t>
  </si>
  <si>
    <t>Average Capex</t>
  </si>
  <si>
    <t>Capex</t>
  </si>
  <si>
    <t>Average WC</t>
  </si>
  <si>
    <t>Owner Earnings</t>
  </si>
  <si>
    <r>
      <t xml:space="preserve">MICAP </t>
    </r>
    <r>
      <rPr>
        <sz val="8"/>
        <color theme="1"/>
        <rFont val="Arial"/>
        <family val="2"/>
      </rPr>
      <t>(see MICAP sheet for details)</t>
    </r>
  </si>
  <si>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</si>
  <si>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</si>
  <si>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</si>
  <si>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At Current m-cap how many times owner earnings are you paying ?</t>
  </si>
  <si>
    <t>Cera Sanitaryware</t>
  </si>
  <si>
    <t>Ceramics</t>
  </si>
  <si>
    <t>Cera Sanitaryware Limited manufactures and sells sanitary ware and faucet ware products in India</t>
  </si>
  <si>
    <t xml:space="preserve">519,000   </t>
  </si>
  <si>
    <t xml:space="preserve">462,000   </t>
  </si>
  <si>
    <t xml:space="preserve">320,000   </t>
  </si>
  <si>
    <t xml:space="preserve">265,000   </t>
  </si>
  <si>
    <t>123,000  </t>
  </si>
  <si>
    <t>77,000  </t>
  </si>
  <si>
    <t>65,000  </t>
  </si>
  <si>
    <t>122,000  </t>
  </si>
  <si>
    <t>119,000  </t>
  </si>
  <si>
    <t>4,000  </t>
  </si>
  <si>
    <t xml:space="preserve">634,000   </t>
  </si>
  <si>
    <t xml:space="preserve">424,000   </t>
  </si>
  <si>
    <t xml:space="preserve">39,000   </t>
  </si>
  <si>
    <t xml:space="preserve">268,000   </t>
  </si>
  <si>
    <t>24,000  </t>
  </si>
  <si>
    <t xml:space="preserve">22,000   </t>
  </si>
  <si>
    <t xml:space="preserve">61,000   </t>
  </si>
  <si>
    <t xml:space="preserve">31,000   </t>
  </si>
  <si>
    <t xml:space="preserve">91,000   </t>
  </si>
  <si>
    <t>2014-12</t>
  </si>
  <si>
    <t>2013-12</t>
  </si>
  <si>
    <t>Note - If MICAP is more than twenty it will shown as Zero</t>
  </si>
  <si>
    <t>Bargain (0-10)</t>
  </si>
  <si>
    <t>Reasonable (10-20)</t>
  </si>
  <si>
    <t>Expensive (20+)</t>
  </si>
  <si>
    <t>Owner's Earnings (in INR Cr)</t>
  </si>
  <si>
    <t>This is based on whatever you have input on FCF sheet</t>
  </si>
  <si>
    <t>PPE as % of Sales</t>
  </si>
  <si>
    <t>Sales Growth (Decrease) in Cr</t>
  </si>
  <si>
    <t>Maintenance Capex in Cr</t>
  </si>
  <si>
    <t>Depreciation in Cr</t>
  </si>
  <si>
    <t>Item</t>
  </si>
  <si>
    <r>
      <rPr>
        <b/>
        <u/>
        <sz val="11"/>
        <color theme="1"/>
        <rFont val="Calibri"/>
        <family val="2"/>
        <scheme val="minor"/>
      </rPr>
      <t>Bruce Greenwald</t>
    </r>
    <r>
      <rPr>
        <sz val="11"/>
        <color theme="1"/>
        <rFont val="Calibri"/>
        <family val="2"/>
        <scheme val="minor"/>
      </rPr>
      <t xml:space="preserve"> -</t>
    </r>
    <r>
      <rPr>
        <i/>
        <sz val="11"/>
        <color theme="1"/>
        <rFont val="Calibri"/>
        <family val="2"/>
        <scheme val="minor"/>
      </rPr>
      <t>Calculate the ratio of PPE to sales for each of the five prior years and find the average. We use this to indicate the dollars of PPE it takes to support each dollar of sales. We then multiply this ratio by the growth (or decrease) in sales dollars the company has achieved in the current year. The result of that calculation is growth capex. We then subtract it from total capex to arrive at maintenance capex</t>
    </r>
    <r>
      <rPr>
        <sz val="11"/>
        <color theme="1"/>
        <rFont val="Calibri"/>
        <family val="2"/>
        <scheme val="minor"/>
      </rPr>
      <t xml:space="preserve">
</t>
    </r>
  </si>
  <si>
    <t>Capex in Cr (From Cash Flow)</t>
  </si>
  <si>
    <t>Growth Capex in Cr</t>
  </si>
  <si>
    <t>Maintenance capex is the amount of capital that a business has to spent to retain current earning power of assets, It is great tool to monitor how a company is spending its capex,The above box will give a good approximation on where the capex is made. It is slightly misleading and not appropiate for high growth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</si>
</sst>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t;9999999]##\,##\,##\,##0.00;[&gt;99999]##\,##\,##0.00;##,##0.00"/>
    <numFmt numFmtId="165" formatCode="0;[Red]0"/>
    <numFmt numFmtId="166" formatCode="_ &quot;₹&quot;\ * #,##0_ ;_ &quot;₹&quot;\ * \-#,##0_ ;_ &quot;₹&quot;\ * &quot;-&quot;??_ ;_ @_ "/>
  </numFmts>
  <fonts count="38">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0"/>
      <name val="Times New Roman"/>
      <family val="1"/>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2"/>
      <color theme="0"/>
      <name val="Arail"/>
    </font>
    <font>
      <sz val="11"/>
      <name val="Arial"/>
      <family val="2"/>
    </font>
    <font>
      <sz val="11"/>
      <color theme="5"/>
      <name val="Arial"/>
      <family val="2"/>
    </font>
    <font>
      <sz val="11"/>
      <color rgb="FF3F3F76"/>
      <name val="Calibri"/>
      <family val="2"/>
      <scheme val="minor"/>
    </font>
    <font>
      <sz val="11"/>
      <color rgb="FFFF0000"/>
      <name val="Calibri"/>
      <family val="2"/>
      <scheme val="minor"/>
    </font>
    <font>
      <sz val="12"/>
      <name val="Arial"/>
      <family val="2"/>
    </font>
    <font>
      <sz val="10"/>
      <name val="Arial"/>
      <family val="2"/>
    </font>
    <font>
      <b/>
      <sz val="11"/>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8"/>
      <color theme="1"/>
      <name val="Arial"/>
      <family val="2"/>
    </font>
    <font>
      <sz val="11"/>
      <color rgb="FF00B050"/>
      <name val="Calibri"/>
      <family val="2"/>
      <scheme val="minor"/>
    </font>
    <font>
      <i/>
      <sz val="11"/>
      <color theme="1"/>
      <name val="Calibri"/>
      <family val="2"/>
      <scheme val="minor"/>
    </font>
    <font>
      <b/>
      <u/>
      <sz val="11"/>
      <color theme="1"/>
      <name val="Calibri"/>
      <family val="2"/>
      <scheme val="minor"/>
    </font>
    <font>
      <sz val="11"/>
      <color theme="3"/>
      <name val="Calibri"/>
      <family val="2"/>
      <scheme val="minor"/>
    </font>
  </fonts>
  <fills count="25">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theme="5" tint="0.79998168889431442"/>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6"/>
        <bgColor indexed="64"/>
      </patternFill>
    </fill>
    <fill>
      <patternFill patternType="solid">
        <fgColor rgb="FF00B0F0"/>
        <bgColor indexed="64"/>
      </patternFill>
    </fill>
    <fill>
      <patternFill patternType="solid">
        <fgColor theme="7" tint="-0.249977111117893"/>
        <bgColor indexed="64"/>
      </patternFill>
    </fill>
    <fill>
      <patternFill patternType="solid">
        <fgColor rgb="FFC00000"/>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style="thin">
        <color rgb="FF7F7F7F"/>
      </right>
      <top/>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8">
    <xf numFmtId="0" fontId="0" fillId="0" borderId="0"/>
    <xf numFmtId="0" fontId="2" fillId="2" borderId="0" applyNumberFormat="0" applyBorder="0" applyAlignment="0" applyProtection="0"/>
    <xf numFmtId="0" fontId="2" fillId="3" borderId="0" applyNumberFormat="0" applyBorder="0" applyAlignment="0" applyProtection="0"/>
    <xf numFmtId="0" fontId="5" fillId="0" borderId="0" applyNumberFormat="0" applyFill="0" applyBorder="0" applyAlignment="0" applyProtection="0"/>
    <xf numFmtId="0" fontId="2" fillId="8" borderId="0" applyNumberFormat="0" applyBorder="0" applyAlignment="0" applyProtection="0"/>
    <xf numFmtId="0" fontId="21" fillId="14" borderId="10" applyNumberFormat="0" applyAlignment="0" applyProtection="0"/>
    <xf numFmtId="0" fontId="22" fillId="0" borderId="0" applyNumberFormat="0" applyFill="0" applyBorder="0" applyAlignment="0" applyProtection="0"/>
    <xf numFmtId="9" fontId="26" fillId="0" borderId="0" applyFont="0" applyFill="0" applyBorder="0" applyAlignment="0" applyProtection="0"/>
  </cellStyleXfs>
  <cellXfs count="244">
    <xf numFmtId="0" fontId="0" fillId="0" borderId="0" xfId="0"/>
    <xf numFmtId="3" fontId="0" fillId="0" borderId="0" xfId="0" applyNumberFormat="1"/>
    <xf numFmtId="0" fontId="1" fillId="0" borderId="0" xfId="0" applyFont="1"/>
    <xf numFmtId="0" fontId="0" fillId="0" borderId="1" xfId="0" applyBorder="1"/>
    <xf numFmtId="0" fontId="0" fillId="5" borderId="1" xfId="0" applyFill="1" applyBorder="1" applyAlignment="1">
      <alignment horizontal="right" vertical="center" wrapText="1"/>
    </xf>
    <xf numFmtId="0" fontId="0" fillId="5" borderId="1" xfId="0" applyFill="1" applyBorder="1" applyAlignment="1">
      <alignment vertical="center" wrapText="1"/>
    </xf>
    <xf numFmtId="0" fontId="0" fillId="5" borderId="3" xfId="0" applyFill="1" applyBorder="1" applyAlignment="1">
      <alignment horizontal="left" vertical="center" wrapText="1"/>
    </xf>
    <xf numFmtId="0" fontId="0" fillId="5" borderId="1" xfId="0"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1" xfId="0" applyFont="1" applyFill="1" applyBorder="1" applyAlignment="1">
      <alignment horizontal="right" vertical="center" wrapText="1"/>
    </xf>
    <xf numFmtId="15" fontId="0" fillId="0" borderId="1" xfId="0" applyNumberFormat="1" applyBorder="1"/>
    <xf numFmtId="0" fontId="0" fillId="0" borderId="1" xfId="0" applyBorder="1" applyAlignment="1">
      <alignment horizontal="right" vertical="center" wrapText="1"/>
    </xf>
    <xf numFmtId="0" fontId="0" fillId="6" borderId="0" xfId="0" applyFill="1"/>
    <xf numFmtId="165" fontId="0" fillId="0" borderId="1" xfId="0" applyNumberFormat="1" applyBorder="1"/>
    <xf numFmtId="14" fontId="0" fillId="5" borderId="1" xfId="0" applyNumberFormat="1" applyFill="1" applyBorder="1" applyAlignment="1">
      <alignment horizontal="right" vertical="center" wrapText="1"/>
    </xf>
    <xf numFmtId="10" fontId="0" fillId="0" borderId="0" xfId="0" applyNumberFormat="1"/>
    <xf numFmtId="10" fontId="0" fillId="6" borderId="0" xfId="0" applyNumberFormat="1" applyFill="1"/>
    <xf numFmtId="0" fontId="0" fillId="6" borderId="1" xfId="0" applyFill="1" applyBorder="1" applyAlignment="1">
      <alignment vertical="center" wrapText="1"/>
    </xf>
    <xf numFmtId="0" fontId="1" fillId="0" borderId="1" xfId="0" applyFont="1" applyBorder="1" applyAlignment="1">
      <alignment horizontal="right" vertical="center" wrapText="1"/>
    </xf>
    <xf numFmtId="0" fontId="1" fillId="6" borderId="0" xfId="0" applyFont="1" applyFill="1" applyAlignment="1">
      <alignment horizontal="right" vertical="center" wrapText="1"/>
    </xf>
    <xf numFmtId="0" fontId="0" fillId="5" borderId="1" xfId="0" applyFill="1" applyBorder="1" applyAlignment="1">
      <alignment vertical="center" wrapText="1"/>
    </xf>
    <xf numFmtId="0" fontId="0" fillId="5" borderId="5" xfId="0" applyFill="1" applyBorder="1" applyAlignment="1">
      <alignment vertical="center" wrapText="1"/>
    </xf>
    <xf numFmtId="0" fontId="0" fillId="0" borderId="2" xfId="0" applyBorder="1"/>
    <xf numFmtId="0" fontId="0" fillId="0" borderId="5" xfId="0" applyBorder="1"/>
    <xf numFmtId="165" fontId="0" fillId="0" borderId="5" xfId="0" applyNumberFormat="1" applyBorder="1"/>
    <xf numFmtId="165" fontId="0" fillId="0" borderId="3" xfId="0" applyNumberFormat="1" applyBorder="1"/>
    <xf numFmtId="0" fontId="0" fillId="0" borderId="0" xfId="0" applyAlignment="1">
      <alignment horizontal="right" vertical="center" wrapText="1"/>
    </xf>
    <xf numFmtId="3" fontId="0" fillId="0" borderId="0" xfId="0" applyNumberFormat="1" applyAlignment="1">
      <alignment horizontal="right" vertical="center" wrapText="1"/>
    </xf>
    <xf numFmtId="0" fontId="0" fillId="0" borderId="0" xfId="0" applyAlignment="1">
      <alignment horizontal="left" vertical="center" wrapText="1"/>
    </xf>
    <xf numFmtId="0" fontId="1" fillId="6" borderId="0" xfId="0" applyFont="1" applyFill="1" applyAlignment="1">
      <alignment horizontal="left" vertical="center" wrapText="1"/>
    </xf>
    <xf numFmtId="3" fontId="1" fillId="6" borderId="0" xfId="0" applyNumberFormat="1" applyFont="1" applyFill="1"/>
    <xf numFmtId="2" fontId="0" fillId="6" borderId="1" xfId="0" applyNumberFormat="1" applyFill="1" applyBorder="1"/>
    <xf numFmtId="0" fontId="0" fillId="6" borderId="4" xfId="0" applyFill="1" applyBorder="1" applyAlignment="1">
      <alignment vertical="center" wrapText="1"/>
    </xf>
    <xf numFmtId="3" fontId="0" fillId="6" borderId="1" xfId="0" applyNumberFormat="1" applyFill="1" applyBorder="1"/>
    <xf numFmtId="164" fontId="8" fillId="2" borderId="1" xfId="1" applyNumberFormat="1" applyFont="1" applyBorder="1" applyAlignment="1" applyProtection="1">
      <alignment horizontal="center" vertical="center" wrapText="1"/>
      <protection hidden="1"/>
    </xf>
    <xf numFmtId="0" fontId="0" fillId="0" borderId="0" xfId="0" applyProtection="1">
      <protection locked="0"/>
    </xf>
    <xf numFmtId="0" fontId="8" fillId="2" borderId="1" xfId="1" applyFont="1" applyBorder="1" applyAlignment="1" applyProtection="1">
      <alignment horizontal="center" vertical="center"/>
      <protection locked="0"/>
    </xf>
    <xf numFmtId="0" fontId="8" fillId="10" borderId="0" xfId="0" applyFont="1" applyFill="1" applyProtection="1">
      <protection locked="0"/>
    </xf>
    <xf numFmtId="0" fontId="0" fillId="0" borderId="0" xfId="0" applyAlignment="1" applyProtection="1">
      <alignment wrapText="1"/>
      <protection locked="0"/>
    </xf>
    <xf numFmtId="0" fontId="19" fillId="11" borderId="0" xfId="0" applyFont="1" applyFill="1" applyProtection="1">
      <protection locked="0"/>
    </xf>
    <xf numFmtId="0" fontId="8" fillId="12" borderId="0" xfId="0" applyFont="1" applyFill="1" applyProtection="1">
      <protection locked="0"/>
    </xf>
    <xf numFmtId="0" fontId="14" fillId="0" borderId="0" xfId="0" applyFont="1" applyProtection="1">
      <protection hidden="1"/>
    </xf>
    <xf numFmtId="0" fontId="14" fillId="0" borderId="1" xfId="0" applyFont="1" applyBorder="1" applyProtection="1">
      <protection hidden="1"/>
    </xf>
    <xf numFmtId="2" fontId="14" fillId="0" borderId="1" xfId="0" applyNumberFormat="1" applyFont="1" applyBorder="1" applyProtection="1">
      <protection hidden="1"/>
    </xf>
    <xf numFmtId="10" fontId="14" fillId="0" borderId="1" xfId="0" applyNumberFormat="1" applyFont="1" applyBorder="1" applyProtection="1">
      <protection hidden="1"/>
    </xf>
    <xf numFmtId="0" fontId="14" fillId="0" borderId="2" xfId="0" applyFont="1" applyBorder="1" applyProtection="1">
      <protection hidden="1"/>
    </xf>
    <xf numFmtId="0" fontId="14" fillId="0" borderId="0" xfId="0" applyFont="1" applyBorder="1" applyProtection="1">
      <protection hidden="1"/>
    </xf>
    <xf numFmtId="0" fontId="14" fillId="6" borderId="1" xfId="0" applyFont="1" applyFill="1" applyBorder="1" applyProtection="1">
      <protection hidden="1"/>
    </xf>
    <xf numFmtId="10" fontId="14" fillId="6" borderId="2" xfId="0" applyNumberFormat="1" applyFont="1" applyFill="1" applyBorder="1" applyProtection="1">
      <protection hidden="1"/>
    </xf>
    <xf numFmtId="0" fontId="16" fillId="0" borderId="1" xfId="0" applyFont="1" applyBorder="1" applyProtection="1">
      <protection hidden="1"/>
    </xf>
    <xf numFmtId="1" fontId="14" fillId="0" borderId="1" xfId="0" applyNumberFormat="1" applyFont="1" applyBorder="1" applyAlignment="1" applyProtection="1">
      <alignment horizontal="right"/>
      <protection hidden="1"/>
    </xf>
    <xf numFmtId="2" fontId="14" fillId="0" borderId="2" xfId="0" applyNumberFormat="1" applyFont="1" applyBorder="1" applyProtection="1">
      <protection hidden="1"/>
    </xf>
    <xf numFmtId="1" fontId="14" fillId="0" borderId="1" xfId="0" applyNumberFormat="1" applyFont="1" applyBorder="1" applyProtection="1">
      <protection hidden="1"/>
    </xf>
    <xf numFmtId="0" fontId="21" fillId="14" borderId="10" xfId="5" applyAlignment="1" applyProtection="1">
      <alignment horizontal="center" vertical="center" wrapText="1"/>
      <protection locked="0"/>
    </xf>
    <xf numFmtId="10" fontId="21" fillId="14" borderId="10" xfId="5" applyNumberFormat="1" applyAlignment="1" applyProtection="1">
      <alignment horizontal="center" vertical="center" wrapText="1"/>
      <protection locked="0"/>
    </xf>
    <xf numFmtId="0" fontId="21" fillId="14" borderId="10" xfId="5" applyAlignment="1" applyProtection="1">
      <alignment horizontal="left" vertical="center" wrapText="1"/>
      <protection locked="0"/>
    </xf>
    <xf numFmtId="0" fontId="17" fillId="8" borderId="1" xfId="4" applyFont="1" applyBorder="1" applyProtection="1">
      <protection hidden="1"/>
    </xf>
    <xf numFmtId="14" fontId="17" fillId="8" borderId="1" xfId="4" applyNumberFormat="1" applyFont="1" applyBorder="1" applyAlignment="1" applyProtection="1">
      <alignment horizontal="right" vertical="center" wrapText="1"/>
      <protection hidden="1"/>
    </xf>
    <xf numFmtId="0" fontId="21" fillId="14" borderId="10" xfId="5" applyAlignment="1">
      <alignment horizontal="right" vertical="center" wrapText="1"/>
    </xf>
    <xf numFmtId="0" fontId="21" fillId="14" borderId="10" xfId="5"/>
    <xf numFmtId="0" fontId="21" fillId="14" borderId="10" xfId="5" applyAlignment="1">
      <alignment vertical="center" wrapText="1"/>
    </xf>
    <xf numFmtId="0" fontId="7" fillId="0" borderId="0" xfId="0" applyFont="1" applyProtection="1">
      <protection locked="0"/>
    </xf>
    <xf numFmtId="0" fontId="7" fillId="0" borderId="1" xfId="0" applyFont="1" applyBorder="1" applyProtection="1">
      <protection locked="0"/>
    </xf>
    <xf numFmtId="0" fontId="7" fillId="0" borderId="1" xfId="0" applyFont="1" applyBorder="1" applyProtection="1">
      <protection hidden="1"/>
    </xf>
    <xf numFmtId="14" fontId="7" fillId="5" borderId="1" xfId="0" applyNumberFormat="1" applyFont="1" applyFill="1" applyBorder="1" applyAlignment="1" applyProtection="1">
      <alignment horizontal="right" vertical="center" wrapText="1"/>
      <protection hidden="1"/>
    </xf>
    <xf numFmtId="2" fontId="7" fillId="0" borderId="1" xfId="0" applyNumberFormat="1" applyFont="1" applyBorder="1" applyProtection="1">
      <protection hidden="1"/>
    </xf>
    <xf numFmtId="0" fontId="7" fillId="0" borderId="1" xfId="0" applyFont="1" applyFill="1" applyBorder="1" applyProtection="1">
      <protection hidden="1"/>
    </xf>
    <xf numFmtId="10" fontId="7" fillId="0" borderId="1" xfId="0" applyNumberFormat="1" applyFont="1" applyBorder="1" applyProtection="1">
      <protection hidden="1"/>
    </xf>
    <xf numFmtId="0" fontId="7" fillId="6" borderId="1" xfId="0" applyFont="1" applyFill="1" applyBorder="1" applyProtection="1">
      <protection hidden="1"/>
    </xf>
    <xf numFmtId="1" fontId="7" fillId="6" borderId="1" xfId="0" applyNumberFormat="1" applyFont="1" applyFill="1" applyBorder="1" applyProtection="1">
      <protection hidden="1"/>
    </xf>
    <xf numFmtId="10" fontId="21" fillId="14" borderId="10" xfId="5" applyNumberFormat="1" applyProtection="1">
      <protection locked="0"/>
    </xf>
    <xf numFmtId="0" fontId="2" fillId="8" borderId="1" xfId="4" applyBorder="1" applyAlignment="1" applyProtection="1">
      <alignment horizontal="center"/>
      <protection hidden="1"/>
    </xf>
    <xf numFmtId="15" fontId="2" fillId="8" borderId="1" xfId="4" applyNumberFormat="1" applyBorder="1" applyAlignment="1" applyProtection="1">
      <alignment horizontal="center"/>
      <protection hidden="1"/>
    </xf>
    <xf numFmtId="1" fontId="2" fillId="8" borderId="1" xfId="4" applyNumberFormat="1" applyBorder="1" applyAlignment="1" applyProtection="1">
      <alignment horizontal="center"/>
      <protection hidden="1"/>
    </xf>
    <xf numFmtId="3" fontId="7" fillId="0" borderId="1" xfId="0" applyNumberFormat="1" applyFont="1" applyBorder="1" applyProtection="1">
      <protection hidden="1"/>
    </xf>
    <xf numFmtId="1" fontId="7" fillId="0" borderId="1" xfId="0" applyNumberFormat="1" applyFont="1" applyBorder="1" applyProtection="1">
      <protection hidden="1"/>
    </xf>
    <xf numFmtId="1" fontId="7" fillId="0" borderId="2" xfId="0" applyNumberFormat="1" applyFont="1" applyBorder="1" applyProtection="1">
      <protection hidden="1"/>
    </xf>
    <xf numFmtId="0" fontId="7" fillId="0" borderId="0" xfId="0" applyFont="1" applyBorder="1" applyProtection="1">
      <protection hidden="1"/>
    </xf>
    <xf numFmtId="3" fontId="7" fillId="0" borderId="2" xfId="0" applyNumberFormat="1" applyFont="1" applyBorder="1" applyProtection="1">
      <protection hidden="1"/>
    </xf>
    <xf numFmtId="0" fontId="6" fillId="6" borderId="1" xfId="0" applyFont="1" applyFill="1" applyBorder="1" applyProtection="1">
      <protection hidden="1"/>
    </xf>
    <xf numFmtId="1" fontId="7" fillId="6" borderId="2" xfId="0" applyNumberFormat="1" applyFont="1" applyFill="1" applyBorder="1" applyProtection="1">
      <protection hidden="1"/>
    </xf>
    <xf numFmtId="0" fontId="7" fillId="0" borderId="0" xfId="0" applyFont="1" applyProtection="1">
      <protection hidden="1"/>
    </xf>
    <xf numFmtId="0" fontId="7" fillId="7" borderId="0" xfId="0" applyFont="1" applyFill="1" applyProtection="1">
      <protection hidden="1"/>
    </xf>
    <xf numFmtId="0" fontId="6" fillId="0" borderId="0" xfId="0" applyFont="1" applyProtection="1">
      <protection hidden="1"/>
    </xf>
    <xf numFmtId="0" fontId="8" fillId="8" borderId="1" xfId="4" applyFont="1" applyBorder="1" applyProtection="1">
      <protection hidden="1"/>
    </xf>
    <xf numFmtId="14" fontId="8" fillId="8" borderId="1" xfId="4" applyNumberFormat="1" applyFont="1" applyBorder="1" applyAlignment="1" applyProtection="1">
      <alignment horizontal="center" vertical="center" wrapText="1"/>
      <protection hidden="1"/>
    </xf>
    <xf numFmtId="3" fontId="7" fillId="0" borderId="1" xfId="0" applyNumberFormat="1" applyFont="1" applyBorder="1" applyAlignment="1" applyProtection="1">
      <alignment horizontal="center" vertical="center"/>
      <protection hidden="1"/>
    </xf>
    <xf numFmtId="0" fontId="8" fillId="0" borderId="0" xfId="0" applyFont="1" applyProtection="1">
      <protection hidden="1"/>
    </xf>
    <xf numFmtId="0" fontId="7" fillId="0" borderId="2" xfId="0" applyFont="1" applyBorder="1" applyProtection="1">
      <protection hidden="1"/>
    </xf>
    <xf numFmtId="1" fontId="8" fillId="0" borderId="0" xfId="0" applyNumberFormat="1" applyFont="1" applyProtection="1">
      <protection hidden="1"/>
    </xf>
    <xf numFmtId="0" fontId="7" fillId="0" borderId="1" xfId="0" applyNumberFormat="1" applyFont="1" applyFill="1" applyBorder="1" applyAlignment="1" applyProtection="1">
      <alignment horizontal="right"/>
      <protection hidden="1"/>
    </xf>
    <xf numFmtId="0" fontId="7" fillId="0" borderId="0" xfId="0" applyNumberFormat="1" applyFont="1" applyFill="1" applyBorder="1" applyAlignment="1" applyProtection="1">
      <alignment horizontal="right"/>
      <protection hidden="1"/>
    </xf>
    <xf numFmtId="0" fontId="7" fillId="0" borderId="1" xfId="0" applyNumberFormat="1" applyFont="1" applyBorder="1" applyAlignment="1" applyProtection="1">
      <alignment horizontal="right"/>
      <protection hidden="1"/>
    </xf>
    <xf numFmtId="0" fontId="7" fillId="0" borderId="0" xfId="0" applyNumberFormat="1" applyFont="1" applyBorder="1" applyAlignment="1" applyProtection="1">
      <alignment horizontal="right"/>
      <protection hidden="1"/>
    </xf>
    <xf numFmtId="0" fontId="6" fillId="6" borderId="1" xfId="0" applyFont="1" applyFill="1" applyBorder="1" applyAlignment="1" applyProtection="1">
      <alignment wrapText="1"/>
      <protection hidden="1"/>
    </xf>
    <xf numFmtId="0" fontId="6" fillId="6" borderId="1" xfId="0" applyNumberFormat="1" applyFont="1" applyFill="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6" fillId="0" borderId="1" xfId="0" applyFont="1" applyBorder="1" applyAlignment="1" applyProtection="1">
      <alignment horizontal="center"/>
      <protection hidden="1"/>
    </xf>
    <xf numFmtId="0" fontId="19" fillId="0" borderId="0" xfId="0" applyFont="1" applyProtection="1">
      <protection hidden="1"/>
    </xf>
    <xf numFmtId="2" fontId="7" fillId="6" borderId="1" xfId="0" applyNumberFormat="1" applyFont="1" applyFill="1" applyBorder="1" applyProtection="1">
      <protection hidden="1"/>
    </xf>
    <xf numFmtId="0" fontId="2" fillId="8" borderId="0" xfId="4" applyProtection="1">
      <protection hidden="1"/>
    </xf>
    <xf numFmtId="9" fontId="7" fillId="0" borderId="0" xfId="0" applyNumberFormat="1" applyFont="1" applyProtection="1">
      <protection hidden="1"/>
    </xf>
    <xf numFmtId="0" fontId="21" fillId="14" borderId="10" xfId="5" applyAlignment="1">
      <alignment vertical="center"/>
    </xf>
    <xf numFmtId="2" fontId="21" fillId="14" borderId="10" xfId="5" applyNumberFormat="1" applyAlignment="1" applyProtection="1">
      <alignment horizontal="center" vertical="center" wrapText="1"/>
      <protection locked="0"/>
    </xf>
    <xf numFmtId="2" fontId="21" fillId="14" borderId="10" xfId="5" applyNumberFormat="1" applyAlignment="1" applyProtection="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1" fillId="0" borderId="12" xfId="0" applyFont="1" applyBorder="1" applyAlignment="1">
      <alignment horizontal="center" vertical="center" wrapText="1"/>
    </xf>
    <xf numFmtId="0" fontId="0" fillId="0" borderId="12" xfId="0" applyBorder="1" applyAlignment="1">
      <alignment vertical="center" wrapText="1"/>
    </xf>
    <xf numFmtId="0" fontId="0" fillId="0" borderId="0" xfId="0" applyAlignment="1">
      <alignment horizontal="left" vertical="center" indent="1"/>
    </xf>
    <xf numFmtId="0" fontId="27" fillId="0" borderId="0" xfId="0" applyFont="1"/>
    <xf numFmtId="0" fontId="0" fillId="15" borderId="1" xfId="0" applyFill="1" applyBorder="1" applyAlignment="1" applyProtection="1">
      <alignment horizontal="center"/>
      <protection hidden="1"/>
    </xf>
    <xf numFmtId="0" fontId="1" fillId="15" borderId="1" xfId="0" applyFont="1" applyFill="1" applyBorder="1" applyAlignment="1" applyProtection="1">
      <alignment horizontal="center" vertical="center" wrapText="1"/>
      <protection hidden="1"/>
    </xf>
    <xf numFmtId="0" fontId="0" fillId="16" borderId="1" xfId="0" applyFill="1" applyBorder="1" applyAlignment="1" applyProtection="1">
      <alignment horizontal="center"/>
      <protection hidden="1"/>
    </xf>
    <xf numFmtId="9" fontId="0" fillId="16" borderId="1" xfId="7" applyFont="1" applyFill="1" applyBorder="1" applyAlignment="1" applyProtection="1">
      <alignment horizontal="center"/>
      <protection hidden="1"/>
    </xf>
    <xf numFmtId="2" fontId="0" fillId="16" borderId="1" xfId="0" applyNumberFormat="1" applyFill="1" applyBorder="1" applyAlignment="1" applyProtection="1">
      <alignment horizontal="center"/>
      <protection hidden="1"/>
    </xf>
    <xf numFmtId="0" fontId="1" fillId="16" borderId="1" xfId="0" applyFont="1" applyFill="1" applyBorder="1" applyAlignment="1" applyProtection="1">
      <alignment horizontal="center"/>
      <protection hidden="1"/>
    </xf>
    <xf numFmtId="9" fontId="1" fillId="16" borderId="1" xfId="7" applyFont="1" applyFill="1" applyBorder="1" applyAlignment="1" applyProtection="1">
      <alignment horizontal="center"/>
      <protection hidden="1"/>
    </xf>
    <xf numFmtId="166" fontId="0" fillId="0" borderId="0" xfId="0" applyNumberFormat="1"/>
    <xf numFmtId="0" fontId="2" fillId="3" borderId="0" xfId="2" applyAlignment="1">
      <alignment wrapText="1"/>
    </xf>
    <xf numFmtId="0" fontId="30" fillId="14" borderId="10" xfId="5" applyFont="1" applyAlignment="1">
      <alignment wrapText="1"/>
    </xf>
    <xf numFmtId="0" fontId="29" fillId="0" borderId="1" xfId="0" applyFont="1" applyBorder="1" applyAlignment="1" applyProtection="1">
      <alignment wrapText="1"/>
      <protection hidden="1"/>
    </xf>
    <xf numFmtId="1" fontId="29" fillId="0" borderId="1" xfId="0" applyNumberFormat="1" applyFont="1" applyBorder="1" applyAlignment="1" applyProtection="1">
      <alignment wrapText="1"/>
      <protection hidden="1"/>
    </xf>
    <xf numFmtId="2" fontId="29" fillId="0" borderId="1" xfId="0" applyNumberFormat="1" applyFont="1" applyBorder="1" applyAlignment="1" applyProtection="1">
      <alignment wrapText="1"/>
      <protection hidden="1"/>
    </xf>
    <xf numFmtId="0" fontId="29" fillId="0" borderId="1" xfId="0" applyFont="1" applyBorder="1" applyProtection="1">
      <protection hidden="1"/>
    </xf>
    <xf numFmtId="0" fontId="29" fillId="0" borderId="8" xfId="0" applyFont="1" applyBorder="1" applyAlignment="1">
      <alignment wrapText="1"/>
    </xf>
    <xf numFmtId="0" fontId="29" fillId="0" borderId="9" xfId="0" applyFont="1" applyBorder="1" applyAlignment="1">
      <alignment wrapText="1"/>
    </xf>
    <xf numFmtId="0" fontId="30" fillId="18" borderId="10" xfId="5" applyFont="1" applyFill="1" applyAlignment="1" applyProtection="1">
      <alignment wrapText="1"/>
      <protection hidden="1"/>
    </xf>
    <xf numFmtId="0" fontId="21" fillId="18" borderId="10" xfId="5" applyFill="1" applyAlignment="1" applyProtection="1">
      <alignment wrapText="1"/>
      <protection hidden="1"/>
    </xf>
    <xf numFmtId="9" fontId="21" fillId="14" borderId="10" xfId="5" applyNumberFormat="1" applyAlignment="1" applyProtection="1">
      <alignment wrapText="1"/>
      <protection locked="0"/>
    </xf>
    <xf numFmtId="1" fontId="21" fillId="14" borderId="10" xfId="5" applyNumberFormat="1" applyProtection="1">
      <protection locked="0"/>
    </xf>
    <xf numFmtId="0" fontId="7" fillId="19" borderId="1" xfId="0" applyFont="1" applyFill="1" applyBorder="1" applyAlignment="1" applyProtection="1">
      <alignment wrapText="1"/>
      <protection hidden="1"/>
    </xf>
    <xf numFmtId="3" fontId="7" fillId="0" borderId="0" xfId="0" applyNumberFormat="1" applyFont="1" applyProtection="1">
      <protection hidden="1"/>
    </xf>
    <xf numFmtId="0" fontId="0" fillId="20" borderId="0" xfId="0" applyFill="1"/>
    <xf numFmtId="1" fontId="21" fillId="14" borderId="10" xfId="5" applyNumberFormat="1" applyAlignment="1" applyProtection="1">
      <alignment wrapText="1"/>
      <protection locked="0"/>
    </xf>
    <xf numFmtId="1" fontId="0" fillId="20" borderId="0" xfId="0" applyNumberFormat="1" applyFill="1" applyProtection="1">
      <protection hidden="1"/>
    </xf>
    <xf numFmtId="4" fontId="7" fillId="0" borderId="1" xfId="0" applyNumberFormat="1" applyFont="1" applyBorder="1" applyProtection="1">
      <protection hidden="1"/>
    </xf>
    <xf numFmtId="3" fontId="21" fillId="14" borderId="10" xfId="5" applyNumberFormat="1" applyAlignment="1" applyProtection="1">
      <alignment horizontal="center" vertical="center" wrapText="1"/>
      <protection locked="0"/>
    </xf>
    <xf numFmtId="0" fontId="21" fillId="14" borderId="14" xfId="5" applyBorder="1" applyAlignment="1">
      <alignment horizontal="center" vertical="center" textRotation="90" wrapText="1"/>
    </xf>
    <xf numFmtId="0" fontId="21" fillId="14" borderId="0" xfId="5" applyBorder="1" applyAlignment="1">
      <alignment horizontal="center" vertical="center" textRotation="90" wrapText="1"/>
    </xf>
    <xf numFmtId="0" fontId="21" fillId="14" borderId="19" xfId="5" applyBorder="1" applyAlignment="1">
      <alignment horizontal="center" vertical="center" textRotation="90" wrapText="1"/>
    </xf>
    <xf numFmtId="0" fontId="0" fillId="5" borderId="2" xfId="0" applyFill="1" applyBorder="1" applyAlignment="1">
      <alignment vertical="center" wrapText="1"/>
    </xf>
    <xf numFmtId="0" fontId="0" fillId="5" borderId="3" xfId="0" applyFill="1" applyBorder="1" applyAlignment="1">
      <alignment vertical="center" wrapText="1"/>
    </xf>
    <xf numFmtId="0" fontId="32" fillId="0" borderId="0" xfId="0" applyFont="1"/>
    <xf numFmtId="0" fontId="0" fillId="21" borderId="0" xfId="0" applyFill="1"/>
    <xf numFmtId="3" fontId="0" fillId="21" borderId="0" xfId="0" applyNumberFormat="1" applyFill="1"/>
    <xf numFmtId="2" fontId="0" fillId="21" borderId="0" xfId="0" applyNumberFormat="1" applyFill="1"/>
    <xf numFmtId="0" fontId="0" fillId="0" borderId="0" xfId="0" applyBorder="1"/>
    <xf numFmtId="0" fontId="0" fillId="0" borderId="26" xfId="0" applyBorder="1"/>
    <xf numFmtId="0" fontId="0" fillId="0" borderId="27" xfId="0" applyBorder="1"/>
    <xf numFmtId="0" fontId="0" fillId="0" borderId="28" xfId="0" applyBorder="1"/>
    <xf numFmtId="3" fontId="1" fillId="0" borderId="0" xfId="0" applyNumberFormat="1" applyFont="1"/>
    <xf numFmtId="1" fontId="1" fillId="0" borderId="0" xfId="0" applyNumberFormat="1" applyFont="1"/>
    <xf numFmtId="1" fontId="0" fillId="18" borderId="0" xfId="0" applyNumberFormat="1" applyFill="1" applyAlignment="1" applyProtection="1">
      <alignment horizontal="center" vertical="center"/>
      <protection hidden="1"/>
    </xf>
    <xf numFmtId="1" fontId="30" fillId="18" borderId="10" xfId="5" applyNumberFormat="1" applyFont="1" applyFill="1" applyAlignment="1" applyProtection="1">
      <alignment wrapText="1"/>
      <protection hidden="1"/>
    </xf>
    <xf numFmtId="0" fontId="2" fillId="24" borderId="1" xfId="0" applyFont="1" applyFill="1" applyBorder="1"/>
    <xf numFmtId="0" fontId="31" fillId="24" borderId="1" xfId="0" applyFont="1" applyFill="1" applyBorder="1" applyAlignment="1">
      <alignment horizontal="center" vertical="center" wrapText="1"/>
    </xf>
    <xf numFmtId="9" fontId="0" fillId="0" borderId="0" xfId="7" applyFont="1" applyAlignment="1">
      <alignment horizontal="center"/>
    </xf>
    <xf numFmtId="0" fontId="0" fillId="0" borderId="0" xfId="0" applyAlignment="1">
      <alignment horizontal="center"/>
    </xf>
    <xf numFmtId="0" fontId="31" fillId="24" borderId="3" xfId="0" applyFont="1" applyFill="1" applyBorder="1" applyAlignment="1">
      <alignment horizontal="center" vertical="center" wrapText="1"/>
    </xf>
    <xf numFmtId="9" fontId="0" fillId="0" borderId="1" xfId="7" applyFont="1" applyBorder="1" applyAlignment="1">
      <alignment horizontal="center"/>
    </xf>
    <xf numFmtId="1" fontId="0" fillId="0" borderId="1" xfId="0" applyNumberFormat="1" applyBorder="1" applyAlignment="1">
      <alignment horizontal="center"/>
    </xf>
    <xf numFmtId="0" fontId="0" fillId="9" borderId="1" xfId="0" applyFill="1" applyBorder="1"/>
    <xf numFmtId="1" fontId="0" fillId="9" borderId="1" xfId="0" applyNumberFormat="1" applyFill="1" applyBorder="1" applyAlignment="1">
      <alignment horizontal="center"/>
    </xf>
    <xf numFmtId="0" fontId="1" fillId="0" borderId="0" xfId="0" applyFont="1" applyAlignment="1" applyProtection="1">
      <alignment horizontal="center"/>
      <protection locked="0"/>
    </xf>
    <xf numFmtId="0" fontId="2" fillId="23" borderId="0" xfId="0" applyFont="1" applyFill="1" applyAlignment="1" applyProtection="1">
      <alignment horizontal="center"/>
      <protection locked="0"/>
    </xf>
    <xf numFmtId="0" fontId="0" fillId="11" borderId="0" xfId="0" applyFill="1" applyAlignment="1" applyProtection="1">
      <alignment horizontal="center"/>
      <protection locked="0"/>
    </xf>
    <xf numFmtId="0" fontId="2" fillId="12" borderId="0" xfId="0" applyFont="1" applyFill="1" applyAlignment="1" applyProtection="1">
      <alignment horizontal="center"/>
      <protection locked="0"/>
    </xf>
    <xf numFmtId="0" fontId="6" fillId="9" borderId="20" xfId="0" applyFont="1" applyFill="1" applyBorder="1" applyAlignment="1" applyProtection="1">
      <alignment horizontal="center"/>
      <protection locked="0"/>
    </xf>
    <xf numFmtId="0" fontId="1" fillId="9" borderId="22" xfId="0" applyFont="1" applyFill="1" applyBorder="1" applyAlignment="1" applyProtection="1">
      <alignment horizontal="center"/>
      <protection locked="0"/>
    </xf>
    <xf numFmtId="0" fontId="6" fillId="9" borderId="21" xfId="0" applyFont="1" applyFill="1" applyBorder="1" applyAlignment="1" applyProtection="1">
      <alignment horizontal="center"/>
      <protection locked="0"/>
    </xf>
    <xf numFmtId="0" fontId="6" fillId="9" borderId="22" xfId="0" applyFont="1" applyFill="1" applyBorder="1" applyAlignment="1" applyProtection="1">
      <alignment horizontal="center"/>
      <protection locked="0"/>
    </xf>
    <xf numFmtId="0" fontId="12" fillId="9" borderId="0" xfId="0" applyFont="1" applyFill="1" applyAlignment="1" applyProtection="1">
      <alignment horizontal="center"/>
      <protection locked="0"/>
    </xf>
    <xf numFmtId="0" fontId="8"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8" fillId="12" borderId="0" xfId="0" applyFont="1" applyFill="1" applyAlignment="1" applyProtection="1">
      <alignment horizontal="center"/>
      <protection locked="0"/>
    </xf>
    <xf numFmtId="0" fontId="1" fillId="9" borderId="21" xfId="0" applyFont="1" applyFill="1" applyBorder="1" applyAlignment="1" applyProtection="1">
      <alignment horizontal="center"/>
      <protection locked="0"/>
    </xf>
    <xf numFmtId="0" fontId="3" fillId="0" borderId="0" xfId="1" applyFont="1" applyFill="1" applyBorder="1" applyAlignment="1" applyProtection="1">
      <alignment horizontal="left" vertical="top"/>
      <protection locked="0"/>
    </xf>
    <xf numFmtId="0" fontId="23" fillId="15" borderId="6" xfId="2" applyFont="1" applyFill="1" applyBorder="1" applyAlignment="1" applyProtection="1">
      <alignment horizontal="center"/>
      <protection hidden="1"/>
    </xf>
    <xf numFmtId="0" fontId="11" fillId="4" borderId="0" xfId="3" applyFont="1" applyFill="1" applyAlignment="1" applyProtection="1">
      <alignment horizontal="center" vertical="center"/>
      <protection hidden="1"/>
    </xf>
    <xf numFmtId="0" fontId="6" fillId="17" borderId="20" xfId="0" applyFont="1" applyFill="1" applyBorder="1" applyAlignment="1" applyProtection="1">
      <alignment horizontal="center"/>
      <protection locked="0"/>
    </xf>
    <xf numFmtId="0" fontId="1" fillId="17" borderId="21" xfId="0" applyFont="1" applyFill="1" applyBorder="1" applyAlignment="1" applyProtection="1">
      <alignment horizontal="center"/>
      <protection locked="0"/>
    </xf>
    <xf numFmtId="0" fontId="1" fillId="17" borderId="22" xfId="0" applyFont="1" applyFill="1" applyBorder="1" applyAlignment="1" applyProtection="1">
      <alignment horizontal="center"/>
      <protection locked="0"/>
    </xf>
    <xf numFmtId="0" fontId="17" fillId="8" borderId="2" xfId="4" applyFont="1" applyBorder="1" applyAlignment="1" applyProtection="1">
      <alignment horizontal="center"/>
      <protection hidden="1"/>
    </xf>
    <xf numFmtId="0" fontId="17" fillId="8" borderId="3" xfId="4" applyFont="1" applyBorder="1" applyAlignment="1" applyProtection="1">
      <alignment horizontal="center"/>
      <protection hidden="1"/>
    </xf>
    <xf numFmtId="0" fontId="15" fillId="8" borderId="2" xfId="4" applyFont="1" applyBorder="1" applyAlignment="1" applyProtection="1">
      <alignment horizontal="center"/>
      <protection hidden="1"/>
    </xf>
    <xf numFmtId="0" fontId="15" fillId="8" borderId="3" xfId="4" applyFont="1" applyBorder="1" applyAlignment="1" applyProtection="1">
      <alignment horizontal="center"/>
      <protection hidden="1"/>
    </xf>
    <xf numFmtId="0" fontId="24" fillId="15" borderId="0" xfId="2" applyFont="1" applyFill="1" applyAlignment="1" applyProtection="1">
      <alignment horizontal="center" vertical="center"/>
      <protection hidden="1"/>
    </xf>
    <xf numFmtId="0" fontId="13" fillId="0" borderId="0" xfId="3" applyFont="1" applyAlignment="1" applyProtection="1">
      <alignment horizontal="center" vertical="center"/>
      <protection hidden="1"/>
    </xf>
    <xf numFmtId="0" fontId="17" fillId="3" borderId="2" xfId="2" applyFont="1" applyBorder="1" applyAlignment="1" applyProtection="1">
      <alignment horizontal="center"/>
      <protection hidden="1"/>
    </xf>
    <xf numFmtId="0" fontId="17" fillId="3" borderId="3" xfId="2" applyFont="1" applyBorder="1" applyAlignment="1" applyProtection="1">
      <alignment horizontal="center"/>
      <protection hidden="1"/>
    </xf>
    <xf numFmtId="0" fontId="20" fillId="13" borderId="7" xfId="0" applyFont="1" applyFill="1" applyBorder="1" applyAlignment="1" applyProtection="1">
      <alignment horizontal="left" wrapText="1"/>
      <protection hidden="1"/>
    </xf>
    <xf numFmtId="0" fontId="20" fillId="13" borderId="0" xfId="0" applyFont="1" applyFill="1" applyAlignment="1" applyProtection="1">
      <alignment horizontal="left" wrapText="1"/>
      <protection hidden="1"/>
    </xf>
    <xf numFmtId="0" fontId="2" fillId="3" borderId="0" xfId="2" applyBorder="1" applyAlignment="1" applyProtection="1">
      <alignment horizontal="center"/>
      <protection locked="0"/>
    </xf>
    <xf numFmtId="0" fontId="18" fillId="8" borderId="8" xfId="4" applyFont="1" applyBorder="1" applyAlignment="1" applyProtection="1">
      <alignment horizontal="center"/>
      <protection hidden="1"/>
    </xf>
    <xf numFmtId="0" fontId="18" fillId="8" borderId="6" xfId="4" applyFont="1" applyBorder="1" applyAlignment="1" applyProtection="1">
      <alignment horizontal="center"/>
      <protection hidden="1"/>
    </xf>
    <xf numFmtId="0" fontId="18" fillId="8" borderId="9" xfId="4" applyFont="1" applyBorder="1" applyAlignment="1" applyProtection="1">
      <alignment horizontal="center"/>
      <protection hidden="1"/>
    </xf>
    <xf numFmtId="0" fontId="10" fillId="0" borderId="0" xfId="3" applyFont="1" applyBorder="1" applyAlignment="1" applyProtection="1">
      <alignment horizontal="center"/>
      <protection locked="0"/>
    </xf>
    <xf numFmtId="0" fontId="7" fillId="0" borderId="0" xfId="0" applyFont="1" applyBorder="1" applyAlignment="1" applyProtection="1">
      <alignment horizontal="center"/>
      <protection locked="0"/>
    </xf>
    <xf numFmtId="0" fontId="18" fillId="8" borderId="2" xfId="4" applyFont="1" applyBorder="1" applyAlignment="1" applyProtection="1">
      <alignment horizontal="center"/>
      <protection locked="0"/>
    </xf>
    <xf numFmtId="0" fontId="18" fillId="8" borderId="5" xfId="4" applyFont="1" applyBorder="1" applyAlignment="1" applyProtection="1">
      <alignment horizontal="center"/>
      <protection locked="0"/>
    </xf>
    <xf numFmtId="0" fontId="18" fillId="8" borderId="3" xfId="4" applyFont="1" applyBorder="1" applyAlignment="1" applyProtection="1">
      <alignment horizontal="center"/>
      <protection locked="0"/>
    </xf>
    <xf numFmtId="0" fontId="2" fillId="3" borderId="2" xfId="2" applyBorder="1" applyAlignment="1" applyProtection="1">
      <alignment horizontal="center"/>
      <protection hidden="1"/>
    </xf>
    <xf numFmtId="0" fontId="2" fillId="3" borderId="3" xfId="2" applyBorder="1" applyAlignment="1" applyProtection="1">
      <alignment horizontal="center"/>
      <protection hidden="1"/>
    </xf>
    <xf numFmtId="0" fontId="8" fillId="8" borderId="7" xfId="4" applyFont="1" applyBorder="1" applyAlignment="1" applyProtection="1">
      <alignment horizontal="center"/>
      <protection hidden="1"/>
    </xf>
    <xf numFmtId="0" fontId="8" fillId="8" borderId="0" xfId="4" applyFont="1" applyBorder="1" applyAlignment="1" applyProtection="1">
      <alignment horizontal="center"/>
      <protection hidden="1"/>
    </xf>
    <xf numFmtId="0" fontId="25" fillId="0" borderId="11"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0" fillId="0" borderId="0" xfId="3" applyFont="1" applyBorder="1" applyAlignment="1" applyProtection="1">
      <alignment horizontal="center"/>
      <protection hidden="1"/>
    </xf>
    <xf numFmtId="0" fontId="7" fillId="0" borderId="0" xfId="0" applyFont="1" applyBorder="1" applyAlignment="1" applyProtection="1">
      <alignment horizontal="center"/>
      <protection hidden="1"/>
    </xf>
    <xf numFmtId="0" fontId="2" fillId="3" borderId="6" xfId="2" applyBorder="1" applyAlignment="1" applyProtection="1">
      <alignment horizontal="center"/>
      <protection hidden="1"/>
    </xf>
    <xf numFmtId="0" fontId="2" fillId="8" borderId="2" xfId="4" applyBorder="1" applyAlignment="1" applyProtection="1">
      <alignment horizontal="center"/>
      <protection hidden="1"/>
    </xf>
    <xf numFmtId="0" fontId="2" fillId="8" borderId="5" xfId="4" applyBorder="1" applyAlignment="1" applyProtection="1">
      <alignment horizontal="center"/>
      <protection hidden="1"/>
    </xf>
    <xf numFmtId="0" fontId="2" fillId="8" borderId="3" xfId="4" applyBorder="1" applyAlignment="1" applyProtection="1">
      <alignment horizontal="center"/>
      <protection hidden="1"/>
    </xf>
    <xf numFmtId="0" fontId="1" fillId="0" borderId="0" xfId="0" applyFont="1" applyAlignment="1">
      <alignment horizontal="center"/>
    </xf>
    <xf numFmtId="0" fontId="30" fillId="0" borderId="14" xfId="5" applyFont="1" applyFill="1" applyBorder="1" applyAlignment="1">
      <alignment horizontal="center" wrapText="1"/>
    </xf>
    <xf numFmtId="0" fontId="30" fillId="0" borderId="15" xfId="5" applyFont="1" applyFill="1" applyBorder="1" applyAlignment="1">
      <alignment horizontal="center" wrapText="1"/>
    </xf>
    <xf numFmtId="0" fontId="30" fillId="0" borderId="0" xfId="5" applyFont="1" applyFill="1" applyBorder="1" applyAlignment="1">
      <alignment horizontal="center" wrapText="1"/>
    </xf>
    <xf numFmtId="0" fontId="30" fillId="0" borderId="13" xfId="5" applyFont="1" applyFill="1" applyBorder="1" applyAlignment="1">
      <alignment horizontal="center" wrapText="1"/>
    </xf>
    <xf numFmtId="0" fontId="2" fillId="3" borderId="0" xfId="2" applyAlignment="1">
      <alignment horizontal="center" wrapText="1"/>
    </xf>
    <xf numFmtId="0" fontId="2" fillId="22" borderId="23" xfId="0" applyFont="1" applyFill="1" applyBorder="1" applyAlignment="1">
      <alignment horizontal="center"/>
    </xf>
    <xf numFmtId="0" fontId="2" fillId="22" borderId="24" xfId="0" applyFont="1" applyFill="1" applyBorder="1" applyAlignment="1">
      <alignment horizontal="center"/>
    </xf>
    <xf numFmtId="0" fontId="2" fillId="22" borderId="25" xfId="0" applyFont="1" applyFill="1"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31" fillId="4" borderId="27"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21" fillId="14" borderId="10" xfId="5" applyAlignment="1">
      <alignment horizontal="center" vertical="center" textRotation="90"/>
    </xf>
    <xf numFmtId="0" fontId="0" fillId="5" borderId="2" xfId="0" applyFill="1" applyBorder="1" applyAlignment="1">
      <alignment vertical="center" wrapText="1"/>
    </xf>
    <xf numFmtId="0" fontId="0" fillId="5" borderId="3" xfId="0" applyFill="1" applyBorder="1" applyAlignment="1">
      <alignment vertical="center" wrapText="1"/>
    </xf>
    <xf numFmtId="0" fontId="21" fillId="14" borderId="16" xfId="5" applyBorder="1" applyAlignment="1">
      <alignment horizontal="center" vertical="center" textRotation="90"/>
    </xf>
    <xf numFmtId="0" fontId="21" fillId="14" borderId="17" xfId="5" applyBorder="1" applyAlignment="1">
      <alignment horizontal="center" vertical="center" textRotation="90"/>
    </xf>
    <xf numFmtId="0" fontId="21" fillId="14" borderId="18" xfId="5" applyBorder="1" applyAlignment="1">
      <alignment horizontal="center" vertical="center" textRotation="90"/>
    </xf>
    <xf numFmtId="0" fontId="22" fillId="0" borderId="7" xfId="6" applyFill="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9"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horizontal="left" vertical="center" wrapText="1"/>
    </xf>
    <xf numFmtId="0" fontId="37" fillId="0" borderId="30"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cellXfs>
  <cellStyles count="8">
    <cellStyle name="Accent1" xfId="1" builtinId="29"/>
    <cellStyle name="Accent3" xfId="4" builtinId="37"/>
    <cellStyle name="Accent4" xfId="2" builtinId="41"/>
    <cellStyle name="Hyperlink" xfId="3" builtinId="8"/>
    <cellStyle name="Input" xfId="5" builtinId="20"/>
    <cellStyle name="Normal" xfId="0" builtinId="0"/>
    <cellStyle name="Percent" xfId="7" builtinId="5"/>
    <cellStyle name="Warning Text" xfId="6" builtinId="11"/>
  </cellStyles>
  <dxfs count="4">
    <dxf>
      <fill>
        <patternFill>
          <bgColor rgb="FF00B050"/>
        </patternFill>
      </fill>
    </dxf>
    <dxf>
      <fill>
        <patternFill>
          <bgColor theme="7" tint="-0.24994659260841701"/>
        </patternFill>
      </fill>
    </dxf>
    <dxf>
      <fill>
        <patternFill>
          <bgColor rgb="FF92D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'Buffet Value'!$A$19</c:f>
              <c:strCache>
                <c:ptCount val="1"/>
                <c:pt idx="0">
                  <c:v>Historical Earnings Growth</c:v>
                </c:pt>
              </c:strCache>
            </c:strRef>
          </c:tx>
          <c:invertIfNegative val="0"/>
          <c:cat>
            <c:strLit>
              <c:ptCount val="1"/>
              <c:pt idx="0">
                <c:v>Historical Basis</c:v>
              </c:pt>
            </c:strLit>
          </c:cat>
          <c:val>
            <c:numRef>
              <c:f>'Buffet Value'!$B$19</c:f>
              <c:numCache>
                <c:formatCode>0</c:formatCode>
                <c:ptCount val="1"/>
                <c:pt idx="0">
                  <c:v>846.88031387023523</c:v>
                </c:pt>
              </c:numCache>
            </c:numRef>
          </c:val>
        </c:ser>
        <c:ser>
          <c:idx val="2"/>
          <c:order val="1"/>
          <c:tx>
            <c:strRef>
              <c:f>'Earnings Value'!$A$16</c:f>
              <c:strCache>
                <c:ptCount val="1"/>
                <c:pt idx="0">
                  <c:v>PE Valuation</c:v>
                </c:pt>
              </c:strCache>
            </c:strRef>
          </c:tx>
          <c:invertIfNegative val="0"/>
          <c:cat>
            <c:strLit>
              <c:ptCount val="1"/>
              <c:pt idx="0">
                <c:v>Historical Basis</c:v>
              </c:pt>
            </c:strLit>
          </c:cat>
          <c:val>
            <c:numRef>
              <c:f>'Earnings Value'!$B$16</c:f>
              <c:numCache>
                <c:formatCode>0</c:formatCode>
                <c:ptCount val="1"/>
                <c:pt idx="0">
                  <c:v>386.16151131869526</c:v>
                </c:pt>
              </c:numCache>
            </c:numRef>
          </c:val>
        </c:ser>
        <c:ser>
          <c:idx val="3"/>
          <c:order val="2"/>
          <c:tx>
            <c:strRef>
              <c:f>'Earnings Value'!$A$17</c:f>
              <c:strCache>
                <c:ptCount val="1"/>
                <c:pt idx="0">
                  <c:v>Economic Valuation</c:v>
                </c:pt>
              </c:strCache>
            </c:strRef>
          </c:tx>
          <c:invertIfNegative val="0"/>
          <c:cat>
            <c:strLit>
              <c:ptCount val="1"/>
              <c:pt idx="0">
                <c:v>Historical Basis</c:v>
              </c:pt>
            </c:strLit>
          </c:cat>
          <c:val>
            <c:numRef>
              <c:f>'Earnings Value'!$B$17</c:f>
              <c:numCache>
                <c:formatCode>0</c:formatCode>
                <c:ptCount val="1"/>
                <c:pt idx="0">
                  <c:v>569.7190048847757</c:v>
                </c:pt>
              </c:numCache>
            </c:numRef>
          </c:val>
        </c:ser>
        <c:ser>
          <c:idx val="4"/>
          <c:order val="3"/>
          <c:tx>
            <c:strRef>
              <c:f>'Earnings Value'!$A$18</c:f>
              <c:strCache>
                <c:ptCount val="1"/>
                <c:pt idx="0">
                  <c:v>Graham Number (Defensive)</c:v>
                </c:pt>
              </c:strCache>
            </c:strRef>
          </c:tx>
          <c:invertIfNegative val="0"/>
          <c:cat>
            <c:strLit>
              <c:ptCount val="1"/>
              <c:pt idx="0">
                <c:v>Historical Basis</c:v>
              </c:pt>
            </c:strLit>
          </c:cat>
          <c:val>
            <c:numRef>
              <c:f>'Earnings Value'!$B$18</c:f>
              <c:numCache>
                <c:formatCode>0</c:formatCode>
                <c:ptCount val="1"/>
                <c:pt idx="0">
                  <c:v>369.49324341466757</c:v>
                </c:pt>
              </c:numCache>
            </c:numRef>
          </c:val>
        </c:ser>
        <c:dLbls>
          <c:dLblPos val="outEnd"/>
          <c:showLegendKey val="0"/>
          <c:showVal val="1"/>
          <c:showCatName val="0"/>
          <c:showSerName val="0"/>
          <c:showPercent val="0"/>
          <c:showBubbleSize val="0"/>
        </c:dLbls>
        <c:gapWidth val="150"/>
        <c:axId val="113903104"/>
        <c:axId val="75480384"/>
      </c:barChart>
      <c:catAx>
        <c:axId val="113903104"/>
        <c:scaling>
          <c:orientation val="minMax"/>
        </c:scaling>
        <c:delete val="0"/>
        <c:axPos val="l"/>
        <c:majorGridlines/>
        <c:majorTickMark val="out"/>
        <c:minorTickMark val="none"/>
        <c:tickLblPos val="nextTo"/>
        <c:crossAx val="75480384"/>
        <c:crosses val="autoZero"/>
        <c:auto val="1"/>
        <c:lblAlgn val="ctr"/>
        <c:lblOffset val="100"/>
        <c:noMultiLvlLbl val="0"/>
      </c:catAx>
      <c:valAx>
        <c:axId val="75480384"/>
        <c:scaling>
          <c:orientation val="minMax"/>
        </c:scaling>
        <c:delete val="1"/>
        <c:axPos val="b"/>
        <c:numFmt formatCode="0" sourceLinked="1"/>
        <c:majorTickMark val="out"/>
        <c:minorTickMark val="none"/>
        <c:tickLblPos val="nextTo"/>
        <c:crossAx val="113903104"/>
        <c:crosses val="autoZero"/>
        <c:crossBetween val="between"/>
      </c:valAx>
      <c:spPr>
        <a:noFill/>
        <a:ln w="25400">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'FCF Valaution'!$C$10</c:f>
              <c:strCache>
                <c:ptCount val="1"/>
                <c:pt idx="0">
                  <c:v>Per Share DCF</c:v>
                </c:pt>
              </c:strCache>
            </c:strRef>
          </c:tx>
          <c:spPr>
            <a:solidFill>
              <a:srgbClr val="FFC000"/>
            </a:solidFill>
          </c:spPr>
          <c:invertIfNegative val="0"/>
          <c:dLbls>
            <c:dLblPos val="outEnd"/>
            <c:showLegendKey val="0"/>
            <c:showVal val="1"/>
            <c:showCatName val="0"/>
            <c:showSerName val="0"/>
            <c:showPercent val="0"/>
            <c:showBubbleSize val="0"/>
            <c:showLeaderLines val="0"/>
          </c:dLbls>
          <c:cat>
            <c:strLit>
              <c:ptCount val="1"/>
              <c:pt idx="0">
                <c:v>DCF Valuation</c:v>
              </c:pt>
            </c:strLit>
          </c:cat>
          <c:val>
            <c:numRef>
              <c:f>'FCF Valaution'!$D$10</c:f>
              <c:numCache>
                <c:formatCode>0</c:formatCode>
                <c:ptCount val="1"/>
                <c:pt idx="0">
                  <c:v>2403.956093675778</c:v>
                </c:pt>
              </c:numCache>
            </c:numRef>
          </c:val>
        </c:ser>
        <c:dLbls>
          <c:showLegendKey val="0"/>
          <c:showVal val="0"/>
          <c:showCatName val="0"/>
          <c:showSerName val="0"/>
          <c:showPercent val="0"/>
          <c:showBubbleSize val="0"/>
        </c:dLbls>
        <c:gapWidth val="150"/>
        <c:axId val="113905152"/>
        <c:axId val="113206976"/>
      </c:barChart>
      <c:catAx>
        <c:axId val="113905152"/>
        <c:scaling>
          <c:orientation val="minMax"/>
        </c:scaling>
        <c:delete val="0"/>
        <c:axPos val="l"/>
        <c:majorTickMark val="out"/>
        <c:minorTickMark val="none"/>
        <c:tickLblPos val="nextTo"/>
        <c:crossAx val="113206976"/>
        <c:crosses val="autoZero"/>
        <c:auto val="1"/>
        <c:lblAlgn val="ctr"/>
        <c:lblOffset val="100"/>
        <c:noMultiLvlLbl val="0"/>
      </c:catAx>
      <c:valAx>
        <c:axId val="113206976"/>
        <c:scaling>
          <c:orientation val="minMax"/>
        </c:scaling>
        <c:delete val="1"/>
        <c:axPos val="b"/>
        <c:numFmt formatCode="0" sourceLinked="1"/>
        <c:majorTickMark val="out"/>
        <c:minorTickMark val="none"/>
        <c:tickLblPos val="nextTo"/>
        <c:crossAx val="113905152"/>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'Buffet Value'!$A$20</c:f>
              <c:strCache>
                <c:ptCount val="1"/>
                <c:pt idx="0">
                  <c:v>Sustainable Earnings Growth</c:v>
                </c:pt>
              </c:strCache>
            </c:strRef>
          </c:tx>
          <c:spPr>
            <a:solidFill>
              <a:schemeClr val="accent6">
                <a:lumMod val="75000"/>
              </a:schemeClr>
            </a:solidFill>
          </c:spPr>
          <c:invertIfNegative val="0"/>
          <c:cat>
            <c:strLit>
              <c:ptCount val="1"/>
              <c:pt idx="0">
                <c:v>Growth Basis</c:v>
              </c:pt>
            </c:strLit>
          </c:cat>
          <c:val>
            <c:numRef>
              <c:f>'Buffet Value'!$B$20</c:f>
              <c:numCache>
                <c:formatCode>0</c:formatCode>
                <c:ptCount val="1"/>
                <c:pt idx="0">
                  <c:v>661.43695092100427</c:v>
                </c:pt>
              </c:numCache>
            </c:numRef>
          </c:val>
        </c:ser>
        <c:ser>
          <c:idx val="1"/>
          <c:order val="1"/>
          <c:tx>
            <c:strRef>
              <c:f>'Earnings Value'!$A$19</c:f>
              <c:strCache>
                <c:ptCount val="1"/>
                <c:pt idx="0">
                  <c:v>Graham Instrinic Value</c:v>
                </c:pt>
              </c:strCache>
            </c:strRef>
          </c:tx>
          <c:spPr>
            <a:solidFill>
              <a:schemeClr val="accent4">
                <a:lumMod val="60000"/>
                <a:lumOff val="40000"/>
              </a:schemeClr>
            </a:solidFill>
          </c:spPr>
          <c:invertIfNegative val="0"/>
          <c:cat>
            <c:strLit>
              <c:ptCount val="1"/>
              <c:pt idx="0">
                <c:v>Growth Basis</c:v>
              </c:pt>
            </c:strLit>
          </c:cat>
          <c:val>
            <c:numRef>
              <c:f>'Earnings Value'!$B$19</c:f>
              <c:numCache>
                <c:formatCode>0</c:formatCode>
                <c:ptCount val="1"/>
                <c:pt idx="0">
                  <c:v>839.76581320015941</c:v>
                </c:pt>
              </c:numCache>
            </c:numRef>
          </c:val>
        </c:ser>
        <c:dLbls>
          <c:dLblPos val="outEnd"/>
          <c:showLegendKey val="0"/>
          <c:showVal val="1"/>
          <c:showCatName val="0"/>
          <c:showSerName val="0"/>
          <c:showPercent val="0"/>
          <c:showBubbleSize val="0"/>
        </c:dLbls>
        <c:gapWidth val="150"/>
        <c:axId val="113955328"/>
        <c:axId val="113208704"/>
      </c:barChart>
      <c:catAx>
        <c:axId val="113955328"/>
        <c:scaling>
          <c:orientation val="minMax"/>
        </c:scaling>
        <c:delete val="0"/>
        <c:axPos val="l"/>
        <c:majorTickMark val="out"/>
        <c:minorTickMark val="none"/>
        <c:tickLblPos val="nextTo"/>
        <c:crossAx val="113208704"/>
        <c:crosses val="autoZero"/>
        <c:auto val="1"/>
        <c:lblAlgn val="ctr"/>
        <c:lblOffset val="100"/>
        <c:noMultiLvlLbl val="0"/>
      </c:catAx>
      <c:valAx>
        <c:axId val="113208704"/>
        <c:scaling>
          <c:orientation val="minMax"/>
        </c:scaling>
        <c:delete val="1"/>
        <c:axPos val="b"/>
        <c:numFmt formatCode="0" sourceLinked="1"/>
        <c:majorTickMark val="out"/>
        <c:minorTickMark val="none"/>
        <c:tickLblPos val="nextTo"/>
        <c:crossAx val="11395532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'Altman Z Score'!$F$4</c:f>
              <c:strCache>
                <c:ptCount val="1"/>
                <c:pt idx="0">
                  <c:v>Altman Score</c:v>
                </c:pt>
              </c:strCache>
            </c:strRef>
          </c:tx>
          <c:dPt>
            <c:idx val="4"/>
            <c:bubble3D val="0"/>
            <c:spPr>
              <a:noFill/>
            </c:spPr>
          </c:dPt>
          <c:val>
            <c:numRef>
              <c:f>'Altman Z Score'!$G$5:$G$9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 Z Score'!$H$4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 Z Score'!$I$5:$I$7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'Piotroski Score'!$G$11</c:f>
              <c:strCache>
                <c:ptCount val="1"/>
                <c:pt idx="0">
                  <c:v>Piotroski Score</c:v>
                </c:pt>
              </c:strCache>
            </c:strRef>
          </c:tx>
          <c:dPt>
            <c:idx val="4"/>
            <c:bubble3D val="0"/>
            <c:spPr>
              <a:noFill/>
            </c:spPr>
          </c:dPt>
          <c:val>
            <c:numRef>
              <c:f>'Piotroski Score'!$H$12:$H$16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 Score'!$I$11</c:f>
              <c:strCache>
                <c:ptCount val="1"/>
                <c:pt idx="0">
                  <c:v>Pointer</c:v>
                </c:pt>
              </c:strCache>
            </c:strRef>
          </c:tx>
          <c:explosion val="1"/>
          <c:dPt>
            <c:idx val="0"/>
            <c:bubble3D val="0"/>
            <c:spPr>
              <a:noFill/>
            </c:spPr>
          </c:dPt>
          <c:dPt>
            <c:idx val="1"/>
            <c:bubble3D val="0"/>
            <c:spPr>
              <a:solidFill>
                <a:schemeClr val="tx1"/>
              </a:solidFill>
            </c:spPr>
          </c:dPt>
          <c:dPt>
            <c:idx val="2"/>
            <c:bubble3D val="0"/>
            <c:spPr>
              <a:noFill/>
            </c:spPr>
          </c:dPt>
          <c:val>
            <c:numRef>
              <c:f>'Piotroski Score'!$J$12:$J$14</c:f>
              <c:numCache>
                <c:formatCode>General</c:formatCode>
                <c:ptCount val="3"/>
                <c:pt idx="0" formatCode="0">
                  <c:v>77.777777777777786</c:v>
                </c:pt>
                <c:pt idx="1">
                  <c:v>1</c:v>
                </c:pt>
                <c:pt idx="2">
                  <c:v>121.22222222222221</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'ROE-DUPONT'!$A$3</c:f>
              <c:strCache>
                <c:ptCount val="1"/>
                <c:pt idx="0">
                  <c:v>Asset Turnover</c:v>
                </c:pt>
              </c:strCache>
            </c:strRef>
          </c:tx>
          <c:spPr>
            <a:solidFill>
              <a:schemeClr val="accent2"/>
            </a:solidFill>
          </c:spPr>
          <c:invertIfNegative val="0"/>
          <c:cat>
            <c:strRef>
              <c:f>'ROE-DUPONT'!$B$1:$F$1</c:f>
              <c:strCache>
                <c:ptCount val="5"/>
                <c:pt idx="0">
                  <c:v>CY-4</c:v>
                </c:pt>
                <c:pt idx="1">
                  <c:v>CY-3</c:v>
                </c:pt>
                <c:pt idx="2">
                  <c:v>CY-2</c:v>
                </c:pt>
                <c:pt idx="3">
                  <c:v>CY-1</c:v>
                </c:pt>
                <c:pt idx="4">
                  <c:v>CY</c:v>
                </c:pt>
              </c:strCache>
            </c:strRef>
          </c:cat>
          <c:val>
            <c:numRef>
              <c:f>'ROE-DUPONT'!$B$3:$F$3</c:f>
              <c:numCache>
                <c:formatCode>0.00</c:formatCode>
                <c:ptCount val="5"/>
                <c:pt idx="0">
                  <c:v>1.7310118378985571</c:v>
                </c:pt>
                <c:pt idx="1">
                  <c:v>1.7103379056540651</c:v>
                </c:pt>
                <c:pt idx="2">
                  <c:v>1.7705526913908753</c:v>
                </c:pt>
                <c:pt idx="3">
                  <c:v>2.0810903041419615</c:v>
                </c:pt>
                <c:pt idx="4">
                  <c:v>2.4920772003604688</c:v>
                </c:pt>
              </c:numCache>
            </c:numRef>
          </c:val>
        </c:ser>
        <c:ser>
          <c:idx val="2"/>
          <c:order val="2"/>
          <c:tx>
            <c:strRef>
              <c:f>'ROE-DUPONT'!$A$4</c:f>
              <c:strCache>
                <c:ptCount val="1"/>
                <c:pt idx="0">
                  <c:v>Equity Multiplier</c:v>
                </c:pt>
              </c:strCache>
            </c:strRef>
          </c:tx>
          <c:spPr>
            <a:solidFill>
              <a:schemeClr val="accent3"/>
            </a:solidFill>
          </c:spPr>
          <c:invertIfNegative val="0"/>
          <c:cat>
            <c:strRef>
              <c:f>'ROE-DUPONT'!$B$1:$F$1</c:f>
              <c:strCache>
                <c:ptCount val="5"/>
                <c:pt idx="0">
                  <c:v>CY-4</c:v>
                </c:pt>
                <c:pt idx="1">
                  <c:v>CY-3</c:v>
                </c:pt>
                <c:pt idx="2">
                  <c:v>CY-2</c:v>
                </c:pt>
                <c:pt idx="3">
                  <c:v>CY-1</c:v>
                </c:pt>
                <c:pt idx="4">
                  <c:v>CY</c:v>
                </c:pt>
              </c:strCache>
            </c:strRef>
          </c:cat>
          <c:val>
            <c:numRef>
              <c:f>'ROE-DUPONT'!$B$4:$F$4</c:f>
              <c:numCache>
                <c:formatCode>0.00</c:formatCode>
                <c:ptCount val="5"/>
                <c:pt idx="0">
                  <c:v>1.3075358716529206</c:v>
                </c:pt>
                <c:pt idx="1">
                  <c:v>1.3396378630333452</c:v>
                </c:pt>
                <c:pt idx="2">
                  <c:v>1.2960913924414426</c:v>
                </c:pt>
                <c:pt idx="3">
                  <c:v>1.305943958553841</c:v>
                </c:pt>
                <c:pt idx="4">
                  <c:v>1.1890878242621779</c:v>
                </c:pt>
              </c:numCache>
            </c:numRef>
          </c:val>
        </c:ser>
        <c:dLbls>
          <c:showLegendKey val="0"/>
          <c:showVal val="0"/>
          <c:showCatName val="0"/>
          <c:showSerName val="0"/>
          <c:showPercent val="0"/>
          <c:showBubbleSize val="0"/>
        </c:dLbls>
        <c:gapWidth val="150"/>
        <c:axId val="113958400"/>
        <c:axId val="114749952"/>
      </c:barChart>
      <c:lineChart>
        <c:grouping val="standard"/>
        <c:varyColors val="0"/>
        <c:ser>
          <c:idx val="0"/>
          <c:order val="0"/>
          <c:tx>
            <c:strRef>
              <c:f>'ROE-DUPONT'!$A$2</c:f>
              <c:strCache>
                <c:ptCount val="1"/>
                <c:pt idx="0">
                  <c:v>NPM</c:v>
                </c:pt>
              </c:strCache>
            </c:strRef>
          </c:tx>
          <c:spPr>
            <a:ln>
              <a:solidFill>
                <a:schemeClr val="tx1"/>
              </a:solidFill>
            </a:ln>
          </c:spPr>
          <c:marker>
            <c:spPr>
              <a:solidFill>
                <a:schemeClr val="tx1"/>
              </a:solidFill>
              <a:ln>
                <a:solidFill>
                  <a:schemeClr val="tx1"/>
                </a:solidFill>
              </a:ln>
            </c:spPr>
          </c:marker>
          <c:cat>
            <c:strRef>
              <c:f>'ROE-DUPONT'!$B$1:$F$1</c:f>
              <c:strCache>
                <c:ptCount val="5"/>
                <c:pt idx="0">
                  <c:v>CY-4</c:v>
                </c:pt>
                <c:pt idx="1">
                  <c:v>CY-3</c:v>
                </c:pt>
                <c:pt idx="2">
                  <c:v>CY-2</c:v>
                </c:pt>
                <c:pt idx="3">
                  <c:v>CY-1</c:v>
                </c:pt>
                <c:pt idx="4">
                  <c:v>CY</c:v>
                </c:pt>
              </c:strCache>
            </c:strRef>
          </c:cat>
          <c:val>
            <c:numRef>
              <c:f>'ROE-DUPONT'!$B$2:$F$2</c:f>
              <c:numCache>
                <c:formatCode>0%</c:formatCode>
                <c:ptCount val="5"/>
                <c:pt idx="0">
                  <c:v>9.7888484001397685E-2</c:v>
                </c:pt>
                <c:pt idx="1">
                  <c:v>0.10383005359727709</c:v>
                </c:pt>
                <c:pt idx="2">
                  <c:v>0.1003162278092614</c:v>
                </c:pt>
                <c:pt idx="3">
                  <c:v>9.4717855166335296E-2</c:v>
                </c:pt>
                <c:pt idx="4">
                  <c:v>7.8214226521418115E-2</c:v>
                </c:pt>
              </c:numCache>
            </c:numRef>
          </c:val>
          <c:smooth val="0"/>
        </c:ser>
        <c:ser>
          <c:idx val="3"/>
          <c:order val="3"/>
          <c:tx>
            <c:strRef>
              <c:f>'ROE-DUPONT'!$A$5</c:f>
              <c:strCache>
                <c:ptCount val="1"/>
                <c:pt idx="0">
                  <c:v>ROE</c:v>
                </c:pt>
              </c:strCache>
            </c:strRef>
          </c:tx>
          <c:spPr>
            <a:ln>
              <a:solidFill>
                <a:srgbClr val="7030A0"/>
              </a:solidFill>
            </a:ln>
          </c:spPr>
          <c:marker>
            <c:spPr>
              <a:solidFill>
                <a:srgbClr val="7030A0"/>
              </a:solidFill>
              <a:ln>
                <a:solidFill>
                  <a:srgbClr val="7030A0"/>
                </a:solidFill>
              </a:ln>
            </c:spPr>
          </c:marker>
          <c:cat>
            <c:strRef>
              <c:f>'ROE-DUPONT'!$B$1:$F$1</c:f>
              <c:strCache>
                <c:ptCount val="5"/>
                <c:pt idx="0">
                  <c:v>CY-4</c:v>
                </c:pt>
                <c:pt idx="1">
                  <c:v>CY-3</c:v>
                </c:pt>
                <c:pt idx="2">
                  <c:v>CY-2</c:v>
                </c:pt>
                <c:pt idx="3">
                  <c:v>CY-1</c:v>
                </c:pt>
                <c:pt idx="4">
                  <c:v>CY</c:v>
                </c:pt>
              </c:strCache>
            </c:strRef>
          </c:cat>
          <c:val>
            <c:numRef>
              <c:f>'ROE-DUPONT'!$B$5:$F$5</c:f>
              <c:numCache>
                <c:formatCode>0%</c:formatCode>
                <c:ptCount val="5"/>
                <c:pt idx="0">
                  <c:v>0.22155688622754491</c:v>
                </c:pt>
                <c:pt idx="1">
                  <c:v>0.23789888849049839</c:v>
                </c:pt>
                <c:pt idx="2">
                  <c:v>0.23020548929443882</c:v>
                </c:pt>
                <c:pt idx="3">
                  <c:v>0.2574229847919336</c:v>
                </c:pt>
                <c:pt idx="4">
                  <c:v>0.23177211233647355</c:v>
                </c:pt>
              </c:numCache>
            </c:numRef>
          </c:val>
          <c:smooth val="0"/>
        </c:ser>
        <c:dLbls>
          <c:showLegendKey val="0"/>
          <c:showVal val="0"/>
          <c:showCatName val="0"/>
          <c:showSerName val="0"/>
          <c:showPercent val="0"/>
          <c:showBubbleSize val="0"/>
        </c:dLbls>
        <c:marker val="1"/>
        <c:smooth val="0"/>
        <c:axId val="115118592"/>
        <c:axId val="114750528"/>
      </c:lineChart>
      <c:catAx>
        <c:axId val="113958400"/>
        <c:scaling>
          <c:orientation val="minMax"/>
        </c:scaling>
        <c:delete val="0"/>
        <c:axPos val="b"/>
        <c:majorTickMark val="out"/>
        <c:minorTickMark val="none"/>
        <c:tickLblPos val="nextTo"/>
        <c:crossAx val="114749952"/>
        <c:crosses val="autoZero"/>
        <c:auto val="1"/>
        <c:lblAlgn val="ctr"/>
        <c:lblOffset val="100"/>
        <c:noMultiLvlLbl val="0"/>
      </c:catAx>
      <c:valAx>
        <c:axId val="114749952"/>
        <c:scaling>
          <c:orientation val="minMax"/>
        </c:scaling>
        <c:delete val="0"/>
        <c:axPos val="l"/>
        <c:numFmt formatCode="0.00" sourceLinked="1"/>
        <c:majorTickMark val="out"/>
        <c:minorTickMark val="none"/>
        <c:tickLblPos val="nextTo"/>
        <c:crossAx val="113958400"/>
        <c:crosses val="autoZero"/>
        <c:crossBetween val="between"/>
      </c:valAx>
      <c:valAx>
        <c:axId val="114750528"/>
        <c:scaling>
          <c:orientation val="minMax"/>
        </c:scaling>
        <c:delete val="0"/>
        <c:axPos val="r"/>
        <c:numFmt formatCode="0%" sourceLinked="1"/>
        <c:majorTickMark val="out"/>
        <c:minorTickMark val="none"/>
        <c:tickLblPos val="nextTo"/>
        <c:crossAx val="115118592"/>
        <c:crosses val="max"/>
        <c:crossBetween val="between"/>
      </c:valAx>
      <c:catAx>
        <c:axId val="115118592"/>
        <c:scaling>
          <c:orientation val="minMax"/>
        </c:scaling>
        <c:delete val="1"/>
        <c:axPos val="b"/>
        <c:majorTickMark val="out"/>
        <c:minorTickMark val="none"/>
        <c:tickLblPos val="nextTo"/>
        <c:crossAx val="114750528"/>
        <c:crosses val="autoZero"/>
        <c:auto val="1"/>
        <c:lblAlgn val="ctr"/>
        <c:lblOffset val="100"/>
        <c:noMultiLvlLbl val="0"/>
      </c:cat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1050"/>
            </a:pPr>
            <a:r>
              <a:rPr lang="en-US" sz="1050"/>
              <a:t>MICAP Analysis (Years)</a:t>
            </a:r>
          </a:p>
        </c:rich>
      </c:tx>
      <c:layout/>
      <c:overlay val="0"/>
    </c:title>
    <c:autoTitleDeleted val="0"/>
    <c:plotArea>
      <c:layout/>
      <c:barChart>
        <c:barDir val="bar"/>
        <c:grouping val="clustered"/>
        <c:varyColors val="0"/>
        <c:ser>
          <c:idx val="0"/>
          <c:order val="0"/>
          <c:tx>
            <c:strRef>
              <c:f>MICAP!$A$6:$B$6</c:f>
              <c:strCache>
                <c:ptCount val="1"/>
                <c:pt idx="0">
                  <c:v>MICAP 18</c:v>
                </c:pt>
              </c:strCache>
            </c:strRef>
          </c:tx>
          <c:invertIfNegative val="0"/>
          <c:dLbls>
            <c:dLblPos val="outEnd"/>
            <c:showLegendKey val="0"/>
            <c:showVal val="1"/>
            <c:showCatName val="0"/>
            <c:showSerName val="0"/>
            <c:showPercent val="0"/>
            <c:showBubbleSize val="0"/>
            <c:showLeaderLines val="0"/>
          </c:dLbls>
          <c:cat>
            <c:strRef>
              <c:f>Dashboard!$B$3</c:f>
              <c:strCache>
                <c:ptCount val="1"/>
                <c:pt idx="0">
                  <c:v>Cera Sanitaryware</c:v>
                </c:pt>
              </c:strCache>
            </c:strRef>
          </c:cat>
          <c:val>
            <c:numRef>
              <c:f>MICAP!$B$6</c:f>
              <c:numCache>
                <c:formatCode>General</c:formatCode>
                <c:ptCount val="1"/>
                <c:pt idx="0">
                  <c:v>18</c:v>
                </c:pt>
              </c:numCache>
            </c:numRef>
          </c:val>
        </c:ser>
        <c:dLbls>
          <c:showLegendKey val="0"/>
          <c:showVal val="0"/>
          <c:showCatName val="0"/>
          <c:showSerName val="0"/>
          <c:showPercent val="0"/>
          <c:showBubbleSize val="0"/>
        </c:dLbls>
        <c:gapWidth val="150"/>
        <c:axId val="79155200"/>
        <c:axId val="114752832"/>
      </c:barChart>
      <c:catAx>
        <c:axId val="79155200"/>
        <c:scaling>
          <c:orientation val="minMax"/>
        </c:scaling>
        <c:delete val="0"/>
        <c:axPos val="l"/>
        <c:majorTickMark val="out"/>
        <c:minorTickMark val="none"/>
        <c:tickLblPos val="nextTo"/>
        <c:crossAx val="114752832"/>
        <c:crosses val="autoZero"/>
        <c:auto val="1"/>
        <c:lblAlgn val="ctr"/>
        <c:lblOffset val="100"/>
        <c:noMultiLvlLbl val="0"/>
      </c:catAx>
      <c:valAx>
        <c:axId val="114752832"/>
        <c:scaling>
          <c:orientation val="minMax"/>
        </c:scaling>
        <c:delete val="0"/>
        <c:axPos val="b"/>
        <c:numFmt formatCode="General" sourceLinked="1"/>
        <c:majorTickMark val="out"/>
        <c:minorTickMark val="none"/>
        <c:tickLblPos val="nextTo"/>
        <c:crossAx val="7915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7</xdr:col>
      <xdr:colOff>247650</xdr:colOff>
      <xdr:row>10</xdr:row>
      <xdr:rowOff>904876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5</xdr:row>
      <xdr:rowOff>161925</xdr:rowOff>
    </xdr:from>
    <xdr:to>
      <xdr:col>13</xdr:col>
      <xdr:colOff>66675</xdr:colOff>
      <xdr:row>10</xdr:row>
      <xdr:rowOff>647699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219075</xdr:colOff>
      <xdr:row>10</xdr:row>
      <xdr:rowOff>990601</xdr:rowOff>
    </xdr:from>
    <xdr:to>
      <xdr:col>8</xdr:col>
      <xdr:colOff>561975</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46966</xdr:colOff>
      <xdr:row>1</xdr:row>
      <xdr:rowOff>99495</xdr:rowOff>
    </xdr:from>
    <xdr:to>
      <xdr:col>4</xdr:col>
      <xdr:colOff>238574</xdr:colOff>
      <xdr:row>2</xdr:row>
      <xdr:rowOff>130314</xdr:rowOff>
    </xdr:to>
    <xdr:sp macro="" textlink="">
      <xdr:nvSpPr>
        <xdr:cNvPr id="7" name="Flowchart: Process 6"/>
        <xdr:cNvSpPr/>
      </xdr:nvSpPr>
      <xdr:spPr>
        <a:xfrm rot="19947316">
          <a:off x="6409666" y="299520"/>
          <a:ext cx="801208" cy="230844"/>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8</xdr:col>
      <xdr:colOff>112486</xdr:colOff>
      <xdr:row>6</xdr:row>
      <xdr:rowOff>115843</xdr:rowOff>
    </xdr:from>
    <xdr:to>
      <xdr:col>9</xdr:col>
      <xdr:colOff>364663</xdr:colOff>
      <xdr:row>7</xdr:row>
      <xdr:rowOff>124843</xdr:rowOff>
    </xdr:to>
    <xdr:sp macro="" textlink="">
      <xdr:nvSpPr>
        <xdr:cNvPr id="8" name="Flowchart: Process 7"/>
        <xdr:cNvSpPr/>
      </xdr:nvSpPr>
      <xdr:spPr>
        <a:xfrm rot="19947316">
          <a:off x="9523186" y="1277893"/>
          <a:ext cx="8617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Cashflow</a:t>
          </a:r>
        </a:p>
      </xdr:txBody>
    </xdr:sp>
    <xdr:clientData/>
  </xdr:twoCellAnchor>
  <xdr:twoCellAnchor>
    <xdr:from>
      <xdr:col>2</xdr:col>
      <xdr:colOff>569685</xdr:colOff>
      <xdr:row>10</xdr:row>
      <xdr:rowOff>1096918</xdr:rowOff>
    </xdr:from>
    <xdr:to>
      <xdr:col>4</xdr:col>
      <xdr:colOff>212262</xdr:colOff>
      <xdr:row>10</xdr:row>
      <xdr:rowOff>1296418</xdr:rowOff>
    </xdr:to>
    <xdr:sp macro="" textlink="">
      <xdr:nvSpPr>
        <xdr:cNvPr id="9" name="Flowchart: Process 8"/>
        <xdr:cNvSpPr/>
      </xdr:nvSpPr>
      <xdr:spPr>
        <a:xfrm rot="19947316">
          <a:off x="6322785" y="3020968"/>
          <a:ext cx="8617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twoCellAnchor>
    <xdr:from>
      <xdr:col>0</xdr:col>
      <xdr:colOff>152400</xdr:colOff>
      <xdr:row>12</xdr:row>
      <xdr:rowOff>133350</xdr:rowOff>
    </xdr:from>
    <xdr:to>
      <xdr:col>1</xdr:col>
      <xdr:colOff>2867025</xdr:colOff>
      <xdr:row>27</xdr:row>
      <xdr:rowOff>19050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514350</xdr:colOff>
      <xdr:row>14</xdr:row>
      <xdr:rowOff>152400</xdr:rowOff>
    </xdr:from>
    <xdr:to>
      <xdr:col>1</xdr:col>
      <xdr:colOff>2486025</xdr:colOff>
      <xdr:row>26</xdr:row>
      <xdr:rowOff>163830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200025</xdr:colOff>
      <xdr:row>12</xdr:row>
      <xdr:rowOff>123825</xdr:rowOff>
    </xdr:from>
    <xdr:to>
      <xdr:col>9</xdr:col>
      <xdr:colOff>504825</xdr:colOff>
      <xdr:row>27</xdr:row>
      <xdr:rowOff>9525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600075</xdr:colOff>
      <xdr:row>15</xdr:row>
      <xdr:rowOff>28575</xdr:rowOff>
    </xdr:from>
    <xdr:to>
      <xdr:col>9</xdr:col>
      <xdr:colOff>85725</xdr:colOff>
      <xdr:row>27</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402166</xdr:colOff>
      <xdr:row>13</xdr:row>
      <xdr:rowOff>126999</xdr:rowOff>
    </xdr:from>
    <xdr:to>
      <xdr:col>17</xdr:col>
      <xdr:colOff>63500</xdr:colOff>
      <xdr:row>28</xdr:row>
      <xdr:rowOff>12699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338665</xdr:colOff>
      <xdr:row>30</xdr:row>
      <xdr:rowOff>42333</xdr:rowOff>
    </xdr:from>
    <xdr:to>
      <xdr:col>1</xdr:col>
      <xdr:colOff>3577165</xdr:colOff>
      <xdr:row>38</xdr:row>
      <xdr:rowOff>105834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85724</xdr:colOff>
      <xdr:row>9</xdr:row>
      <xdr:rowOff>9525</xdr:rowOff>
    </xdr:from>
    <xdr:to>
      <xdr:col>10</xdr:col>
      <xdr:colOff>104774</xdr:colOff>
      <xdr:row>10</xdr:row>
      <xdr:rowOff>114300</xdr:rowOff>
    </xdr:to>
    <xdr:sp macro="" textlink="">
      <xdr:nvSpPr>
        <xdr:cNvPr id="2" name="Rounded Rectangular Callout 1"/>
        <xdr:cNvSpPr/>
      </xdr:nvSpPr>
      <xdr:spPr>
        <a:xfrm>
          <a:off x="4924424" y="1466850"/>
          <a:ext cx="4333875" cy="2667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This</a:t>
          </a:r>
          <a:r>
            <a:rPr lang="en-GB" sz="900" baseline="0">
              <a:solidFill>
                <a:srgbClr val="FF0000"/>
              </a:solidFill>
              <a:latin typeface="Arial" panose="020B0604020202020204" pitchFamily="34" charset="0"/>
              <a:cs typeface="Arial" panose="020B0604020202020204" pitchFamily="34" charset="0"/>
            </a:rPr>
            <a:t> is the growth rate based on return on equity and payout ratio of the company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76200</xdr:colOff>
      <xdr:row>17</xdr:row>
      <xdr:rowOff>161925</xdr:rowOff>
    </xdr:from>
    <xdr:to>
      <xdr:col>8</xdr:col>
      <xdr:colOff>419100</xdr:colOff>
      <xdr:row>19</xdr:row>
      <xdr:rowOff>104775</xdr:rowOff>
    </xdr:to>
    <xdr:sp macro="" textlink="">
      <xdr:nvSpPr>
        <xdr:cNvPr id="3" name="Rounded Rectangular Callout 2"/>
        <xdr:cNvSpPr/>
      </xdr:nvSpPr>
      <xdr:spPr>
        <a:xfrm>
          <a:off x="4914900" y="3276600"/>
          <a:ext cx="3429000"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EPS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142874</xdr:colOff>
      <xdr:row>26</xdr:row>
      <xdr:rowOff>133350</xdr:rowOff>
    </xdr:from>
    <xdr:to>
      <xdr:col>9</xdr:col>
      <xdr:colOff>66674</xdr:colOff>
      <xdr:row>28</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66676</xdr:colOff>
      <xdr:row>6</xdr:row>
      <xdr:rowOff>47625</xdr:rowOff>
    </xdr:from>
    <xdr:to>
      <xdr:col>13</xdr:col>
      <xdr:colOff>390526</xdr:colOff>
      <xdr:row>10</xdr:row>
      <xdr:rowOff>85725</xdr:rowOff>
    </xdr:to>
    <xdr:sp macro="" textlink="">
      <xdr:nvSpPr>
        <xdr:cNvPr id="2" name="Rounded Rectangular Callout 1"/>
        <xdr:cNvSpPr/>
      </xdr:nvSpPr>
      <xdr:spPr>
        <a:xfrm>
          <a:off x="4676776" y="1143000"/>
          <a:ext cx="5829300" cy="7715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Discounted cash flow (DCF) analysis uses future free cash flow projections and discounts them with a discount rate to arrive at a present value, which is used to evaluate the potential for investment. If the value arrived at through DCF analysis is higher than the current cost of the investment, the opportunity may be a good one.</a:t>
          </a:r>
          <a:br>
            <a:rPr lang="en-GB" sz="1000">
              <a:solidFill>
                <a:srgbClr val="FF0000"/>
              </a:solidFill>
            </a:rPr>
          </a:br>
          <a:endParaRPr lang="en-GB"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xdr:colOff>
      <xdr:row>16</xdr:row>
      <xdr:rowOff>38100</xdr:rowOff>
    </xdr:from>
    <xdr:to>
      <xdr:col>8</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533400</xdr:colOff>
      <xdr:row>14</xdr:row>
      <xdr:rowOff>76200</xdr:rowOff>
    </xdr:from>
    <xdr:to>
      <xdr:col>5</xdr:col>
      <xdr:colOff>342900</xdr:colOff>
      <xdr:row>17</xdr:row>
      <xdr:rowOff>133350</xdr:rowOff>
    </xdr:to>
    <xdr:sp macro="" textlink="">
      <xdr:nvSpPr>
        <xdr:cNvPr id="2" name="Rounded Rectangular Callout 1"/>
        <xdr:cNvSpPr/>
      </xdr:nvSpPr>
      <xdr:spPr>
        <a:xfrm>
          <a:off x="2943225" y="2619375"/>
          <a:ext cx="4333875" cy="6096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76200</xdr:colOff>
      <xdr:row>12</xdr:row>
      <xdr:rowOff>76200</xdr:rowOff>
    </xdr:to>
    <xdr:pic>
      <xdr:nvPicPr>
        <xdr:cNvPr id="13" name="Picture 12"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715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76200</xdr:colOff>
      <xdr:row>12</xdr:row>
      <xdr:rowOff>76200</xdr:rowOff>
    </xdr:to>
    <xdr:pic>
      <xdr:nvPicPr>
        <xdr:cNvPr id="14" name="Picture 13"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96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76200</xdr:colOff>
      <xdr:row>32</xdr:row>
      <xdr:rowOff>76200</xdr:rowOff>
    </xdr:to>
    <xdr:pic>
      <xdr:nvPicPr>
        <xdr:cNvPr id="15" name="Picture 14"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6764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xdr:col>
      <xdr:colOff>76200</xdr:colOff>
      <xdr:row>17</xdr:row>
      <xdr:rowOff>76200</xdr:rowOff>
    </xdr:to>
    <xdr:pic>
      <xdr:nvPicPr>
        <xdr:cNvPr id="2" name="Picture 1"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572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76200</xdr:colOff>
      <xdr:row>17</xdr:row>
      <xdr:rowOff>76200</xdr:rowOff>
    </xdr:to>
    <xdr:pic>
      <xdr:nvPicPr>
        <xdr:cNvPr id="3" name="Picture 2"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953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ankrich.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ankrich.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nkrich.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tankrich.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tankrich.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tankrich.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8"/>
  <sheetViews>
    <sheetView showGridLines="0" tabSelected="1" zoomScale="90" zoomScaleNormal="90" workbookViewId="0">
      <selection activeCell="B4" sqref="B4"/>
    </sheetView>
  </sheetViews>
  <sheetFormatPr defaultRowHeight="15"/>
  <cols>
    <col min="1" max="1" width="27.85546875" style="35" customWidth="1"/>
    <col min="2" max="2" width="58.42578125" style="38" customWidth="1"/>
    <col min="3" max="16384" width="9.140625" style="35"/>
  </cols>
  <sheetData>
    <row r="1" spans="1:17" ht="15.75">
      <c r="A1" s="179" t="s">
        <v>196</v>
      </c>
      <c r="B1" s="179"/>
      <c r="C1" s="172" t="s">
        <v>197</v>
      </c>
      <c r="D1" s="172"/>
      <c r="E1" s="172"/>
      <c r="F1" s="172"/>
      <c r="G1" s="172"/>
      <c r="H1" s="172"/>
      <c r="I1" s="172"/>
      <c r="J1" s="172"/>
      <c r="K1" s="172"/>
      <c r="L1" s="172"/>
      <c r="M1" s="172"/>
    </row>
    <row r="2" spans="1:17" ht="15.75">
      <c r="A2" s="178" t="s">
        <v>191</v>
      </c>
      <c r="B2" s="178"/>
    </row>
    <row r="3" spans="1:17">
      <c r="A3" s="36" t="s">
        <v>0</v>
      </c>
      <c r="B3" s="53" t="s">
        <v>296</v>
      </c>
    </row>
    <row r="4" spans="1:17">
      <c r="A4" s="36" t="s">
        <v>1</v>
      </c>
      <c r="B4" s="53" t="s">
        <v>297</v>
      </c>
    </row>
    <row r="5" spans="1:17">
      <c r="A5" s="36" t="s">
        <v>190</v>
      </c>
      <c r="B5" s="53">
        <v>2150</v>
      </c>
    </row>
    <row r="6" spans="1:17">
      <c r="A6" s="36" t="s">
        <v>2</v>
      </c>
      <c r="B6" s="53">
        <v>5</v>
      </c>
    </row>
    <row r="7" spans="1:17">
      <c r="A7" s="36" t="s">
        <v>3</v>
      </c>
      <c r="B7" s="137">
        <v>12654874</v>
      </c>
    </row>
    <row r="8" spans="1:17">
      <c r="A8" s="36" t="s">
        <v>4</v>
      </c>
      <c r="B8" s="34">
        <f>(B5*B7)/10^7</f>
        <v>2720.7979099999998</v>
      </c>
    </row>
    <row r="9" spans="1:17">
      <c r="A9" s="36" t="s">
        <v>5</v>
      </c>
      <c r="B9" s="54">
        <v>0.56189999999999996</v>
      </c>
    </row>
    <row r="11" spans="1:17" ht="185.25" customHeight="1">
      <c r="A11" s="36" t="s">
        <v>6</v>
      </c>
      <c r="B11" s="55" t="s">
        <v>298</v>
      </c>
    </row>
    <row r="12" spans="1:17" ht="18" thickBot="1">
      <c r="A12" s="177" t="s">
        <v>198</v>
      </c>
      <c r="B12" s="177"/>
    </row>
    <row r="13" spans="1:17" ht="15.75" thickBot="1">
      <c r="A13" s="168" t="s">
        <v>221</v>
      </c>
      <c r="B13" s="176"/>
      <c r="C13" s="176"/>
      <c r="D13" s="176"/>
      <c r="E13" s="176"/>
      <c r="F13" s="176"/>
      <c r="G13" s="176"/>
      <c r="H13" s="176"/>
      <c r="I13" s="169"/>
      <c r="J13" s="180" t="s">
        <v>262</v>
      </c>
      <c r="K13" s="181"/>
      <c r="L13" s="181"/>
      <c r="M13" s="181"/>
      <c r="N13" s="181"/>
      <c r="O13" s="181"/>
      <c r="P13" s="181"/>
      <c r="Q13" s="182"/>
    </row>
    <row r="23" spans="1:9">
      <c r="A23" s="37" t="s">
        <v>216</v>
      </c>
      <c r="C23" s="173" t="s">
        <v>218</v>
      </c>
      <c r="D23" s="173"/>
      <c r="E23" s="173"/>
    </row>
    <row r="24" spans="1:9">
      <c r="A24" s="39" t="s">
        <v>212</v>
      </c>
      <c r="C24" s="174" t="s">
        <v>219</v>
      </c>
      <c r="D24" s="174"/>
      <c r="E24" s="174"/>
    </row>
    <row r="25" spans="1:9">
      <c r="A25" s="40" t="s">
        <v>215</v>
      </c>
      <c r="C25" s="175" t="s">
        <v>220</v>
      </c>
      <c r="D25" s="175"/>
      <c r="E25" s="175"/>
    </row>
    <row r="28" spans="1:9" ht="15.75" thickBot="1"/>
    <row r="29" spans="1:9" ht="15.75" thickBot="1">
      <c r="A29" s="168" t="s">
        <v>291</v>
      </c>
      <c r="B29" s="169"/>
      <c r="C29" s="168" t="s">
        <v>290</v>
      </c>
      <c r="D29" s="170"/>
      <c r="E29" s="170"/>
      <c r="F29" s="170"/>
      <c r="G29" s="170"/>
      <c r="H29" s="170"/>
      <c r="I29" s="171"/>
    </row>
    <row r="31" spans="1:9">
      <c r="C31" s="164" t="s">
        <v>295</v>
      </c>
      <c r="D31" s="164"/>
      <c r="E31" s="164"/>
      <c r="F31" s="164"/>
      <c r="G31" s="164"/>
      <c r="H31" s="164"/>
      <c r="I31" s="164"/>
    </row>
    <row r="36" spans="3:8">
      <c r="C36" s="165" t="s">
        <v>323</v>
      </c>
      <c r="D36" s="165"/>
      <c r="E36" s="165"/>
      <c r="H36" s="153">
        <f>B8/MICAP!B18</f>
        <v>84.014139570788942</v>
      </c>
    </row>
    <row r="37" spans="3:8">
      <c r="C37" s="166" t="s">
        <v>322</v>
      </c>
      <c r="D37" s="166"/>
      <c r="E37" s="166"/>
    </row>
    <row r="38" spans="3:8">
      <c r="C38" s="167" t="s">
        <v>321</v>
      </c>
      <c r="D38" s="167"/>
      <c r="E38" s="167"/>
    </row>
  </sheetData>
  <mergeCells count="15">
    <mergeCell ref="C1:M1"/>
    <mergeCell ref="C23:E23"/>
    <mergeCell ref="C24:E24"/>
    <mergeCell ref="C25:E25"/>
    <mergeCell ref="A13:I13"/>
    <mergeCell ref="A12:B12"/>
    <mergeCell ref="A2:B2"/>
    <mergeCell ref="A1:B1"/>
    <mergeCell ref="J13:Q13"/>
    <mergeCell ref="C31:I31"/>
    <mergeCell ref="C36:E36"/>
    <mergeCell ref="C37:E37"/>
    <mergeCell ref="C38:E38"/>
    <mergeCell ref="A29:B29"/>
    <mergeCell ref="C29:I29"/>
  </mergeCells>
  <conditionalFormatting sqref="H36">
    <cfRule type="cellIs" dxfId="3" priority="1" operator="greaterThan">
      <formula>15</formula>
    </cfRule>
    <cfRule type="cellIs" dxfId="2" priority="2" operator="between">
      <formula>11</formula>
      <formula>15</formula>
    </cfRule>
    <cfRule type="cellIs" dxfId="1" priority="3" operator="between">
      <formula>0</formula>
      <formula>10</formula>
    </cfRule>
  </conditionalFormatting>
  <hyperlinks>
    <hyperlink ref="A1" r:id="rId1"/>
  </hyperlinks>
  <pageMargins left="0.70866141732283472" right="0.70866141732283472" top="0.74803149606299213" bottom="0.74803149606299213" header="0.31496062992125984" footer="0.31496062992125984"/>
  <pageSetup paperSize="9" scale="56" orientation="landscape" r:id="rId2"/>
  <headerFooter>
    <oddHeader xml:space="preserve">&amp;C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H42"/>
  <sheetViews>
    <sheetView showGridLines="0" topLeftCell="A7" workbookViewId="0">
      <selection activeCell="B1" sqref="B1:G1"/>
    </sheetView>
  </sheetViews>
  <sheetFormatPr defaultRowHeight="15"/>
  <cols>
    <col min="2" max="2" width="20.5703125" customWidth="1"/>
    <col min="3" max="5" width="10.140625" bestFit="1" customWidth="1"/>
  </cols>
  <sheetData>
    <row r="1" spans="2:8">
      <c r="B1" s="3"/>
      <c r="C1" s="9" t="s">
        <v>230</v>
      </c>
      <c r="D1" s="9" t="s">
        <v>231</v>
      </c>
      <c r="E1" s="9" t="s">
        <v>232</v>
      </c>
      <c r="F1" s="9" t="s">
        <v>233</v>
      </c>
      <c r="G1" s="9" t="s">
        <v>234</v>
      </c>
    </row>
    <row r="2" spans="2:8" ht="15" customHeight="1">
      <c r="B2" s="8" t="s">
        <v>7</v>
      </c>
      <c r="C2" s="6"/>
      <c r="D2" s="7"/>
      <c r="E2" s="7"/>
      <c r="F2" s="7"/>
      <c r="G2" s="7"/>
    </row>
    <row r="3" spans="2:8">
      <c r="B3" s="60" t="s">
        <v>285</v>
      </c>
      <c r="C3" s="4">
        <v>6.33</v>
      </c>
      <c r="D3" s="4">
        <v>6.33</v>
      </c>
      <c r="E3" s="4">
        <v>6.33</v>
      </c>
      <c r="F3" s="4">
        <v>6.33</v>
      </c>
      <c r="G3" s="4">
        <v>3.14</v>
      </c>
      <c r="H3" s="228" t="s">
        <v>252</v>
      </c>
    </row>
    <row r="4" spans="2:8">
      <c r="B4" s="20" t="s">
        <v>8</v>
      </c>
      <c r="C4" s="4">
        <v>6.33</v>
      </c>
      <c r="D4" s="4">
        <v>6.33</v>
      </c>
      <c r="E4" s="4">
        <v>6.33</v>
      </c>
      <c r="F4" s="4">
        <v>6.33</v>
      </c>
      <c r="G4" s="4">
        <v>3.14</v>
      </c>
      <c r="H4" s="228"/>
    </row>
    <row r="5" spans="2:8" ht="30">
      <c r="B5" s="20" t="s">
        <v>9</v>
      </c>
      <c r="C5" s="4">
        <v>0</v>
      </c>
      <c r="D5" s="4">
        <v>0</v>
      </c>
      <c r="E5" s="4">
        <v>0</v>
      </c>
      <c r="F5" s="4">
        <v>0</v>
      </c>
      <c r="G5" s="4">
        <v>0</v>
      </c>
      <c r="H5" s="228"/>
    </row>
    <row r="6" spans="2:8" ht="30">
      <c r="B6" s="20" t="s">
        <v>10</v>
      </c>
      <c r="C6" s="4">
        <v>0</v>
      </c>
      <c r="D6" s="4">
        <v>0</v>
      </c>
      <c r="E6" s="4">
        <v>0</v>
      </c>
      <c r="F6" s="4">
        <v>0</v>
      </c>
      <c r="G6" s="4">
        <v>0</v>
      </c>
      <c r="H6" s="228"/>
    </row>
    <row r="7" spans="2:8">
      <c r="B7" s="20" t="s">
        <v>11</v>
      </c>
      <c r="C7" s="4">
        <v>217.64</v>
      </c>
      <c r="D7" s="4">
        <v>173.18</v>
      </c>
      <c r="E7" s="4">
        <v>132.85</v>
      </c>
      <c r="F7" s="4">
        <v>105.23</v>
      </c>
      <c r="G7" s="4">
        <v>85.37</v>
      </c>
      <c r="H7" s="228"/>
    </row>
    <row r="8" spans="2:8">
      <c r="B8" s="20" t="s">
        <v>12</v>
      </c>
      <c r="C8" s="4">
        <v>223.97</v>
      </c>
      <c r="D8" s="4">
        <v>179.51</v>
      </c>
      <c r="E8" s="4">
        <v>139.18</v>
      </c>
      <c r="F8" s="4">
        <v>111.56</v>
      </c>
      <c r="G8" s="4">
        <v>88.51</v>
      </c>
      <c r="H8" s="228"/>
    </row>
    <row r="9" spans="2:8">
      <c r="B9" s="20" t="s">
        <v>13</v>
      </c>
      <c r="C9" s="4">
        <v>42.36</v>
      </c>
      <c r="D9" s="4">
        <v>54.94</v>
      </c>
      <c r="E9" s="4">
        <v>41.21</v>
      </c>
      <c r="F9" s="4">
        <v>37.65</v>
      </c>
      <c r="G9" s="4">
        <v>25.64</v>
      </c>
      <c r="H9" s="228"/>
    </row>
    <row r="10" spans="2:8">
      <c r="B10" s="20" t="s">
        <v>14</v>
      </c>
      <c r="C10" s="4">
        <v>0</v>
      </c>
      <c r="D10" s="4">
        <v>0</v>
      </c>
      <c r="E10" s="4">
        <v>0</v>
      </c>
      <c r="F10" s="4">
        <v>0.24</v>
      </c>
      <c r="G10" s="4">
        <v>1.58</v>
      </c>
      <c r="H10" s="228"/>
    </row>
    <row r="11" spans="2:8">
      <c r="B11" s="20" t="s">
        <v>15</v>
      </c>
      <c r="C11" s="4">
        <v>42.36</v>
      </c>
      <c r="D11" s="4">
        <v>54.94</v>
      </c>
      <c r="E11" s="4">
        <v>41.21</v>
      </c>
      <c r="F11" s="4">
        <v>37.89</v>
      </c>
      <c r="G11" s="4">
        <v>27.22</v>
      </c>
      <c r="H11" s="228"/>
    </row>
    <row r="12" spans="2:8">
      <c r="B12" s="20" t="s">
        <v>16</v>
      </c>
      <c r="C12" s="4">
        <v>266.33</v>
      </c>
      <c r="D12" s="4">
        <v>234.45</v>
      </c>
      <c r="E12" s="4">
        <v>180.39</v>
      </c>
      <c r="F12" s="4">
        <v>149.44999999999999</v>
      </c>
      <c r="G12" s="4">
        <v>115.73</v>
      </c>
      <c r="H12" s="228"/>
    </row>
    <row r="13" spans="2:8" ht="30" customHeight="1">
      <c r="B13" s="8" t="s">
        <v>17</v>
      </c>
      <c r="C13" s="6"/>
      <c r="D13" s="7"/>
      <c r="E13" s="7"/>
      <c r="F13" s="7"/>
      <c r="G13" s="7"/>
    </row>
    <row r="14" spans="2:8" ht="15" customHeight="1">
      <c r="B14" s="60" t="s">
        <v>18</v>
      </c>
      <c r="C14" s="4">
        <v>211.68</v>
      </c>
      <c r="D14" s="4">
        <v>175.29</v>
      </c>
      <c r="E14" s="4">
        <v>132.4</v>
      </c>
      <c r="F14" s="4">
        <v>113.11</v>
      </c>
      <c r="G14" s="4">
        <v>98.82</v>
      </c>
      <c r="H14" s="138"/>
    </row>
    <row r="15" spans="2:8" ht="30">
      <c r="B15" s="20" t="s">
        <v>279</v>
      </c>
      <c r="C15" s="4">
        <v>0</v>
      </c>
      <c r="D15" s="4">
        <v>0</v>
      </c>
      <c r="E15" s="4">
        <v>0</v>
      </c>
      <c r="F15" s="4">
        <v>0</v>
      </c>
      <c r="G15" s="4">
        <v>0</v>
      </c>
      <c r="H15" s="139"/>
    </row>
    <row r="16" spans="2:8" ht="30">
      <c r="B16" s="20" t="s">
        <v>19</v>
      </c>
      <c r="C16" s="4">
        <v>59.98</v>
      </c>
      <c r="D16" s="4">
        <v>50.24</v>
      </c>
      <c r="E16" s="4">
        <v>42.14</v>
      </c>
      <c r="F16" s="4">
        <v>34.770000000000003</v>
      </c>
      <c r="G16" s="4">
        <v>30.22</v>
      </c>
      <c r="H16" s="139"/>
    </row>
    <row r="17" spans="2:8">
      <c r="B17" s="20" t="s">
        <v>20</v>
      </c>
      <c r="C17" s="4">
        <v>151.69999999999999</v>
      </c>
      <c r="D17" s="4">
        <v>125.05</v>
      </c>
      <c r="E17" s="4">
        <v>90.26</v>
      </c>
      <c r="F17" s="4">
        <v>78.34</v>
      </c>
      <c r="G17" s="4">
        <v>68.599999999999994</v>
      </c>
      <c r="H17" s="139"/>
    </row>
    <row r="18" spans="2:8" ht="30">
      <c r="B18" s="20" t="s">
        <v>21</v>
      </c>
      <c r="C18" s="4">
        <v>5.2</v>
      </c>
      <c r="D18" s="4">
        <v>4.33</v>
      </c>
      <c r="E18" s="4">
        <v>10.95</v>
      </c>
      <c r="F18" s="4">
        <v>6.12</v>
      </c>
      <c r="G18" s="4">
        <v>2.16</v>
      </c>
      <c r="H18" s="139"/>
    </row>
    <row r="19" spans="2:8">
      <c r="B19" s="20" t="s">
        <v>22</v>
      </c>
      <c r="C19" s="4">
        <v>12.13</v>
      </c>
      <c r="D19" s="4">
        <v>1.38</v>
      </c>
      <c r="E19" s="4">
        <v>1.0900000000000001</v>
      </c>
      <c r="F19" s="4">
        <v>7.77</v>
      </c>
      <c r="G19" s="4">
        <v>0</v>
      </c>
      <c r="H19" s="139"/>
    </row>
    <row r="20" spans="2:8">
      <c r="B20" s="20" t="s">
        <v>23</v>
      </c>
      <c r="C20" s="4">
        <v>104.58</v>
      </c>
      <c r="D20" s="4">
        <v>94.02</v>
      </c>
      <c r="E20" s="4">
        <v>91.75</v>
      </c>
      <c r="F20" s="4">
        <v>50.03</v>
      </c>
      <c r="G20" s="4">
        <v>36.36</v>
      </c>
      <c r="H20" s="139"/>
    </row>
    <row r="21" spans="2:8">
      <c r="B21" s="20" t="s">
        <v>24</v>
      </c>
      <c r="C21" s="4">
        <v>106.62</v>
      </c>
      <c r="D21" s="4">
        <v>83.13</v>
      </c>
      <c r="E21" s="4">
        <v>45.45</v>
      </c>
      <c r="F21" s="4">
        <v>38.79</v>
      </c>
      <c r="G21" s="4">
        <v>33.14</v>
      </c>
      <c r="H21" s="139"/>
    </row>
    <row r="22" spans="2:8" ht="30">
      <c r="B22" s="20" t="s">
        <v>25</v>
      </c>
      <c r="C22" s="4">
        <v>30.71</v>
      </c>
      <c r="D22" s="4">
        <v>40.35</v>
      </c>
      <c r="E22" s="4">
        <v>31.3</v>
      </c>
      <c r="F22" s="4">
        <v>8.0399999999999991</v>
      </c>
      <c r="G22" s="4">
        <v>5.58</v>
      </c>
      <c r="H22" s="139"/>
    </row>
    <row r="23" spans="2:8">
      <c r="B23" s="20" t="s">
        <v>26</v>
      </c>
      <c r="C23" s="4">
        <v>241.91</v>
      </c>
      <c r="D23" s="4">
        <v>217.5</v>
      </c>
      <c r="E23" s="4">
        <v>168.5</v>
      </c>
      <c r="F23" s="4">
        <v>96.86</v>
      </c>
      <c r="G23" s="4">
        <v>75.08</v>
      </c>
      <c r="H23" s="139"/>
    </row>
    <row r="24" spans="2:8">
      <c r="B24" s="20" t="s">
        <v>27</v>
      </c>
      <c r="C24" s="4">
        <v>42.26</v>
      </c>
      <c r="D24" s="4">
        <v>31.39</v>
      </c>
      <c r="E24" s="4">
        <v>23.79</v>
      </c>
      <c r="F24" s="4">
        <v>21.17</v>
      </c>
      <c r="G24" s="4">
        <v>16.829999999999998</v>
      </c>
      <c r="H24" s="139"/>
    </row>
    <row r="25" spans="2:8">
      <c r="B25" s="20" t="s">
        <v>28</v>
      </c>
      <c r="C25" s="4">
        <v>0</v>
      </c>
      <c r="D25" s="4">
        <v>0</v>
      </c>
      <c r="E25" s="4">
        <v>0</v>
      </c>
      <c r="F25" s="4">
        <v>28.43</v>
      </c>
      <c r="G25" s="4">
        <v>28.47</v>
      </c>
      <c r="H25" s="139"/>
    </row>
    <row r="26" spans="2:8" ht="30">
      <c r="B26" s="20" t="s">
        <v>29</v>
      </c>
      <c r="C26" s="4">
        <v>284.17</v>
      </c>
      <c r="D26" s="4">
        <v>248.89</v>
      </c>
      <c r="E26" s="4">
        <v>192.29</v>
      </c>
      <c r="F26" s="4">
        <v>146.46</v>
      </c>
      <c r="G26" s="4">
        <v>120.38</v>
      </c>
      <c r="H26" s="139"/>
    </row>
    <row r="27" spans="2:8">
      <c r="B27" s="20" t="s">
        <v>280</v>
      </c>
      <c r="C27" s="4">
        <v>0</v>
      </c>
      <c r="D27" s="4">
        <v>0</v>
      </c>
      <c r="E27" s="4">
        <v>0</v>
      </c>
      <c r="F27" s="4">
        <v>0</v>
      </c>
      <c r="G27" s="4">
        <v>0</v>
      </c>
      <c r="H27" s="139"/>
    </row>
    <row r="28" spans="2:8">
      <c r="B28" s="20" t="s">
        <v>30</v>
      </c>
      <c r="C28" s="4">
        <v>141.87</v>
      </c>
      <c r="D28" s="4">
        <v>111.97</v>
      </c>
      <c r="E28" s="4">
        <v>87.12</v>
      </c>
      <c r="F28" s="4">
        <v>66.55</v>
      </c>
      <c r="G28" s="4">
        <v>58.5</v>
      </c>
      <c r="H28" s="139"/>
    </row>
    <row r="29" spans="2:8">
      <c r="B29" s="20" t="s">
        <v>31</v>
      </c>
      <c r="C29" s="4">
        <v>45.01</v>
      </c>
      <c r="D29" s="4">
        <v>33.25</v>
      </c>
      <c r="E29" s="4">
        <v>27.08</v>
      </c>
      <c r="F29" s="4">
        <v>22.73</v>
      </c>
      <c r="G29" s="4">
        <v>16.97</v>
      </c>
      <c r="H29" s="139"/>
    </row>
    <row r="30" spans="2:8">
      <c r="B30" s="20" t="s">
        <v>32</v>
      </c>
      <c r="C30" s="4">
        <v>186.88</v>
      </c>
      <c r="D30" s="4">
        <v>145.22</v>
      </c>
      <c r="E30" s="4">
        <v>114.2</v>
      </c>
      <c r="F30" s="4">
        <v>89.28</v>
      </c>
      <c r="G30" s="4">
        <v>75.47</v>
      </c>
      <c r="H30" s="139"/>
    </row>
    <row r="31" spans="2:8">
      <c r="B31" s="20" t="s">
        <v>33</v>
      </c>
      <c r="C31" s="4">
        <v>97.29</v>
      </c>
      <c r="D31" s="4">
        <v>103.67</v>
      </c>
      <c r="E31" s="4">
        <v>78.09</v>
      </c>
      <c r="F31" s="4">
        <v>57.18</v>
      </c>
      <c r="G31" s="4">
        <v>44.91</v>
      </c>
      <c r="H31" s="139"/>
    </row>
    <row r="32" spans="2:8" ht="30">
      <c r="B32" s="20" t="s">
        <v>34</v>
      </c>
      <c r="C32" s="4">
        <v>0</v>
      </c>
      <c r="D32" s="4">
        <v>0</v>
      </c>
      <c r="E32" s="4">
        <v>0</v>
      </c>
      <c r="F32" s="4">
        <v>0.04</v>
      </c>
      <c r="G32" s="4">
        <v>0.06</v>
      </c>
      <c r="H32" s="139"/>
    </row>
    <row r="33" spans="2:8">
      <c r="B33" s="141" t="s">
        <v>35</v>
      </c>
      <c r="C33" s="21">
        <v>266.32</v>
      </c>
      <c r="D33" s="21">
        <v>234.43</v>
      </c>
      <c r="E33" s="21">
        <v>180.39</v>
      </c>
      <c r="F33" s="21">
        <v>149.44999999999999</v>
      </c>
      <c r="G33" s="21">
        <v>115.73</v>
      </c>
      <c r="H33" s="139"/>
    </row>
    <row r="34" spans="2:8">
      <c r="B34" s="20"/>
      <c r="C34" s="4"/>
      <c r="D34" s="4"/>
      <c r="E34" s="4"/>
      <c r="F34" s="4"/>
      <c r="G34" s="4"/>
      <c r="H34" s="139"/>
    </row>
    <row r="35" spans="2:8">
      <c r="B35" s="20" t="s">
        <v>36</v>
      </c>
      <c r="C35" s="4">
        <v>13.56</v>
      </c>
      <c r="D35" s="4">
        <v>12.68</v>
      </c>
      <c r="E35" s="4">
        <v>16.29</v>
      </c>
      <c r="F35" s="4">
        <v>1.52</v>
      </c>
      <c r="G35" s="4">
        <v>0.47</v>
      </c>
      <c r="H35" s="140"/>
    </row>
    <row r="36" spans="2:8">
      <c r="B36" s="17" t="s">
        <v>37</v>
      </c>
      <c r="C36" s="33">
        <v>176.98</v>
      </c>
      <c r="D36" s="33">
        <v>141.85</v>
      </c>
      <c r="E36" s="33">
        <v>109.98</v>
      </c>
      <c r="F36" s="33">
        <v>88.15</v>
      </c>
      <c r="G36" s="33">
        <v>140.72999999999999</v>
      </c>
    </row>
    <row r="37" spans="2:8">
      <c r="B37" s="17" t="s">
        <v>143</v>
      </c>
      <c r="C37" s="31">
        <f>(C8/Dashboard!B7)*10^7</f>
        <v>176.98319240476039</v>
      </c>
      <c r="D37" s="31">
        <f>(D8/Dashboard!B7)*10^7</f>
        <v>141.85048385309881</v>
      </c>
      <c r="E37" s="31">
        <f>(E8/Dashboard!B7)*10^7</f>
        <v>109.9813399959573</v>
      </c>
      <c r="F37" s="31">
        <f>(F8/Dashboard!B7)*10^7</f>
        <v>88.1557572204986</v>
      </c>
      <c r="G37" s="31">
        <f>(G8/Dashboard!B7)*10^7</f>
        <v>69.941431261978593</v>
      </c>
    </row>
    <row r="41" spans="2:8">
      <c r="B41" s="144" t="s">
        <v>180</v>
      </c>
      <c r="C41" s="144">
        <f>C23-C30</f>
        <v>55.03</v>
      </c>
      <c r="D41" s="144">
        <f t="shared" ref="D41:G41" si="0">D23-D30</f>
        <v>72.28</v>
      </c>
      <c r="E41" s="144">
        <f t="shared" si="0"/>
        <v>54.3</v>
      </c>
      <c r="F41" s="144">
        <f t="shared" si="0"/>
        <v>7.5799999999999983</v>
      </c>
      <c r="G41" s="144">
        <f t="shared" si="0"/>
        <v>-0.39000000000000057</v>
      </c>
    </row>
    <row r="42" spans="2:8">
      <c r="B42" s="144" t="s">
        <v>289</v>
      </c>
      <c r="C42" s="146">
        <f>AVERAGE(C41:G41)</f>
        <v>37.760000000000005</v>
      </c>
    </row>
  </sheetData>
  <mergeCells count="1">
    <mergeCell ref="H3:H12"/>
  </mergeCells>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40"/>
  <sheetViews>
    <sheetView showGridLines="0" topLeftCell="A5" workbookViewId="0">
      <selection activeCell="B18" sqref="B18:G37"/>
    </sheetView>
  </sheetViews>
  <sheetFormatPr defaultRowHeight="15"/>
  <cols>
    <col min="2" max="2" width="28.28515625" customWidth="1"/>
    <col min="3" max="3" width="12" bestFit="1" customWidth="1"/>
    <col min="4" max="7" width="10.42578125" bestFit="1" customWidth="1"/>
    <col min="8" max="8" width="7.140625" bestFit="1" customWidth="1"/>
  </cols>
  <sheetData>
    <row r="1" spans="2:9">
      <c r="B1" s="5"/>
      <c r="C1" s="14" t="str">
        <f>'InputBS-1'!C1</f>
        <v>CY</v>
      </c>
      <c r="D1" s="14" t="str">
        <f>'InputBS-1'!D1</f>
        <v>CY-1</v>
      </c>
      <c r="E1" s="14" t="str">
        <f>'InputBS-1'!E1</f>
        <v>CY-2</v>
      </c>
      <c r="F1" s="14" t="str">
        <f>'InputBS-1'!F1</f>
        <v>CY-3</v>
      </c>
      <c r="G1" s="14" t="str">
        <f>'InputBS-1'!G1</f>
        <v>CY-4</v>
      </c>
      <c r="H1" s="2" t="s">
        <v>108</v>
      </c>
    </row>
    <row r="2" spans="2:9" ht="15" customHeight="1">
      <c r="B2" s="229" t="s">
        <v>38</v>
      </c>
      <c r="C2" s="230"/>
      <c r="D2" s="4"/>
      <c r="E2" s="4"/>
      <c r="F2" s="4"/>
      <c r="G2" s="4"/>
    </row>
    <row r="3" spans="2:9">
      <c r="B3" s="60" t="s">
        <v>39</v>
      </c>
      <c r="C3" s="4">
        <v>663.69</v>
      </c>
      <c r="D3" s="4">
        <v>487.87</v>
      </c>
      <c r="E3" s="4">
        <v>319.39</v>
      </c>
      <c r="F3" s="4">
        <v>255.61</v>
      </c>
      <c r="G3" s="4">
        <v>200.33</v>
      </c>
      <c r="H3" s="16">
        <f>(C3/G3)^(1/4) - 1</f>
        <v>0.34913317219528439</v>
      </c>
      <c r="I3" s="228" t="s">
        <v>251</v>
      </c>
    </row>
    <row r="4" spans="2:9">
      <c r="B4" s="20" t="s">
        <v>40</v>
      </c>
      <c r="C4" s="4">
        <v>0</v>
      </c>
      <c r="D4" s="4">
        <v>0</v>
      </c>
      <c r="E4" s="4">
        <v>0</v>
      </c>
      <c r="F4" s="4">
        <v>13.34</v>
      </c>
      <c r="G4" s="4">
        <v>8.9600000000000009</v>
      </c>
      <c r="I4" s="228"/>
    </row>
    <row r="5" spans="2:9">
      <c r="B5" s="20" t="s">
        <v>41</v>
      </c>
      <c r="C5" s="4">
        <v>663.69</v>
      </c>
      <c r="D5" s="4">
        <v>487.87</v>
      </c>
      <c r="E5" s="4">
        <v>319.39</v>
      </c>
      <c r="F5" s="4">
        <v>242.27</v>
      </c>
      <c r="G5" s="4">
        <v>191.37</v>
      </c>
      <c r="I5" s="228"/>
    </row>
    <row r="6" spans="2:9">
      <c r="B6" s="20" t="s">
        <v>42</v>
      </c>
      <c r="C6" s="4">
        <v>6.15</v>
      </c>
      <c r="D6" s="4">
        <v>8.99</v>
      </c>
      <c r="E6" s="4">
        <v>6.85</v>
      </c>
      <c r="F6" s="4">
        <v>2.2599999999999998</v>
      </c>
      <c r="G6" s="4">
        <v>2.0099999999999998</v>
      </c>
      <c r="I6" s="228"/>
    </row>
    <row r="7" spans="2:9">
      <c r="B7" s="20" t="s">
        <v>43</v>
      </c>
      <c r="C7" s="4">
        <v>11.38</v>
      </c>
      <c r="D7" s="4">
        <v>-0.45</v>
      </c>
      <c r="E7" s="4">
        <v>35</v>
      </c>
      <c r="F7" s="4">
        <v>10.42</v>
      </c>
      <c r="G7" s="4">
        <v>7.68</v>
      </c>
      <c r="I7" s="228"/>
    </row>
    <row r="8" spans="2:9">
      <c r="B8" s="20" t="s">
        <v>44</v>
      </c>
      <c r="C8" s="4">
        <v>681.22</v>
      </c>
      <c r="D8" s="4">
        <v>496.41</v>
      </c>
      <c r="E8" s="4">
        <v>361.24</v>
      </c>
      <c r="F8" s="4">
        <v>254.95</v>
      </c>
      <c r="G8" s="4">
        <v>201.06</v>
      </c>
      <c r="I8" s="228"/>
    </row>
    <row r="9" spans="2:9" ht="15" customHeight="1">
      <c r="B9" s="141" t="s">
        <v>45</v>
      </c>
      <c r="C9" s="142"/>
      <c r="D9" s="4"/>
      <c r="E9" s="4"/>
      <c r="F9" s="4"/>
      <c r="G9" s="4"/>
      <c r="I9" s="228"/>
    </row>
    <row r="10" spans="2:9">
      <c r="B10" s="20" t="s">
        <v>46</v>
      </c>
      <c r="C10" s="4">
        <v>343.99</v>
      </c>
      <c r="D10" s="4">
        <v>235.42</v>
      </c>
      <c r="E10" s="4">
        <v>170.56</v>
      </c>
      <c r="F10" s="4">
        <v>109.78</v>
      </c>
      <c r="G10" s="4">
        <v>84.97</v>
      </c>
      <c r="I10" s="228"/>
    </row>
    <row r="11" spans="2:9">
      <c r="B11" s="20" t="s">
        <v>47</v>
      </c>
      <c r="C11" s="4">
        <v>31.38</v>
      </c>
      <c r="D11" s="4">
        <v>23.16</v>
      </c>
      <c r="E11" s="4">
        <v>15.72</v>
      </c>
      <c r="F11" s="4">
        <v>12.3</v>
      </c>
      <c r="G11" s="4">
        <v>6.33</v>
      </c>
      <c r="I11" s="228"/>
    </row>
    <row r="12" spans="2:9">
      <c r="B12" s="20" t="s">
        <v>48</v>
      </c>
      <c r="C12" s="4">
        <v>74.349999999999994</v>
      </c>
      <c r="D12" s="4">
        <v>57.98</v>
      </c>
      <c r="E12" s="4">
        <v>43.13</v>
      </c>
      <c r="F12" s="4">
        <v>32.35</v>
      </c>
      <c r="G12" s="4">
        <v>25.47</v>
      </c>
      <c r="I12" s="228"/>
    </row>
    <row r="13" spans="2:9" ht="30">
      <c r="B13" s="20" t="s">
        <v>49</v>
      </c>
      <c r="C13" s="4">
        <v>0</v>
      </c>
      <c r="D13" s="4">
        <v>0</v>
      </c>
      <c r="E13" s="4">
        <v>0</v>
      </c>
      <c r="F13" s="4">
        <v>0.98</v>
      </c>
      <c r="G13" s="4">
        <v>1.02</v>
      </c>
      <c r="I13" s="228"/>
    </row>
    <row r="14" spans="2:9">
      <c r="B14" s="20" t="s">
        <v>50</v>
      </c>
      <c r="C14" s="4">
        <v>0</v>
      </c>
      <c r="D14" s="4">
        <v>0</v>
      </c>
      <c r="E14" s="4">
        <v>0</v>
      </c>
      <c r="F14" s="4">
        <v>41.51</v>
      </c>
      <c r="G14" s="4">
        <v>36.92</v>
      </c>
      <c r="I14" s="228"/>
    </row>
    <row r="15" spans="2:9">
      <c r="B15" s="20" t="s">
        <v>34</v>
      </c>
      <c r="C15" s="4">
        <v>130.43</v>
      </c>
      <c r="D15" s="4">
        <v>95.53</v>
      </c>
      <c r="E15" s="4">
        <v>71.61</v>
      </c>
      <c r="F15" s="4">
        <v>8.59</v>
      </c>
      <c r="G15" s="4">
        <v>7.87</v>
      </c>
      <c r="I15" s="228"/>
    </row>
    <row r="16" spans="2:9">
      <c r="B16" s="20" t="s">
        <v>51</v>
      </c>
      <c r="C16" s="4">
        <v>0</v>
      </c>
      <c r="D16" s="4">
        <v>0</v>
      </c>
      <c r="E16" s="4">
        <v>0</v>
      </c>
      <c r="F16" s="4">
        <v>0</v>
      </c>
      <c r="G16" s="4">
        <v>0</v>
      </c>
      <c r="I16" s="228"/>
    </row>
    <row r="17" spans="2:9">
      <c r="B17" s="20" t="s">
        <v>52</v>
      </c>
      <c r="C17" s="4">
        <v>580.15</v>
      </c>
      <c r="D17" s="4">
        <v>412.09</v>
      </c>
      <c r="E17" s="4">
        <v>301.02</v>
      </c>
      <c r="F17" s="4">
        <v>205.51</v>
      </c>
      <c r="G17" s="4">
        <v>162.58000000000001</v>
      </c>
      <c r="I17" s="228"/>
    </row>
    <row r="18" spans="2:9">
      <c r="B18" s="60" t="s">
        <v>53</v>
      </c>
      <c r="C18" s="4">
        <v>94.92</v>
      </c>
      <c r="D18" s="4">
        <v>75.33</v>
      </c>
      <c r="E18" s="4">
        <v>53.37</v>
      </c>
      <c r="F18" s="4">
        <v>47.18</v>
      </c>
      <c r="G18" s="4">
        <v>36.47</v>
      </c>
      <c r="I18" s="228" t="s">
        <v>250</v>
      </c>
    </row>
    <row r="19" spans="2:9">
      <c r="B19" s="20" t="s">
        <v>54</v>
      </c>
      <c r="C19" s="4">
        <v>101.07</v>
      </c>
      <c r="D19" s="4">
        <v>84.32</v>
      </c>
      <c r="E19" s="4">
        <v>60.22</v>
      </c>
      <c r="F19" s="4">
        <v>49.44</v>
      </c>
      <c r="G19" s="4">
        <v>38.479999999999997</v>
      </c>
      <c r="I19" s="228"/>
    </row>
    <row r="20" spans="2:9">
      <c r="B20" s="20" t="s">
        <v>55</v>
      </c>
      <c r="C20" s="4">
        <v>6.44</v>
      </c>
      <c r="D20" s="4">
        <v>7.09</v>
      </c>
      <c r="E20" s="4">
        <v>4.01</v>
      </c>
      <c r="F20" s="4">
        <v>2.72</v>
      </c>
      <c r="G20" s="4">
        <v>2.5299999999999998</v>
      </c>
      <c r="I20" s="228"/>
    </row>
    <row r="21" spans="2:9">
      <c r="B21" s="20" t="s">
        <v>56</v>
      </c>
      <c r="C21" s="4">
        <v>94.63</v>
      </c>
      <c r="D21" s="4">
        <v>77.23</v>
      </c>
      <c r="E21" s="4">
        <v>56.21</v>
      </c>
      <c r="F21" s="4">
        <v>46.72</v>
      </c>
      <c r="G21" s="4">
        <v>35.950000000000003</v>
      </c>
      <c r="I21" s="228"/>
    </row>
    <row r="22" spans="2:9">
      <c r="B22" s="20" t="s">
        <v>57</v>
      </c>
      <c r="C22" s="4">
        <v>12.25</v>
      </c>
      <c r="D22" s="4">
        <v>9.42</v>
      </c>
      <c r="E22" s="4">
        <v>7.71</v>
      </c>
      <c r="F22" s="4">
        <v>6.53</v>
      </c>
      <c r="G22" s="4">
        <v>6.1</v>
      </c>
      <c r="I22" s="228"/>
    </row>
    <row r="23" spans="2:9">
      <c r="B23" s="20" t="s">
        <v>58</v>
      </c>
      <c r="C23" s="4">
        <v>0</v>
      </c>
      <c r="D23" s="4">
        <v>0</v>
      </c>
      <c r="E23" s="4">
        <v>0</v>
      </c>
      <c r="F23" s="4">
        <v>0</v>
      </c>
      <c r="G23" s="4">
        <v>0</v>
      </c>
      <c r="I23" s="228"/>
    </row>
    <row r="24" spans="2:9">
      <c r="B24" s="20" t="s">
        <v>59</v>
      </c>
      <c r="C24" s="4">
        <v>82.38</v>
      </c>
      <c r="D24" s="4">
        <v>67.81</v>
      </c>
      <c r="E24" s="4">
        <v>48.5</v>
      </c>
      <c r="F24" s="4">
        <v>40.19</v>
      </c>
      <c r="G24" s="4">
        <v>29.85</v>
      </c>
      <c r="I24" s="228"/>
    </row>
    <row r="25" spans="2:9">
      <c r="B25" s="20" t="s">
        <v>60</v>
      </c>
      <c r="C25" s="4">
        <v>0</v>
      </c>
      <c r="D25" s="4">
        <v>0</v>
      </c>
      <c r="E25" s="4">
        <v>0</v>
      </c>
      <c r="F25" s="4">
        <v>1.33</v>
      </c>
      <c r="G25" s="4">
        <v>0.06</v>
      </c>
      <c r="I25" s="228"/>
    </row>
    <row r="26" spans="2:9">
      <c r="B26" s="20" t="s">
        <v>61</v>
      </c>
      <c r="C26" s="4">
        <v>82.38</v>
      </c>
      <c r="D26" s="4">
        <v>67.81</v>
      </c>
      <c r="E26" s="4">
        <v>48.5</v>
      </c>
      <c r="F26" s="4">
        <v>41.52</v>
      </c>
      <c r="G26" s="4">
        <v>29.91</v>
      </c>
      <c r="I26" s="228"/>
    </row>
    <row r="27" spans="2:9">
      <c r="B27" s="20" t="s">
        <v>62</v>
      </c>
      <c r="C27" s="4">
        <v>30.49</v>
      </c>
      <c r="D27" s="4">
        <v>21.6</v>
      </c>
      <c r="E27" s="4">
        <v>16.46</v>
      </c>
      <c r="F27" s="4">
        <v>14.98</v>
      </c>
      <c r="G27" s="4">
        <v>10.29</v>
      </c>
      <c r="I27" s="228"/>
    </row>
    <row r="28" spans="2:9">
      <c r="B28" s="20" t="s">
        <v>63</v>
      </c>
      <c r="C28" s="4">
        <v>51.91</v>
      </c>
      <c r="D28" s="4">
        <v>46.21</v>
      </c>
      <c r="E28" s="4">
        <v>32.04</v>
      </c>
      <c r="F28" s="4">
        <v>26.54</v>
      </c>
      <c r="G28" s="4">
        <v>19.61</v>
      </c>
      <c r="H28" s="16">
        <f>(C28/G28)^(1/4) - 1</f>
        <v>0.27553787501441729</v>
      </c>
      <c r="I28" s="228"/>
    </row>
    <row r="29" spans="2:9">
      <c r="B29" s="20" t="s">
        <v>64</v>
      </c>
      <c r="C29" s="4">
        <v>236.15</v>
      </c>
      <c r="D29" s="4">
        <v>176.67</v>
      </c>
      <c r="E29" s="4">
        <v>130.46</v>
      </c>
      <c r="F29" s="4">
        <v>95.72</v>
      </c>
      <c r="G29" s="4">
        <v>77.61</v>
      </c>
      <c r="I29" s="228"/>
    </row>
    <row r="30" spans="2:9">
      <c r="B30" s="20" t="s">
        <v>65</v>
      </c>
      <c r="C30" s="4">
        <v>0</v>
      </c>
      <c r="D30" s="4">
        <v>0</v>
      </c>
      <c r="E30" s="4">
        <v>0</v>
      </c>
      <c r="F30" s="4">
        <v>0</v>
      </c>
      <c r="G30" s="4">
        <v>0</v>
      </c>
      <c r="I30" s="228"/>
    </row>
    <row r="31" spans="2:9">
      <c r="B31" s="20" t="s">
        <v>66</v>
      </c>
      <c r="C31" s="4">
        <v>6.33</v>
      </c>
      <c r="D31" s="4">
        <v>5.0599999999999996</v>
      </c>
      <c r="E31" s="4">
        <v>3.8</v>
      </c>
      <c r="F31" s="4">
        <v>3.16</v>
      </c>
      <c r="G31" s="4">
        <v>1.57</v>
      </c>
      <c r="I31" s="228"/>
    </row>
    <row r="32" spans="2:9">
      <c r="B32" s="20" t="s">
        <v>67</v>
      </c>
      <c r="C32" s="4">
        <v>1.1100000000000001</v>
      </c>
      <c r="D32" s="4">
        <v>0.82</v>
      </c>
      <c r="E32" s="4">
        <v>0.62</v>
      </c>
      <c r="F32" s="4">
        <v>0.51</v>
      </c>
      <c r="G32" s="4">
        <v>0.27</v>
      </c>
      <c r="I32" s="228"/>
    </row>
    <row r="33" spans="2:9" ht="30" customHeight="1">
      <c r="B33" s="141" t="s">
        <v>68</v>
      </c>
      <c r="C33" s="142"/>
      <c r="D33" s="4"/>
      <c r="E33" s="4"/>
      <c r="F33" s="4"/>
      <c r="G33" s="4"/>
      <c r="I33" s="228"/>
    </row>
    <row r="34" spans="2:9">
      <c r="B34" s="20" t="s">
        <v>69</v>
      </c>
      <c r="C34" s="4">
        <v>126.55</v>
      </c>
      <c r="D34" s="4">
        <v>126.55</v>
      </c>
      <c r="E34" s="4">
        <v>126.55</v>
      </c>
      <c r="F34" s="4">
        <v>126.55</v>
      </c>
      <c r="G34" s="4">
        <v>62.9</v>
      </c>
      <c r="I34" s="228"/>
    </row>
    <row r="35" spans="2:9">
      <c r="B35" s="20" t="s">
        <v>70</v>
      </c>
      <c r="C35" s="4">
        <v>41.02</v>
      </c>
      <c r="D35" s="4">
        <v>36.51</v>
      </c>
      <c r="E35" s="4">
        <v>25.32</v>
      </c>
      <c r="F35" s="4">
        <v>20.97</v>
      </c>
      <c r="G35" s="4">
        <v>31.18</v>
      </c>
      <c r="I35" s="228"/>
    </row>
    <row r="36" spans="2:9">
      <c r="B36" s="20" t="s">
        <v>71</v>
      </c>
      <c r="C36" s="4">
        <v>100</v>
      </c>
      <c r="D36" s="4">
        <v>80</v>
      </c>
      <c r="E36" s="4">
        <v>60</v>
      </c>
      <c r="F36" s="4">
        <v>50</v>
      </c>
      <c r="G36" s="4">
        <v>50</v>
      </c>
      <c r="I36" s="228"/>
    </row>
    <row r="37" spans="2:9">
      <c r="B37" s="20" t="s">
        <v>37</v>
      </c>
      <c r="C37" s="4">
        <v>176.98</v>
      </c>
      <c r="D37" s="4">
        <v>141.85</v>
      </c>
      <c r="E37" s="4">
        <v>109.98</v>
      </c>
      <c r="F37" s="4">
        <v>88.15</v>
      </c>
      <c r="G37" s="4">
        <v>140.72999999999999</v>
      </c>
      <c r="I37" s="228"/>
    </row>
    <row r="38" spans="2:9">
      <c r="B38" s="17" t="s">
        <v>145</v>
      </c>
      <c r="C38" s="31">
        <f>(C31/Dashboard!B7)*10^7</f>
        <v>5.0020253066130884</v>
      </c>
      <c r="D38" s="31">
        <f>(D31/Dashboard!B7)*10^7</f>
        <v>3.9984594078139377</v>
      </c>
      <c r="E38" s="31">
        <f>(E31/Dashboard!B7)*10^7</f>
        <v>3.0027956027061191</v>
      </c>
      <c r="F38" s="31">
        <f>(F31/Dashboard!B7)*10^7</f>
        <v>2.4970616064608784</v>
      </c>
      <c r="G38" s="31">
        <f>(G31/Dashboard!B7)*10^7</f>
        <v>1.2406287095391073</v>
      </c>
    </row>
    <row r="39" spans="2:9">
      <c r="B39" s="17" t="s">
        <v>140</v>
      </c>
      <c r="C39" s="31">
        <f>(C28/Dashboard!B7)*10^7</f>
        <v>41.019768351703853</v>
      </c>
      <c r="D39" s="31">
        <f>(D28/Dashboard!B7)*10^7</f>
        <v>36.51557494764468</v>
      </c>
      <c r="E39" s="31">
        <f>(E28/Dashboard!B7)*10^7</f>
        <v>25.318308187027387</v>
      </c>
      <c r="F39" s="31">
        <f>(F28/Dashboard!B7)*10^7</f>
        <v>20.972156656794844</v>
      </c>
      <c r="G39" s="31">
        <f>(G28/Dashboard!B7)*10^7</f>
        <v>15.496005728701842</v>
      </c>
    </row>
    <row r="40" spans="2:9">
      <c r="B40" s="32" t="s">
        <v>166</v>
      </c>
      <c r="C40" s="16">
        <f>C18/C3</f>
        <v>0.1430185779505492</v>
      </c>
      <c r="D40" s="16">
        <f t="shared" ref="D40:G40" si="0">D18/D3</f>
        <v>0.1544058868141103</v>
      </c>
      <c r="E40" s="16">
        <f t="shared" si="0"/>
        <v>0.16709978396317982</v>
      </c>
      <c r="F40" s="16">
        <f t="shared" si="0"/>
        <v>0.18457806815069833</v>
      </c>
      <c r="G40" s="16">
        <f t="shared" si="0"/>
        <v>0.18204961813008536</v>
      </c>
    </row>
  </sheetData>
  <mergeCells count="3">
    <mergeCell ref="B2:C2"/>
    <mergeCell ref="I3:I17"/>
    <mergeCell ref="I18:I37"/>
  </mergeCells>
  <pageMargins left="0.7" right="0.7" top="0.75" bottom="0.75" header="0.3" footer="0.3"/>
  <pageSetup paperSize="9" scale="8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I40"/>
  <sheetViews>
    <sheetView showGridLines="0" topLeftCell="A13" zoomScaleNormal="100" workbookViewId="0">
      <selection activeCell="C24" sqref="C24"/>
    </sheetView>
  </sheetViews>
  <sheetFormatPr defaultRowHeight="15"/>
  <cols>
    <col min="2" max="2" width="49.42578125" bestFit="1" customWidth="1"/>
  </cols>
  <sheetData>
    <row r="1" spans="2:9" ht="15" customHeight="1">
      <c r="B1" s="102" t="s">
        <v>247</v>
      </c>
      <c r="I1" s="231" t="s">
        <v>253</v>
      </c>
    </row>
    <row r="2" spans="2:9">
      <c r="I2" s="232"/>
    </row>
    <row r="3" spans="2:9" ht="15" customHeight="1">
      <c r="C3" s="105" t="s">
        <v>248</v>
      </c>
      <c r="D3" s="105"/>
      <c r="E3" s="105"/>
      <c r="F3" s="105"/>
      <c r="G3" s="105" t="s">
        <v>249</v>
      </c>
      <c r="H3" s="107"/>
      <c r="I3" s="232"/>
    </row>
    <row r="4" spans="2:9">
      <c r="B4" s="106"/>
      <c r="C4" s="106"/>
      <c r="D4" s="106"/>
      <c r="E4" s="106"/>
      <c r="F4" s="106"/>
      <c r="G4" s="106"/>
      <c r="H4" s="108"/>
      <c r="I4" s="232"/>
    </row>
    <row r="5" spans="2:9">
      <c r="B5" s="106"/>
      <c r="C5" s="106" t="s">
        <v>282</v>
      </c>
      <c r="D5" s="106" t="s">
        <v>283</v>
      </c>
      <c r="E5" s="106" t="s">
        <v>284</v>
      </c>
      <c r="F5" s="106"/>
      <c r="G5" s="106" t="s">
        <v>318</v>
      </c>
      <c r="H5" s="106" t="s">
        <v>319</v>
      </c>
      <c r="I5" s="232"/>
    </row>
    <row r="6" spans="2:9" ht="15" customHeight="1">
      <c r="B6" s="106" t="s">
        <v>237</v>
      </c>
      <c r="C6" s="106"/>
      <c r="D6" s="106"/>
      <c r="E6" s="106"/>
      <c r="F6" s="106"/>
      <c r="G6" s="106"/>
      <c r="H6" s="108"/>
      <c r="I6" s="232"/>
    </row>
    <row r="7" spans="2:9">
      <c r="B7" s="28" t="s">
        <v>238</v>
      </c>
      <c r="C7" s="27">
        <v>6637</v>
      </c>
      <c r="D7" s="27">
        <v>4879</v>
      </c>
      <c r="E7" s="27">
        <v>3194</v>
      </c>
      <c r="F7" s="26"/>
      <c r="G7" s="27">
        <v>2093</v>
      </c>
      <c r="H7" s="27">
        <v>1601</v>
      </c>
      <c r="I7" s="232"/>
    </row>
    <row r="8" spans="2:9">
      <c r="B8" s="28" t="s">
        <v>240</v>
      </c>
      <c r="C8" s="27">
        <v>824</v>
      </c>
      <c r="D8" s="26">
        <v>678</v>
      </c>
      <c r="E8" s="26">
        <v>525</v>
      </c>
      <c r="F8" s="26"/>
      <c r="G8" s="26">
        <v>248</v>
      </c>
      <c r="H8" s="26">
        <v>166</v>
      </c>
      <c r="I8" s="232"/>
    </row>
    <row r="9" spans="2:9">
      <c r="B9" s="28" t="s">
        <v>167</v>
      </c>
      <c r="C9" s="27">
        <v>519</v>
      </c>
      <c r="D9" s="26">
        <v>462</v>
      </c>
      <c r="E9" s="26">
        <v>320</v>
      </c>
      <c r="F9" s="26"/>
      <c r="G9" s="26">
        <v>162</v>
      </c>
      <c r="H9" s="26">
        <v>108</v>
      </c>
      <c r="I9" s="232"/>
    </row>
    <row r="10" spans="2:9">
      <c r="B10" s="28" t="s">
        <v>241</v>
      </c>
      <c r="C10" s="26">
        <v>41.02</v>
      </c>
      <c r="D10" s="26">
        <v>36.51</v>
      </c>
      <c r="E10" s="26">
        <v>25.32</v>
      </c>
      <c r="F10" s="26"/>
      <c r="G10" s="26">
        <v>12.77</v>
      </c>
      <c r="H10" s="26">
        <v>8.5</v>
      </c>
      <c r="I10" s="232"/>
    </row>
    <row r="11" spans="2:9">
      <c r="B11" s="28" t="s">
        <v>242</v>
      </c>
      <c r="C11" s="26">
        <v>13</v>
      </c>
      <c r="D11" s="26">
        <v>13</v>
      </c>
      <c r="E11" s="26">
        <v>13</v>
      </c>
      <c r="F11" s="26"/>
      <c r="G11" s="26" t="s">
        <v>239</v>
      </c>
      <c r="H11" s="26">
        <v>13</v>
      </c>
      <c r="I11" s="232"/>
    </row>
    <row r="12" spans="2:9" ht="15" customHeight="1">
      <c r="B12" s="106" t="s">
        <v>243</v>
      </c>
      <c r="C12" s="106"/>
      <c r="D12" s="106"/>
      <c r="E12" s="106"/>
      <c r="F12" s="106"/>
      <c r="G12" s="106"/>
      <c r="H12" s="108"/>
      <c r="I12" s="232"/>
    </row>
    <row r="13" spans="2:9">
      <c r="B13" s="28" t="s">
        <v>75</v>
      </c>
      <c r="C13" s="27">
        <v>2680</v>
      </c>
      <c r="D13" s="27">
        <v>2289</v>
      </c>
      <c r="E13" s="27">
        <v>1782</v>
      </c>
      <c r="F13" s="26"/>
      <c r="G13" s="27" t="s">
        <v>239</v>
      </c>
      <c r="H13" s="27" t="s">
        <v>239</v>
      </c>
      <c r="I13" s="232"/>
    </row>
    <row r="14" spans="2:9">
      <c r="B14" s="28" t="s">
        <v>244</v>
      </c>
      <c r="C14" s="27">
        <v>1852</v>
      </c>
      <c r="D14" s="27">
        <v>1507</v>
      </c>
      <c r="E14" s="27">
        <v>1164</v>
      </c>
      <c r="F14" s="26"/>
      <c r="G14" s="27" t="s">
        <v>239</v>
      </c>
      <c r="H14" s="27" t="s">
        <v>239</v>
      </c>
      <c r="I14" s="232"/>
    </row>
    <row r="15" spans="2:9">
      <c r="B15" s="28" t="s">
        <v>35</v>
      </c>
      <c r="C15" s="27">
        <v>4532</v>
      </c>
      <c r="D15" s="27">
        <v>3797</v>
      </c>
      <c r="E15" s="27">
        <v>2946</v>
      </c>
      <c r="F15" s="26"/>
      <c r="G15" s="27" t="s">
        <v>239</v>
      </c>
      <c r="H15" s="27" t="s">
        <v>239</v>
      </c>
      <c r="I15" s="232"/>
    </row>
    <row r="16" spans="2:9">
      <c r="B16" s="28" t="s">
        <v>30</v>
      </c>
      <c r="C16" s="27">
        <v>1647</v>
      </c>
      <c r="D16" s="27">
        <v>1422</v>
      </c>
      <c r="E16" s="27">
        <v>1080</v>
      </c>
      <c r="F16" s="26"/>
      <c r="G16" s="27" t="s">
        <v>239</v>
      </c>
      <c r="H16" s="27" t="s">
        <v>239</v>
      </c>
      <c r="I16" s="232"/>
    </row>
    <row r="17" spans="2:9">
      <c r="B17" s="28" t="s">
        <v>16</v>
      </c>
      <c r="C17" s="27">
        <v>2292</v>
      </c>
      <c r="D17" s="27">
        <v>2002</v>
      </c>
      <c r="E17" s="26" t="s">
        <v>239</v>
      </c>
      <c r="F17" s="26"/>
      <c r="G17" s="27" t="s">
        <v>239</v>
      </c>
      <c r="H17" s="27" t="s">
        <v>239</v>
      </c>
      <c r="I17" s="232"/>
    </row>
    <row r="18" spans="2:9">
      <c r="B18" s="28" t="s">
        <v>76</v>
      </c>
      <c r="C18" s="27">
        <v>2240</v>
      </c>
      <c r="D18" s="27">
        <v>1795</v>
      </c>
      <c r="E18" s="27">
        <v>1392</v>
      </c>
      <c r="F18" s="26"/>
      <c r="G18" s="27" t="s">
        <v>239</v>
      </c>
      <c r="H18" s="27" t="s">
        <v>239</v>
      </c>
      <c r="I18" s="232"/>
    </row>
    <row r="19" spans="2:9" ht="15" customHeight="1">
      <c r="B19" s="106" t="s">
        <v>245</v>
      </c>
      <c r="C19" s="106"/>
      <c r="D19" s="106"/>
      <c r="E19" s="106"/>
      <c r="F19" s="106"/>
      <c r="G19" s="106"/>
      <c r="H19" s="108"/>
      <c r="I19" s="232"/>
    </row>
    <row r="20" spans="2:9">
      <c r="B20" s="28" t="s">
        <v>246</v>
      </c>
      <c r="C20" s="26">
        <v>634</v>
      </c>
      <c r="D20" s="26">
        <v>356</v>
      </c>
      <c r="E20" s="26">
        <v>47</v>
      </c>
      <c r="F20" s="26"/>
      <c r="G20" s="26" t="s">
        <v>239</v>
      </c>
      <c r="H20" s="26" t="s">
        <v>239</v>
      </c>
      <c r="I20" s="232"/>
    </row>
    <row r="21" spans="2:9">
      <c r="B21" s="28" t="s">
        <v>86</v>
      </c>
      <c r="C21" s="26">
        <v>-419</v>
      </c>
      <c r="D21" s="26">
        <v>-386</v>
      </c>
      <c r="E21" s="26">
        <v>-246</v>
      </c>
      <c r="F21" s="26"/>
      <c r="G21" s="26" t="s">
        <v>239</v>
      </c>
      <c r="H21" s="26" t="s">
        <v>239</v>
      </c>
      <c r="I21" s="232"/>
    </row>
    <row r="22" spans="2:9">
      <c r="B22" s="28" t="s">
        <v>100</v>
      </c>
      <c r="C22" s="26">
        <v>216</v>
      </c>
      <c r="D22" s="26">
        <v>-30</v>
      </c>
      <c r="E22" s="26">
        <v>-199</v>
      </c>
      <c r="F22" s="26"/>
      <c r="G22" s="26" t="s">
        <v>239</v>
      </c>
      <c r="H22" s="26" t="s">
        <v>239</v>
      </c>
      <c r="I22" s="233"/>
    </row>
    <row r="23" spans="2:9">
      <c r="C23" s="1"/>
      <c r="D23" s="1"/>
      <c r="E23" s="1"/>
    </row>
    <row r="24" spans="2:9">
      <c r="B24" s="29" t="s">
        <v>258</v>
      </c>
      <c r="C24" s="30">
        <f>AVERAGE(C22:E22)/10</f>
        <v>-0.43333333333333329</v>
      </c>
    </row>
    <row r="25" spans="2:9">
      <c r="B25" s="29" t="s">
        <v>259</v>
      </c>
      <c r="C25" s="30">
        <f>C22/10</f>
        <v>21.6</v>
      </c>
      <c r="D25" s="1"/>
      <c r="E25" s="1"/>
    </row>
    <row r="26" spans="2:9">
      <c r="C26" s="1"/>
    </row>
    <row r="27" spans="2:9">
      <c r="B27" s="144" t="s">
        <v>287</v>
      </c>
      <c r="C27" s="145">
        <f>AVERAGE(C21:E21)/10</f>
        <v>-35.033333333333331</v>
      </c>
    </row>
    <row r="28" spans="2:9">
      <c r="C28" s="1"/>
      <c r="D28" s="1"/>
      <c r="E28" s="1"/>
    </row>
    <row r="29" spans="2:9">
      <c r="C29" s="1"/>
      <c r="D29" s="1"/>
      <c r="E29" s="1"/>
    </row>
    <row r="30" spans="2:9">
      <c r="C30" s="1"/>
    </row>
    <row r="31" spans="2:9">
      <c r="C31" s="1"/>
    </row>
    <row r="35" spans="3:5">
      <c r="C35" s="1"/>
      <c r="D35" s="1"/>
      <c r="E35" s="1"/>
    </row>
    <row r="36" spans="3:5">
      <c r="C36" s="1"/>
    </row>
    <row r="37" spans="3:5">
      <c r="C37" s="1"/>
      <c r="D37" s="1"/>
      <c r="E37" s="1"/>
    </row>
    <row r="38" spans="3:5">
      <c r="C38" s="1"/>
    </row>
    <row r="39" spans="3:5">
      <c r="C39" s="1"/>
    </row>
    <row r="40" spans="3:5">
      <c r="C40" s="1"/>
      <c r="D40" s="1"/>
      <c r="E40" s="1"/>
    </row>
  </sheetData>
  <mergeCells count="1">
    <mergeCell ref="I1:I22"/>
  </mergeCells>
  <pageMargins left="0.7" right="0.7" top="0.75" bottom="0.75" header="0.3" footer="0.3"/>
  <pageSetup paperSize="9" scale="7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C2:I39"/>
  <sheetViews>
    <sheetView showGridLines="0" topLeftCell="A21" workbookViewId="0">
      <selection activeCell="D39" sqref="D39"/>
    </sheetView>
  </sheetViews>
  <sheetFormatPr defaultRowHeight="15"/>
  <cols>
    <col min="3" max="3" width="51" bestFit="1" customWidth="1"/>
    <col min="5" max="8" width="9.85546875" bestFit="1" customWidth="1"/>
  </cols>
  <sheetData>
    <row r="2" spans="3:9">
      <c r="C2" s="59" t="s">
        <v>72</v>
      </c>
      <c r="D2" s="3"/>
      <c r="E2" s="10">
        <v>41729</v>
      </c>
      <c r="F2" s="10">
        <v>41364</v>
      </c>
      <c r="G2" s="10">
        <v>40999</v>
      </c>
      <c r="H2" s="10">
        <v>40633</v>
      </c>
      <c r="I2" s="228" t="s">
        <v>254</v>
      </c>
    </row>
    <row r="3" spans="3:9">
      <c r="C3" s="3" t="s">
        <v>74</v>
      </c>
      <c r="D3" s="3"/>
      <c r="E3" s="13" t="s">
        <v>299</v>
      </c>
      <c r="F3" s="13" t="s">
        <v>300</v>
      </c>
      <c r="G3" s="13" t="s">
        <v>301</v>
      </c>
      <c r="H3" s="13" t="s">
        <v>302</v>
      </c>
      <c r="I3" s="228"/>
    </row>
    <row r="4" spans="3:9">
      <c r="C4" s="3"/>
      <c r="D4" s="3"/>
      <c r="E4" s="13"/>
      <c r="F4" s="13"/>
      <c r="G4" s="13"/>
      <c r="H4" s="13"/>
      <c r="I4" s="228"/>
    </row>
    <row r="5" spans="3:9" ht="15" customHeight="1">
      <c r="C5" s="3" t="s">
        <v>78</v>
      </c>
      <c r="D5" s="3"/>
      <c r="E5" s="13"/>
      <c r="F5" s="13"/>
      <c r="G5" s="13"/>
      <c r="H5" s="13"/>
      <c r="I5" s="228"/>
    </row>
    <row r="6" spans="3:9">
      <c r="C6" s="3" t="s">
        <v>57</v>
      </c>
      <c r="D6" s="3"/>
      <c r="E6" s="13" t="s">
        <v>303</v>
      </c>
      <c r="F6" s="13" t="s">
        <v>286</v>
      </c>
      <c r="G6" s="13" t="s">
        <v>304</v>
      </c>
      <c r="H6" s="13" t="s">
        <v>305</v>
      </c>
      <c r="I6" s="228"/>
    </row>
    <row r="7" spans="3:9">
      <c r="C7" s="3" t="s">
        <v>79</v>
      </c>
      <c r="D7" s="3"/>
      <c r="E7" s="13" t="s">
        <v>73</v>
      </c>
      <c r="F7" s="13" t="s">
        <v>73</v>
      </c>
      <c r="G7" s="13" t="s">
        <v>73</v>
      </c>
      <c r="H7" s="13" t="s">
        <v>73</v>
      </c>
      <c r="I7" s="228"/>
    </row>
    <row r="8" spans="3:9">
      <c r="C8" s="3" t="s">
        <v>80</v>
      </c>
      <c r="D8" s="3"/>
      <c r="E8" s="13">
        <v>-235000</v>
      </c>
      <c r="F8" s="13">
        <v>-377000</v>
      </c>
      <c r="G8" s="13">
        <v>-79000</v>
      </c>
      <c r="H8" s="13">
        <v>-90000</v>
      </c>
      <c r="I8" s="228"/>
    </row>
    <row r="9" spans="3:9">
      <c r="C9" s="3" t="s">
        <v>81</v>
      </c>
      <c r="D9" s="3"/>
      <c r="E9" s="13" t="s">
        <v>73</v>
      </c>
      <c r="F9" s="13" t="s">
        <v>73</v>
      </c>
      <c r="G9" s="13" t="s">
        <v>73</v>
      </c>
      <c r="H9" s="13" t="s">
        <v>73</v>
      </c>
      <c r="I9" s="228"/>
    </row>
    <row r="10" spans="3:9">
      <c r="C10" s="3" t="s">
        <v>82</v>
      </c>
      <c r="D10" s="3"/>
      <c r="E10" s="13">
        <v>-106000</v>
      </c>
      <c r="F10" s="13">
        <v>-23000</v>
      </c>
      <c r="G10" s="13">
        <v>-417000</v>
      </c>
      <c r="H10" s="13">
        <v>-137000</v>
      </c>
      <c r="I10" s="228"/>
    </row>
    <row r="11" spans="3:9">
      <c r="C11" s="3" t="s">
        <v>83</v>
      </c>
      <c r="D11" s="3"/>
      <c r="E11" s="13" t="s">
        <v>306</v>
      </c>
      <c r="F11" s="13" t="s">
        <v>307</v>
      </c>
      <c r="G11" s="13" t="s">
        <v>73</v>
      </c>
      <c r="H11" s="13" t="s">
        <v>308</v>
      </c>
      <c r="I11" s="228"/>
    </row>
    <row r="12" spans="3:9">
      <c r="C12" s="22"/>
      <c r="D12" s="23"/>
      <c r="E12" s="24"/>
      <c r="F12" s="24"/>
      <c r="G12" s="24"/>
      <c r="H12" s="25"/>
      <c r="I12" s="228"/>
    </row>
    <row r="13" spans="3:9">
      <c r="C13" s="3" t="s">
        <v>84</v>
      </c>
      <c r="D13" s="3"/>
      <c r="E13" s="13" t="s">
        <v>309</v>
      </c>
      <c r="F13" s="13" t="s">
        <v>310</v>
      </c>
      <c r="G13" s="13" t="s">
        <v>311</v>
      </c>
      <c r="H13" s="13" t="s">
        <v>312</v>
      </c>
      <c r="I13" s="228"/>
    </row>
    <row r="14" spans="3:9">
      <c r="C14" s="3"/>
      <c r="D14" s="3"/>
      <c r="E14" s="13"/>
      <c r="F14" s="13"/>
      <c r="G14" s="13"/>
      <c r="H14" s="13"/>
      <c r="I14" s="228"/>
    </row>
    <row r="15" spans="3:9">
      <c r="C15" s="3" t="s">
        <v>85</v>
      </c>
      <c r="D15" s="3"/>
      <c r="E15" s="13"/>
      <c r="F15" s="13"/>
      <c r="G15" s="13"/>
      <c r="H15" s="13"/>
      <c r="I15" s="228"/>
    </row>
    <row r="16" spans="3:9">
      <c r="C16" s="3" t="s">
        <v>86</v>
      </c>
      <c r="D16" s="3"/>
      <c r="E16" s="13">
        <v>-419000</v>
      </c>
      <c r="F16" s="13">
        <v>-386000</v>
      </c>
      <c r="G16" s="13">
        <v>-246000</v>
      </c>
      <c r="H16" s="13">
        <v>-220000</v>
      </c>
      <c r="I16" s="228"/>
    </row>
    <row r="17" spans="3:9">
      <c r="C17" s="3" t="s">
        <v>22</v>
      </c>
      <c r="D17" s="3"/>
      <c r="E17" s="13" t="s">
        <v>73</v>
      </c>
      <c r="F17" s="13" t="s">
        <v>73</v>
      </c>
      <c r="G17" s="13" t="s">
        <v>73</v>
      </c>
      <c r="H17" s="13" t="s">
        <v>73</v>
      </c>
      <c r="I17" s="228"/>
    </row>
    <row r="18" spans="3:9">
      <c r="C18" s="3" t="s">
        <v>87</v>
      </c>
      <c r="D18" s="3"/>
      <c r="E18" s="13" t="s">
        <v>73</v>
      </c>
      <c r="F18" s="13" t="s">
        <v>73</v>
      </c>
      <c r="G18" s="13" t="s">
        <v>73</v>
      </c>
      <c r="H18" s="13" t="s">
        <v>73</v>
      </c>
      <c r="I18" s="228"/>
    </row>
    <row r="19" spans="3:9">
      <c r="C19" s="22"/>
      <c r="D19" s="23"/>
      <c r="E19" s="24"/>
      <c r="F19" s="24"/>
      <c r="G19" s="24"/>
      <c r="H19" s="25"/>
      <c r="I19" s="228"/>
    </row>
    <row r="20" spans="3:9">
      <c r="C20" s="3" t="s">
        <v>88</v>
      </c>
      <c r="D20" s="3"/>
      <c r="E20" s="13">
        <v>-481000</v>
      </c>
      <c r="F20" s="13">
        <v>-356000</v>
      </c>
      <c r="G20" s="13">
        <v>-150000</v>
      </c>
      <c r="H20" s="13">
        <v>-275000</v>
      </c>
      <c r="I20" s="228"/>
    </row>
    <row r="21" spans="3:9">
      <c r="C21" s="3"/>
      <c r="D21" s="3"/>
      <c r="E21" s="13"/>
      <c r="F21" s="13"/>
      <c r="G21" s="13"/>
      <c r="H21" s="13"/>
      <c r="I21" s="228"/>
    </row>
    <row r="22" spans="3:9">
      <c r="C22" s="3" t="s">
        <v>89</v>
      </c>
      <c r="D22" s="3"/>
      <c r="E22" s="13"/>
      <c r="F22" s="13"/>
      <c r="G22" s="13"/>
      <c r="H22" s="13"/>
      <c r="I22" s="228"/>
    </row>
    <row r="23" spans="3:9">
      <c r="C23" s="3" t="s">
        <v>90</v>
      </c>
      <c r="D23" s="3"/>
      <c r="E23" s="13" t="s">
        <v>73</v>
      </c>
      <c r="F23" s="13" t="s">
        <v>73</v>
      </c>
      <c r="G23" s="13" t="s">
        <v>73</v>
      </c>
      <c r="H23" s="13" t="s">
        <v>73</v>
      </c>
      <c r="I23" s="228"/>
    </row>
    <row r="24" spans="3:9">
      <c r="C24" s="3" t="s">
        <v>91</v>
      </c>
      <c r="D24" s="3"/>
      <c r="E24" s="13" t="s">
        <v>73</v>
      </c>
      <c r="F24" s="13" t="s">
        <v>73</v>
      </c>
      <c r="G24" s="13" t="s">
        <v>73</v>
      </c>
      <c r="H24" s="13" t="s">
        <v>73</v>
      </c>
      <c r="I24" s="228"/>
    </row>
    <row r="25" spans="3:9">
      <c r="C25" s="3" t="s">
        <v>92</v>
      </c>
      <c r="D25" s="3"/>
      <c r="E25" s="13" t="s">
        <v>73</v>
      </c>
      <c r="F25" s="13" t="s">
        <v>73</v>
      </c>
      <c r="G25" s="13" t="s">
        <v>73</v>
      </c>
      <c r="H25" s="13" t="s">
        <v>73</v>
      </c>
      <c r="I25" s="228"/>
    </row>
    <row r="26" spans="3:9">
      <c r="C26" s="3" t="s">
        <v>93</v>
      </c>
      <c r="D26" s="3"/>
      <c r="E26" s="13">
        <v>-81000</v>
      </c>
      <c r="F26" s="13" t="s">
        <v>313</v>
      </c>
      <c r="G26" s="13" t="s">
        <v>286</v>
      </c>
      <c r="H26" s="13">
        <v>-59000</v>
      </c>
      <c r="I26" s="228"/>
    </row>
    <row r="27" spans="3:9">
      <c r="C27" s="22"/>
      <c r="D27" s="23"/>
      <c r="E27" s="24"/>
      <c r="F27" s="24"/>
      <c r="G27" s="24"/>
      <c r="H27" s="25"/>
      <c r="I27" s="228"/>
    </row>
    <row r="28" spans="3:9">
      <c r="C28" s="3" t="s">
        <v>94</v>
      </c>
      <c r="D28" s="3"/>
      <c r="E28" s="13">
        <v>-250000</v>
      </c>
      <c r="F28" s="13" t="s">
        <v>314</v>
      </c>
      <c r="G28" s="13" t="s">
        <v>315</v>
      </c>
      <c r="H28" s="13" t="s">
        <v>316</v>
      </c>
      <c r="I28" s="228"/>
    </row>
    <row r="29" spans="3:9">
      <c r="C29" s="3" t="s">
        <v>95</v>
      </c>
      <c r="D29" s="3"/>
      <c r="E29" s="13" t="s">
        <v>73</v>
      </c>
      <c r="F29" s="13" t="s">
        <v>73</v>
      </c>
      <c r="G29" s="13" t="s">
        <v>73</v>
      </c>
      <c r="H29" s="13" t="s">
        <v>73</v>
      </c>
      <c r="I29" s="228"/>
    </row>
    <row r="30" spans="3:9">
      <c r="C30" s="22"/>
      <c r="D30" s="23"/>
      <c r="E30" s="24"/>
      <c r="F30" s="24"/>
      <c r="G30" s="24"/>
      <c r="H30" s="25"/>
      <c r="I30" s="228"/>
    </row>
    <row r="31" spans="3:9">
      <c r="C31" s="3" t="s">
        <v>96</v>
      </c>
      <c r="D31" s="3"/>
      <c r="E31" s="13">
        <v>-96000</v>
      </c>
      <c r="F31" s="13" t="s">
        <v>317</v>
      </c>
      <c r="G31" s="13">
        <v>-49000</v>
      </c>
      <c r="H31" s="13" t="s">
        <v>313</v>
      </c>
      <c r="I31" s="228"/>
    </row>
    <row r="32" spans="3:9">
      <c r="C32" s="3" t="s">
        <v>281</v>
      </c>
      <c r="D32" s="3"/>
      <c r="E32" s="3"/>
      <c r="F32" s="3"/>
      <c r="G32" s="3"/>
      <c r="H32" s="3"/>
      <c r="I32" s="228"/>
    </row>
    <row r="33" spans="3:9">
      <c r="C33" s="12" t="s">
        <v>235</v>
      </c>
      <c r="E33">
        <f>VALUE(SUBSTITUTE(E13,CHAR(160),""))</f>
        <v>634000</v>
      </c>
      <c r="F33">
        <f>VALUE(SUBSTITUTE(F13,CHAR(160),""))</f>
        <v>424000</v>
      </c>
      <c r="G33">
        <f>VALUE(SUBSTITUTE(G13,CHAR(160),""))</f>
        <v>39000</v>
      </c>
      <c r="H33">
        <f>VALUE(SUBSTITUTE(H13,CHAR(160),""))</f>
        <v>268000</v>
      </c>
    </row>
    <row r="34" spans="3:9">
      <c r="C34" s="12" t="s">
        <v>236</v>
      </c>
      <c r="E34">
        <f>VALUE(SUBSTITUTE(E16,CHAR(160),""))</f>
        <v>-419000</v>
      </c>
      <c r="F34">
        <f t="shared" ref="F34:H34" si="0">VALUE(SUBSTITUTE(F16,CHAR(160),""))</f>
        <v>-386000</v>
      </c>
      <c r="G34">
        <f t="shared" si="0"/>
        <v>-246000</v>
      </c>
      <c r="H34">
        <f t="shared" si="0"/>
        <v>-220000</v>
      </c>
    </row>
    <row r="35" spans="3:9">
      <c r="C35" s="12" t="s">
        <v>100</v>
      </c>
      <c r="E35" s="1">
        <f>E33+E34</f>
        <v>215000</v>
      </c>
      <c r="F35" s="1">
        <f t="shared" ref="F35:H35" si="1">F33+F34</f>
        <v>38000</v>
      </c>
      <c r="G35" s="1">
        <f t="shared" si="1"/>
        <v>-207000</v>
      </c>
      <c r="H35" s="1">
        <f t="shared" si="1"/>
        <v>48000</v>
      </c>
      <c r="I35" s="15">
        <f>(E35/H35)^(1/3)-1</f>
        <v>0.6484118991679102</v>
      </c>
    </row>
    <row r="36" spans="3:9">
      <c r="C36" t="s">
        <v>116</v>
      </c>
      <c r="D36" s="151">
        <f>AVERAGE(E35:H35)/(10^4)</f>
        <v>2.35</v>
      </c>
    </row>
    <row r="38" spans="3:9">
      <c r="C38" s="144" t="s">
        <v>288</v>
      </c>
      <c r="E38">
        <f>VALUE(SUBSTITUTE(E16,CHAR(160),""))</f>
        <v>-419000</v>
      </c>
      <c r="F38">
        <f t="shared" ref="F38:H38" si="2">VALUE(SUBSTITUTE(F16,CHAR(160),""))</f>
        <v>-386000</v>
      </c>
      <c r="G38">
        <f t="shared" si="2"/>
        <v>-246000</v>
      </c>
      <c r="H38">
        <f t="shared" si="2"/>
        <v>-220000</v>
      </c>
    </row>
    <row r="39" spans="3:9">
      <c r="C39" s="144" t="s">
        <v>287</v>
      </c>
      <c r="D39" s="152">
        <f>AVERAGE(E38:H38)/(10^4)</f>
        <v>-31.774999999999999</v>
      </c>
    </row>
  </sheetData>
  <mergeCells count="1">
    <mergeCell ref="I2:I32"/>
  </mergeCells>
  <pageMargins left="0.7" right="0.7" top="0.75" bottom="0.75" header="0.3" footer="0.3"/>
  <pageSetup paperSize="9" scale="6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E8"/>
  <sheetViews>
    <sheetView showGridLines="0" workbookViewId="0">
      <selection activeCell="G13" sqref="G13"/>
    </sheetView>
  </sheetViews>
  <sheetFormatPr defaultRowHeight="15"/>
  <sheetData>
    <row r="2" spans="2:5">
      <c r="B2" s="18" t="s">
        <v>99</v>
      </c>
      <c r="C2" s="18" t="s">
        <v>97</v>
      </c>
      <c r="D2" s="18" t="s">
        <v>98</v>
      </c>
      <c r="E2" s="234" t="s">
        <v>255</v>
      </c>
    </row>
    <row r="3" spans="2:5">
      <c r="B3" s="11" t="str">
        <f>'InputBS-1'!C1</f>
        <v>CY</v>
      </c>
      <c r="C3" s="58">
        <v>875.84</v>
      </c>
      <c r="D3" s="58">
        <v>475.54</v>
      </c>
      <c r="E3" s="234"/>
    </row>
    <row r="4" spans="2:5">
      <c r="B4" s="11" t="str">
        <f>'InputBS-1'!D1</f>
        <v>CY-1</v>
      </c>
      <c r="C4" s="58">
        <v>448.09</v>
      </c>
      <c r="D4" s="58">
        <v>246.65</v>
      </c>
      <c r="E4" s="234"/>
    </row>
    <row r="5" spans="2:5">
      <c r="B5" s="11" t="str">
        <f>'InputBS-1'!E1</f>
        <v>CY-2</v>
      </c>
      <c r="C5" s="58">
        <v>258.77</v>
      </c>
      <c r="D5" s="58">
        <v>176.95</v>
      </c>
      <c r="E5" s="234"/>
    </row>
    <row r="6" spans="2:5">
      <c r="B6" s="11" t="str">
        <f>'InputBS-1'!F1</f>
        <v>CY-3</v>
      </c>
      <c r="C6" s="58">
        <v>184.86</v>
      </c>
      <c r="D6" s="58">
        <v>116.16</v>
      </c>
      <c r="E6" s="234"/>
    </row>
    <row r="7" spans="2:5">
      <c r="B7" s="11" t="str">
        <f>'InputBS-1'!G1</f>
        <v>CY-4</v>
      </c>
      <c r="C7" s="58">
        <v>124.28</v>
      </c>
      <c r="D7" s="58">
        <v>39.14</v>
      </c>
      <c r="E7" s="234"/>
    </row>
    <row r="8" spans="2:5">
      <c r="B8" s="19" t="s">
        <v>108</v>
      </c>
      <c r="C8" s="16">
        <f>(C3/C7)^(1/4)-1</f>
        <v>0.6293181026094461</v>
      </c>
      <c r="D8" s="16">
        <f>(D3/D7)^(1/4)-1</f>
        <v>0.86698813535444352</v>
      </c>
    </row>
  </sheetData>
  <mergeCells count="1">
    <mergeCell ref="E2:E7"/>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selection activeCell="F22" sqref="F22"/>
    </sheetView>
  </sheetViews>
  <sheetFormatPr defaultRowHeight="12.75"/>
  <cols>
    <col min="1" max="1" width="28.5703125" style="41" bestFit="1" customWidth="1"/>
    <col min="2" max="2" width="9.28515625" style="41" bestFit="1" customWidth="1"/>
    <col min="3" max="3" width="23.140625" style="41" bestFit="1" customWidth="1"/>
    <col min="4" max="8" width="11.5703125" style="41" bestFit="1" customWidth="1"/>
    <col min="9" max="9" width="9.28515625" style="41" bestFit="1" customWidth="1"/>
    <col min="10" max="16384" width="9.140625" style="41"/>
  </cols>
  <sheetData>
    <row r="1" spans="1:9">
      <c r="A1" s="188" t="s">
        <v>196</v>
      </c>
      <c r="B1" s="188"/>
      <c r="C1" s="188"/>
      <c r="D1" s="188"/>
      <c r="E1" s="188"/>
      <c r="F1" s="188"/>
      <c r="G1" s="188"/>
      <c r="H1" s="188"/>
      <c r="I1" s="188"/>
    </row>
    <row r="2" spans="1:9">
      <c r="A2" s="187" t="s">
        <v>192</v>
      </c>
      <c r="B2" s="187"/>
      <c r="C2" s="187"/>
      <c r="D2" s="187"/>
      <c r="E2" s="187"/>
      <c r="F2" s="187"/>
      <c r="G2" s="187"/>
      <c r="H2" s="187"/>
      <c r="I2" s="187"/>
    </row>
    <row r="3" spans="1:9">
      <c r="A3" s="183" t="s">
        <v>131</v>
      </c>
      <c r="B3" s="184"/>
      <c r="C3" s="56" t="s">
        <v>156</v>
      </c>
      <c r="D3" s="57" t="str">
        <f>'InputBS-1'!C1</f>
        <v>CY</v>
      </c>
      <c r="E3" s="57" t="str">
        <f>'InputBS-1'!D1</f>
        <v>CY-1</v>
      </c>
      <c r="F3" s="57" t="str">
        <f>'InputBS-1'!E1</f>
        <v>CY-2</v>
      </c>
      <c r="G3" s="57" t="str">
        <f>'InputBS-1'!F1</f>
        <v>CY-3</v>
      </c>
      <c r="H3" s="57" t="str">
        <f>'InputBS-1'!G1</f>
        <v>CY-4</v>
      </c>
      <c r="I3" s="56" t="s">
        <v>108</v>
      </c>
    </row>
    <row r="4" spans="1:9">
      <c r="A4" s="42" t="s">
        <v>121</v>
      </c>
      <c r="B4" s="42">
        <f>Dashboard!B5</f>
        <v>2150</v>
      </c>
      <c r="C4" s="42" t="s">
        <v>120</v>
      </c>
      <c r="D4" s="43">
        <f>'InputPL-1'!C39</f>
        <v>41.019768351703853</v>
      </c>
      <c r="E4" s="43">
        <f>'InputPL-1'!D39</f>
        <v>36.51557494764468</v>
      </c>
      <c r="F4" s="43">
        <f>'InputPL-1'!E39</f>
        <v>25.318308187027387</v>
      </c>
      <c r="G4" s="43">
        <f>'InputPL-1'!F39</f>
        <v>20.972156656794844</v>
      </c>
      <c r="H4" s="43">
        <f>'InputPL-1'!G39</f>
        <v>15.496005728701842</v>
      </c>
      <c r="I4" s="44">
        <f>(D4/H4)^(1/4)-1</f>
        <v>0.27553787501441729</v>
      </c>
    </row>
    <row r="5" spans="1:9">
      <c r="A5" s="42" t="s">
        <v>120</v>
      </c>
      <c r="B5" s="42">
        <f>'InputPL-1'!C35</f>
        <v>41.02</v>
      </c>
      <c r="C5" s="42" t="s">
        <v>118</v>
      </c>
      <c r="D5" s="43">
        <f>'InputPL-1'!C38</f>
        <v>5.0020253066130884</v>
      </c>
      <c r="E5" s="43">
        <f>'InputPL-1'!D38</f>
        <v>3.9984594078139377</v>
      </c>
      <c r="F5" s="43">
        <f>'InputPL-1'!E38</f>
        <v>3.0027956027061191</v>
      </c>
      <c r="G5" s="43">
        <f>'InputPL-1'!F38</f>
        <v>2.4970616064608784</v>
      </c>
      <c r="H5" s="43">
        <f>'InputPL-1'!G38</f>
        <v>1.2406287095391073</v>
      </c>
      <c r="I5" s="44">
        <f t="shared" ref="I5:I6" si="0">(D5/H5)^(1/4)-1</f>
        <v>0.41702011231866187</v>
      </c>
    </row>
    <row r="6" spans="1:9">
      <c r="A6" s="42" t="s">
        <v>118</v>
      </c>
      <c r="B6" s="43">
        <f>'InputPL-1'!C38</f>
        <v>5.0020253066130884</v>
      </c>
      <c r="C6" s="42" t="s">
        <v>122</v>
      </c>
      <c r="D6" s="43">
        <f>'InputBS-1'!C37</f>
        <v>176.98319240476039</v>
      </c>
      <c r="E6" s="43">
        <f>'InputBS-1'!D37</f>
        <v>141.85048385309881</v>
      </c>
      <c r="F6" s="43">
        <f>'InputBS-1'!E37</f>
        <v>109.9813399959573</v>
      </c>
      <c r="G6" s="43">
        <f>'InputBS-1'!F37</f>
        <v>88.1557572204986</v>
      </c>
      <c r="H6" s="43">
        <f>'InputBS-1'!G37</f>
        <v>69.941431261978593</v>
      </c>
      <c r="I6" s="44">
        <f t="shared" si="0"/>
        <v>0.2612447669556015</v>
      </c>
    </row>
    <row r="7" spans="1:9">
      <c r="A7" s="42" t="s">
        <v>122</v>
      </c>
      <c r="B7" s="43">
        <f>'InputBS-1'!C37</f>
        <v>176.98319240476039</v>
      </c>
      <c r="C7" s="42" t="s">
        <v>129</v>
      </c>
      <c r="D7" s="44">
        <f>D4/D6</f>
        <v>0.23177211233647363</v>
      </c>
      <c r="E7" s="44">
        <f t="shared" ref="E7:H7" si="1">E4/E6</f>
        <v>0.2574229847919336</v>
      </c>
      <c r="F7" s="44">
        <f t="shared" si="1"/>
        <v>0.23020548929443885</v>
      </c>
      <c r="G7" s="44">
        <f t="shared" si="1"/>
        <v>0.23789888849049839</v>
      </c>
      <c r="H7" s="44">
        <f t="shared" si="1"/>
        <v>0.22155688622754488</v>
      </c>
      <c r="I7" s="44"/>
    </row>
    <row r="8" spans="1:9">
      <c r="A8" s="42" t="s">
        <v>123</v>
      </c>
      <c r="B8" s="43">
        <f>B4/B5</f>
        <v>52.413456850316912</v>
      </c>
      <c r="C8" s="42" t="s">
        <v>130</v>
      </c>
      <c r="D8" s="44">
        <f>D5/D4</f>
        <v>0.12194182238489695</v>
      </c>
      <c r="E8" s="44">
        <f t="shared" ref="E8:H8" si="2">E5/E4</f>
        <v>0.10950010820168793</v>
      </c>
      <c r="F8" s="44">
        <f t="shared" si="2"/>
        <v>0.11860174781523095</v>
      </c>
      <c r="G8" s="44">
        <f t="shared" si="2"/>
        <v>0.11906556141672947</v>
      </c>
      <c r="H8" s="44">
        <f t="shared" si="2"/>
        <v>8.0061193268740449E-2</v>
      </c>
      <c r="I8" s="44"/>
    </row>
    <row r="9" spans="1:9">
      <c r="A9" s="42" t="s">
        <v>124</v>
      </c>
      <c r="B9" s="44">
        <f>B5/B4</f>
        <v>1.9079069767441861E-2</v>
      </c>
      <c r="C9" s="42"/>
      <c r="D9" s="45"/>
      <c r="E9" s="46"/>
      <c r="F9" s="46"/>
      <c r="G9" s="46"/>
      <c r="H9" s="46"/>
      <c r="I9" s="46"/>
    </row>
    <row r="10" spans="1:9">
      <c r="A10" s="42" t="s">
        <v>125</v>
      </c>
      <c r="B10" s="44">
        <f>B6/B4</f>
        <v>2.3265233984246922E-3</v>
      </c>
      <c r="C10" s="42"/>
      <c r="D10" s="45"/>
      <c r="E10" s="46"/>
      <c r="F10" s="46"/>
      <c r="G10" s="46"/>
      <c r="H10" s="46"/>
      <c r="I10" s="46"/>
    </row>
    <row r="11" spans="1:9">
      <c r="A11" s="42" t="s">
        <v>126</v>
      </c>
      <c r="B11" s="43">
        <f>B4/B7</f>
        <v>12.148046211546191</v>
      </c>
      <c r="C11" s="47" t="s">
        <v>144</v>
      </c>
      <c r="D11" s="48">
        <f>$B$14 *(1-$B$15)</f>
        <v>0.2098755498923601</v>
      </c>
      <c r="E11" s="46"/>
      <c r="F11" s="46"/>
      <c r="G11" s="46"/>
      <c r="H11" s="46"/>
      <c r="I11" s="46"/>
    </row>
    <row r="12" spans="1:9">
      <c r="A12" s="42" t="s">
        <v>146</v>
      </c>
      <c r="B12" s="44">
        <f>'Earnings Value'!B14</f>
        <v>0.09</v>
      </c>
      <c r="C12" s="49" t="s">
        <v>147</v>
      </c>
      <c r="D12" s="50" t="s">
        <v>200</v>
      </c>
      <c r="E12" s="42">
        <v>1</v>
      </c>
      <c r="F12" s="42">
        <v>2</v>
      </c>
      <c r="G12" s="42">
        <v>3</v>
      </c>
      <c r="H12" s="42">
        <v>4</v>
      </c>
      <c r="I12" s="42">
        <v>5</v>
      </c>
    </row>
    <row r="13" spans="1:9">
      <c r="A13" s="185" t="s">
        <v>132</v>
      </c>
      <c r="B13" s="186"/>
      <c r="C13" s="42" t="s">
        <v>120</v>
      </c>
      <c r="D13" s="43">
        <f>D4</f>
        <v>41.019768351703853</v>
      </c>
      <c r="E13" s="43">
        <f>D13*I4+D13</f>
        <v>52.322268156915982</v>
      </c>
      <c r="F13" s="43">
        <f>E13*I4+E13</f>
        <v>66.739034740807128</v>
      </c>
      <c r="G13" s="43">
        <f>F13*I4+F13</f>
        <v>85.128166553802487</v>
      </c>
      <c r="H13" s="43">
        <f>G13*I4+G13</f>
        <v>108.58420066991062</v>
      </c>
      <c r="I13" s="43">
        <f>H13*I4+H13</f>
        <v>138.50326058263684</v>
      </c>
    </row>
    <row r="14" spans="1:9">
      <c r="A14" s="42" t="s">
        <v>129</v>
      </c>
      <c r="B14" s="44">
        <f>AVERAGE(D7:H7)</f>
        <v>0.23577127222817787</v>
      </c>
      <c r="C14" s="42" t="s">
        <v>118</v>
      </c>
      <c r="D14" s="43">
        <f>D5</f>
        <v>5.0020253066130884</v>
      </c>
      <c r="E14" s="43">
        <f>E13*B15</f>
        <v>5.7467685327685301</v>
      </c>
      <c r="F14" s="43">
        <f>F13*B15</f>
        <v>7.3302209224872925</v>
      </c>
      <c r="G14" s="43">
        <f>G13*B15</f>
        <v>9.3499744188556608</v>
      </c>
      <c r="H14" s="43">
        <f>H13*B15</f>
        <v>11.926246501666311</v>
      </c>
      <c r="I14" s="43">
        <f>I13*B15</f>
        <v>15.212379119633574</v>
      </c>
    </row>
    <row r="15" spans="1:9">
      <c r="A15" s="42" t="s">
        <v>133</v>
      </c>
      <c r="B15" s="44">
        <f>AVERAGE(D8:H8)</f>
        <v>0.10983408661745715</v>
      </c>
      <c r="C15" s="42"/>
      <c r="D15" s="45"/>
      <c r="E15" s="46"/>
      <c r="F15" s="46"/>
      <c r="G15" s="46"/>
      <c r="H15" s="46"/>
      <c r="I15" s="46"/>
    </row>
    <row r="16" spans="1:9">
      <c r="A16" s="42" t="s">
        <v>134</v>
      </c>
      <c r="B16" s="43">
        <f>AVERAGE('Earnings Value'!B10:F10)</f>
        <v>9.4079398013632503</v>
      </c>
      <c r="C16" s="42" t="s">
        <v>148</v>
      </c>
      <c r="D16" s="51">
        <f>I13</f>
        <v>138.50326058263684</v>
      </c>
      <c r="E16" s="46"/>
      <c r="F16" s="46"/>
      <c r="G16" s="46"/>
      <c r="H16" s="46"/>
      <c r="I16" s="46"/>
    </row>
    <row r="17" spans="1:9">
      <c r="A17" s="42"/>
      <c r="B17" s="42"/>
      <c r="C17" s="42" t="s">
        <v>149</v>
      </c>
      <c r="D17" s="51">
        <f>SUM(D14:I14)</f>
        <v>54.567614802024458</v>
      </c>
      <c r="E17" s="46"/>
      <c r="F17" s="46"/>
      <c r="G17" s="46"/>
      <c r="H17" s="46"/>
      <c r="I17" s="46"/>
    </row>
    <row r="18" spans="1:9">
      <c r="A18" s="189" t="s">
        <v>199</v>
      </c>
      <c r="B18" s="190"/>
      <c r="C18" s="42" t="s">
        <v>150</v>
      </c>
      <c r="D18" s="51">
        <f>D16*B16</f>
        <v>1303.030337853975</v>
      </c>
      <c r="E18" s="46"/>
      <c r="F18" s="46"/>
      <c r="G18" s="46"/>
      <c r="H18" s="46"/>
      <c r="I18" s="46"/>
    </row>
    <row r="19" spans="1:9">
      <c r="A19" s="42" t="s">
        <v>154</v>
      </c>
      <c r="B19" s="52">
        <f>D18/((1+'FCF Valaution'!B8)^5)</f>
        <v>846.88031387023523</v>
      </c>
      <c r="C19" s="42" t="s">
        <v>151</v>
      </c>
      <c r="D19" s="51">
        <f>D18+D17</f>
        <v>1357.5979526559995</v>
      </c>
      <c r="E19" s="46"/>
      <c r="F19" s="46"/>
      <c r="G19" s="46"/>
      <c r="H19" s="46"/>
      <c r="I19" s="46"/>
    </row>
    <row r="20" spans="1:9">
      <c r="A20" s="42" t="s">
        <v>155</v>
      </c>
      <c r="B20" s="52">
        <f>D27/(1+'FCF Valaution'!B8)^5</f>
        <v>661.43695092100427</v>
      </c>
      <c r="C20" s="47" t="s">
        <v>152</v>
      </c>
      <c r="D20" s="48">
        <f>(D19/B4)^(1/5)-1</f>
        <v>-8.7849411029037316E-2</v>
      </c>
      <c r="E20" s="46"/>
      <c r="F20" s="46"/>
      <c r="G20" s="46"/>
      <c r="H20" s="46"/>
      <c r="I20" s="46"/>
    </row>
    <row r="21" spans="1:9">
      <c r="C21" s="49" t="s">
        <v>153</v>
      </c>
      <c r="D21" s="50" t="s">
        <v>200</v>
      </c>
      <c r="E21" s="42">
        <v>1</v>
      </c>
      <c r="F21" s="42">
        <v>2</v>
      </c>
      <c r="G21" s="42">
        <v>3</v>
      </c>
      <c r="H21" s="42">
        <v>4</v>
      </c>
      <c r="I21" s="42">
        <v>5</v>
      </c>
    </row>
    <row r="22" spans="1:9">
      <c r="C22" s="42" t="s">
        <v>122</v>
      </c>
      <c r="D22" s="43">
        <f>D6</f>
        <v>176.98319240476039</v>
      </c>
      <c r="E22" s="43">
        <f>D22+D23-D24</f>
        <v>214.12763723241486</v>
      </c>
      <c r="F22" s="43">
        <f>E22+E23-E24</f>
        <v>259.06779284371976</v>
      </c>
      <c r="G22" s="43">
        <f>F22+F23-F24</f>
        <v>313.43978832619553</v>
      </c>
      <c r="H22" s="43">
        <f>G22+G23-G24</f>
        <v>379.22313625930076</v>
      </c>
      <c r="I22" s="43">
        <f>H22+H23-H24</f>
        <v>458.81280051362694</v>
      </c>
    </row>
    <row r="23" spans="1:9">
      <c r="C23" s="42" t="s">
        <v>120</v>
      </c>
      <c r="D23" s="43">
        <f>D22*B14</f>
        <v>41.727552436274742</v>
      </c>
      <c r="E23" s="43">
        <f>E22*B14</f>
        <v>50.485145449500202</v>
      </c>
      <c r="F23" s="43">
        <f>F22*B14</f>
        <v>61.080743112109843</v>
      </c>
      <c r="G23" s="43">
        <f>G22*B14</f>
        <v>73.900097660597893</v>
      </c>
      <c r="H23" s="43">
        <f>H22*B14</f>
        <v>89.409921294214996</v>
      </c>
      <c r="I23" s="43">
        <f>I22*B14</f>
        <v>108.174877691671</v>
      </c>
    </row>
    <row r="24" spans="1:9">
      <c r="C24" s="42" t="s">
        <v>118</v>
      </c>
      <c r="D24" s="43">
        <f>D23*B15</f>
        <v>4.5831076086202849</v>
      </c>
      <c r="E24" s="43">
        <f>E23*B15</f>
        <v>5.5449898381953275</v>
      </c>
      <c r="F24" s="43">
        <f>F23*B15</f>
        <v>6.7087476296341215</v>
      </c>
      <c r="G24" s="43">
        <f>G23*B15</f>
        <v>8.1167497274926514</v>
      </c>
      <c r="H24" s="43">
        <f>H23*B15</f>
        <v>9.8202570398888369</v>
      </c>
      <c r="I24" s="43">
        <f>I23*B15</f>
        <v>11.881288886219826</v>
      </c>
    </row>
    <row r="25" spans="1:9">
      <c r="C25" s="42" t="s">
        <v>148</v>
      </c>
      <c r="D25" s="51">
        <f>I23</f>
        <v>108.174877691671</v>
      </c>
      <c r="E25" s="46"/>
      <c r="F25" s="46"/>
      <c r="G25" s="46"/>
      <c r="H25" s="46"/>
      <c r="I25" s="46"/>
    </row>
    <row r="26" spans="1:9">
      <c r="C26" s="42" t="s">
        <v>149</v>
      </c>
      <c r="D26" s="51">
        <f>SUM(D24:I24)</f>
        <v>46.655140730051052</v>
      </c>
      <c r="E26" s="46"/>
      <c r="F26" s="46"/>
      <c r="G26" s="46"/>
      <c r="H26" s="46"/>
      <c r="I26" s="46"/>
    </row>
    <row r="27" spans="1:9">
      <c r="C27" s="42" t="s">
        <v>150</v>
      </c>
      <c r="D27" s="51">
        <f>B16*D25</f>
        <v>1017.7027373430732</v>
      </c>
      <c r="E27" s="46"/>
      <c r="F27" s="46"/>
      <c r="G27" s="46"/>
      <c r="H27" s="46"/>
      <c r="I27" s="46"/>
    </row>
    <row r="28" spans="1:9">
      <c r="C28" s="42" t="s">
        <v>151</v>
      </c>
      <c r="D28" s="51">
        <f>D27+D26</f>
        <v>1064.3578780731243</v>
      </c>
      <c r="E28" s="46"/>
      <c r="F28" s="46"/>
      <c r="G28" s="46"/>
      <c r="H28" s="46"/>
      <c r="I28" s="46"/>
    </row>
    <row r="29" spans="1:9">
      <c r="C29" s="47" t="s">
        <v>152</v>
      </c>
      <c r="D29" s="48">
        <f>(D28/B4)^(1/5)-1</f>
        <v>-0.13117993173735498</v>
      </c>
      <c r="E29" s="46"/>
      <c r="F29" s="46"/>
      <c r="G29" s="46"/>
      <c r="H29" s="46"/>
      <c r="I29" s="46"/>
    </row>
  </sheetData>
  <mergeCells count="5">
    <mergeCell ref="A3:B3"/>
    <mergeCell ref="A13:B13"/>
    <mergeCell ref="A2:I2"/>
    <mergeCell ref="A1:I1"/>
    <mergeCell ref="A18:B18"/>
  </mergeCells>
  <hyperlinks>
    <hyperlink ref="A1" r:id="rId1"/>
  </hyperlinks>
  <pageMargins left="0.70866141732283472" right="0.70866141732283472" top="0.74803149606299213" bottom="0.74803149606299213" header="0.31496062992125984" footer="0.31496062992125984"/>
  <pageSetup paperSize="9" scale="8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topLeftCell="A4" workbookViewId="0">
      <selection activeCell="B14" sqref="B14"/>
    </sheetView>
  </sheetViews>
  <sheetFormatPr defaultRowHeight="14.25"/>
  <cols>
    <col min="1" max="1" width="28.42578125" style="61" bestFit="1" customWidth="1"/>
    <col min="2" max="6" width="11.5703125" style="61" bestFit="1" customWidth="1"/>
    <col min="7" max="7" width="9.140625" style="61"/>
    <col min="8" max="8" width="24.5703125" style="61" bestFit="1" customWidth="1"/>
    <col min="9" max="16384" width="9.140625" style="61"/>
  </cols>
  <sheetData>
    <row r="1" spans="1:6">
      <c r="A1" s="197" t="s">
        <v>196</v>
      </c>
      <c r="B1" s="198"/>
      <c r="C1" s="198"/>
      <c r="D1" s="198"/>
      <c r="E1" s="198"/>
      <c r="F1" s="198"/>
    </row>
    <row r="2" spans="1:6" ht="15">
      <c r="A2" s="193" t="s">
        <v>226</v>
      </c>
      <c r="B2" s="193"/>
      <c r="C2" s="193"/>
      <c r="D2" s="193"/>
      <c r="E2" s="193"/>
      <c r="F2" s="193"/>
    </row>
    <row r="3" spans="1:6" ht="15">
      <c r="A3" s="194" t="s">
        <v>201</v>
      </c>
      <c r="B3" s="195"/>
      <c r="C3" s="195"/>
      <c r="D3" s="195"/>
      <c r="E3" s="195"/>
      <c r="F3" s="196"/>
    </row>
    <row r="4" spans="1:6">
      <c r="A4" s="63" t="s">
        <v>127</v>
      </c>
      <c r="B4" s="64" t="str">
        <f>'InputBS-1'!C1</f>
        <v>CY</v>
      </c>
      <c r="C4" s="64" t="str">
        <f>'InputBS-1'!D1</f>
        <v>CY-1</v>
      </c>
      <c r="D4" s="64" t="str">
        <f>'InputBS-1'!E1</f>
        <v>CY-2</v>
      </c>
      <c r="E4" s="64" t="str">
        <f>'InputBS-1'!F1</f>
        <v>CY-3</v>
      </c>
      <c r="F4" s="64" t="str">
        <f>'InputBS-1'!G1</f>
        <v>CY-4</v>
      </c>
    </row>
    <row r="5" spans="1:6">
      <c r="A5" s="63" t="s">
        <v>120</v>
      </c>
      <c r="B5" s="65">
        <f>'InputPL-1'!C39</f>
        <v>41.019768351703853</v>
      </c>
      <c r="C5" s="65">
        <f>'InputPL-1'!D39</f>
        <v>36.51557494764468</v>
      </c>
      <c r="D5" s="65">
        <f>'InputPL-1'!E39</f>
        <v>25.318308187027387</v>
      </c>
      <c r="E5" s="65">
        <f>'InputPL-1'!F39</f>
        <v>20.972156656794844</v>
      </c>
      <c r="F5" s="65">
        <f>'InputPL-1'!G39</f>
        <v>15.496005728701842</v>
      </c>
    </row>
    <row r="6" spans="1:6">
      <c r="A6" s="63" t="s">
        <v>135</v>
      </c>
      <c r="B6" s="63">
        <f>'Input-SP'!C3</f>
        <v>875.84</v>
      </c>
      <c r="C6" s="63">
        <f>'Input-SP'!C4</f>
        <v>448.09</v>
      </c>
      <c r="D6" s="63">
        <f>'Input-SP'!C5</f>
        <v>258.77</v>
      </c>
      <c r="E6" s="63">
        <f>'Input-SP'!C6</f>
        <v>184.86</v>
      </c>
      <c r="F6" s="63">
        <f>'Input-SP'!C7</f>
        <v>124.28</v>
      </c>
    </row>
    <row r="7" spans="1:6">
      <c r="A7" s="63" t="s">
        <v>136</v>
      </c>
      <c r="B7" s="65">
        <f>B6/B5</f>
        <v>21.351656413330769</v>
      </c>
      <c r="C7" s="65">
        <f t="shared" ref="C7:F7" si="0">C6/C5</f>
        <v>12.271202100541007</v>
      </c>
      <c r="D7" s="65">
        <f t="shared" si="0"/>
        <v>10.220667119163544</v>
      </c>
      <c r="E7" s="65">
        <f t="shared" si="0"/>
        <v>8.8145441131876421</v>
      </c>
      <c r="F7" s="65">
        <f t="shared" si="0"/>
        <v>8.0201312632330453</v>
      </c>
    </row>
    <row r="8" spans="1:6">
      <c r="A8" s="66" t="s">
        <v>137</v>
      </c>
      <c r="B8" s="63">
        <f>'Input-SP'!D3</f>
        <v>475.54</v>
      </c>
      <c r="C8" s="63">
        <f>'Input-SP'!D4</f>
        <v>246.65</v>
      </c>
      <c r="D8" s="63">
        <f>'Input-SP'!D5</f>
        <v>176.95</v>
      </c>
      <c r="E8" s="63">
        <f>'Input-SP'!D6</f>
        <v>116.16</v>
      </c>
      <c r="F8" s="63">
        <f>'Input-SP'!D7</f>
        <v>39.14</v>
      </c>
    </row>
    <row r="9" spans="1:6">
      <c r="A9" s="66" t="s">
        <v>138</v>
      </c>
      <c r="B9" s="65">
        <f>B8/B5</f>
        <v>11.592946988942401</v>
      </c>
      <c r="C9" s="65">
        <f t="shared" ref="C9:F9" si="1">C8/C5</f>
        <v>6.7546519629950224</v>
      </c>
      <c r="D9" s="65">
        <f t="shared" si="1"/>
        <v>6.9890135901997494</v>
      </c>
      <c r="E9" s="65">
        <f t="shared" si="1"/>
        <v>5.5387722827430297</v>
      </c>
      <c r="F9" s="65">
        <f t="shared" si="1"/>
        <v>2.5258121792962775</v>
      </c>
    </row>
    <row r="10" spans="1:6">
      <c r="A10" s="66" t="s">
        <v>139</v>
      </c>
      <c r="B10" s="65">
        <f>(B7+B9)/2</f>
        <v>16.472301701136587</v>
      </c>
      <c r="C10" s="65">
        <f t="shared" ref="C10:F10" si="2">(C7+C9)/2</f>
        <v>9.5129270317680152</v>
      </c>
      <c r="D10" s="65">
        <f t="shared" si="2"/>
        <v>8.604840354681647</v>
      </c>
      <c r="E10" s="65">
        <f t="shared" si="2"/>
        <v>7.1766581979653363</v>
      </c>
      <c r="F10" s="65">
        <f t="shared" si="2"/>
        <v>5.2729717212646614</v>
      </c>
    </row>
    <row r="11" spans="1:6" ht="15">
      <c r="A11" s="199" t="s">
        <v>193</v>
      </c>
      <c r="B11" s="200"/>
      <c r="C11" s="200"/>
      <c r="D11" s="200"/>
      <c r="E11" s="200"/>
      <c r="F11" s="201"/>
    </row>
    <row r="12" spans="1:6" ht="15">
      <c r="A12" s="63" t="s">
        <v>159</v>
      </c>
      <c r="B12" s="103">
        <v>0.25</v>
      </c>
      <c r="C12" s="206" t="s">
        <v>257</v>
      </c>
      <c r="D12" s="206"/>
      <c r="E12" s="206"/>
      <c r="F12" s="206"/>
    </row>
    <row r="13" spans="1:6" ht="15">
      <c r="A13" s="63" t="s">
        <v>256</v>
      </c>
      <c r="B13" s="104">
        <f>1*B12</f>
        <v>0.25</v>
      </c>
      <c r="C13" s="207"/>
      <c r="D13" s="207"/>
      <c r="E13" s="207"/>
      <c r="F13" s="207"/>
    </row>
    <row r="14" spans="1:6" ht="15">
      <c r="A14" s="62" t="s">
        <v>158</v>
      </c>
      <c r="B14" s="53">
        <v>0.09</v>
      </c>
      <c r="C14" s="207"/>
      <c r="D14" s="207"/>
      <c r="E14" s="207"/>
      <c r="F14" s="207"/>
    </row>
    <row r="15" spans="1:6" ht="15">
      <c r="A15" s="202" t="s">
        <v>199</v>
      </c>
      <c r="B15" s="203"/>
      <c r="C15" s="204" t="s">
        <v>202</v>
      </c>
      <c r="D15" s="205"/>
      <c r="E15" s="205"/>
      <c r="F15" s="205"/>
    </row>
    <row r="16" spans="1:6" ht="27.75" customHeight="1">
      <c r="A16" s="68" t="s">
        <v>141</v>
      </c>
      <c r="B16" s="69">
        <f>B5*AVERAGE(B10:F10)*1+B12</f>
        <v>386.16151131869526</v>
      </c>
      <c r="C16" s="191" t="s">
        <v>277</v>
      </c>
      <c r="D16" s="192"/>
      <c r="E16" s="192"/>
      <c r="F16" s="192"/>
    </row>
    <row r="17" spans="1:6" ht="28.5" customHeight="1">
      <c r="A17" s="68" t="s">
        <v>142</v>
      </c>
      <c r="B17" s="69">
        <f>((B5)*(1+B12))/'FCF Valaution'!B8</f>
        <v>569.7190048847757</v>
      </c>
      <c r="C17" s="191" t="s">
        <v>223</v>
      </c>
      <c r="D17" s="192"/>
      <c r="E17" s="192"/>
      <c r="F17" s="192"/>
    </row>
    <row r="18" spans="1:6" ht="30" customHeight="1">
      <c r="A18" s="68" t="s">
        <v>160</v>
      </c>
      <c r="B18" s="69">
        <f>SQRT((AVERAGE(B5:D5))*'InputBS-1'!C37*22.5)</f>
        <v>369.49324341466757</v>
      </c>
      <c r="C18" s="191" t="s">
        <v>224</v>
      </c>
      <c r="D18" s="192"/>
      <c r="E18" s="192"/>
      <c r="F18" s="192"/>
    </row>
    <row r="19" spans="1:6" ht="36" customHeight="1">
      <c r="A19" s="68" t="s">
        <v>157</v>
      </c>
      <c r="B19" s="69">
        <f>B5*(1+B13)*(B13*100+8.5)*(0.044)/(B14)</f>
        <v>839.76581320015941</v>
      </c>
      <c r="C19" s="191" t="s">
        <v>225</v>
      </c>
      <c r="D19" s="192"/>
      <c r="E19" s="192"/>
      <c r="F19" s="192"/>
    </row>
  </sheetData>
  <mergeCells count="11">
    <mergeCell ref="A1:F1"/>
    <mergeCell ref="A11:F11"/>
    <mergeCell ref="A15:B15"/>
    <mergeCell ref="C15:F15"/>
    <mergeCell ref="C16:F16"/>
    <mergeCell ref="C12:F14"/>
    <mergeCell ref="C17:F17"/>
    <mergeCell ref="C18:F18"/>
    <mergeCell ref="C19:F19"/>
    <mergeCell ref="A2:F2"/>
    <mergeCell ref="A3:F3"/>
  </mergeCells>
  <hyperlinks>
    <hyperlink ref="A1" r:id="rId1"/>
  </hyperlinks>
  <pageMargins left="0.70866141732283472" right="0.70866141732283472"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workbookViewId="0">
      <selection activeCell="B5" sqref="B5"/>
    </sheetView>
  </sheetViews>
  <sheetFormatPr defaultRowHeight="14.25"/>
  <cols>
    <col min="1" max="1" width="32" style="61" customWidth="1"/>
    <col min="2" max="2" width="11.140625" style="61" bestFit="1" customWidth="1"/>
    <col min="3" max="3" width="17" style="61" bestFit="1" customWidth="1"/>
    <col min="4" max="4" width="11.140625" style="61" customWidth="1"/>
    <col min="5" max="5" width="9.42578125" style="61" bestFit="1" customWidth="1"/>
    <col min="6" max="16384" width="9.140625" style="61"/>
  </cols>
  <sheetData>
    <row r="1" spans="1:14">
      <c r="A1" s="208" t="s">
        <v>196</v>
      </c>
      <c r="B1" s="209"/>
      <c r="C1" s="209"/>
      <c r="D1" s="209"/>
      <c r="E1" s="209"/>
      <c r="F1" s="209"/>
      <c r="G1" s="209"/>
      <c r="H1" s="209"/>
      <c r="I1" s="209"/>
      <c r="J1" s="209"/>
      <c r="K1" s="209"/>
      <c r="L1" s="209"/>
      <c r="M1" s="209"/>
      <c r="N1" s="209"/>
    </row>
    <row r="2" spans="1:14" ht="15">
      <c r="A2" s="210" t="s">
        <v>227</v>
      </c>
      <c r="B2" s="210"/>
      <c r="C2" s="210"/>
      <c r="D2" s="210"/>
      <c r="E2" s="210"/>
      <c r="F2" s="210"/>
      <c r="G2" s="210"/>
      <c r="H2" s="210"/>
      <c r="I2" s="210"/>
      <c r="J2" s="210"/>
      <c r="K2" s="210"/>
      <c r="L2" s="210"/>
      <c r="M2" s="210"/>
      <c r="N2" s="210"/>
    </row>
    <row r="3" spans="1:14" ht="15">
      <c r="A3" s="71" t="s">
        <v>101</v>
      </c>
      <c r="B3" s="72" t="s">
        <v>194</v>
      </c>
      <c r="C3" s="72" t="s">
        <v>99</v>
      </c>
      <c r="D3" s="73">
        <v>0</v>
      </c>
      <c r="E3" s="73">
        <v>1</v>
      </c>
      <c r="F3" s="73">
        <v>2</v>
      </c>
      <c r="G3" s="73">
        <v>3</v>
      </c>
      <c r="H3" s="73">
        <v>4</v>
      </c>
      <c r="I3" s="73">
        <v>5</v>
      </c>
      <c r="J3" s="73">
        <v>6</v>
      </c>
      <c r="K3" s="73">
        <v>7</v>
      </c>
      <c r="L3" s="73">
        <v>8</v>
      </c>
      <c r="M3" s="73">
        <v>9</v>
      </c>
      <c r="N3" s="73">
        <v>10</v>
      </c>
    </row>
    <row r="4" spans="1:14" ht="15">
      <c r="A4" s="131" t="s">
        <v>117</v>
      </c>
      <c r="B4" s="130">
        <v>32</v>
      </c>
      <c r="C4" s="74" t="s">
        <v>109</v>
      </c>
      <c r="D4" s="74"/>
      <c r="E4" s="67">
        <f>B5</f>
        <v>0.25</v>
      </c>
      <c r="F4" s="67">
        <f>B5</f>
        <v>0.25</v>
      </c>
      <c r="G4" s="67">
        <f>B5</f>
        <v>0.25</v>
      </c>
      <c r="H4" s="67">
        <f>B5</f>
        <v>0.25</v>
      </c>
      <c r="I4" s="67">
        <f>B5</f>
        <v>0.25</v>
      </c>
      <c r="J4" s="67">
        <f>B6</f>
        <v>0.1875</v>
      </c>
      <c r="K4" s="67">
        <f>B6</f>
        <v>0.1875</v>
      </c>
      <c r="L4" s="67">
        <f>B6</f>
        <v>0.1875</v>
      </c>
      <c r="M4" s="67">
        <f>B6</f>
        <v>0.1875</v>
      </c>
      <c r="N4" s="67">
        <f>B6</f>
        <v>0.1875</v>
      </c>
    </row>
    <row r="5" spans="1:14" ht="15">
      <c r="A5" s="131" t="s">
        <v>102</v>
      </c>
      <c r="B5" s="70">
        <v>0.25</v>
      </c>
      <c r="C5" s="63" t="s">
        <v>110</v>
      </c>
      <c r="D5" s="136">
        <f>B4</f>
        <v>32</v>
      </c>
      <c r="E5" s="136">
        <f>D5+D5*E4</f>
        <v>40</v>
      </c>
      <c r="F5" s="136">
        <f t="shared" ref="F5:N5" si="0">E5+E5*F4</f>
        <v>50</v>
      </c>
      <c r="G5" s="136">
        <f t="shared" si="0"/>
        <v>62.5</v>
      </c>
      <c r="H5" s="136">
        <f t="shared" si="0"/>
        <v>78.125</v>
      </c>
      <c r="I5" s="136">
        <f t="shared" si="0"/>
        <v>97.65625</v>
      </c>
      <c r="J5" s="136">
        <f t="shared" si="0"/>
        <v>115.966796875</v>
      </c>
      <c r="K5" s="136">
        <f t="shared" si="0"/>
        <v>137.7105712890625</v>
      </c>
      <c r="L5" s="136">
        <f t="shared" si="0"/>
        <v>163.53130340576172</v>
      </c>
      <c r="M5" s="136">
        <f t="shared" si="0"/>
        <v>194.19342279434204</v>
      </c>
      <c r="N5" s="136">
        <f t="shared" si="0"/>
        <v>230.60468956828117</v>
      </c>
    </row>
    <row r="6" spans="1:14" ht="15">
      <c r="A6" s="131" t="s">
        <v>103</v>
      </c>
      <c r="B6" s="70">
        <f>B5*0.75</f>
        <v>0.1875</v>
      </c>
      <c r="C6" s="63" t="s">
        <v>111</v>
      </c>
      <c r="D6" s="63"/>
      <c r="E6" s="75">
        <f>E5/((1+$B$8)^E3)</f>
        <v>36.697247706422019</v>
      </c>
      <c r="F6" s="75">
        <f t="shared" ref="F6:N6" si="1">F5/((1+$B$8)^F3)</f>
        <v>42.083999663327994</v>
      </c>
      <c r="G6" s="75">
        <f t="shared" si="1"/>
        <v>48.261467503816512</v>
      </c>
      <c r="H6" s="75">
        <f t="shared" si="1"/>
        <v>55.345719614468472</v>
      </c>
      <c r="I6" s="75">
        <f t="shared" si="1"/>
        <v>63.469861943197785</v>
      </c>
      <c r="J6" s="75">
        <f t="shared" si="1"/>
        <v>69.147211979401249</v>
      </c>
      <c r="K6" s="75">
        <f t="shared" si="1"/>
        <v>75.332398372054115</v>
      </c>
      <c r="L6" s="75">
        <f t="shared" si="1"/>
        <v>82.070846850288305</v>
      </c>
      <c r="M6" s="75">
        <f t="shared" si="1"/>
        <v>89.412046453869138</v>
      </c>
      <c r="N6" s="75">
        <f t="shared" si="1"/>
        <v>97.409912994467504</v>
      </c>
    </row>
    <row r="7" spans="1:14" ht="15">
      <c r="A7" s="131" t="s">
        <v>104</v>
      </c>
      <c r="B7" s="70">
        <v>0.04</v>
      </c>
      <c r="C7" s="63" t="s">
        <v>112</v>
      </c>
      <c r="D7" s="76">
        <f>((N5*B6+N5)/(B8-B7))/((1+$B$8)^10)</f>
        <v>2313.4854336186036</v>
      </c>
      <c r="E7" s="77"/>
      <c r="F7" s="77"/>
      <c r="G7" s="77"/>
      <c r="H7" s="77"/>
      <c r="I7" s="77"/>
      <c r="J7" s="77"/>
      <c r="K7" s="77"/>
      <c r="L7" s="77"/>
      <c r="M7" s="77"/>
      <c r="N7" s="77"/>
    </row>
    <row r="8" spans="1:14" ht="15">
      <c r="A8" s="131" t="s">
        <v>128</v>
      </c>
      <c r="B8" s="70">
        <v>0.09</v>
      </c>
      <c r="C8" s="63" t="s">
        <v>113</v>
      </c>
      <c r="D8" s="76">
        <f>SUM(E6:N6)</f>
        <v>659.23071308131307</v>
      </c>
      <c r="E8" s="77"/>
      <c r="F8" s="77"/>
      <c r="G8" s="77"/>
      <c r="H8" s="77"/>
      <c r="I8" s="77"/>
      <c r="J8" s="77"/>
      <c r="K8" s="77"/>
      <c r="L8" s="77"/>
      <c r="M8" s="77"/>
      <c r="N8" s="77"/>
    </row>
    <row r="9" spans="1:14">
      <c r="A9" s="131" t="s">
        <v>105</v>
      </c>
      <c r="B9" s="74">
        <f>Dashboard!B7</f>
        <v>12654874</v>
      </c>
      <c r="C9" s="74" t="s">
        <v>114</v>
      </c>
      <c r="D9" s="78">
        <f>D7+D8-B10</f>
        <v>3042.1761466999169</v>
      </c>
      <c r="E9" s="77"/>
      <c r="F9" s="77"/>
      <c r="G9" s="77"/>
      <c r="H9" s="77"/>
      <c r="I9" s="77"/>
      <c r="J9" s="77"/>
      <c r="K9" s="77"/>
      <c r="L9" s="77"/>
      <c r="M9" s="77"/>
      <c r="N9" s="77"/>
    </row>
    <row r="10" spans="1:14" ht="15">
      <c r="A10" s="131" t="s">
        <v>106</v>
      </c>
      <c r="B10" s="63">
        <f>'InputBS-1'!C11-'InputBS-1'!C21-'InputBS-1'!C18</f>
        <v>-69.460000000000008</v>
      </c>
      <c r="C10" s="79" t="s">
        <v>115</v>
      </c>
      <c r="D10" s="80">
        <f>(D9/B9)*(10^7)</f>
        <v>2403.956093675778</v>
      </c>
      <c r="E10" s="77"/>
      <c r="F10" s="77"/>
      <c r="G10" s="77"/>
      <c r="H10" s="77"/>
      <c r="I10" s="77"/>
      <c r="J10" s="77"/>
      <c r="K10" s="77"/>
      <c r="L10" s="77"/>
      <c r="M10" s="77"/>
      <c r="N10" s="77"/>
    </row>
    <row r="11" spans="1:14">
      <c r="A11" s="81"/>
      <c r="B11" s="81"/>
      <c r="C11" s="81"/>
      <c r="D11" s="81"/>
      <c r="E11" s="81"/>
      <c r="F11" s="81"/>
      <c r="G11" s="81"/>
      <c r="H11" s="81"/>
      <c r="I11" s="81"/>
      <c r="J11" s="81"/>
      <c r="K11" s="81"/>
      <c r="L11" s="81"/>
      <c r="M11" s="81"/>
      <c r="N11" s="81"/>
    </row>
    <row r="12" spans="1:14" ht="15">
      <c r="A12" s="82"/>
      <c r="B12" s="83" t="s">
        <v>222</v>
      </c>
      <c r="C12" s="81"/>
      <c r="D12" s="81"/>
      <c r="E12" s="81"/>
      <c r="F12" s="81"/>
      <c r="G12" s="81"/>
      <c r="H12" s="81"/>
      <c r="I12" s="81"/>
      <c r="J12" s="81"/>
      <c r="K12" s="81"/>
      <c r="L12" s="81"/>
      <c r="M12" s="81"/>
      <c r="N12" s="81"/>
    </row>
    <row r="13" spans="1:14">
      <c r="A13" s="61" t="s">
        <v>275</v>
      </c>
      <c r="B13" s="132">
        <f>MAX('InputCF-1'!C24,'InputCF-2'!D36)</f>
        <v>2.35</v>
      </c>
    </row>
    <row r="16" spans="1:14">
      <c r="E16" s="61" t="s">
        <v>107</v>
      </c>
    </row>
  </sheetData>
  <mergeCells count="2">
    <mergeCell ref="A1:N1"/>
    <mergeCell ref="A2:N2"/>
  </mergeCells>
  <hyperlinks>
    <hyperlink ref="A1" r:id="rId1"/>
  </hyperlinks>
  <pageMargins left="0.70866141732283472" right="0.70866141732283472" top="0.74803149606299213" bottom="0.74803149606299213" header="0.31496062992125984" footer="0.31496062992125984"/>
  <pageSetup paperSize="9" scale="80" orientation="landscape" r:id="rId2"/>
  <ignoredErrors>
    <ignoredError sqref="B6"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topLeftCell="A2" workbookViewId="0">
      <selection activeCell="I10" sqref="I10"/>
    </sheetView>
  </sheetViews>
  <sheetFormatPr defaultRowHeight="14.25"/>
  <cols>
    <col min="1" max="1" width="30.140625" style="81" bestFit="1" customWidth="1"/>
    <col min="2" max="6" width="11.5703125" style="81" bestFit="1" customWidth="1"/>
    <col min="7" max="16384" width="9.140625" style="81"/>
  </cols>
  <sheetData>
    <row r="1" spans="1:10">
      <c r="A1" s="208" t="s">
        <v>196</v>
      </c>
      <c r="B1" s="209"/>
      <c r="C1" s="209"/>
      <c r="D1" s="209"/>
      <c r="E1" s="209"/>
      <c r="F1" s="209"/>
    </row>
    <row r="2" spans="1:10" ht="15">
      <c r="A2" s="210" t="s">
        <v>228</v>
      </c>
      <c r="B2" s="210"/>
      <c r="C2" s="210"/>
      <c r="D2" s="210"/>
      <c r="E2" s="210"/>
      <c r="F2" s="210"/>
    </row>
    <row r="3" spans="1:10">
      <c r="A3" s="84" t="s">
        <v>217</v>
      </c>
      <c r="B3" s="85" t="str">
        <f>'InputBS-1'!C1</f>
        <v>CY</v>
      </c>
      <c r="C3" s="85" t="str">
        <f>'InputBS-1'!D1</f>
        <v>CY-1</v>
      </c>
      <c r="D3" s="85" t="str">
        <f>'InputBS-1'!E1</f>
        <v>CY-2</v>
      </c>
      <c r="E3" s="85" t="str">
        <f>'InputBS-1'!F1</f>
        <v>CY-3</v>
      </c>
      <c r="F3" s="85" t="str">
        <f>'InputBS-1'!G1</f>
        <v>CY-4</v>
      </c>
    </row>
    <row r="4" spans="1:10">
      <c r="A4" s="63" t="s">
        <v>162</v>
      </c>
      <c r="B4" s="65">
        <f>'InputPL-1'!C28/'InputBS-1'!C33</f>
        <v>0.1949158906578552</v>
      </c>
      <c r="C4" s="65">
        <f>'InputPL-1'!D28/'InputBS-1'!D33</f>
        <v>0.19711641001578295</v>
      </c>
      <c r="D4" s="65">
        <f>'InputPL-1'!E28/'InputBS-1'!E33</f>
        <v>0.17761516713786796</v>
      </c>
      <c r="E4" s="65">
        <f>'InputPL-1'!F28/'InputBS-1'!F33</f>
        <v>0.17758447641351624</v>
      </c>
      <c r="F4" s="65">
        <f>'InputPL-1'!G28/'InputBS-1'!G33</f>
        <v>0.1694461246003629</v>
      </c>
    </row>
    <row r="5" spans="1:10">
      <c r="A5" s="63" t="s">
        <v>163</v>
      </c>
      <c r="B5" s="65">
        <f>'InputBS-1'!C11/'InputBS-1'!C33</f>
        <v>0.15905677380594774</v>
      </c>
      <c r="C5" s="65">
        <f>'InputBS-1'!D11/'InputBS-1'!D33</f>
        <v>0.23435567120249112</v>
      </c>
      <c r="D5" s="65">
        <f>'InputBS-1'!E11/'InputBS-1'!E33</f>
        <v>0.22844947059149623</v>
      </c>
      <c r="E5" s="65">
        <f>'InputBS-1'!F11/'InputBS-1'!F33</f>
        <v>0.25352960856473739</v>
      </c>
      <c r="F5" s="65">
        <f>'InputBS-1'!G11/'InputBS-1'!G33</f>
        <v>0.23520262680376738</v>
      </c>
    </row>
    <row r="6" spans="1:10">
      <c r="A6" s="63" t="s">
        <v>164</v>
      </c>
      <c r="B6" s="65">
        <f>'InputBS-1'!C22/'InputBS-1'!C28</f>
        <v>0.2164657785296398</v>
      </c>
      <c r="C6" s="65">
        <f>'InputBS-1'!D22/'InputBS-1'!D28</f>
        <v>0.36036438331695991</v>
      </c>
      <c r="D6" s="65">
        <f>'InputBS-1'!E22/'InputBS-1'!E28</f>
        <v>0.35927456382001838</v>
      </c>
      <c r="E6" s="65">
        <f>'InputBS-1'!F22/'InputBS-1'!F28</f>
        <v>0.1208114199849737</v>
      </c>
      <c r="F6" s="65">
        <f>'InputBS-1'!G22/'InputBS-1'!G28</f>
        <v>9.5384615384615387E-2</v>
      </c>
    </row>
    <row r="7" spans="1:10">
      <c r="A7" s="63" t="s">
        <v>165</v>
      </c>
      <c r="B7" s="67">
        <f>'InputPL-1'!C40</f>
        <v>0.1430185779505492</v>
      </c>
      <c r="C7" s="67">
        <f>'InputPL-1'!D40</f>
        <v>0.1544058868141103</v>
      </c>
      <c r="D7" s="67">
        <f>'InputPL-1'!E40</f>
        <v>0.16709978396317982</v>
      </c>
      <c r="E7" s="67">
        <f>'InputPL-1'!F40</f>
        <v>0.18457806815069833</v>
      </c>
      <c r="F7" s="67">
        <f>'InputPL-1'!G40</f>
        <v>0.18204961813008536</v>
      </c>
    </row>
    <row r="8" spans="1:10">
      <c r="A8" s="63" t="s">
        <v>167</v>
      </c>
      <c r="B8" s="63">
        <f>'InputPL-1'!C28</f>
        <v>51.91</v>
      </c>
      <c r="C8" s="63">
        <f>'InputPL-1'!D28</f>
        <v>46.21</v>
      </c>
      <c r="D8" s="63">
        <f>'InputPL-1'!E28</f>
        <v>32.04</v>
      </c>
      <c r="E8" s="63">
        <f>'InputPL-1'!F28</f>
        <v>26.54</v>
      </c>
      <c r="F8" s="63">
        <f>'InputPL-1'!G28</f>
        <v>19.61</v>
      </c>
    </row>
    <row r="9" spans="1:10">
      <c r="A9" s="63" t="s">
        <v>168</v>
      </c>
      <c r="B9" s="63" t="str">
        <f>'InputCF-1'!C3</f>
        <v>Annual</v>
      </c>
      <c r="C9" s="63">
        <f>'InputCF-1'!D3</f>
        <v>0</v>
      </c>
      <c r="D9" s="63">
        <f>'InputCF-1'!E3</f>
        <v>0</v>
      </c>
      <c r="E9" s="63">
        <f>'InputCF-1'!F3</f>
        <v>0</v>
      </c>
      <c r="F9" s="63" t="str">
        <f>'InputCF-1'!G3</f>
        <v>Quarterly</v>
      </c>
    </row>
    <row r="10" spans="1:10">
      <c r="A10" s="63" t="s">
        <v>105</v>
      </c>
      <c r="B10" s="74">
        <f>Dashboard!B7</f>
        <v>12654874</v>
      </c>
      <c r="C10" s="74">
        <f>Dashboard!B7</f>
        <v>12654874</v>
      </c>
      <c r="D10" s="86" t="s">
        <v>170</v>
      </c>
      <c r="E10" s="86" t="s">
        <v>170</v>
      </c>
      <c r="F10" s="86" t="s">
        <v>170</v>
      </c>
    </row>
    <row r="11" spans="1:10">
      <c r="A11" s="63" t="s">
        <v>169</v>
      </c>
      <c r="B11" s="65">
        <f>'InputPL-1'!C8/'InputBS-1'!C33</f>
        <v>2.5579002703514573</v>
      </c>
      <c r="C11" s="65">
        <f>'InputPL-1'!D8/'InputBS-1'!D33</f>
        <v>2.1175190888538156</v>
      </c>
      <c r="D11" s="65">
        <f>'InputPL-1'!E8/'InputBS-1'!E33</f>
        <v>2.0025500304894952</v>
      </c>
      <c r="E11" s="65">
        <f>'InputPL-1'!F8/'InputBS-1'!F33</f>
        <v>1.7059217129474742</v>
      </c>
      <c r="F11" s="65">
        <f>'InputPL-1'!G8/'InputBS-1'!G33</f>
        <v>1.7373196232610386</v>
      </c>
      <c r="G11" s="87" t="s">
        <v>189</v>
      </c>
      <c r="H11" s="87"/>
      <c r="I11" s="87" t="s">
        <v>208</v>
      </c>
      <c r="J11" s="87"/>
    </row>
    <row r="12" spans="1:10">
      <c r="A12" s="63"/>
      <c r="B12" s="88"/>
      <c r="C12" s="77"/>
      <c r="D12" s="77"/>
      <c r="E12" s="77"/>
      <c r="F12" s="77"/>
      <c r="G12" s="87" t="s">
        <v>203</v>
      </c>
      <c r="H12" s="87">
        <v>0</v>
      </c>
      <c r="I12" s="87" t="s">
        <v>194</v>
      </c>
      <c r="J12" s="89">
        <f>(B23/9)*100</f>
        <v>77.777777777777786</v>
      </c>
    </row>
    <row r="13" spans="1:10">
      <c r="A13" s="63"/>
      <c r="B13" s="63"/>
      <c r="C13" s="77"/>
      <c r="D13" s="77"/>
      <c r="E13" s="77"/>
      <c r="F13" s="77"/>
      <c r="G13" s="87" t="s">
        <v>204</v>
      </c>
      <c r="H13" s="87">
        <v>30</v>
      </c>
      <c r="I13" s="87" t="s">
        <v>208</v>
      </c>
      <c r="J13" s="87">
        <v>1</v>
      </c>
    </row>
    <row r="14" spans="1:10">
      <c r="A14" s="66" t="s">
        <v>171</v>
      </c>
      <c r="B14" s="90">
        <f>--(B8&gt;0)</f>
        <v>1</v>
      </c>
      <c r="C14" s="91"/>
      <c r="D14" s="91"/>
      <c r="E14" s="91"/>
      <c r="F14" s="91"/>
      <c r="G14" s="87" t="s">
        <v>205</v>
      </c>
      <c r="H14" s="87">
        <v>40</v>
      </c>
      <c r="I14" s="87" t="s">
        <v>206</v>
      </c>
      <c r="J14" s="87">
        <f>SUM(H12:H16) - SUM(J12:J13)</f>
        <v>121.22222222222221</v>
      </c>
    </row>
    <row r="15" spans="1:10">
      <c r="A15" s="66" t="s">
        <v>172</v>
      </c>
      <c r="B15" s="90">
        <f>--(B9&gt;0)</f>
        <v>1</v>
      </c>
      <c r="C15" s="91"/>
      <c r="D15" s="91"/>
      <c r="E15" s="91"/>
      <c r="F15" s="91"/>
      <c r="G15" s="87" t="s">
        <v>206</v>
      </c>
      <c r="H15" s="87">
        <v>30</v>
      </c>
      <c r="I15" s="87"/>
      <c r="J15" s="87"/>
    </row>
    <row r="16" spans="1:10">
      <c r="A16" s="66" t="s">
        <v>173</v>
      </c>
      <c r="B16" s="92">
        <f>--(C4&gt;B4)</f>
        <v>1</v>
      </c>
      <c r="C16" s="93"/>
      <c r="D16" s="93"/>
      <c r="E16" s="93"/>
      <c r="F16" s="77"/>
      <c r="G16" s="87" t="s">
        <v>207</v>
      </c>
      <c r="H16" s="87">
        <v>100</v>
      </c>
      <c r="I16" s="87"/>
      <c r="J16" s="87"/>
    </row>
    <row r="17" spans="1:6">
      <c r="A17" s="66" t="s">
        <v>174</v>
      </c>
      <c r="B17" s="92">
        <f>--(B9&gt;B8)</f>
        <v>1</v>
      </c>
      <c r="C17" s="93"/>
      <c r="D17" s="93"/>
      <c r="E17" s="93"/>
      <c r="F17" s="77"/>
    </row>
    <row r="18" spans="1:6">
      <c r="A18" s="66" t="s">
        <v>175</v>
      </c>
      <c r="B18" s="92">
        <f>--(B5&lt;C5)</f>
        <v>1</v>
      </c>
      <c r="C18" s="93"/>
      <c r="D18" s="93"/>
      <c r="E18" s="93"/>
      <c r="F18" s="77"/>
    </row>
    <row r="19" spans="1:6">
      <c r="A19" s="66" t="s">
        <v>176</v>
      </c>
      <c r="B19" s="92">
        <f>--(B6&gt;C6)</f>
        <v>0</v>
      </c>
      <c r="C19" s="93"/>
      <c r="D19" s="93"/>
      <c r="E19" s="93"/>
      <c r="F19" s="77"/>
    </row>
    <row r="20" spans="1:6">
      <c r="A20" s="63" t="s">
        <v>177</v>
      </c>
      <c r="B20" s="92">
        <f>--(B10&lt;=C10)</f>
        <v>1</v>
      </c>
      <c r="C20" s="93"/>
      <c r="D20" s="93"/>
      <c r="E20" s="93"/>
      <c r="F20" s="77"/>
    </row>
    <row r="21" spans="1:6">
      <c r="A21" s="63" t="s">
        <v>178</v>
      </c>
      <c r="B21" s="92">
        <f>--(B7&gt;C7)</f>
        <v>0</v>
      </c>
      <c r="C21" s="93"/>
      <c r="D21" s="93"/>
      <c r="E21" s="93"/>
      <c r="F21" s="77"/>
    </row>
    <row r="22" spans="1:6">
      <c r="A22" s="63" t="s">
        <v>179</v>
      </c>
      <c r="B22" s="92">
        <f>--(B11&gt;C11)</f>
        <v>1</v>
      </c>
      <c r="C22" s="93"/>
      <c r="D22" s="93"/>
      <c r="E22" s="93"/>
      <c r="F22" s="77"/>
    </row>
    <row r="23" spans="1:6" ht="15">
      <c r="A23" s="94" t="s">
        <v>161</v>
      </c>
      <c r="B23" s="95">
        <f>SUM(B14:B22)</f>
        <v>7</v>
      </c>
      <c r="C23" s="96"/>
      <c r="D23" s="96"/>
      <c r="E23" s="96"/>
      <c r="F23" s="77"/>
    </row>
  </sheetData>
  <mergeCells count="2">
    <mergeCell ref="A1:F1"/>
    <mergeCell ref="A2:F2"/>
  </mergeCells>
  <hyperlinks>
    <hyperlink ref="A1"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workbookViewId="0">
      <selection activeCell="A20" sqref="A20"/>
    </sheetView>
  </sheetViews>
  <sheetFormatPr defaultRowHeight="14.25"/>
  <cols>
    <col min="1" max="1" width="36.140625" style="81" bestFit="1" customWidth="1"/>
    <col min="2" max="3" width="9.140625" style="81"/>
    <col min="4" max="4" width="40.42578125" style="81" bestFit="1" customWidth="1"/>
    <col min="5" max="5" width="9.140625" style="81"/>
    <col min="6" max="6" width="9.140625" style="81" customWidth="1"/>
    <col min="7" max="16384" width="9.140625" style="81"/>
  </cols>
  <sheetData>
    <row r="1" spans="1:10">
      <c r="A1" s="208" t="s">
        <v>196</v>
      </c>
      <c r="B1" s="209"/>
      <c r="C1" s="209"/>
      <c r="D1" s="209"/>
      <c r="E1" s="209"/>
    </row>
    <row r="2" spans="1:10" ht="15">
      <c r="A2" s="210" t="s">
        <v>229</v>
      </c>
      <c r="B2" s="210"/>
      <c r="C2" s="210"/>
      <c r="D2" s="210"/>
      <c r="E2" s="210"/>
    </row>
    <row r="3" spans="1:10" ht="15">
      <c r="A3" s="211" t="s">
        <v>195</v>
      </c>
      <c r="B3" s="212"/>
      <c r="C3" s="212"/>
      <c r="D3" s="212"/>
      <c r="E3" s="213"/>
    </row>
    <row r="4" spans="1:10" ht="15">
      <c r="A4" s="63" t="s">
        <v>119</v>
      </c>
      <c r="B4" s="97" t="str">
        <f>'InputBS-1'!C1</f>
        <v>CY</v>
      </c>
      <c r="C4" s="63"/>
      <c r="D4" s="63" t="s">
        <v>184</v>
      </c>
      <c r="E4" s="63">
        <f>B5/B6</f>
        <v>0.36531240612796639</v>
      </c>
      <c r="F4" s="87" t="s">
        <v>209</v>
      </c>
      <c r="G4" s="87"/>
      <c r="H4" s="87" t="s">
        <v>208</v>
      </c>
      <c r="I4" s="87"/>
      <c r="J4" s="87"/>
    </row>
    <row r="5" spans="1:10">
      <c r="A5" s="63" t="s">
        <v>180</v>
      </c>
      <c r="B5" s="63">
        <f>'InputBS-1'!C31</f>
        <v>97.29</v>
      </c>
      <c r="C5" s="63"/>
      <c r="D5" s="63" t="s">
        <v>185</v>
      </c>
      <c r="E5" s="63">
        <f>B8/B6</f>
        <v>0.82141784319615496</v>
      </c>
      <c r="F5" s="87" t="s">
        <v>203</v>
      </c>
      <c r="G5" s="87">
        <v>0</v>
      </c>
      <c r="H5" s="87" t="s">
        <v>194</v>
      </c>
      <c r="I5" s="89">
        <f>(B14/6)*100</f>
        <v>100</v>
      </c>
      <c r="J5" s="87"/>
    </row>
    <row r="6" spans="1:10">
      <c r="A6" s="63" t="s">
        <v>35</v>
      </c>
      <c r="B6" s="63">
        <f>'InputBS-1'!C33</f>
        <v>266.32</v>
      </c>
      <c r="C6" s="63"/>
      <c r="D6" s="63" t="s">
        <v>186</v>
      </c>
      <c r="E6" s="63">
        <f>B9/B6</f>
        <v>0.35641333733854014</v>
      </c>
      <c r="F6" s="87" t="s">
        <v>204</v>
      </c>
      <c r="G6" s="87">
        <v>30</v>
      </c>
      <c r="H6" s="87" t="s">
        <v>208</v>
      </c>
      <c r="I6" s="87">
        <v>1</v>
      </c>
      <c r="J6" s="87"/>
    </row>
    <row r="7" spans="1:10">
      <c r="A7" s="63" t="s">
        <v>16</v>
      </c>
      <c r="B7" s="63">
        <f>'InputBS-1'!C12-'InputBS-1'!C8</f>
        <v>42.359999999999985</v>
      </c>
      <c r="C7" s="63"/>
      <c r="D7" s="63" t="s">
        <v>187</v>
      </c>
      <c r="E7" s="63">
        <f>Dashboard!B8/'InputBS-1'!C12</f>
        <v>10.215889723275636</v>
      </c>
      <c r="F7" s="87" t="s">
        <v>205</v>
      </c>
      <c r="G7" s="87">
        <v>20</v>
      </c>
      <c r="H7" s="87" t="s">
        <v>206</v>
      </c>
      <c r="I7" s="87">
        <f>SUM(G5:G9) - SUM(I5:I6)</f>
        <v>99</v>
      </c>
      <c r="J7" s="87"/>
    </row>
    <row r="8" spans="1:10">
      <c r="A8" s="63" t="s">
        <v>77</v>
      </c>
      <c r="B8" s="63">
        <f>'InputBS-1'!D7+'InputPL-1'!C28-'InputPL-1'!C30-'InputPL-1'!C31</f>
        <v>218.76</v>
      </c>
      <c r="C8" s="63"/>
      <c r="D8" s="63" t="s">
        <v>188</v>
      </c>
      <c r="E8" s="63">
        <f>B11/B6</f>
        <v>2.4920772003604688</v>
      </c>
      <c r="F8" s="87" t="s">
        <v>206</v>
      </c>
      <c r="G8" s="87">
        <v>50</v>
      </c>
      <c r="H8" s="87"/>
      <c r="I8" s="87"/>
      <c r="J8" s="87"/>
    </row>
    <row r="9" spans="1:10">
      <c r="A9" s="63" t="s">
        <v>181</v>
      </c>
      <c r="B9" s="63">
        <f>'InputPL-1'!C18</f>
        <v>94.92</v>
      </c>
      <c r="C9" s="63"/>
      <c r="D9" s="63"/>
      <c r="E9" s="63"/>
      <c r="F9" s="87" t="s">
        <v>207</v>
      </c>
      <c r="G9" s="87">
        <v>100</v>
      </c>
      <c r="H9" s="87"/>
      <c r="I9" s="87"/>
      <c r="J9" s="87"/>
    </row>
    <row r="10" spans="1:10">
      <c r="A10" s="63" t="s">
        <v>182</v>
      </c>
      <c r="B10" s="65">
        <f>Dashboard!B8</f>
        <v>2720.7979099999998</v>
      </c>
      <c r="C10" s="63"/>
      <c r="D10" s="63"/>
      <c r="E10" s="63"/>
      <c r="F10" s="87">
        <f>IF(SUM(B1:C1)&gt;=20,20,SUM(B1:C1))</f>
        <v>0</v>
      </c>
      <c r="G10" s="87"/>
      <c r="H10" s="87"/>
      <c r="I10" s="87"/>
      <c r="J10" s="87"/>
    </row>
    <row r="11" spans="1:10">
      <c r="A11" s="63" t="s">
        <v>41</v>
      </c>
      <c r="B11" s="63">
        <f>'InputPL-1'!C5</f>
        <v>663.69</v>
      </c>
      <c r="C11" s="63"/>
      <c r="D11" s="63"/>
      <c r="E11" s="63"/>
      <c r="F11" s="98"/>
      <c r="G11" s="98"/>
      <c r="H11" s="98"/>
      <c r="I11" s="98"/>
      <c r="J11" s="98"/>
    </row>
    <row r="12" spans="1:10">
      <c r="A12" s="63"/>
      <c r="B12" s="63"/>
      <c r="C12" s="63"/>
      <c r="D12" s="63"/>
      <c r="E12" s="63"/>
      <c r="F12" s="98"/>
      <c r="G12" s="98"/>
      <c r="H12" s="98"/>
      <c r="I12" s="98"/>
      <c r="J12" s="98"/>
    </row>
    <row r="13" spans="1:10">
      <c r="A13" s="63"/>
      <c r="B13" s="63"/>
      <c r="C13" s="63"/>
      <c r="D13" s="63"/>
      <c r="E13" s="63"/>
      <c r="F13" s="98"/>
      <c r="G13" s="98"/>
      <c r="H13" s="98"/>
      <c r="I13" s="98"/>
      <c r="J13" s="98"/>
    </row>
    <row r="14" spans="1:10">
      <c r="A14" s="68" t="s">
        <v>183</v>
      </c>
      <c r="B14" s="99">
        <f>IF((1.2*E4+1.4*E5+3.3*E6+0.6*E7+0.999*E8)&gt;=6,6,(1.2*E4+1.4*E5+3.3*E6+0.6*E7+0.999*E8))</f>
        <v>6</v>
      </c>
      <c r="C14" s="63"/>
      <c r="D14" s="63"/>
      <c r="E14" s="63"/>
      <c r="F14" s="98"/>
      <c r="G14" s="98"/>
      <c r="H14" s="98"/>
      <c r="I14" s="98"/>
      <c r="J14" s="98"/>
    </row>
    <row r="15" spans="1:10" ht="15">
      <c r="A15" s="100" t="s">
        <v>214</v>
      </c>
    </row>
    <row r="16" spans="1:10">
      <c r="A16" s="81" t="s">
        <v>212</v>
      </c>
      <c r="B16" s="81" t="s">
        <v>211</v>
      </c>
    </row>
    <row r="17" spans="1:2">
      <c r="A17" s="81" t="s">
        <v>215</v>
      </c>
      <c r="B17" s="81" t="s">
        <v>213</v>
      </c>
    </row>
    <row r="18" spans="1:2">
      <c r="A18" s="81" t="s">
        <v>216</v>
      </c>
      <c r="B18" s="81" t="s">
        <v>210</v>
      </c>
    </row>
    <row r="20" spans="1:2">
      <c r="A20" s="101"/>
    </row>
  </sheetData>
  <mergeCells count="3">
    <mergeCell ref="A3:E3"/>
    <mergeCell ref="A1:E1"/>
    <mergeCell ref="A2:E2"/>
  </mergeCells>
  <hyperlinks>
    <hyperlink ref="A1" r:id="rId1"/>
  </hyperlinks>
  <pageMargins left="0.70866141732283472" right="0.70866141732283472" top="0.74803149606299213" bottom="0.74803149606299213" header="0.31496062992125984" footer="0.31496062992125984"/>
  <pageSetup paperSize="9" scale="93"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workbookViewId="0">
      <selection activeCell="F5" sqref="F5"/>
    </sheetView>
  </sheetViews>
  <sheetFormatPr defaultRowHeight="15"/>
  <cols>
    <col min="1" max="1" width="16" bestFit="1" customWidth="1"/>
  </cols>
  <sheetData>
    <row r="1" spans="1:6">
      <c r="A1" s="111"/>
      <c r="B1" s="112" t="s">
        <v>234</v>
      </c>
      <c r="C1" s="112" t="s">
        <v>233</v>
      </c>
      <c r="D1" s="112" t="s">
        <v>232</v>
      </c>
      <c r="E1" s="112" t="s">
        <v>231</v>
      </c>
      <c r="F1" s="112" t="s">
        <v>230</v>
      </c>
    </row>
    <row r="2" spans="1:6">
      <c r="A2" s="113" t="s">
        <v>260</v>
      </c>
      <c r="B2" s="114">
        <f>'InputPL-1'!G28/'InputPL-1'!G3</f>
        <v>9.7888484001397685E-2</v>
      </c>
      <c r="C2" s="114">
        <f>'InputPL-1'!F28/'InputPL-1'!F3</f>
        <v>0.10383005359727709</v>
      </c>
      <c r="D2" s="114">
        <f>'InputPL-1'!E28/'InputPL-1'!E3</f>
        <v>0.1003162278092614</v>
      </c>
      <c r="E2" s="114">
        <f>'InputPL-1'!D28/'InputPL-1'!D3</f>
        <v>9.4717855166335296E-2</v>
      </c>
      <c r="F2" s="114">
        <f>'InputPL-1'!C28/'InputPL-1'!C3</f>
        <v>7.8214226521418115E-2</v>
      </c>
    </row>
    <row r="3" spans="1:6">
      <c r="A3" s="113" t="s">
        <v>169</v>
      </c>
      <c r="B3" s="115">
        <f>'InputPL-1'!G3/'InputBS-1'!G33</f>
        <v>1.7310118378985571</v>
      </c>
      <c r="C3" s="115">
        <f>'InputPL-1'!F3/'InputBS-1'!F33</f>
        <v>1.7103379056540651</v>
      </c>
      <c r="D3" s="115">
        <f>'InputPL-1'!E3/'InputBS-1'!E33</f>
        <v>1.7705526913908753</v>
      </c>
      <c r="E3" s="115">
        <f>'InputPL-1'!D3/'InputBS-1'!D33</f>
        <v>2.0810903041419615</v>
      </c>
      <c r="F3" s="115">
        <f>'InputPL-1'!C3/'InputBS-1'!C33</f>
        <v>2.4920772003604688</v>
      </c>
    </row>
    <row r="4" spans="1:6">
      <c r="A4" s="113" t="s">
        <v>261</v>
      </c>
      <c r="B4" s="115">
        <f>'InputBS-1'!G33/'InputBS-1'!G8</f>
        <v>1.3075358716529206</v>
      </c>
      <c r="C4" s="115">
        <f>'InputBS-1'!F33/'InputBS-1'!F8</f>
        <v>1.3396378630333452</v>
      </c>
      <c r="D4" s="115">
        <f>'InputBS-1'!E33/'InputBS-1'!E8</f>
        <v>1.2960913924414426</v>
      </c>
      <c r="E4" s="115">
        <f>'InputBS-1'!D33/'InputBS-1'!D8</f>
        <v>1.305943958553841</v>
      </c>
      <c r="F4" s="115">
        <f>'InputBS-1'!C33/'InputBS-1'!C8</f>
        <v>1.1890878242621779</v>
      </c>
    </row>
    <row r="5" spans="1:6">
      <c r="A5" s="116" t="s">
        <v>129</v>
      </c>
      <c r="B5" s="117">
        <f t="shared" ref="B5" si="0">B2*B3*B4</f>
        <v>0.22155688622754491</v>
      </c>
      <c r="C5" s="117">
        <f>C2*C3*C4</f>
        <v>0.23789888849049839</v>
      </c>
      <c r="D5" s="117">
        <f>D2*D3*D4</f>
        <v>0.23020548929443882</v>
      </c>
      <c r="E5" s="117">
        <f>E2*E3*E4</f>
        <v>0.2574229847919336</v>
      </c>
      <c r="F5" s="117">
        <f>F2*F3*F4</f>
        <v>0.23177211233647355</v>
      </c>
    </row>
    <row r="7" spans="1:6">
      <c r="A7" s="110" t="s">
        <v>263</v>
      </c>
    </row>
    <row r="8" spans="1:6">
      <c r="A8" s="109"/>
    </row>
    <row r="9" spans="1:6">
      <c r="A9" s="109" t="s">
        <v>266</v>
      </c>
    </row>
    <row r="10" spans="1:6">
      <c r="A10" s="109" t="s">
        <v>265</v>
      </c>
    </row>
    <row r="11" spans="1:6">
      <c r="A11" s="109" t="s">
        <v>264</v>
      </c>
    </row>
  </sheetData>
  <pageMargins left="0.7" right="0.7" top="0.75" bottom="0.75" header="0.3" footer="0.3"/>
  <pageSetup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B20" sqref="B20"/>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219" t="s">
        <v>119</v>
      </c>
      <c r="B1" s="219"/>
      <c r="C1" s="119" t="s">
        <v>99</v>
      </c>
      <c r="D1" s="119">
        <v>0</v>
      </c>
      <c r="E1" s="119">
        <v>1</v>
      </c>
      <c r="F1" s="119">
        <v>2</v>
      </c>
      <c r="G1" s="119">
        <v>3</v>
      </c>
      <c r="H1" s="119">
        <v>4</v>
      </c>
      <c r="I1" s="119">
        <v>5</v>
      </c>
      <c r="J1" s="119">
        <v>6</v>
      </c>
      <c r="K1" s="119">
        <v>7</v>
      </c>
      <c r="L1" s="119">
        <v>8</v>
      </c>
      <c r="M1" s="119">
        <v>9</v>
      </c>
      <c r="N1" s="119">
        <v>10</v>
      </c>
      <c r="O1" s="119">
        <v>11</v>
      </c>
      <c r="P1" s="119">
        <v>12</v>
      </c>
      <c r="Q1" s="119">
        <v>13</v>
      </c>
      <c r="R1" s="119">
        <v>14</v>
      </c>
      <c r="S1" s="119">
        <v>15</v>
      </c>
      <c r="T1" s="119">
        <v>16</v>
      </c>
      <c r="U1" s="119">
        <v>17</v>
      </c>
      <c r="V1" s="119">
        <v>18</v>
      </c>
      <c r="W1" s="119">
        <v>19</v>
      </c>
      <c r="X1" s="119">
        <v>20</v>
      </c>
    </row>
    <row r="2" spans="1:24">
      <c r="A2" s="120" t="s">
        <v>273</v>
      </c>
      <c r="B2" s="129">
        <v>0.25</v>
      </c>
      <c r="C2" s="121" t="s">
        <v>267</v>
      </c>
      <c r="D2" s="121">
        <v>1</v>
      </c>
      <c r="E2" s="121">
        <f>D2+B2</f>
        <v>1.25</v>
      </c>
      <c r="F2" s="121">
        <f>E2</f>
        <v>1.25</v>
      </c>
      <c r="G2" s="121">
        <f t="shared" ref="G2:X2" si="0">F2</f>
        <v>1.25</v>
      </c>
      <c r="H2" s="121">
        <f t="shared" si="0"/>
        <v>1.25</v>
      </c>
      <c r="I2" s="121">
        <f t="shared" si="0"/>
        <v>1.25</v>
      </c>
      <c r="J2" s="121">
        <f t="shared" si="0"/>
        <v>1.25</v>
      </c>
      <c r="K2" s="121">
        <f t="shared" si="0"/>
        <v>1.25</v>
      </c>
      <c r="L2" s="121">
        <f t="shared" si="0"/>
        <v>1.25</v>
      </c>
      <c r="M2" s="121">
        <f t="shared" si="0"/>
        <v>1.25</v>
      </c>
      <c r="N2" s="121">
        <f t="shared" si="0"/>
        <v>1.25</v>
      </c>
      <c r="O2" s="121">
        <f t="shared" si="0"/>
        <v>1.25</v>
      </c>
      <c r="P2" s="121">
        <f t="shared" si="0"/>
        <v>1.25</v>
      </c>
      <c r="Q2" s="121">
        <f t="shared" si="0"/>
        <v>1.25</v>
      </c>
      <c r="R2" s="121">
        <f t="shared" si="0"/>
        <v>1.25</v>
      </c>
      <c r="S2" s="121">
        <f t="shared" si="0"/>
        <v>1.25</v>
      </c>
      <c r="T2" s="121">
        <f t="shared" si="0"/>
        <v>1.25</v>
      </c>
      <c r="U2" s="121">
        <f t="shared" si="0"/>
        <v>1.25</v>
      </c>
      <c r="V2" s="121">
        <f t="shared" si="0"/>
        <v>1.25</v>
      </c>
      <c r="W2" s="121">
        <f t="shared" si="0"/>
        <v>1.25</v>
      </c>
      <c r="X2" s="121">
        <f t="shared" si="0"/>
        <v>1.25</v>
      </c>
    </row>
    <row r="3" spans="1:24">
      <c r="A3" s="120" t="s">
        <v>274</v>
      </c>
      <c r="B3" s="134">
        <v>25</v>
      </c>
      <c r="C3" s="121" t="s">
        <v>110</v>
      </c>
      <c r="D3" s="122">
        <f>B3</f>
        <v>25</v>
      </c>
      <c r="E3" s="122">
        <f>D3*E2</f>
        <v>31.25</v>
      </c>
      <c r="F3" s="122">
        <f>E3*F2</f>
        <v>39.0625</v>
      </c>
      <c r="G3" s="122">
        <f t="shared" ref="G3:X3" si="1">F3*G2</f>
        <v>48.828125</v>
      </c>
      <c r="H3" s="122">
        <f t="shared" si="1"/>
        <v>61.03515625</v>
      </c>
      <c r="I3" s="122">
        <f t="shared" si="1"/>
        <v>76.2939453125</v>
      </c>
      <c r="J3" s="122">
        <f t="shared" si="1"/>
        <v>95.367431640625</v>
      </c>
      <c r="K3" s="122">
        <f t="shared" si="1"/>
        <v>119.20928955078125</v>
      </c>
      <c r="L3" s="122">
        <f t="shared" si="1"/>
        <v>149.01161193847656</v>
      </c>
      <c r="M3" s="122">
        <f t="shared" si="1"/>
        <v>186.2645149230957</v>
      </c>
      <c r="N3" s="122">
        <f t="shared" si="1"/>
        <v>232.83064365386963</v>
      </c>
      <c r="O3" s="122">
        <f t="shared" si="1"/>
        <v>291.03830456733704</v>
      </c>
      <c r="P3" s="122">
        <f t="shared" si="1"/>
        <v>363.7978807091713</v>
      </c>
      <c r="Q3" s="122">
        <f t="shared" si="1"/>
        <v>454.74735088646412</v>
      </c>
      <c r="R3" s="122">
        <f t="shared" si="1"/>
        <v>568.43418860808015</v>
      </c>
      <c r="S3" s="122">
        <f>R3*S2</f>
        <v>710.54273576010019</v>
      </c>
      <c r="T3" s="122">
        <f t="shared" si="1"/>
        <v>888.17841970012523</v>
      </c>
      <c r="U3" s="122">
        <f t="shared" si="1"/>
        <v>1110.2230246251565</v>
      </c>
      <c r="V3" s="122">
        <f t="shared" si="1"/>
        <v>1387.7787807814457</v>
      </c>
      <c r="W3" s="122">
        <f t="shared" si="1"/>
        <v>1734.7234759768071</v>
      </c>
      <c r="X3" s="122">
        <f t="shared" si="1"/>
        <v>2168.4043449710089</v>
      </c>
    </row>
    <row r="4" spans="1:24">
      <c r="A4" s="127" t="s">
        <v>121</v>
      </c>
      <c r="B4" s="128">
        <f>Dashboard!B5</f>
        <v>2150</v>
      </c>
      <c r="C4" s="121" t="s">
        <v>128</v>
      </c>
      <c r="D4" s="123">
        <f>1+B5</f>
        <v>1.0900000000000001</v>
      </c>
      <c r="E4" s="123">
        <f>D4</f>
        <v>1.0900000000000001</v>
      </c>
      <c r="F4" s="123">
        <f t="shared" ref="F4:X4" si="2">E4</f>
        <v>1.0900000000000001</v>
      </c>
      <c r="G4" s="123">
        <f t="shared" si="2"/>
        <v>1.0900000000000001</v>
      </c>
      <c r="H4" s="123">
        <f t="shared" si="2"/>
        <v>1.0900000000000001</v>
      </c>
      <c r="I4" s="123">
        <f t="shared" si="2"/>
        <v>1.0900000000000001</v>
      </c>
      <c r="J4" s="123">
        <f t="shared" si="2"/>
        <v>1.0900000000000001</v>
      </c>
      <c r="K4" s="123">
        <f t="shared" si="2"/>
        <v>1.0900000000000001</v>
      </c>
      <c r="L4" s="123">
        <f t="shared" si="2"/>
        <v>1.0900000000000001</v>
      </c>
      <c r="M4" s="123">
        <f t="shared" si="2"/>
        <v>1.0900000000000001</v>
      </c>
      <c r="N4" s="123">
        <f t="shared" si="2"/>
        <v>1.0900000000000001</v>
      </c>
      <c r="O4" s="123">
        <f t="shared" si="2"/>
        <v>1.0900000000000001</v>
      </c>
      <c r="P4" s="123">
        <f t="shared" si="2"/>
        <v>1.0900000000000001</v>
      </c>
      <c r="Q4" s="123">
        <f t="shared" si="2"/>
        <v>1.0900000000000001</v>
      </c>
      <c r="R4" s="123">
        <f t="shared" si="2"/>
        <v>1.0900000000000001</v>
      </c>
      <c r="S4" s="123">
        <f t="shared" si="2"/>
        <v>1.0900000000000001</v>
      </c>
      <c r="T4" s="123">
        <f t="shared" si="2"/>
        <v>1.0900000000000001</v>
      </c>
      <c r="U4" s="123">
        <f t="shared" si="2"/>
        <v>1.0900000000000001</v>
      </c>
      <c r="V4" s="123">
        <f t="shared" si="2"/>
        <v>1.0900000000000001</v>
      </c>
      <c r="W4" s="123">
        <f t="shared" si="2"/>
        <v>1.0900000000000001</v>
      </c>
      <c r="X4" s="123">
        <f t="shared" si="2"/>
        <v>1.0900000000000001</v>
      </c>
    </row>
    <row r="5" spans="1:24">
      <c r="A5" s="120" t="s">
        <v>128</v>
      </c>
      <c r="B5" s="129">
        <v>0.09</v>
      </c>
      <c r="C5" s="121" t="s">
        <v>268</v>
      </c>
      <c r="D5" s="122">
        <f>D3</f>
        <v>25</v>
      </c>
      <c r="E5" s="122">
        <f>E3/E4^E1</f>
        <v>28.669724770642201</v>
      </c>
      <c r="F5" s="122">
        <f t="shared" ref="F5:X5" si="3">F3/F4^F1</f>
        <v>32.878124736974996</v>
      </c>
      <c r="G5" s="122">
        <f t="shared" si="3"/>
        <v>37.70427148735665</v>
      </c>
      <c r="H5" s="122">
        <f t="shared" si="3"/>
        <v>43.238843448803493</v>
      </c>
      <c r="I5" s="122">
        <f t="shared" si="3"/>
        <v>49.585829643123269</v>
      </c>
      <c r="J5" s="122">
        <f t="shared" si="3"/>
        <v>56.864483535691818</v>
      </c>
      <c r="K5" s="122">
        <f t="shared" si="3"/>
        <v>65.211563687719973</v>
      </c>
      <c r="L5" s="122">
        <f t="shared" si="3"/>
        <v>74.783903311605471</v>
      </c>
      <c r="M5" s="122">
        <f t="shared" si="3"/>
        <v>85.761357008721859</v>
      </c>
      <c r="N5" s="122">
        <f t="shared" si="3"/>
        <v>98.350180055873679</v>
      </c>
      <c r="O5" s="122">
        <f t="shared" si="3"/>
        <v>112.7869037338001</v>
      </c>
      <c r="P5" s="122">
        <f t="shared" si="3"/>
        <v>129.34277951123866</v>
      </c>
      <c r="Q5" s="122">
        <f t="shared" si="3"/>
        <v>148.32887558628283</v>
      </c>
      <c r="R5" s="122">
        <f t="shared" si="3"/>
        <v>170.10192154390231</v>
      </c>
      <c r="S5" s="122">
        <f t="shared" si="3"/>
        <v>195.0710109448421</v>
      </c>
      <c r="T5" s="122">
        <f t="shared" si="3"/>
        <v>223.70528778078221</v>
      </c>
      <c r="U5" s="122">
        <f t="shared" si="3"/>
        <v>256.54276121649337</v>
      </c>
      <c r="V5" s="122">
        <f t="shared" si="3"/>
        <v>294.20041423909788</v>
      </c>
      <c r="W5" s="122">
        <f t="shared" si="3"/>
        <v>337.3857961457544</v>
      </c>
      <c r="X5" s="122">
        <f t="shared" si="3"/>
        <v>386.91031668091102</v>
      </c>
    </row>
    <row r="6" spans="1:24">
      <c r="A6" s="127" t="s">
        <v>269</v>
      </c>
      <c r="B6" s="128">
        <f>MIN(D9:X9)</f>
        <v>18</v>
      </c>
      <c r="C6" s="121" t="s">
        <v>270</v>
      </c>
      <c r="D6" s="122">
        <f>SUM($D$5:D5)</f>
        <v>25</v>
      </c>
      <c r="E6" s="122">
        <f>SUM($D$5:E5)</f>
        <v>53.669724770642205</v>
      </c>
      <c r="F6" s="122">
        <f>SUM($D$5:F5)</f>
        <v>86.547849507617201</v>
      </c>
      <c r="G6" s="122">
        <f>SUM($D$5:G5)</f>
        <v>124.25212099497385</v>
      </c>
      <c r="H6" s="122">
        <f>SUM($D$5:H5)</f>
        <v>167.49096444377733</v>
      </c>
      <c r="I6" s="122">
        <f>SUM($D$5:I5)</f>
        <v>217.07679408690061</v>
      </c>
      <c r="J6" s="122">
        <f>SUM($D$5:J5)</f>
        <v>273.94127762259245</v>
      </c>
      <c r="K6" s="122">
        <f>SUM($D$5:K5)</f>
        <v>339.1528413103124</v>
      </c>
      <c r="L6" s="122">
        <f>SUM($D$5:L5)</f>
        <v>413.93674462191785</v>
      </c>
      <c r="M6" s="122">
        <f>SUM($D$5:M5)</f>
        <v>499.69810163063971</v>
      </c>
      <c r="N6" s="122">
        <f>SUM($D$5:N5)</f>
        <v>598.04828168651341</v>
      </c>
      <c r="O6" s="122">
        <f>SUM($D$5:O5)</f>
        <v>710.83518542031356</v>
      </c>
      <c r="P6" s="122">
        <f>SUM($D$5:P5)</f>
        <v>840.1779649315522</v>
      </c>
      <c r="Q6" s="122">
        <f>SUM($D$5:Q5)</f>
        <v>988.50684051783503</v>
      </c>
      <c r="R6" s="122">
        <f>SUM($D$5:R5)</f>
        <v>1158.6087620617373</v>
      </c>
      <c r="S6" s="122">
        <f>SUM($D$5:S5)</f>
        <v>1353.6797730065794</v>
      </c>
      <c r="T6" s="122">
        <f>SUM($D$5:T5)</f>
        <v>1577.3850607873615</v>
      </c>
      <c r="U6" s="122">
        <f>SUM($D$5:U5)</f>
        <v>1833.9278220038548</v>
      </c>
      <c r="V6" s="122">
        <f>SUM($D$5:V5)</f>
        <v>2128.1282362429529</v>
      </c>
      <c r="W6" s="122">
        <f>SUM($D$5:W5)</f>
        <v>2465.5140323887072</v>
      </c>
      <c r="X6" s="122">
        <f>SUM($D$5:X5)</f>
        <v>2852.4243490696181</v>
      </c>
    </row>
    <row r="7" spans="1:24">
      <c r="A7" s="215"/>
      <c r="B7" s="216"/>
      <c r="C7" s="121" t="s">
        <v>271</v>
      </c>
      <c r="D7" s="122">
        <f>B3/B5</f>
        <v>277.77777777777777</v>
      </c>
      <c r="E7" s="122">
        <f>(B3/B5)/(1+B5)^E1</f>
        <v>254.84199796126398</v>
      </c>
      <c r="F7" s="122">
        <f>(B3/B5)/(1+B5)^F1</f>
        <v>233.79999812959997</v>
      </c>
      <c r="G7" s="122">
        <f>(B3/B5)/(1+B5)^G1</f>
        <v>214.49541112807336</v>
      </c>
      <c r="H7" s="122">
        <f>(B3/B5)/(1+B5)^H1</f>
        <v>196.78478085144346</v>
      </c>
      <c r="I7" s="122">
        <f>(B3/B5)/(1+B5)^I1</f>
        <v>180.53649619398479</v>
      </c>
      <c r="J7" s="122">
        <f>(B3/B5)/(1+B5)^J1</f>
        <v>165.62981302200438</v>
      </c>
      <c r="K7" s="122">
        <f>(B3/B5)/(1+B5)^K1</f>
        <v>151.95395690092147</v>
      </c>
      <c r="L7" s="122">
        <f>(B3/B5)/(1+B5)^L1</f>
        <v>139.40729990910225</v>
      </c>
      <c r="M7" s="122">
        <f>(B3/B5)/(1+B5)^M1</f>
        <v>127.89660542119471</v>
      </c>
      <c r="N7" s="122">
        <f>(B3/B5)/(1+B5)^N1</f>
        <v>117.33633524880247</v>
      </c>
      <c r="O7" s="122">
        <f>(B3/B5)/(1+B5)^O1</f>
        <v>107.64801398972705</v>
      </c>
      <c r="P7" s="122">
        <f>(B3/B5)/(1+B5)^P1</f>
        <v>98.759645862134903</v>
      </c>
      <c r="Q7" s="122">
        <f>(B3/B5)/(1+B5)^Q1</f>
        <v>90.605179690032003</v>
      </c>
      <c r="R7" s="122">
        <f>(B3/B5)/(1+B5)^R1</f>
        <v>83.12401806424954</v>
      </c>
      <c r="S7" s="122">
        <f>(B3/B5)/(1+B5)^S1</f>
        <v>76.260567031421601</v>
      </c>
      <c r="T7" s="122">
        <f>(B3/B5)/(1+B5)^T1</f>
        <v>69.963822964606962</v>
      </c>
      <c r="U7" s="122">
        <f>(B3/B5)/(1+B5)^U1</f>
        <v>64.186993545510987</v>
      </c>
      <c r="V7" s="122">
        <f>(B3/B5)/(1+B5)^V1</f>
        <v>58.887150041753188</v>
      </c>
      <c r="W7" s="122">
        <f>(B3/B5)/(1+B5)^W1</f>
        <v>54.024908295186407</v>
      </c>
      <c r="X7" s="122">
        <f>(B3/B5)/(1+B5)^X1</f>
        <v>49.564136050629735</v>
      </c>
    </row>
    <row r="8" spans="1:24">
      <c r="A8" s="217"/>
      <c r="B8" s="218"/>
      <c r="C8" s="121" t="s">
        <v>272</v>
      </c>
      <c r="D8" s="122">
        <f t="shared" ref="D8:X8" si="4">D7+D6</f>
        <v>302.77777777777777</v>
      </c>
      <c r="E8" s="122">
        <f t="shared" si="4"/>
        <v>308.51172273190616</v>
      </c>
      <c r="F8" s="122">
        <f t="shared" si="4"/>
        <v>320.34784763721717</v>
      </c>
      <c r="G8" s="122">
        <f t="shared" si="4"/>
        <v>338.74753212304722</v>
      </c>
      <c r="H8" s="122">
        <f t="shared" si="4"/>
        <v>364.27574529522076</v>
      </c>
      <c r="I8" s="122">
        <f t="shared" si="4"/>
        <v>397.61329028088539</v>
      </c>
      <c r="J8" s="122">
        <f t="shared" si="4"/>
        <v>439.57109064459684</v>
      </c>
      <c r="K8" s="122">
        <f t="shared" si="4"/>
        <v>491.10679821123387</v>
      </c>
      <c r="L8" s="122">
        <f t="shared" si="4"/>
        <v>553.34404453102013</v>
      </c>
      <c r="M8" s="122">
        <f t="shared" si="4"/>
        <v>627.59470705183446</v>
      </c>
      <c r="N8" s="122">
        <f t="shared" si="4"/>
        <v>715.38461693531588</v>
      </c>
      <c r="O8" s="122">
        <f t="shared" si="4"/>
        <v>818.48319941004058</v>
      </c>
      <c r="P8" s="122">
        <f t="shared" si="4"/>
        <v>938.9376107936871</v>
      </c>
      <c r="Q8" s="122">
        <f t="shared" si="4"/>
        <v>1079.1120202078671</v>
      </c>
      <c r="R8" s="122">
        <f t="shared" si="4"/>
        <v>1241.7327801259869</v>
      </c>
      <c r="S8" s="122">
        <f t="shared" si="4"/>
        <v>1429.9403400380011</v>
      </c>
      <c r="T8" s="122">
        <f t="shared" si="4"/>
        <v>1647.3488837519685</v>
      </c>
      <c r="U8" s="122">
        <f t="shared" si="4"/>
        <v>1898.1148155493659</v>
      </c>
      <c r="V8" s="122">
        <f t="shared" si="4"/>
        <v>2187.015386284706</v>
      </c>
      <c r="W8" s="122">
        <f t="shared" si="4"/>
        <v>2519.5389406838935</v>
      </c>
      <c r="X8" s="122">
        <f t="shared" si="4"/>
        <v>2901.9884851202478</v>
      </c>
    </row>
    <row r="9" spans="1:24" ht="15" hidden="1" customHeight="1">
      <c r="A9" s="125"/>
      <c r="B9" s="126"/>
      <c r="C9" s="124"/>
      <c r="D9" s="121" t="str">
        <f>IF(D8&gt;B4,1*D1,"No")</f>
        <v>No</v>
      </c>
      <c r="E9" s="121" t="str">
        <f>IF(E8&gt;B4,E1*1,"No")</f>
        <v>No</v>
      </c>
      <c r="F9" s="121" t="str">
        <f>IF(F8&gt;B4,F1*1,"No")</f>
        <v>No</v>
      </c>
      <c r="G9" s="121" t="str">
        <f>IF(G8&gt;B4,G1*1,"No")</f>
        <v>No</v>
      </c>
      <c r="H9" s="121" t="str">
        <f>IF(H8&gt;B4,H1*1,"No")</f>
        <v>No</v>
      </c>
      <c r="I9" s="121" t="str">
        <f>IF(I8&gt;B4,I1*1,"No")</f>
        <v>No</v>
      </c>
      <c r="J9" s="121" t="str">
        <f>IF(J8&gt;B4,J1*1,"No")</f>
        <v>No</v>
      </c>
      <c r="K9" s="121" t="str">
        <f>IF(K8&gt;B4,1*K1,"No")</f>
        <v>No</v>
      </c>
      <c r="L9" s="121" t="str">
        <f>IF(L8&gt;B4,L1*1,"No")</f>
        <v>No</v>
      </c>
      <c r="M9" s="121" t="str">
        <f>IF(M8&gt;B4,M1*1,"No")</f>
        <v>No</v>
      </c>
      <c r="N9" s="121" t="str">
        <f>IF(N8&gt;B4,N1*1,"No")</f>
        <v>No</v>
      </c>
      <c r="O9" s="121" t="str">
        <f>IF(O8&gt;B4,O1*1,"No")</f>
        <v>No</v>
      </c>
      <c r="P9" s="121" t="str">
        <f>IF(P8&gt;B4,P1*1,"No")</f>
        <v>No</v>
      </c>
      <c r="Q9" s="121" t="str">
        <f>IF(Q8&gt;B4,Q1*1,"No")</f>
        <v>No</v>
      </c>
      <c r="R9" s="121" t="str">
        <f>IF(R8&gt;B4,1*R1,"No")</f>
        <v>No</v>
      </c>
      <c r="S9" s="121" t="str">
        <f>IF(S8&gt;B4,S1*1,"No")</f>
        <v>No</v>
      </c>
      <c r="T9" s="121" t="str">
        <f>IF(T8&gt;B4,T1*1,"No")</f>
        <v>No</v>
      </c>
      <c r="U9" s="121" t="str">
        <f>IF(U8&gt;B4,U1*1,"No")</f>
        <v>No</v>
      </c>
      <c r="V9" s="121">
        <f>IF(V8&gt;B4,V1*1,"No")</f>
        <v>18</v>
      </c>
      <c r="W9" s="121">
        <f>IF(W8&gt;B4,W1*1,"No")</f>
        <v>19</v>
      </c>
      <c r="X9" s="121">
        <f>IF(X8&gt;B4,X1*1,"No")</f>
        <v>20</v>
      </c>
    </row>
    <row r="10" spans="1:24">
      <c r="C10" s="118"/>
    </row>
    <row r="11" spans="1:24">
      <c r="A11" s="214" t="s">
        <v>276</v>
      </c>
      <c r="B11" s="214"/>
      <c r="C11" s="214"/>
      <c r="D11" s="214"/>
      <c r="E11" s="214"/>
      <c r="F11" s="214"/>
    </row>
    <row r="12" spans="1:24">
      <c r="A12" s="133" t="s">
        <v>278</v>
      </c>
      <c r="B12" s="135">
        <f>('FCF Valaution'!B4/Dashboard!B7)*10^7</f>
        <v>25.286699812262061</v>
      </c>
      <c r="C12" s="143" t="s">
        <v>325</v>
      </c>
    </row>
    <row r="13" spans="1:24" ht="15.75" thickBot="1">
      <c r="A13" s="225" t="s">
        <v>320</v>
      </c>
      <c r="B13" s="225"/>
      <c r="C13" s="225"/>
    </row>
    <row r="14" spans="1:24">
      <c r="A14" s="220" t="s">
        <v>324</v>
      </c>
      <c r="B14" s="221"/>
      <c r="C14" s="221"/>
      <c r="D14" s="221"/>
      <c r="E14" s="221"/>
      <c r="F14" s="221"/>
      <c r="G14" s="221"/>
      <c r="H14" s="221"/>
      <c r="I14" s="221"/>
      <c r="J14" s="221"/>
      <c r="K14" s="221"/>
      <c r="L14" s="221"/>
      <c r="M14" s="221"/>
      <c r="N14" s="221"/>
      <c r="O14" s="221"/>
      <c r="P14" s="221"/>
      <c r="Q14" s="221"/>
      <c r="R14" s="221"/>
      <c r="S14" s="221"/>
      <c r="T14" s="221"/>
      <c r="U14" s="221"/>
      <c r="V14" s="221"/>
      <c r="W14" s="221"/>
      <c r="X14" s="222"/>
    </row>
    <row r="15" spans="1:24">
      <c r="A15" s="127" t="s">
        <v>167</v>
      </c>
      <c r="B15" s="154">
        <f>'InputPL-1'!C28</f>
        <v>51.91</v>
      </c>
      <c r="C15" s="147"/>
      <c r="D15" s="147"/>
      <c r="E15" s="147"/>
      <c r="F15" s="147"/>
      <c r="G15" s="147"/>
      <c r="H15" s="147"/>
      <c r="I15" s="147"/>
      <c r="J15" s="147"/>
      <c r="K15" s="147"/>
      <c r="L15" s="147"/>
      <c r="M15" s="147"/>
      <c r="N15" s="147"/>
      <c r="O15" s="147"/>
      <c r="P15" s="147"/>
      <c r="Q15" s="147"/>
      <c r="R15" s="147"/>
      <c r="S15" s="147"/>
      <c r="T15" s="147"/>
      <c r="U15" s="147"/>
      <c r="V15" s="147"/>
      <c r="W15" s="147"/>
      <c r="X15" s="148"/>
    </row>
    <row r="16" spans="1:24">
      <c r="A16" s="127" t="s">
        <v>293</v>
      </c>
      <c r="B16" s="154">
        <f>'InputPL-1'!C22</f>
        <v>12.25</v>
      </c>
      <c r="C16" s="147"/>
      <c r="D16" s="147"/>
      <c r="E16" s="147"/>
      <c r="F16" s="147"/>
      <c r="G16" s="147"/>
      <c r="H16" s="147"/>
      <c r="I16" s="147"/>
      <c r="J16" s="147"/>
      <c r="K16" s="147"/>
      <c r="L16" s="147"/>
      <c r="M16" s="147"/>
      <c r="N16" s="147"/>
      <c r="O16" s="147"/>
      <c r="P16" s="147"/>
      <c r="Q16" s="147"/>
      <c r="R16" s="147"/>
      <c r="S16" s="147"/>
      <c r="T16" s="147"/>
      <c r="U16" s="147"/>
      <c r="V16" s="147"/>
      <c r="W16" s="147"/>
      <c r="X16" s="148"/>
    </row>
    <row r="17" spans="1:24">
      <c r="A17" s="127" t="s">
        <v>294</v>
      </c>
      <c r="B17" s="154">
        <f>MAX('InputCF-1'!C27,'InputCF-2'!D39)</f>
        <v>-31.774999999999999</v>
      </c>
      <c r="C17" s="223"/>
      <c r="D17" s="223"/>
      <c r="E17" s="223"/>
      <c r="F17" s="223"/>
      <c r="G17" s="223"/>
      <c r="H17" s="223"/>
      <c r="I17" s="223"/>
      <c r="J17" s="223"/>
      <c r="K17" s="223"/>
      <c r="L17" s="223"/>
      <c r="M17" s="223"/>
      <c r="N17" s="223"/>
      <c r="O17" s="223"/>
      <c r="P17" s="223"/>
      <c r="Q17" s="223"/>
      <c r="R17" s="223"/>
      <c r="S17" s="223"/>
      <c r="T17" s="223"/>
      <c r="U17" s="223"/>
      <c r="V17" s="223"/>
      <c r="W17" s="223"/>
      <c r="X17" s="224"/>
    </row>
    <row r="18" spans="1:24" ht="15.75" thickBot="1">
      <c r="A18" s="127" t="s">
        <v>292</v>
      </c>
      <c r="B18" s="154">
        <f>B15+B16+B17</f>
        <v>32.384999999999998</v>
      </c>
      <c r="C18" s="149"/>
      <c r="D18" s="149"/>
      <c r="E18" s="149"/>
      <c r="F18" s="149"/>
      <c r="G18" s="149"/>
      <c r="H18" s="149"/>
      <c r="I18" s="149"/>
      <c r="J18" s="149"/>
      <c r="K18" s="149"/>
      <c r="L18" s="149"/>
      <c r="M18" s="149"/>
      <c r="N18" s="149"/>
      <c r="O18" s="149"/>
      <c r="P18" s="149"/>
      <c r="Q18" s="149"/>
      <c r="R18" s="149"/>
      <c r="S18" s="149"/>
      <c r="T18" s="149"/>
      <c r="U18" s="149"/>
      <c r="V18" s="149"/>
      <c r="W18" s="149"/>
      <c r="X18" s="150"/>
    </row>
  </sheetData>
  <mergeCells count="6">
    <mergeCell ref="A11:F11"/>
    <mergeCell ref="A7:B8"/>
    <mergeCell ref="A1:B1"/>
    <mergeCell ref="A14:X14"/>
    <mergeCell ref="C17:X17"/>
    <mergeCell ref="A13:C13"/>
  </mergeCells>
  <conditionalFormatting sqref="D8:X8">
    <cfRule type="cellIs" dxfId="0"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election activeCell="C17" sqref="C17"/>
    </sheetView>
  </sheetViews>
  <sheetFormatPr defaultRowHeight="15"/>
  <cols>
    <col min="1" max="1" width="27.5703125" bestFit="1" customWidth="1"/>
    <col min="6" max="6" width="0" hidden="1" customWidth="1"/>
  </cols>
  <sheetData>
    <row r="1" spans="1:14">
      <c r="A1" s="155" t="s">
        <v>330</v>
      </c>
      <c r="B1" s="156" t="s">
        <v>230</v>
      </c>
      <c r="C1" s="156" t="s">
        <v>231</v>
      </c>
      <c r="D1" s="156" t="s">
        <v>232</v>
      </c>
      <c r="E1" s="156" t="s">
        <v>233</v>
      </c>
      <c r="F1" s="159" t="s">
        <v>234</v>
      </c>
      <c r="G1" s="226" t="s">
        <v>331</v>
      </c>
      <c r="H1" s="227"/>
      <c r="I1" s="227"/>
      <c r="J1" s="227"/>
      <c r="K1" s="227"/>
      <c r="L1" s="227"/>
      <c r="M1" s="227"/>
      <c r="N1" s="227"/>
    </row>
    <row r="2" spans="1:14">
      <c r="A2" s="3" t="s">
        <v>326</v>
      </c>
      <c r="B2" s="160">
        <f>'InputBS-1'!C14/'InputPL-1'!C3</f>
        <v>0.31894408534104779</v>
      </c>
      <c r="C2" s="160">
        <f>'InputBS-1'!D14/'InputPL-1'!D3</f>
        <v>0.35929653391272265</v>
      </c>
      <c r="D2" s="160">
        <f>'InputBS-1'!E14/'InputPL-1'!E3</f>
        <v>0.41454021728920759</v>
      </c>
      <c r="E2" s="160">
        <f>'InputBS-1'!F14/'InputPL-1'!F3</f>
        <v>0.44251007394076913</v>
      </c>
      <c r="F2" s="157">
        <f>'InputBS-1'!G14/'InputPL-1'!G3</f>
        <v>0.49328607797134721</v>
      </c>
      <c r="G2" s="227"/>
      <c r="H2" s="227"/>
      <c r="I2" s="227"/>
      <c r="J2" s="227"/>
      <c r="K2" s="227"/>
      <c r="L2" s="227"/>
      <c r="M2" s="227"/>
      <c r="N2" s="227"/>
    </row>
    <row r="3" spans="1:14">
      <c r="A3" s="3" t="s">
        <v>327</v>
      </c>
      <c r="B3" s="161">
        <f>'InputPL-1'!C3-'InputPL-1'!D3</f>
        <v>175.82000000000005</v>
      </c>
      <c r="C3" s="161">
        <f>'InputPL-1'!D3-'InputPL-1'!E3</f>
        <v>168.48000000000002</v>
      </c>
      <c r="D3" s="161">
        <f>'InputPL-1'!E3-'InputPL-1'!F3</f>
        <v>63.779999999999973</v>
      </c>
      <c r="E3" s="161">
        <f>'InputPL-1'!F3-'InputPL-1'!G3</f>
        <v>55.28</v>
      </c>
      <c r="F3" s="158"/>
      <c r="G3" s="227"/>
      <c r="H3" s="227"/>
      <c r="I3" s="227"/>
      <c r="J3" s="227"/>
      <c r="K3" s="227"/>
      <c r="L3" s="227"/>
      <c r="M3" s="227"/>
      <c r="N3" s="227"/>
    </row>
    <row r="4" spans="1:14">
      <c r="A4" s="162" t="s">
        <v>332</v>
      </c>
      <c r="B4" s="163">
        <f>('InputCF-2'!E16*(-1))/(10^4)</f>
        <v>41.9</v>
      </c>
      <c r="C4" s="163">
        <f>('InputCF-2'!F16*(-1))/(10^4)</f>
        <v>38.6</v>
      </c>
      <c r="D4" s="163">
        <f>('InputCF-2'!G16*(-1))/(10^4)</f>
        <v>24.6</v>
      </c>
      <c r="E4" s="163">
        <f>('InputCF-2'!H16*(-1))/(10^4)</f>
        <v>22</v>
      </c>
      <c r="F4" s="158"/>
      <c r="G4" s="227"/>
      <c r="H4" s="227"/>
      <c r="I4" s="227"/>
      <c r="J4" s="227"/>
      <c r="K4" s="227"/>
      <c r="L4" s="227"/>
      <c r="M4" s="227"/>
      <c r="N4" s="227"/>
    </row>
    <row r="5" spans="1:14">
      <c r="A5" s="3" t="s">
        <v>333</v>
      </c>
      <c r="B5" s="161">
        <f>B2*B3</f>
        <v>56.076749084663035</v>
      </c>
      <c r="C5" s="161">
        <f t="shared" ref="C5:E5" si="0">C2*C3</f>
        <v>60.534280033615516</v>
      </c>
      <c r="D5" s="161">
        <f t="shared" si="0"/>
        <v>26.43937505870565</v>
      </c>
      <c r="E5" s="161">
        <f t="shared" si="0"/>
        <v>24.461956887445719</v>
      </c>
      <c r="F5" s="158"/>
      <c r="G5" s="227"/>
      <c r="H5" s="227"/>
      <c r="I5" s="227"/>
      <c r="J5" s="227"/>
      <c r="K5" s="227"/>
      <c r="L5" s="227"/>
      <c r="M5" s="227"/>
      <c r="N5" s="227"/>
    </row>
    <row r="6" spans="1:14">
      <c r="A6" s="3" t="s">
        <v>328</v>
      </c>
      <c r="B6" s="161">
        <f>B4-B5</f>
        <v>-14.176749084663037</v>
      </c>
      <c r="C6" s="161">
        <f t="shared" ref="C6:E6" si="1">C4-C5</f>
        <v>-21.934280033615515</v>
      </c>
      <c r="D6" s="161">
        <f t="shared" si="1"/>
        <v>-1.8393750587056488</v>
      </c>
      <c r="E6" s="161">
        <f t="shared" si="1"/>
        <v>-2.4619568874457194</v>
      </c>
      <c r="F6" s="158"/>
      <c r="G6" s="227"/>
      <c r="H6" s="227"/>
      <c r="I6" s="227"/>
      <c r="J6" s="227"/>
      <c r="K6" s="227"/>
      <c r="L6" s="227"/>
      <c r="M6" s="227"/>
      <c r="N6" s="227"/>
    </row>
    <row r="7" spans="1:14">
      <c r="A7" s="3" t="s">
        <v>329</v>
      </c>
      <c r="B7" s="161">
        <f>'InputPL-1'!C22</f>
        <v>12.25</v>
      </c>
      <c r="C7" s="161">
        <f>'InputPL-1'!D22</f>
        <v>9.42</v>
      </c>
      <c r="D7" s="161">
        <f>'InputPL-1'!E22</f>
        <v>7.71</v>
      </c>
      <c r="E7" s="161">
        <f>'InputPL-1'!F22</f>
        <v>6.53</v>
      </c>
      <c r="F7" s="158"/>
      <c r="G7" s="227"/>
      <c r="H7" s="227"/>
      <c r="I7" s="227"/>
      <c r="J7" s="227"/>
      <c r="K7" s="227"/>
      <c r="L7" s="227"/>
      <c r="M7" s="227"/>
      <c r="N7" s="227"/>
    </row>
    <row r="8" spans="1:14" ht="15.75" thickBot="1"/>
    <row r="9" spans="1:14">
      <c r="A9" s="235" t="s">
        <v>334</v>
      </c>
      <c r="B9" s="236"/>
      <c r="C9" s="236"/>
      <c r="D9" s="236"/>
      <c r="E9" s="236"/>
      <c r="F9" s="236"/>
      <c r="G9" s="236"/>
      <c r="H9" s="236"/>
      <c r="I9" s="236"/>
      <c r="J9" s="236"/>
      <c r="K9" s="236"/>
      <c r="L9" s="236"/>
      <c r="M9" s="236"/>
      <c r="N9" s="237"/>
    </row>
    <row r="10" spans="1:14">
      <c r="A10" s="238"/>
      <c r="B10" s="239"/>
      <c r="C10" s="239"/>
      <c r="D10" s="239"/>
      <c r="E10" s="239"/>
      <c r="F10" s="239"/>
      <c r="G10" s="239"/>
      <c r="H10" s="239"/>
      <c r="I10" s="239"/>
      <c r="J10" s="239"/>
      <c r="K10" s="239"/>
      <c r="L10" s="239"/>
      <c r="M10" s="239"/>
      <c r="N10" s="240"/>
    </row>
    <row r="11" spans="1:14">
      <c r="A11" s="238"/>
      <c r="B11" s="239"/>
      <c r="C11" s="239"/>
      <c r="D11" s="239"/>
      <c r="E11" s="239"/>
      <c r="F11" s="239"/>
      <c r="G11" s="239"/>
      <c r="H11" s="239"/>
      <c r="I11" s="239"/>
      <c r="J11" s="239"/>
      <c r="K11" s="239"/>
      <c r="L11" s="239"/>
      <c r="M11" s="239"/>
      <c r="N11" s="240"/>
    </row>
    <row r="12" spans="1:14">
      <c r="A12" s="238"/>
      <c r="B12" s="239"/>
      <c r="C12" s="239"/>
      <c r="D12" s="239"/>
      <c r="E12" s="239"/>
      <c r="F12" s="239"/>
      <c r="G12" s="239"/>
      <c r="H12" s="239"/>
      <c r="I12" s="239"/>
      <c r="J12" s="239"/>
      <c r="K12" s="239"/>
      <c r="L12" s="239"/>
      <c r="M12" s="239"/>
      <c r="N12" s="240"/>
    </row>
    <row r="13" spans="1:14">
      <c r="A13" s="238"/>
      <c r="B13" s="239"/>
      <c r="C13" s="239"/>
      <c r="D13" s="239"/>
      <c r="E13" s="239"/>
      <c r="F13" s="239"/>
      <c r="G13" s="239"/>
      <c r="H13" s="239"/>
      <c r="I13" s="239"/>
      <c r="J13" s="239"/>
      <c r="K13" s="239"/>
      <c r="L13" s="239"/>
      <c r="M13" s="239"/>
      <c r="N13" s="240"/>
    </row>
    <row r="14" spans="1:14" ht="15.75" thickBot="1">
      <c r="A14" s="241"/>
      <c r="B14" s="242"/>
      <c r="C14" s="242"/>
      <c r="D14" s="242"/>
      <c r="E14" s="242"/>
      <c r="F14" s="242"/>
      <c r="G14" s="242"/>
      <c r="H14" s="242"/>
      <c r="I14" s="242"/>
      <c r="J14" s="242"/>
      <c r="K14" s="242"/>
      <c r="L14" s="242"/>
      <c r="M14" s="242"/>
      <c r="N14" s="243"/>
    </row>
  </sheetData>
  <mergeCells count="2">
    <mergeCell ref="G1:N7"/>
    <mergeCell ref="A9:N14"/>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Dashboard</vt:lpstr>
      <vt:lpstr>Buffet Value</vt:lpstr>
      <vt:lpstr>Earnings Value</vt:lpstr>
      <vt:lpstr>FCF Valaution</vt:lpstr>
      <vt:lpstr>Piotroski Score</vt:lpstr>
      <vt:lpstr>Altman Z Score</vt:lpstr>
      <vt:lpstr>ROE-DUPONT</vt:lpstr>
      <vt:lpstr>MICAP</vt:lpstr>
      <vt:lpstr>Maintenance Capex</vt:lpstr>
      <vt:lpstr>InputBS-1</vt:lpstr>
      <vt:lpstr>InputPL-1</vt:lpstr>
      <vt:lpstr>InputCF-1</vt:lpstr>
      <vt:lpstr>InputCF-2</vt:lpstr>
      <vt:lpstr>Input-SP</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Vivek Bothra</cp:lastModifiedBy>
  <cp:lastPrinted>2015-03-07T00:34:42Z</cp:lastPrinted>
  <dcterms:created xsi:type="dcterms:W3CDTF">2014-03-30T00:53:10Z</dcterms:created>
  <dcterms:modified xsi:type="dcterms:W3CDTF">2015-07-31T09:24:12Z</dcterms:modified>
</cp:coreProperties>
</file>