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3.xml" ContentType="application/vnd.ms-excel.person+xml"/>
  <Override PartName="/xl/persons/person0.xml" ContentType="application/vnd.ms-excel.person+xml"/>
  <Override PartName="/xl/persons/person2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rsh\Downloads\"/>
    </mc:Choice>
  </mc:AlternateContent>
  <xr:revisionPtr revIDLastSave="0" documentId="13_ncr:1_{70705A88-75A9-4A59-A1E2-2FAFD687040B}" xr6:coauthVersionLast="47" xr6:coauthVersionMax="47" xr10:uidLastSave="{00000000-0000-0000-0000-000000000000}"/>
  <bookViews>
    <workbookView xWindow="-108" yWindow="-108" windowWidth="23256" windowHeight="12456" firstSheet="6" activeTab="9" xr2:uid="{D7A30FD8-ABE1-43F1-9D3A-32B56AEB5069}"/>
  </bookViews>
  <sheets>
    <sheet name="Assumptions" sheetId="4" r:id="rId1"/>
    <sheet name="Income Statement" sheetId="1" r:id="rId2"/>
    <sheet name="Balance Sheet" sheetId="2" r:id="rId3"/>
    <sheet name="Cash Flow" sheetId="3" r:id="rId4"/>
    <sheet name="Consolidated IS" sheetId="8" r:id="rId5"/>
    <sheet name="Consolidated BS" sheetId="9" r:id="rId6"/>
    <sheet name="Consolidated CF" sheetId="10" r:id="rId7"/>
    <sheet name="Key Ratios" sheetId="5" r:id="rId8"/>
    <sheet name="DCF Valuation" sheetId="6" r:id="rId9"/>
    <sheet name="Comparable Valuation" sheetId="7" r:id="rId10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7" l="1"/>
  <c r="P39" i="8"/>
  <c r="P33" i="8"/>
  <c r="P31" i="8"/>
  <c r="P26" i="8"/>
  <c r="P25" i="8"/>
  <c r="P23" i="8"/>
  <c r="P27" i="8" s="1"/>
  <c r="O39" i="8"/>
  <c r="O33" i="8"/>
  <c r="O31" i="8"/>
  <c r="O26" i="8"/>
  <c r="O25" i="8"/>
  <c r="O23" i="8"/>
  <c r="O27" i="8" s="1"/>
  <c r="N39" i="8"/>
  <c r="N33" i="8"/>
  <c r="N31" i="8"/>
  <c r="N26" i="8"/>
  <c r="N25" i="8"/>
  <c r="N27" i="8" s="1"/>
  <c r="N23" i="8"/>
  <c r="M39" i="8"/>
  <c r="M33" i="8"/>
  <c r="M31" i="8"/>
  <c r="M7" i="10" s="1"/>
  <c r="M26" i="8"/>
  <c r="M25" i="8"/>
  <c r="M23" i="8"/>
  <c r="M27" i="8" s="1"/>
  <c r="L39" i="8"/>
  <c r="L33" i="8"/>
  <c r="L31" i="8"/>
  <c r="L7" i="10" s="1"/>
  <c r="L27" i="8"/>
  <c r="L26" i="8"/>
  <c r="L25" i="8"/>
  <c r="L23" i="8"/>
  <c r="K39" i="8"/>
  <c r="K33" i="8"/>
  <c r="K31" i="8"/>
  <c r="K26" i="8"/>
  <c r="K25" i="8"/>
  <c r="K23" i="8"/>
  <c r="K27" i="8" s="1"/>
  <c r="J39" i="8"/>
  <c r="J33" i="8"/>
  <c r="J31" i="8"/>
  <c r="J7" i="10" s="1"/>
  <c r="J26" i="8"/>
  <c r="J25" i="8"/>
  <c r="J27" i="8" s="1"/>
  <c r="J23" i="8"/>
  <c r="I39" i="8"/>
  <c r="I33" i="8"/>
  <c r="I31" i="8"/>
  <c r="I26" i="8"/>
  <c r="I25" i="8"/>
  <c r="I23" i="8"/>
  <c r="I27" i="8" s="1"/>
  <c r="H39" i="8"/>
  <c r="H33" i="8"/>
  <c r="H31" i="8"/>
  <c r="H26" i="8"/>
  <c r="H25" i="8"/>
  <c r="H23" i="8"/>
  <c r="H24" i="8" s="1"/>
  <c r="G39" i="8"/>
  <c r="G33" i="8"/>
  <c r="G31" i="8"/>
  <c r="G26" i="8"/>
  <c r="G25" i="8"/>
  <c r="G23" i="8"/>
  <c r="G27" i="8" s="1"/>
  <c r="F39" i="8"/>
  <c r="F33" i="8"/>
  <c r="F31" i="8"/>
  <c r="F7" i="10" s="1"/>
  <c r="F26" i="8"/>
  <c r="F25" i="8"/>
  <c r="F23" i="8"/>
  <c r="F27" i="8" s="1"/>
  <c r="E39" i="8"/>
  <c r="E33" i="8"/>
  <c r="E31" i="8"/>
  <c r="E7" i="10" s="1"/>
  <c r="E26" i="8"/>
  <c r="E25" i="8"/>
  <c r="E23" i="8"/>
  <c r="E27" i="8" s="1"/>
  <c r="D39" i="8"/>
  <c r="D33" i="8"/>
  <c r="D31" i="8"/>
  <c r="D26" i="8"/>
  <c r="D25" i="8"/>
  <c r="D23" i="8"/>
  <c r="D27" i="8" s="1"/>
  <c r="C39" i="8"/>
  <c r="C33" i="8"/>
  <c r="C31" i="8"/>
  <c r="C26" i="8"/>
  <c r="C27" i="8" s="1"/>
  <c r="C25" i="8"/>
  <c r="C23" i="8"/>
  <c r="B39" i="8"/>
  <c r="B33" i="8"/>
  <c r="B31" i="8"/>
  <c r="B26" i="8"/>
  <c r="B25" i="8"/>
  <c r="B23" i="8"/>
  <c r="B27" i="8" s="1"/>
  <c r="P7" i="10"/>
  <c r="O7" i="10"/>
  <c r="N24" i="8"/>
  <c r="K7" i="10"/>
  <c r="G7" i="10"/>
  <c r="C7" i="10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P19" i="10"/>
  <c r="P20" i="10" s="1"/>
  <c r="P18" i="10"/>
  <c r="P13" i="10"/>
  <c r="P15" i="10" s="1"/>
  <c r="P8" i="10"/>
  <c r="O19" i="10"/>
  <c r="O18" i="10"/>
  <c r="O20" i="10" s="1"/>
  <c r="O15" i="10"/>
  <c r="O13" i="10"/>
  <c r="O8" i="10"/>
  <c r="N19" i="10"/>
  <c r="N20" i="10" s="1"/>
  <c r="N18" i="10"/>
  <c r="N15" i="10"/>
  <c r="N13" i="10"/>
  <c r="N8" i="10"/>
  <c r="N7" i="10"/>
  <c r="M20" i="10"/>
  <c r="M19" i="10"/>
  <c r="M18" i="10"/>
  <c r="M15" i="10"/>
  <c r="M13" i="10"/>
  <c r="M8" i="10"/>
  <c r="L19" i="10"/>
  <c r="L18" i="10"/>
  <c r="L20" i="10" s="1"/>
  <c r="L13" i="10"/>
  <c r="L15" i="10" s="1"/>
  <c r="L8" i="10"/>
  <c r="K19" i="10"/>
  <c r="K18" i="10"/>
  <c r="K20" i="10" s="1"/>
  <c r="K15" i="10"/>
  <c r="K13" i="10"/>
  <c r="K8" i="10"/>
  <c r="J19" i="10"/>
  <c r="J20" i="10" s="1"/>
  <c r="J18" i="10"/>
  <c r="J13" i="10"/>
  <c r="J15" i="10" s="1"/>
  <c r="J8" i="10"/>
  <c r="I19" i="10"/>
  <c r="I18" i="10"/>
  <c r="I20" i="10" s="1"/>
  <c r="I13" i="10"/>
  <c r="I15" i="10" s="1"/>
  <c r="I8" i="10"/>
  <c r="I7" i="10"/>
  <c r="H19" i="10"/>
  <c r="H20" i="10" s="1"/>
  <c r="H18" i="10"/>
  <c r="H13" i="10"/>
  <c r="H15" i="10" s="1"/>
  <c r="H8" i="10"/>
  <c r="H7" i="10"/>
  <c r="G19" i="10"/>
  <c r="G18" i="10"/>
  <c r="G20" i="10" s="1"/>
  <c r="G15" i="10"/>
  <c r="G13" i="10"/>
  <c r="G8" i="10"/>
  <c r="F19" i="10"/>
  <c r="F20" i="10" s="1"/>
  <c r="F18" i="10"/>
  <c r="F15" i="10"/>
  <c r="F13" i="10"/>
  <c r="F8" i="10"/>
  <c r="E20" i="10"/>
  <c r="E19" i="10"/>
  <c r="E18" i="10"/>
  <c r="E15" i="10"/>
  <c r="E13" i="10"/>
  <c r="E8" i="10"/>
  <c r="D19" i="10"/>
  <c r="D18" i="10"/>
  <c r="D20" i="10" s="1"/>
  <c r="D13" i="10"/>
  <c r="D15" i="10" s="1"/>
  <c r="D8" i="10"/>
  <c r="D7" i="10"/>
  <c r="C19" i="10"/>
  <c r="C18" i="10"/>
  <c r="C20" i="10" s="1"/>
  <c r="C15" i="10"/>
  <c r="C13" i="10"/>
  <c r="C8" i="10"/>
  <c r="B19" i="10"/>
  <c r="B18" i="10"/>
  <c r="B20" i="10" s="1"/>
  <c r="B13" i="10"/>
  <c r="B15" i="10" s="1"/>
  <c r="B8" i="10"/>
  <c r="B7" i="10"/>
  <c r="P26" i="9"/>
  <c r="P24" i="9"/>
  <c r="P23" i="9"/>
  <c r="P22" i="9"/>
  <c r="P20" i="9"/>
  <c r="P19" i="9"/>
  <c r="P27" i="9" s="1"/>
  <c r="P15" i="9"/>
  <c r="P14" i="9"/>
  <c r="P12" i="9"/>
  <c r="P11" i="9"/>
  <c r="P13" i="9" s="1"/>
  <c r="P6" i="9"/>
  <c r="P9" i="9" s="1"/>
  <c r="O26" i="9"/>
  <c r="O24" i="9"/>
  <c r="O23" i="9"/>
  <c r="O22" i="9"/>
  <c r="O20" i="9"/>
  <c r="O19" i="9"/>
  <c r="O27" i="9" s="1"/>
  <c r="O15" i="9"/>
  <c r="O14" i="9"/>
  <c r="O13" i="9"/>
  <c r="O12" i="9"/>
  <c r="O11" i="9"/>
  <c r="O6" i="9"/>
  <c r="O9" i="9" s="1"/>
  <c r="N26" i="9"/>
  <c r="N24" i="9"/>
  <c r="N23" i="9"/>
  <c r="N22" i="9"/>
  <c r="N20" i="9"/>
  <c r="N19" i="9"/>
  <c r="N15" i="9"/>
  <c r="N14" i="9"/>
  <c r="N12" i="9"/>
  <c r="N11" i="9"/>
  <c r="N13" i="9" s="1"/>
  <c r="N6" i="9"/>
  <c r="N9" i="9" s="1"/>
  <c r="M26" i="9"/>
  <c r="M24" i="9"/>
  <c r="M23" i="9"/>
  <c r="M22" i="9"/>
  <c r="M20" i="9"/>
  <c r="M19" i="9"/>
  <c r="M15" i="9"/>
  <c r="M14" i="9"/>
  <c r="M12" i="9"/>
  <c r="M11" i="9"/>
  <c r="M13" i="9" s="1"/>
  <c r="M31" i="9" s="1"/>
  <c r="M9" i="9"/>
  <c r="M6" i="9"/>
  <c r="L26" i="9"/>
  <c r="L24" i="9"/>
  <c r="L23" i="9"/>
  <c r="L22" i="9"/>
  <c r="L27" i="9" s="1"/>
  <c r="L20" i="9"/>
  <c r="L19" i="9"/>
  <c r="L15" i="9"/>
  <c r="L14" i="9"/>
  <c r="L12" i="9"/>
  <c r="L11" i="9"/>
  <c r="L13" i="9" s="1"/>
  <c r="L6" i="9"/>
  <c r="L16" i="9" s="1"/>
  <c r="K26" i="9"/>
  <c r="K24" i="9"/>
  <c r="K27" i="9" s="1"/>
  <c r="K23" i="9"/>
  <c r="K22" i="9"/>
  <c r="K20" i="9"/>
  <c r="K19" i="9"/>
  <c r="K15" i="9"/>
  <c r="K14" i="9"/>
  <c r="K12" i="9"/>
  <c r="K11" i="9"/>
  <c r="K13" i="9" s="1"/>
  <c r="K6" i="9"/>
  <c r="K16" i="9" s="1"/>
  <c r="J26" i="9"/>
  <c r="J27" i="9" s="1"/>
  <c r="J29" i="9" s="1"/>
  <c r="J24" i="9"/>
  <c r="J23" i="9"/>
  <c r="J22" i="9"/>
  <c r="J20" i="9"/>
  <c r="J19" i="9"/>
  <c r="J15" i="9"/>
  <c r="J14" i="9"/>
  <c r="J12" i="9"/>
  <c r="J11" i="9"/>
  <c r="J13" i="9" s="1"/>
  <c r="J6" i="9"/>
  <c r="J16" i="9" s="1"/>
  <c r="I26" i="9"/>
  <c r="I24" i="9"/>
  <c r="I23" i="9"/>
  <c r="I22" i="9"/>
  <c r="I20" i="9"/>
  <c r="I19" i="9"/>
  <c r="I27" i="9" s="1"/>
  <c r="I15" i="9"/>
  <c r="I14" i="9"/>
  <c r="I12" i="9"/>
  <c r="I11" i="9"/>
  <c r="I13" i="9" s="1"/>
  <c r="I6" i="9"/>
  <c r="H26" i="9"/>
  <c r="H24" i="9"/>
  <c r="H23" i="9"/>
  <c r="H22" i="9"/>
  <c r="H20" i="9"/>
  <c r="H19" i="9"/>
  <c r="H27" i="9" s="1"/>
  <c r="H15" i="9"/>
  <c r="H14" i="9"/>
  <c r="H12" i="9"/>
  <c r="H11" i="9"/>
  <c r="H13" i="9" s="1"/>
  <c r="H6" i="9"/>
  <c r="H9" i="9" s="1"/>
  <c r="G26" i="9"/>
  <c r="G24" i="9"/>
  <c r="G23" i="9"/>
  <c r="G22" i="9"/>
  <c r="G20" i="9"/>
  <c r="G19" i="9"/>
  <c r="G15" i="9"/>
  <c r="G14" i="9"/>
  <c r="G13" i="9"/>
  <c r="G12" i="9"/>
  <c r="G11" i="9"/>
  <c r="G6" i="9"/>
  <c r="G9" i="9" s="1"/>
  <c r="F26" i="9"/>
  <c r="F24" i="9"/>
  <c r="F23" i="9"/>
  <c r="F22" i="9"/>
  <c r="F20" i="9"/>
  <c r="F19" i="9"/>
  <c r="F27" i="9" s="1"/>
  <c r="F15" i="9"/>
  <c r="F14" i="9"/>
  <c r="F12" i="9"/>
  <c r="F11" i="9"/>
  <c r="F13" i="9" s="1"/>
  <c r="F6" i="9"/>
  <c r="F9" i="9" s="1"/>
  <c r="E26" i="9"/>
  <c r="E24" i="9"/>
  <c r="E23" i="9"/>
  <c r="E22" i="9"/>
  <c r="E20" i="9"/>
  <c r="E19" i="9"/>
  <c r="E27" i="9" s="1"/>
  <c r="E29" i="9" s="1"/>
  <c r="E15" i="9"/>
  <c r="E14" i="9"/>
  <c r="E12" i="9"/>
  <c r="E11" i="9"/>
  <c r="E13" i="9" s="1"/>
  <c r="E6" i="9"/>
  <c r="E16" i="9" s="1"/>
  <c r="D26" i="9"/>
  <c r="D24" i="9"/>
  <c r="D23" i="9"/>
  <c r="D22" i="9"/>
  <c r="D20" i="9"/>
  <c r="D19" i="9"/>
  <c r="D15" i="9"/>
  <c r="D14" i="9"/>
  <c r="D12" i="9"/>
  <c r="D11" i="9"/>
  <c r="D13" i="9" s="1"/>
  <c r="D6" i="9"/>
  <c r="D16" i="9" s="1"/>
  <c r="C26" i="9"/>
  <c r="C24" i="9"/>
  <c r="C27" i="9" s="1"/>
  <c r="C23" i="9"/>
  <c r="C22" i="9"/>
  <c r="C20" i="9"/>
  <c r="C19" i="9"/>
  <c r="C15" i="9"/>
  <c r="C14" i="9"/>
  <c r="C12" i="9"/>
  <c r="C11" i="9"/>
  <c r="C13" i="9" s="1"/>
  <c r="C6" i="9"/>
  <c r="C16" i="9" s="1"/>
  <c r="B26" i="9"/>
  <c r="B24" i="9"/>
  <c r="B23" i="9"/>
  <c r="B22" i="9"/>
  <c r="B20" i="9"/>
  <c r="B19" i="9"/>
  <c r="B15" i="9"/>
  <c r="B14" i="9"/>
  <c r="B12" i="9"/>
  <c r="B11" i="9"/>
  <c r="B13" i="9" s="1"/>
  <c r="B6" i="9"/>
  <c r="B16" i="9" s="1"/>
  <c r="N20" i="8"/>
  <c r="N19" i="8"/>
  <c r="N21" i="8" s="1"/>
  <c r="M20" i="8"/>
  <c r="M19" i="8"/>
  <c r="L20" i="8"/>
  <c r="L19" i="8"/>
  <c r="K20" i="8"/>
  <c r="I20" i="8"/>
  <c r="I19" i="8"/>
  <c r="I21" i="8" s="1"/>
  <c r="H20" i="8"/>
  <c r="H19" i="8"/>
  <c r="G20" i="8"/>
  <c r="G19" i="8"/>
  <c r="F20" i="8"/>
  <c r="F19" i="8"/>
  <c r="F21" i="8" s="1"/>
  <c r="D19" i="8"/>
  <c r="C20" i="8"/>
  <c r="C19" i="8"/>
  <c r="C24" i="8" s="1"/>
  <c r="B20" i="8"/>
  <c r="B19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P7" i="8"/>
  <c r="P20" i="8" s="1"/>
  <c r="P6" i="8"/>
  <c r="P19" i="8" s="1"/>
  <c r="O7" i="8"/>
  <c r="O20" i="8" s="1"/>
  <c r="O6" i="8"/>
  <c r="O19" i="8" s="1"/>
  <c r="N8" i="8"/>
  <c r="N7" i="8"/>
  <c r="N6" i="8"/>
  <c r="M7" i="8"/>
  <c r="M6" i="8"/>
  <c r="M8" i="8" s="1"/>
  <c r="L7" i="8"/>
  <c r="L6" i="8"/>
  <c r="L8" i="8" s="1"/>
  <c r="K7" i="8"/>
  <c r="K6" i="8"/>
  <c r="K19" i="8" s="1"/>
  <c r="J7" i="8"/>
  <c r="J20" i="8" s="1"/>
  <c r="J6" i="8"/>
  <c r="J19" i="8" s="1"/>
  <c r="I7" i="8"/>
  <c r="I6" i="8"/>
  <c r="I8" i="8" s="1"/>
  <c r="H7" i="8"/>
  <c r="H6" i="8"/>
  <c r="H8" i="8" s="1"/>
  <c r="G7" i="8"/>
  <c r="G6" i="8"/>
  <c r="G8" i="8" s="1"/>
  <c r="F7" i="8"/>
  <c r="F6" i="8"/>
  <c r="F8" i="8" s="1"/>
  <c r="E7" i="8"/>
  <c r="E20" i="8" s="1"/>
  <c r="E6" i="8"/>
  <c r="E19" i="8" s="1"/>
  <c r="D8" i="8"/>
  <c r="D7" i="8"/>
  <c r="D20" i="8" s="1"/>
  <c r="D6" i="8"/>
  <c r="C7" i="8"/>
  <c r="C6" i="8"/>
  <c r="C8" i="8" s="1"/>
  <c r="B7" i="8"/>
  <c r="B6" i="8"/>
  <c r="B8" i="8" s="1"/>
  <c r="P23" i="2"/>
  <c r="O23" i="2"/>
  <c r="N23" i="2"/>
  <c r="M23" i="2"/>
  <c r="L23" i="2"/>
  <c r="K23" i="2"/>
  <c r="J23" i="2"/>
  <c r="I23" i="2"/>
  <c r="H23" i="2"/>
  <c r="G23" i="2"/>
  <c r="L32" i="6"/>
  <c r="K32" i="6"/>
  <c r="J32" i="6"/>
  <c r="I32" i="6"/>
  <c r="H32" i="6"/>
  <c r="G32" i="6"/>
  <c r="F32" i="6"/>
  <c r="E32" i="6"/>
  <c r="D32" i="6"/>
  <c r="C32" i="6"/>
  <c r="B13" i="6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L29" i="6"/>
  <c r="K29" i="6"/>
  <c r="J29" i="6"/>
  <c r="I29" i="6"/>
  <c r="H29" i="6"/>
  <c r="G29" i="6"/>
  <c r="F29" i="6"/>
  <c r="E29" i="6"/>
  <c r="D29" i="6"/>
  <c r="C29" i="6"/>
  <c r="B29" i="6"/>
  <c r="C31" i="7"/>
  <c r="C37" i="7"/>
  <c r="D37" i="7"/>
  <c r="E37" i="7"/>
  <c r="G16" i="7"/>
  <c r="F16" i="7"/>
  <c r="E16" i="7"/>
  <c r="D16" i="7"/>
  <c r="G15" i="7"/>
  <c r="F15" i="7"/>
  <c r="E15" i="7"/>
  <c r="D15" i="7"/>
  <c r="G14" i="7"/>
  <c r="F14" i="7"/>
  <c r="E14" i="7"/>
  <c r="D14" i="7"/>
  <c r="G13" i="7"/>
  <c r="F13" i="7"/>
  <c r="E13" i="7"/>
  <c r="D13" i="7"/>
  <c r="G12" i="7"/>
  <c r="F12" i="7"/>
  <c r="E12" i="7"/>
  <c r="D12" i="7"/>
  <c r="P15" i="1"/>
  <c r="O15" i="1"/>
  <c r="N15" i="1"/>
  <c r="N16" i="1" s="1"/>
  <c r="N18" i="1" s="1"/>
  <c r="P12" i="1"/>
  <c r="O12" i="1"/>
  <c r="N12" i="1"/>
  <c r="M15" i="1"/>
  <c r="L15" i="1"/>
  <c r="K15" i="1"/>
  <c r="J15" i="1"/>
  <c r="I15" i="1"/>
  <c r="H15" i="1"/>
  <c r="M12" i="1"/>
  <c r="L12" i="1"/>
  <c r="K12" i="1"/>
  <c r="J12" i="1"/>
  <c r="I12" i="1"/>
  <c r="H12" i="1"/>
  <c r="L28" i="6"/>
  <c r="K28" i="6"/>
  <c r="J28" i="6"/>
  <c r="I28" i="6"/>
  <c r="H28" i="6"/>
  <c r="L27" i="6"/>
  <c r="K27" i="6"/>
  <c r="J27" i="6"/>
  <c r="I27" i="6"/>
  <c r="H27" i="6"/>
  <c r="L23" i="6"/>
  <c r="K23" i="6"/>
  <c r="J23" i="6"/>
  <c r="I23" i="6"/>
  <c r="H23" i="6"/>
  <c r="P28" i="5"/>
  <c r="O28" i="5"/>
  <c r="N28" i="5"/>
  <c r="M28" i="5"/>
  <c r="L28" i="5"/>
  <c r="P20" i="5"/>
  <c r="P21" i="5" s="1"/>
  <c r="O20" i="5"/>
  <c r="O21" i="5" s="1"/>
  <c r="N20" i="5"/>
  <c r="N21" i="5" s="1"/>
  <c r="M20" i="5"/>
  <c r="M21" i="5" s="1"/>
  <c r="L20" i="5"/>
  <c r="L21" i="5" s="1"/>
  <c r="P19" i="5"/>
  <c r="O19" i="5"/>
  <c r="N19" i="5"/>
  <c r="M19" i="5"/>
  <c r="L19" i="5"/>
  <c r="P18" i="5"/>
  <c r="O18" i="5"/>
  <c r="N18" i="5"/>
  <c r="M18" i="5"/>
  <c r="L18" i="5"/>
  <c r="P6" i="5"/>
  <c r="O6" i="5"/>
  <c r="N6" i="5"/>
  <c r="M6" i="5"/>
  <c r="L6" i="5"/>
  <c r="P18" i="3"/>
  <c r="O18" i="3"/>
  <c r="N18" i="3"/>
  <c r="M18" i="3"/>
  <c r="L18" i="3"/>
  <c r="P17" i="3"/>
  <c r="O17" i="3"/>
  <c r="N17" i="3"/>
  <c r="M17" i="3"/>
  <c r="L17" i="3"/>
  <c r="P16" i="3"/>
  <c r="O16" i="3"/>
  <c r="N16" i="3"/>
  <c r="M16" i="3"/>
  <c r="L16" i="3"/>
  <c r="P13" i="3"/>
  <c r="O13" i="3"/>
  <c r="N13" i="3"/>
  <c r="M13" i="3"/>
  <c r="L13" i="3"/>
  <c r="P7" i="3"/>
  <c r="O7" i="3"/>
  <c r="N7" i="3"/>
  <c r="M7" i="3"/>
  <c r="L7" i="3"/>
  <c r="P12" i="2"/>
  <c r="O12" i="2"/>
  <c r="N12" i="2"/>
  <c r="M12" i="2"/>
  <c r="L12" i="2"/>
  <c r="P16" i="1"/>
  <c r="P18" i="1" s="1"/>
  <c r="O16" i="1"/>
  <c r="O18" i="1" s="1"/>
  <c r="M16" i="1"/>
  <c r="M18" i="1" s="1"/>
  <c r="L16" i="1"/>
  <c r="L18" i="1" s="1"/>
  <c r="P13" i="1"/>
  <c r="O13" i="1"/>
  <c r="N13" i="1"/>
  <c r="M13" i="1"/>
  <c r="L13" i="1"/>
  <c r="P9" i="1"/>
  <c r="O9" i="1"/>
  <c r="N9" i="1"/>
  <c r="M9" i="1"/>
  <c r="L9" i="1"/>
  <c r="P7" i="1"/>
  <c r="O7" i="1"/>
  <c r="N7" i="1"/>
  <c r="M7" i="1"/>
  <c r="L7" i="1"/>
  <c r="G15" i="1"/>
  <c r="G12" i="1"/>
  <c r="H27" i="8" l="1"/>
  <c r="I24" i="8"/>
  <c r="N29" i="8"/>
  <c r="N32" i="8" s="1"/>
  <c r="N34" i="8" s="1"/>
  <c r="F29" i="8"/>
  <c r="F32" i="8" s="1"/>
  <c r="F34" i="8" s="1"/>
  <c r="G24" i="8"/>
  <c r="M24" i="8"/>
  <c r="B27" i="9"/>
  <c r="B29" i="9" s="1"/>
  <c r="N27" i="9"/>
  <c r="D27" i="9"/>
  <c r="G27" i="9"/>
  <c r="M27" i="9"/>
  <c r="D29" i="9"/>
  <c r="G31" i="9"/>
  <c r="O31" i="9"/>
  <c r="P31" i="9"/>
  <c r="P16" i="9"/>
  <c r="P29" i="9" s="1"/>
  <c r="H31" i="9"/>
  <c r="H16" i="9"/>
  <c r="H29" i="9" s="1"/>
  <c r="N29" i="9"/>
  <c r="I29" i="9"/>
  <c r="C31" i="9"/>
  <c r="K31" i="9"/>
  <c r="F31" i="9"/>
  <c r="F16" i="9"/>
  <c r="G29" i="9"/>
  <c r="N31" i="9"/>
  <c r="N16" i="9"/>
  <c r="C29" i="9"/>
  <c r="E31" i="9"/>
  <c r="F29" i="9"/>
  <c r="I16" i="9"/>
  <c r="M16" i="9"/>
  <c r="M29" i="9" s="1"/>
  <c r="L29" i="9"/>
  <c r="I31" i="9"/>
  <c r="K29" i="9"/>
  <c r="I9" i="9"/>
  <c r="B9" i="9"/>
  <c r="B31" i="9" s="1"/>
  <c r="K9" i="9"/>
  <c r="L9" i="9"/>
  <c r="L31" i="9" s="1"/>
  <c r="G16" i="9"/>
  <c r="D9" i="9"/>
  <c r="D31" i="9" s="1"/>
  <c r="O16" i="9"/>
  <c r="O29" i="9" s="1"/>
  <c r="C9" i="9"/>
  <c r="E9" i="9"/>
  <c r="J9" i="9"/>
  <c r="J31" i="9" s="1"/>
  <c r="J21" i="8"/>
  <c r="J29" i="8" s="1"/>
  <c r="J32" i="8" s="1"/>
  <c r="J34" i="8" s="1"/>
  <c r="J24" i="8"/>
  <c r="F35" i="8"/>
  <c r="F38" i="8" s="1"/>
  <c r="O24" i="8"/>
  <c r="O21" i="8"/>
  <c r="O29" i="8" s="1"/>
  <c r="O32" i="8" s="1"/>
  <c r="O34" i="8" s="1"/>
  <c r="E21" i="8"/>
  <c r="E29" i="8" s="1"/>
  <c r="E32" i="8" s="1"/>
  <c r="E34" i="8" s="1"/>
  <c r="E24" i="8"/>
  <c r="P21" i="8"/>
  <c r="P29" i="8" s="1"/>
  <c r="P32" i="8" s="1"/>
  <c r="P34" i="8" s="1"/>
  <c r="P24" i="8"/>
  <c r="N35" i="8"/>
  <c r="N36" i="8" s="1"/>
  <c r="K21" i="8"/>
  <c r="K29" i="8" s="1"/>
  <c r="K32" i="8" s="1"/>
  <c r="K34" i="8" s="1"/>
  <c r="K24" i="8"/>
  <c r="I29" i="8"/>
  <c r="L24" i="8"/>
  <c r="L21" i="8"/>
  <c r="L29" i="8" s="1"/>
  <c r="L32" i="8" s="1"/>
  <c r="L34" i="8" s="1"/>
  <c r="B24" i="8"/>
  <c r="C21" i="8"/>
  <c r="C29" i="8" s="1"/>
  <c r="F24" i="8"/>
  <c r="P8" i="8"/>
  <c r="G21" i="8"/>
  <c r="G29" i="8" s="1"/>
  <c r="G32" i="8" s="1"/>
  <c r="G34" i="8" s="1"/>
  <c r="M21" i="8"/>
  <c r="M29" i="8" s="1"/>
  <c r="M32" i="8" s="1"/>
  <c r="M34" i="8" s="1"/>
  <c r="O8" i="8"/>
  <c r="J8" i="8"/>
  <c r="D21" i="8"/>
  <c r="D29" i="8" s="1"/>
  <c r="D32" i="8" s="1"/>
  <c r="D34" i="8" s="1"/>
  <c r="E8" i="8"/>
  <c r="K8" i="8"/>
  <c r="B21" i="8"/>
  <c r="B29" i="8" s="1"/>
  <c r="B32" i="8" s="1"/>
  <c r="B34" i="8" s="1"/>
  <c r="N30" i="8"/>
  <c r="H21" i="8"/>
  <c r="H29" i="8" s="1"/>
  <c r="H32" i="8" s="1"/>
  <c r="H34" i="8" s="1"/>
  <c r="D24" i="8"/>
  <c r="P21" i="1"/>
  <c r="P19" i="1"/>
  <c r="P26" i="5"/>
  <c r="O21" i="1"/>
  <c r="O19" i="1"/>
  <c r="O26" i="5"/>
  <c r="N19" i="1"/>
  <c r="N26" i="5"/>
  <c r="N21" i="1"/>
  <c r="M26" i="5"/>
  <c r="M21" i="1"/>
  <c r="M19" i="1"/>
  <c r="L26" i="5"/>
  <c r="L19" i="1"/>
  <c r="L21" i="1"/>
  <c r="C57" i="7"/>
  <c r="C27" i="7"/>
  <c r="F37" i="7" s="1"/>
  <c r="B27" i="7"/>
  <c r="B25" i="7"/>
  <c r="C24" i="7"/>
  <c r="B24" i="7"/>
  <c r="B26" i="7" s="1"/>
  <c r="B23" i="7"/>
  <c r="C32" i="7" s="1"/>
  <c r="B22" i="7"/>
  <c r="B21" i="7"/>
  <c r="C33" i="7" s="1"/>
  <c r="C20" i="7"/>
  <c r="C40" i="7" s="1"/>
  <c r="B20" i="7"/>
  <c r="C34" i="7" s="1"/>
  <c r="B40" i="7"/>
  <c r="B39" i="7"/>
  <c r="B32" i="7"/>
  <c r="B37" i="7"/>
  <c r="B50" i="6"/>
  <c r="B54" i="6"/>
  <c r="G28" i="6"/>
  <c r="F28" i="6"/>
  <c r="E28" i="6"/>
  <c r="D28" i="6"/>
  <c r="B28" i="6"/>
  <c r="G27" i="6"/>
  <c r="F27" i="6"/>
  <c r="E27" i="6"/>
  <c r="D27" i="6"/>
  <c r="C27" i="6"/>
  <c r="B27" i="6"/>
  <c r="B24" i="6"/>
  <c r="B25" i="6" s="1"/>
  <c r="B26" i="6" s="1"/>
  <c r="B31" i="6" s="1"/>
  <c r="G23" i="6"/>
  <c r="F23" i="6"/>
  <c r="E23" i="6"/>
  <c r="D23" i="6"/>
  <c r="C23" i="6"/>
  <c r="B23" i="6"/>
  <c r="B11" i="6"/>
  <c r="B8" i="6"/>
  <c r="K28" i="5"/>
  <c r="J28" i="5"/>
  <c r="I28" i="5"/>
  <c r="H28" i="5"/>
  <c r="G28" i="5"/>
  <c r="F28" i="5"/>
  <c r="E28" i="5"/>
  <c r="D28" i="5"/>
  <c r="C28" i="5"/>
  <c r="E27" i="5"/>
  <c r="D27" i="5"/>
  <c r="C27" i="5"/>
  <c r="B27" i="5"/>
  <c r="F26" i="5"/>
  <c r="E26" i="5"/>
  <c r="D26" i="5"/>
  <c r="C26" i="5"/>
  <c r="B26" i="5"/>
  <c r="E25" i="5"/>
  <c r="D25" i="5"/>
  <c r="C25" i="5"/>
  <c r="B25" i="5"/>
  <c r="E24" i="5"/>
  <c r="D24" i="5"/>
  <c r="C24" i="5"/>
  <c r="B24" i="5"/>
  <c r="F21" i="5"/>
  <c r="E21" i="5"/>
  <c r="D21" i="5"/>
  <c r="C21" i="5"/>
  <c r="B21" i="5"/>
  <c r="K20" i="5"/>
  <c r="H20" i="5"/>
  <c r="G20" i="5"/>
  <c r="F20" i="5"/>
  <c r="E20" i="5"/>
  <c r="D20" i="5"/>
  <c r="C20" i="5"/>
  <c r="B20" i="5"/>
  <c r="K19" i="5"/>
  <c r="J19" i="5"/>
  <c r="I19" i="5"/>
  <c r="H19" i="5"/>
  <c r="G19" i="5"/>
  <c r="F19" i="5"/>
  <c r="E19" i="5"/>
  <c r="D19" i="5"/>
  <c r="C19" i="5"/>
  <c r="B19" i="5"/>
  <c r="K18" i="5"/>
  <c r="J18" i="5"/>
  <c r="I18" i="5"/>
  <c r="H18" i="5"/>
  <c r="G18" i="5"/>
  <c r="F18" i="5"/>
  <c r="E18" i="5"/>
  <c r="D18" i="5"/>
  <c r="C18" i="5"/>
  <c r="B18" i="5"/>
  <c r="E17" i="5"/>
  <c r="D17" i="5"/>
  <c r="C17" i="5"/>
  <c r="B17" i="5"/>
  <c r="E13" i="5"/>
  <c r="D13" i="5"/>
  <c r="C13" i="5"/>
  <c r="B13" i="5"/>
  <c r="F9" i="5"/>
  <c r="E9" i="5"/>
  <c r="D9" i="5"/>
  <c r="C9" i="5"/>
  <c r="B9" i="5"/>
  <c r="F8" i="5"/>
  <c r="E8" i="5"/>
  <c r="D8" i="5"/>
  <c r="C8" i="5"/>
  <c r="B8" i="5"/>
  <c r="F6" i="5"/>
  <c r="E6" i="5"/>
  <c r="D6" i="5"/>
  <c r="C6" i="5"/>
  <c r="B6" i="5"/>
  <c r="F14" i="5"/>
  <c r="E14" i="5"/>
  <c r="D14" i="5"/>
  <c r="C14" i="5"/>
  <c r="B14" i="5"/>
  <c r="F12" i="5"/>
  <c r="E12" i="5"/>
  <c r="D12" i="5"/>
  <c r="C12" i="5"/>
  <c r="B12" i="5"/>
  <c r="F20" i="3"/>
  <c r="E20" i="3"/>
  <c r="D20" i="3"/>
  <c r="C20" i="3"/>
  <c r="B20" i="3"/>
  <c r="F18" i="3"/>
  <c r="E18" i="3"/>
  <c r="D18" i="3"/>
  <c r="C18" i="3"/>
  <c r="B18" i="3"/>
  <c r="K17" i="3"/>
  <c r="J17" i="3"/>
  <c r="I17" i="3"/>
  <c r="H17" i="3"/>
  <c r="G17" i="3"/>
  <c r="K13" i="3"/>
  <c r="J13" i="3"/>
  <c r="I13" i="3"/>
  <c r="H13" i="3"/>
  <c r="G13" i="3"/>
  <c r="C28" i="6" s="1"/>
  <c r="F13" i="3"/>
  <c r="E13" i="3"/>
  <c r="D13" i="3"/>
  <c r="C13" i="3"/>
  <c r="B13" i="3"/>
  <c r="F9" i="3"/>
  <c r="E9" i="3"/>
  <c r="D9" i="3"/>
  <c r="C9" i="3"/>
  <c r="B9" i="3"/>
  <c r="K7" i="3"/>
  <c r="J7" i="3"/>
  <c r="I7" i="3"/>
  <c r="H7" i="3"/>
  <c r="G7" i="3"/>
  <c r="F7" i="3"/>
  <c r="E7" i="3"/>
  <c r="D7" i="3"/>
  <c r="C7" i="3"/>
  <c r="B7" i="3"/>
  <c r="F6" i="3"/>
  <c r="E6" i="3"/>
  <c r="D6" i="3"/>
  <c r="C6" i="3"/>
  <c r="B6" i="3"/>
  <c r="E29" i="2"/>
  <c r="D29" i="2"/>
  <c r="C29" i="2"/>
  <c r="B29" i="2"/>
  <c r="E25" i="2"/>
  <c r="E27" i="2" s="1"/>
  <c r="D25" i="2"/>
  <c r="D27" i="2" s="1"/>
  <c r="C25" i="2"/>
  <c r="C27" i="2" s="1"/>
  <c r="B25" i="2"/>
  <c r="B27" i="2" s="1"/>
  <c r="E15" i="2"/>
  <c r="D15" i="2"/>
  <c r="C15" i="2"/>
  <c r="B15" i="2"/>
  <c r="K12" i="2"/>
  <c r="J12" i="2"/>
  <c r="I12" i="2"/>
  <c r="J16" i="3" s="1"/>
  <c r="H12" i="2"/>
  <c r="G12" i="2"/>
  <c r="F12" i="2"/>
  <c r="B14" i="6" s="1"/>
  <c r="B15" i="6" s="1"/>
  <c r="B16" i="6" s="1"/>
  <c r="B17" i="6" s="1"/>
  <c r="E12" i="2"/>
  <c r="D12" i="2"/>
  <c r="C12" i="2"/>
  <c r="B12" i="2"/>
  <c r="F8" i="2"/>
  <c r="E8" i="2"/>
  <c r="D8" i="2"/>
  <c r="C8" i="2"/>
  <c r="B8" i="2"/>
  <c r="F28" i="1"/>
  <c r="E28" i="1"/>
  <c r="D28" i="1"/>
  <c r="C28" i="1"/>
  <c r="B28" i="1"/>
  <c r="F27" i="1"/>
  <c r="E27" i="1"/>
  <c r="D27" i="1"/>
  <c r="C27" i="1"/>
  <c r="B27" i="1"/>
  <c r="F25" i="1"/>
  <c r="E25" i="1"/>
  <c r="D25" i="1"/>
  <c r="C25" i="1"/>
  <c r="B25" i="1"/>
  <c r="F23" i="1"/>
  <c r="E23" i="1"/>
  <c r="D23" i="1"/>
  <c r="C23" i="1"/>
  <c r="B23" i="1"/>
  <c r="F21" i="1"/>
  <c r="E21" i="1"/>
  <c r="D21" i="1"/>
  <c r="C21" i="1"/>
  <c r="B21" i="1"/>
  <c r="F19" i="1"/>
  <c r="E19" i="1"/>
  <c r="D19" i="1"/>
  <c r="C19" i="1"/>
  <c r="B19" i="1"/>
  <c r="F18" i="1"/>
  <c r="E18" i="1"/>
  <c r="D18" i="1"/>
  <c r="C18" i="1"/>
  <c r="B18" i="1"/>
  <c r="J16" i="1"/>
  <c r="J18" i="1" s="1"/>
  <c r="H16" i="1"/>
  <c r="H18" i="1" s="1"/>
  <c r="G16" i="1"/>
  <c r="G18" i="1" s="1"/>
  <c r="F16" i="1"/>
  <c r="E16" i="1"/>
  <c r="D16" i="1"/>
  <c r="C16" i="1"/>
  <c r="B16" i="1"/>
  <c r="I16" i="1"/>
  <c r="I18" i="1" s="1"/>
  <c r="J13" i="1"/>
  <c r="I13" i="1"/>
  <c r="H13" i="1"/>
  <c r="F13" i="1"/>
  <c r="E13" i="1"/>
  <c r="D13" i="1"/>
  <c r="C13" i="1"/>
  <c r="B13" i="1"/>
  <c r="K13" i="1"/>
  <c r="J20" i="5"/>
  <c r="I20" i="5"/>
  <c r="G13" i="1"/>
  <c r="K9" i="1"/>
  <c r="K6" i="5" s="1"/>
  <c r="J9" i="1"/>
  <c r="J6" i="5" s="1"/>
  <c r="I9" i="1"/>
  <c r="I6" i="5" s="1"/>
  <c r="H9" i="1"/>
  <c r="H6" i="5" s="1"/>
  <c r="G9" i="1"/>
  <c r="G6" i="5" s="1"/>
  <c r="F9" i="1"/>
  <c r="E9" i="1"/>
  <c r="D9" i="1"/>
  <c r="C9" i="1"/>
  <c r="B9" i="1"/>
  <c r="K7" i="1"/>
  <c r="J7" i="1"/>
  <c r="I7" i="1"/>
  <c r="H7" i="1"/>
  <c r="G7" i="1"/>
  <c r="F7" i="1"/>
  <c r="E7" i="1"/>
  <c r="D7" i="1"/>
  <c r="C7" i="1"/>
  <c r="B30" i="8" l="1"/>
  <c r="F40" i="8"/>
  <c r="F41" i="8" s="1"/>
  <c r="F6" i="10"/>
  <c r="F10" i="10" s="1"/>
  <c r="F22" i="10" s="1"/>
  <c r="L30" i="8"/>
  <c r="F30" i="8"/>
  <c r="D30" i="8"/>
  <c r="I30" i="8"/>
  <c r="I32" i="8"/>
  <c r="I34" i="8" s="1"/>
  <c r="E35" i="8"/>
  <c r="E36" i="8" s="1"/>
  <c r="M35" i="8"/>
  <c r="M36" i="8" s="1"/>
  <c r="M38" i="8"/>
  <c r="K30" i="8"/>
  <c r="H30" i="8"/>
  <c r="G30" i="8"/>
  <c r="N38" i="8"/>
  <c r="F36" i="8"/>
  <c r="O35" i="8"/>
  <c r="O36" i="8" s="1"/>
  <c r="P35" i="8"/>
  <c r="P36" i="8" s="1"/>
  <c r="P38" i="8"/>
  <c r="O30" i="8"/>
  <c r="B35" i="8"/>
  <c r="B38" i="8" s="1"/>
  <c r="B36" i="8"/>
  <c r="L35" i="8"/>
  <c r="L36" i="8" s="1"/>
  <c r="L38" i="8"/>
  <c r="P30" i="8"/>
  <c r="H35" i="8"/>
  <c r="H38" i="8"/>
  <c r="H36" i="8"/>
  <c r="G35" i="8"/>
  <c r="G38" i="8" s="1"/>
  <c r="J30" i="8"/>
  <c r="E30" i="8"/>
  <c r="K35" i="8"/>
  <c r="K36" i="8" s="1"/>
  <c r="C30" i="8"/>
  <c r="C32" i="8"/>
  <c r="C34" i="8" s="1"/>
  <c r="M30" i="8"/>
  <c r="J35" i="8"/>
  <c r="J38" i="8" s="1"/>
  <c r="D35" i="8"/>
  <c r="D38" i="8" s="1"/>
  <c r="F25" i="5"/>
  <c r="F29" i="2"/>
  <c r="F27" i="5"/>
  <c r="B49" i="6"/>
  <c r="B51" i="6" s="1"/>
  <c r="F15" i="2"/>
  <c r="F24" i="2" s="1"/>
  <c r="J36" i="6"/>
  <c r="K36" i="6"/>
  <c r="L36" i="6"/>
  <c r="I36" i="6"/>
  <c r="H36" i="6"/>
  <c r="L24" i="6"/>
  <c r="P23" i="1"/>
  <c r="P8" i="5"/>
  <c r="O23" i="1"/>
  <c r="K24" i="6"/>
  <c r="O8" i="5"/>
  <c r="J24" i="6"/>
  <c r="N23" i="1"/>
  <c r="N8" i="5"/>
  <c r="M23" i="1"/>
  <c r="M8" i="5"/>
  <c r="I24" i="6"/>
  <c r="L8" i="5"/>
  <c r="H24" i="6"/>
  <c r="L23" i="1"/>
  <c r="D32" i="7"/>
  <c r="E32" i="7" s="1"/>
  <c r="F32" i="7" s="1"/>
  <c r="B45" i="7" s="1"/>
  <c r="D40" i="7"/>
  <c r="B33" i="7"/>
  <c r="D33" i="7" s="1"/>
  <c r="E33" i="7" s="1"/>
  <c r="F33" i="7" s="1"/>
  <c r="B46" i="7" s="1"/>
  <c r="B34" i="7"/>
  <c r="D34" i="7" s="1"/>
  <c r="E34" i="7" s="1"/>
  <c r="F34" i="7" s="1"/>
  <c r="B47" i="7" s="1"/>
  <c r="B31" i="7"/>
  <c r="D31" i="7" s="1"/>
  <c r="E31" i="7" s="1"/>
  <c r="F31" i="7" s="1"/>
  <c r="B44" i="7" s="1"/>
  <c r="B38" i="7"/>
  <c r="K21" i="5"/>
  <c r="K16" i="3"/>
  <c r="K18" i="3" s="1"/>
  <c r="I16" i="3"/>
  <c r="J18" i="3"/>
  <c r="H21" i="5"/>
  <c r="I18" i="3"/>
  <c r="H16" i="3"/>
  <c r="H18" i="3" s="1"/>
  <c r="G16" i="3"/>
  <c r="G18" i="3" s="1"/>
  <c r="K16" i="1"/>
  <c r="K18" i="1" s="1"/>
  <c r="J19" i="1"/>
  <c r="J26" i="5"/>
  <c r="J21" i="1"/>
  <c r="J21" i="5"/>
  <c r="I21" i="5"/>
  <c r="I19" i="1"/>
  <c r="I21" i="1"/>
  <c r="I26" i="5"/>
  <c r="H21" i="1"/>
  <c r="H26" i="5"/>
  <c r="H19" i="1"/>
  <c r="G21" i="5"/>
  <c r="C21" i="7"/>
  <c r="C39" i="7" s="1"/>
  <c r="D39" i="7" s="1"/>
  <c r="G21" i="1"/>
  <c r="G26" i="5"/>
  <c r="G19" i="1"/>
  <c r="G36" i="6"/>
  <c r="E36" i="6"/>
  <c r="C36" i="6"/>
  <c r="F36" i="6"/>
  <c r="D36" i="6"/>
  <c r="K38" i="8" l="1"/>
  <c r="N40" i="8"/>
  <c r="N41" i="8" s="1"/>
  <c r="N6" i="10"/>
  <c r="N10" i="10" s="1"/>
  <c r="N22" i="10" s="1"/>
  <c r="D40" i="8"/>
  <c r="D41" i="8" s="1"/>
  <c r="D6" i="10"/>
  <c r="D10" i="10" s="1"/>
  <c r="D22" i="10" s="1"/>
  <c r="J40" i="8"/>
  <c r="J41" i="8" s="1"/>
  <c r="J6" i="10"/>
  <c r="J10" i="10" s="1"/>
  <c r="J22" i="10" s="1"/>
  <c r="G40" i="8"/>
  <c r="G41" i="8" s="1"/>
  <c r="G6" i="10"/>
  <c r="G10" i="10" s="1"/>
  <c r="G22" i="10" s="1"/>
  <c r="H40" i="8"/>
  <c r="H41" i="8" s="1"/>
  <c r="H6" i="10"/>
  <c r="H10" i="10" s="1"/>
  <c r="H22" i="10" s="1"/>
  <c r="M40" i="8"/>
  <c r="M41" i="8" s="1"/>
  <c r="M6" i="10"/>
  <c r="M10" i="10" s="1"/>
  <c r="M22" i="10" s="1"/>
  <c r="P40" i="8"/>
  <c r="P41" i="8" s="1"/>
  <c r="P6" i="10"/>
  <c r="P10" i="10" s="1"/>
  <c r="P22" i="10" s="1"/>
  <c r="L40" i="8"/>
  <c r="L41" i="8" s="1"/>
  <c r="L6" i="10"/>
  <c r="L10" i="10" s="1"/>
  <c r="L22" i="10" s="1"/>
  <c r="B40" i="8"/>
  <c r="B41" i="8" s="1"/>
  <c r="B6" i="10"/>
  <c r="B10" i="10" s="1"/>
  <c r="B22" i="10" s="1"/>
  <c r="K40" i="8"/>
  <c r="K41" i="8" s="1"/>
  <c r="K6" i="10"/>
  <c r="K10" i="10" s="1"/>
  <c r="K22" i="10" s="1"/>
  <c r="O38" i="8"/>
  <c r="J36" i="8"/>
  <c r="G36" i="8"/>
  <c r="C35" i="8"/>
  <c r="C36" i="8" s="1"/>
  <c r="C38" i="8"/>
  <c r="D36" i="8"/>
  <c r="E38" i="8"/>
  <c r="I35" i="8"/>
  <c r="I38" i="8" s="1"/>
  <c r="F24" i="5"/>
  <c r="F25" i="2"/>
  <c r="P24" i="1"/>
  <c r="P27" i="1" s="1"/>
  <c r="L25" i="6"/>
  <c r="L26" i="6" s="1"/>
  <c r="K25" i="6"/>
  <c r="K26" i="6" s="1"/>
  <c r="O24" i="1"/>
  <c r="O27" i="1" s="1"/>
  <c r="N24" i="1"/>
  <c r="N27" i="1" s="1"/>
  <c r="J25" i="6"/>
  <c r="J26" i="6" s="1"/>
  <c r="I25" i="6"/>
  <c r="I26" i="6" s="1"/>
  <c r="M24" i="1"/>
  <c r="M27" i="1"/>
  <c r="M25" i="1"/>
  <c r="L24" i="1"/>
  <c r="L27" i="1" s="1"/>
  <c r="H25" i="6"/>
  <c r="H26" i="6" s="1"/>
  <c r="B49" i="7"/>
  <c r="B54" i="7" s="1"/>
  <c r="K21" i="1"/>
  <c r="K19" i="1"/>
  <c r="K26" i="5"/>
  <c r="F24" i="6"/>
  <c r="J23" i="1"/>
  <c r="J8" i="5"/>
  <c r="I23" i="1"/>
  <c r="E24" i="6"/>
  <c r="E25" i="6" s="1"/>
  <c r="E26" i="6" s="1"/>
  <c r="I8" i="5"/>
  <c r="H8" i="5"/>
  <c r="H23" i="1"/>
  <c r="D24" i="6"/>
  <c r="D25" i="6" s="1"/>
  <c r="D26" i="6" s="1"/>
  <c r="G8" i="5"/>
  <c r="G23" i="1"/>
  <c r="C24" i="6"/>
  <c r="I40" i="8" l="1"/>
  <c r="I41" i="8" s="1"/>
  <c r="I6" i="10"/>
  <c r="I10" i="10" s="1"/>
  <c r="I22" i="10" s="1"/>
  <c r="E40" i="8"/>
  <c r="E41" i="8" s="1"/>
  <c r="E6" i="10"/>
  <c r="E10" i="10" s="1"/>
  <c r="E22" i="10" s="1"/>
  <c r="C40" i="8"/>
  <c r="C41" i="8" s="1"/>
  <c r="C6" i="10"/>
  <c r="C10" i="10" s="1"/>
  <c r="C22" i="10" s="1"/>
  <c r="O40" i="8"/>
  <c r="O41" i="8" s="1"/>
  <c r="O6" i="10"/>
  <c r="O10" i="10" s="1"/>
  <c r="O22" i="10" s="1"/>
  <c r="I36" i="8"/>
  <c r="F27" i="2"/>
  <c r="F13" i="5"/>
  <c r="F17" i="5"/>
  <c r="P25" i="1"/>
  <c r="N25" i="1"/>
  <c r="O25" i="1"/>
  <c r="L25" i="1"/>
  <c r="P9" i="5"/>
  <c r="P28" i="1"/>
  <c r="P6" i="3"/>
  <c r="P9" i="3" s="1"/>
  <c r="O6" i="3"/>
  <c r="O9" i="3" s="1"/>
  <c r="O9" i="5"/>
  <c r="O28" i="1"/>
  <c r="N28" i="1"/>
  <c r="N6" i="3"/>
  <c r="N9" i="3" s="1"/>
  <c r="N9" i="5"/>
  <c r="M28" i="1"/>
  <c r="M6" i="3"/>
  <c r="M9" i="3" s="1"/>
  <c r="M9" i="5"/>
  <c r="L9" i="5"/>
  <c r="L28" i="1"/>
  <c r="L6" i="3"/>
  <c r="L9" i="3" s="1"/>
  <c r="B60" i="7"/>
  <c r="G24" i="6"/>
  <c r="K8" i="5"/>
  <c r="K23" i="1"/>
  <c r="F25" i="6"/>
  <c r="F26" i="6" s="1"/>
  <c r="J24" i="1"/>
  <c r="J27" i="1" s="1"/>
  <c r="I24" i="1"/>
  <c r="I27" i="1" s="1"/>
  <c r="H24" i="1"/>
  <c r="H27" i="1" s="1"/>
  <c r="C25" i="6"/>
  <c r="C26" i="6" s="1"/>
  <c r="G24" i="1"/>
  <c r="G25" i="1" s="1"/>
  <c r="P20" i="3" l="1"/>
  <c r="L31" i="6"/>
  <c r="O20" i="3"/>
  <c r="K31" i="6"/>
  <c r="N20" i="3"/>
  <c r="J31" i="6"/>
  <c r="I31" i="6"/>
  <c r="M20" i="3"/>
  <c r="H31" i="6"/>
  <c r="L20" i="3"/>
  <c r="K24" i="1"/>
  <c r="K25" i="1" s="1"/>
  <c r="G25" i="6"/>
  <c r="G26" i="6" s="1"/>
  <c r="J9" i="5"/>
  <c r="J6" i="3"/>
  <c r="J9" i="3" s="1"/>
  <c r="J28" i="1"/>
  <c r="J25" i="1"/>
  <c r="I25" i="1"/>
  <c r="I9" i="5"/>
  <c r="I6" i="3"/>
  <c r="I9" i="3" s="1"/>
  <c r="I28" i="1"/>
  <c r="H28" i="1"/>
  <c r="H6" i="3"/>
  <c r="H9" i="3" s="1"/>
  <c r="H9" i="5"/>
  <c r="H25" i="1"/>
  <c r="G27" i="1"/>
  <c r="C22" i="7" s="1"/>
  <c r="C44" i="7" s="1"/>
  <c r="G7" i="2"/>
  <c r="G6" i="3"/>
  <c r="G9" i="3" s="1"/>
  <c r="G9" i="5"/>
  <c r="L37" i="6" l="1"/>
  <c r="B40" i="6"/>
  <c r="B41" i="6" s="1"/>
  <c r="B42" i="6" s="1"/>
  <c r="K37" i="6"/>
  <c r="J37" i="6"/>
  <c r="I37" i="6"/>
  <c r="H37" i="6"/>
  <c r="K27" i="1"/>
  <c r="J20" i="3"/>
  <c r="F31" i="6"/>
  <c r="E31" i="6"/>
  <c r="I20" i="3"/>
  <c r="D31" i="6"/>
  <c r="H20" i="3"/>
  <c r="G28" i="1"/>
  <c r="G8" i="2"/>
  <c r="H7" i="2"/>
  <c r="C31" i="6"/>
  <c r="G20" i="3"/>
  <c r="D44" i="7"/>
  <c r="K6" i="3" l="1"/>
  <c r="K9" i="3" s="1"/>
  <c r="K28" i="1"/>
  <c r="K9" i="5"/>
  <c r="F37" i="6"/>
  <c r="E37" i="6"/>
  <c r="D37" i="6"/>
  <c r="C37" i="6"/>
  <c r="I7" i="2"/>
  <c r="H8" i="2"/>
  <c r="G29" i="2"/>
  <c r="G15" i="2"/>
  <c r="G25" i="5"/>
  <c r="C23" i="7"/>
  <c r="C38" i="7" s="1"/>
  <c r="D38" i="7" s="1"/>
  <c r="E38" i="7" s="1"/>
  <c r="F38" i="7" s="1"/>
  <c r="C45" i="7" s="1"/>
  <c r="G14" i="5"/>
  <c r="G12" i="5"/>
  <c r="K20" i="3" l="1"/>
  <c r="G31" i="6"/>
  <c r="H12" i="5"/>
  <c r="H29" i="2"/>
  <c r="H14" i="5"/>
  <c r="H25" i="5"/>
  <c r="H15" i="2"/>
  <c r="G24" i="5"/>
  <c r="G27" i="5"/>
  <c r="C25" i="7"/>
  <c r="C26" i="7" s="1"/>
  <c r="G25" i="2"/>
  <c r="J7" i="2"/>
  <c r="I8" i="2"/>
  <c r="D45" i="7"/>
  <c r="B46" i="6" l="1"/>
  <c r="G37" i="6"/>
  <c r="B45" i="6" s="1"/>
  <c r="I15" i="2"/>
  <c r="I14" i="5"/>
  <c r="I25" i="5"/>
  <c r="I12" i="5"/>
  <c r="I29" i="2"/>
  <c r="G27" i="2"/>
  <c r="G17" i="5"/>
  <c r="G13" i="5"/>
  <c r="J8" i="2"/>
  <c r="K7" i="2"/>
  <c r="E40" i="7"/>
  <c r="F40" i="7" s="1"/>
  <c r="C47" i="7" s="1"/>
  <c r="D47" i="7" s="1"/>
  <c r="E39" i="7"/>
  <c r="F39" i="7" s="1"/>
  <c r="C46" i="7" s="1"/>
  <c r="H27" i="5"/>
  <c r="H25" i="2"/>
  <c r="H24" i="5"/>
  <c r="K8" i="2" l="1"/>
  <c r="K15" i="2" s="1"/>
  <c r="L7" i="2"/>
  <c r="B47" i="6"/>
  <c r="J14" i="5"/>
  <c r="J15" i="2"/>
  <c r="J25" i="5"/>
  <c r="J12" i="5"/>
  <c r="J29" i="2"/>
  <c r="D46" i="7"/>
  <c r="D49" i="7" s="1"/>
  <c r="C49" i="7"/>
  <c r="B55" i="7" s="1"/>
  <c r="H27" i="2"/>
  <c r="H17" i="5"/>
  <c r="H13" i="5"/>
  <c r="I27" i="5"/>
  <c r="I24" i="5"/>
  <c r="I25" i="2"/>
  <c r="K25" i="5" l="1"/>
  <c r="K14" i="5"/>
  <c r="K29" i="2"/>
  <c r="K12" i="5"/>
  <c r="L8" i="2"/>
  <c r="M7" i="2"/>
  <c r="B53" i="6"/>
  <c r="B55" i="6" s="1"/>
  <c r="B57" i="6"/>
  <c r="J24" i="5"/>
  <c r="J27" i="5"/>
  <c r="J25" i="2"/>
  <c r="K25" i="2"/>
  <c r="K27" i="5"/>
  <c r="K24" i="5"/>
  <c r="I27" i="2"/>
  <c r="I13" i="5"/>
  <c r="I17" i="5"/>
  <c r="B53" i="7" l="1"/>
  <c r="B62" i="7" s="1"/>
  <c r="A60" i="6"/>
  <c r="M8" i="2"/>
  <c r="N7" i="2"/>
  <c r="L15" i="2"/>
  <c r="L14" i="5"/>
  <c r="L12" i="5"/>
  <c r="L29" i="2"/>
  <c r="L25" i="5"/>
  <c r="B57" i="7"/>
  <c r="J27" i="2"/>
  <c r="J17" i="5"/>
  <c r="J13" i="5"/>
  <c r="K27" i="2"/>
  <c r="K17" i="5"/>
  <c r="K13" i="5"/>
  <c r="O7" i="2" l="1"/>
  <c r="N8" i="2"/>
  <c r="L27" i="5"/>
  <c r="L25" i="2"/>
  <c r="L24" i="5"/>
  <c r="M12" i="5"/>
  <c r="M14" i="5"/>
  <c r="M29" i="2"/>
  <c r="M25" i="5"/>
  <c r="M15" i="2"/>
  <c r="M24" i="5" l="1"/>
  <c r="M27" i="5"/>
  <c r="M25" i="2"/>
  <c r="L27" i="2"/>
  <c r="L13" i="5"/>
  <c r="L17" i="5"/>
  <c r="N12" i="5"/>
  <c r="N29" i="2"/>
  <c r="N25" i="5"/>
  <c r="N15" i="2"/>
  <c r="N14" i="5"/>
  <c r="P7" i="2"/>
  <c r="P8" i="2" s="1"/>
  <c r="O8" i="2"/>
  <c r="P25" i="5" l="1"/>
  <c r="P12" i="5"/>
  <c r="P29" i="2"/>
  <c r="P15" i="2"/>
  <c r="P14" i="5"/>
  <c r="M27" i="2"/>
  <c r="M13" i="5"/>
  <c r="M17" i="5"/>
  <c r="O29" i="2"/>
  <c r="O25" i="5"/>
  <c r="O15" i="2"/>
  <c r="O12" i="5"/>
  <c r="O14" i="5"/>
  <c r="N25" i="2"/>
  <c r="N24" i="5"/>
  <c r="N27" i="5"/>
  <c r="O27" i="5" l="1"/>
  <c r="O25" i="2"/>
  <c r="O24" i="5"/>
  <c r="N17" i="5"/>
  <c r="N13" i="5"/>
  <c r="N27" i="2"/>
  <c r="P27" i="5"/>
  <c r="P25" i="2"/>
  <c r="P24" i="5"/>
  <c r="P27" i="2" l="1"/>
  <c r="P17" i="5"/>
  <c r="P13" i="5"/>
  <c r="O17" i="5"/>
  <c r="O13" i="5"/>
  <c r="O2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B4" authorId="0" shapeId="0" xr:uid="{8F01B47C-FAAA-4049-A014-AEB894EEA319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9M FY26 standalone revenue ₹120.23 Cr; Q3 at ₹38.61 Cr. Mgmt guidance ₹200 Cr unlikely; est. Q4 ~₹45 Cr</t>
        </r>
      </text>
    </comment>
    <comment ref="B5" authorId="0" shapeId="0" xr:uid="{E90587F9-DB47-497E-88D1-B574EB7401A4}">
      <text>
        <r>
          <rPr>
            <b/>
            <sz val="9"/>
            <color indexed="81"/>
            <rFont val="Tahoma"/>
            <family val="2"/>
          </rPr>
          <t>82% growth: Kannur plant commissioned Feb 25, 2026; order book ~₹368 Cr (Mar'26 est.) incl. Danya orders. Strong ramp-up year. Capacity now 9,000 MVA. Higher MVA transformers (200 MVA, 220 kV).</t>
        </r>
      </text>
    </comment>
    <comment ref="B6" authorId="0" shapeId="0" xr:uid="{684210B4-146F-47A5-9FEC-4B5EA7BCD3A0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40% growth: Full year new plant benefit; higher MVA transformers (up to 200 MVA, 220 kV); PGCIL/NTPC approvals expected</t>
        </r>
      </text>
    </comment>
    <comment ref="B7" authorId="0" shapeId="0" xr:uid="{3BD63BA6-079E-44E0-B6BA-13DF52832C51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25% growth: Continued ramp-up; geographic expansion; peak capacity potential ₹550-600 Cr per mgmt</t>
        </r>
      </text>
    </comment>
    <comment ref="B8" authorId="0" shapeId="0" xr:uid="{1194DE16-7857-40A8-841C-465228326D46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10% growth: Approaching peak utilization (~85-90%); total capacity 9,000 MVA</t>
        </r>
      </text>
    </comment>
    <comment ref="B9" authorId="0" shapeId="0" xr:uid="{F23F9FCD-8574-4513-BCD4-C92641D90449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10% growth: Existing 9,000 MVA at ~90% utilization. Phase 3 North India capex begins (~₹80-100 Cr). India transformer market CAGR 8-10%</t>
        </r>
      </text>
    </comment>
    <comment ref="B10" authorId="0" shapeId="0" xr:uid="{ADB07B5D-5C27-44C5-9189-4D73FF83010F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10% growth: Phase 3 plant construction year. Existing capacity near peak. New orders from North India EPC pipeline</t>
        </r>
      </text>
    </comment>
    <comment ref="B11" authorId="0" shapeId="0" xr:uid="{391B4679-23DA-4156-8735-F0D1AC4912E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12% growth: Phase 3 North India plant commissioned mid-year (~5,000-6,000 MVA). Total capacity ~15,000 MVA. Revenue ramp begins</t>
        </r>
      </text>
    </comment>
    <comment ref="B12" authorId="0" shapeId="0" xr:uid="{418BB8CE-C175-4A16-9D7D-D5E6A5282173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15% growth: Full year Phase 3 benefit. North India geographic expansion (UP, Rajasthan, Gujarat). New utility approvals. India peak demand &gt;400 GW</t>
        </r>
      </text>
    </comment>
    <comment ref="B13" authorId="0" shapeId="0" xr:uid="{FDE4791F-6037-41D2-AD81-76CED4EDBDB9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10% growth: Approaching combined peak utilization (~80-85% of 15,000 MVA). Mgmt long-term peak capacity potential ₹1,000-1,200 Cr</t>
        </r>
      </text>
    </comment>
    <comment ref="B15" authorId="0" shapeId="0" xr:uid="{0C4BDA68-F75B-4FAC-9A3B-1178442D99B5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India transformer market: USD 3B (2025) → USD 4.47B (2030) CAGR 8.3% (Mordor). Power transformers to USD 5.26B by 2035 CAGR 6.9% (MRFR). India peak demand &gt;400 GW by 2030, 500+ GW by 2035. 200,000 km new T&amp;D lines needed (IEA)</t>
        </r>
      </text>
    </comment>
    <comment ref="B16" authorId="0" shapeId="0" xr:uid="{784D8534-820A-494A-81C5-F0A2FC44B6B4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1: Existing Thirumazhisai plant 2,500 MVA (70-80% utilized). Phase 2: Kannur plant 6,500 MVA commissioned Feb 25, 2026 (total 9,000 MVA). Phase 3: North India plant ~5,000-6,000 MVA planned FY31-32E (total ~15,000 MVA)</t>
        </r>
      </text>
    </comment>
    <comment ref="B17" authorId="0" shapeId="0" xr:uid="{5ACD74A7-6380-4ED8-8546-49FA283DDB13}">
      <text>
        <r>
          <rPr>
            <b/>
            <sz val="9"/>
            <color indexed="81"/>
            <rFont val="Tahoma"/>
            <family val="2"/>
          </rPr>
          <t>Order book ~₹368 Cr (Mar 2026 est.). Feb 9, 2026 base: ₹311 Cr + Feb'26 inflows ₹38.63 Cr + Mar'26 Danya ₹18.23 Cr (TNPDCL distribution transformers). Jan'26: ₹58.94 Cr. Active pipeline &gt;₹600 Cr; win rate 10-15%. Danya Electric (90% stake) expanding distribution transformer segment.</t>
        </r>
      </text>
    </comment>
    <comment ref="B18" authorId="0" shapeId="0" xr:uid="{90219FF4-30A9-4F1A-A323-4D07058F21F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Renewables (solar/wind 500GW by 2030, 750-1000GW by 2035); grid modernization; substation expansion; BESS; data centers; EV charging; India electricity demand CAGR 6.4% to 2030</t>
        </r>
      </text>
    </comment>
    <comment ref="B21" authorId="0" shapeId="0" xr:uid="{1B0579F2-52A2-4B4E-A84D-8E821A4D0B24}">
      <text>
        <r>
          <rPr>
            <b/>
            <sz val="9"/>
            <color indexed="81"/>
            <rFont val="Tahoma"/>
            <family val="2"/>
          </rPr>
          <t>9M FY26 RM% ~69%; Q3 margin compression. Declining more gradually with scale toward 64.5% by FY35E. Danya distribution transformers have higher RM% (~70-72%), partially offsetting power transformer mix improvement. Prior model too aggressive at 63%.</t>
        </r>
      </text>
    </comment>
    <comment ref="B22" authorId="0" shapeId="0" xr:uid="{5183D94B-65FC-478A-B5C9-F9F73C3EF3E7}">
      <text>
        <r>
          <rPr>
            <b/>
            <sz val="9"/>
            <color indexed="81"/>
            <rFont val="Tahoma"/>
            <family val="2"/>
          </rPr>
          <t>9M FY26 EBITDA margin ~15.1%. Margins recover with scale from new plant FY27+ but tapered vs prior model. Historical peak ~20.4% (FY24). Danya distribution transformers carry lower margins, capping upside. Industry leaders Voltamp/TARIL operate at 15-22%. Peak 22-23% at maturity reflects product mix (power + distribution) and scale benefits without requiring best-in-class margins.</t>
        </r>
      </text>
    </comment>
    <comment ref="B23" authorId="0" shapeId="0" xr:uid="{8E6C62BD-51F1-4427-922A-9B4008194A91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New plant workforce additions ongoing; 47 employees growing to 100-150+ by FY28, 200+ by FY33 (Phase 3). Lower growth % as base effect kicks in</t>
        </r>
      </text>
    </comment>
    <comment ref="B24" authorId="0" shapeId="0" xr:uid="{000EEFAF-5AD6-4372-AC03-858B294F33D4}">
      <text>
        <r>
          <rPr>
            <b/>
            <sz val="9"/>
            <color indexed="81"/>
            <rFont val="Tahoma"/>
            <family val="2"/>
          </rPr>
          <t>Power, freight, repairs, insurance, testing. Higher % in FY26 due to new plant commissioning costs. Operating leverage from FY27+ but Danya/distribution segment keeps overhead % slightly higher than prior model. Stabilizes ~7.3-7.6% at scale.</t>
        </r>
      </text>
    </comment>
    <comment ref="B27" authorId="0" shapeId="0" xr:uid="{1CBD7521-97ED-4D20-A88D-D671E40AC08B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2 Kannur ~₹100 Cr (commissioned Feb 2026). Phase 3 North India ~₹80-100 Cr planned FY31-32E. Maintenance capex ~₹5 Cr/yr</t>
        </r>
      </text>
    </comment>
    <comment ref="B28" authorId="0" shapeId="0" xr:uid="{996D05D8-7D9D-46FE-ACBD-5395D12426C3}">
      <text>
        <r>
          <rPr>
            <b/>
            <sz val="9"/>
            <color indexed="81"/>
            <rFont val="Tahoma"/>
            <family val="2"/>
          </rPr>
          <t>Kannur plant ~₹100 Cr gross block: ~5-6% dep rate = ₹5-6 Cr/yr. Partial FY26 (₹2.2 Cr). FY27E ₹7.5 Cr (full year Kannur). Phase 3 dep from FY33E adds ₹4-5 Cr. Maintenance capex ₹5 Cr/yr adds to gross block gradually.</t>
        </r>
      </text>
    </comment>
    <comment ref="B29" authorId="0" shapeId="0" xr:uid="{D305B09C-5343-41C0-8D46-CB2006858130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Q3 FY26 interest ₹0.29 Cr. Debt declining as operations generate cash. Brief uptick FY31-32E for Phase 3 capex. CRISIL BBB-/Stable</t>
        </r>
      </text>
    </comment>
    <comment ref="B30" authorId="0" shapeId="0" xr:uid="{D5F537B0-5FEB-4F9A-84D9-B0D8680E89B7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New tax regime 25.17% + surcharge. Historical range 25-31%; normalizing at ~25.4%</t>
        </r>
      </text>
    </comment>
    <comment ref="B33" authorId="0" shapeId="0" xr:uid="{92F0F26E-6E6E-4A18-9E00-2AB8F8A10D00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Improved from 147 to 110; private sector focus (74%) supports better collections. Stabilizing at 75-80 days at scale with North India utility mix</t>
        </r>
      </text>
    </comment>
    <comment ref="B34" authorId="0" shapeId="0" xr:uid="{D8C9E029-3ADC-475C-A372-DDD0F47E998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WC already improved from 97.5 to 46.5 days; expected to sustain with operational efficiencies</t>
        </r>
      </text>
    </comment>
    <comment ref="B36" authorId="0" shapeId="0" xr:uid="{665BCCB5-C17C-4F4E-ABE4-84F753053A83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Face value ₹10; IPO Dec 2023 raised ₹46.67 Cr; preferential warrants Aug 2025. Potential equity raise for Phase 3 in FY31E</t>
        </r>
      </text>
    </comment>
    <comment ref="B37" authorId="0" shapeId="0" xr:uid="{2D1ACE15-781D-4FD3-887B-0945A62757D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Increased from 56.56% to 57.16% (Mar'25); positive signal</t>
        </r>
      </text>
    </comment>
    <comment ref="B40" authorId="0" shapeId="0" xr:uid="{978BFDAE-8061-4964-A2E9-4D6A89919924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CRGO steel (imports), copper, transformer oil prices can significantly impact margins</t>
        </r>
      </text>
    </comment>
    <comment ref="B41" authorId="0" shapeId="0" xr:uid="{2F211EDC-609D-464F-9C30-2AC94C925DBF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Kannur plant commissioned Feb 2026. Phase 3 North India execution risk from FY31E. CPRI/PGCIL/NTPC certifications for higher MVA products</t>
        </r>
      </text>
    </comment>
    <comment ref="B42" authorId="0" shapeId="0" xr:uid="{B2DDA8A5-1944-4F3A-B396-E2E423EC63C0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Heavy reliance on TN, Kerala, Karnataka utilities. Diversification to Telangana/steel begun H1 FY26. North India expansion planned FY31E+</t>
        </r>
      </text>
    </comment>
    <comment ref="B43" authorId="0" shapeId="0" xr:uid="{001336D1-EB68-4238-B546-BD41431F737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Govt orders have longer payment cycles; rapid revenue growth needs proportional WC funding</t>
        </r>
      </text>
    </comment>
    <comment ref="B44" authorId="0" shapeId="0" xr:uid="{4ABE986F-E63D-4250-AE7A-8CEF4894E491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Large players: Hitachi Energy, CG Power, TBEA. SPEL competes on cost &amp; lead time in regional markets</t>
        </r>
      </text>
    </comment>
    <comment ref="B45" authorId="0" shapeId="0" xr:uid="{57816BDC-429A-48A8-AE7F-AC223B91A1D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Listed on NSE Emerge (SME); lower liquidity. Mainboard migration possible by FY28-29E given revenue scale</t>
        </r>
      </text>
    </comment>
    <comment ref="B46" authorId="0" shapeId="0" xr:uid="{5D478071-D75D-484B-8871-48089B12BF34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60-70% of order book to be executed within the year; delays in client-side approvals can shift revenues</t>
        </r>
      </text>
    </comment>
    <comment ref="B47" authorId="0" shapeId="0" xr:uid="{58865166-50F6-4C9E-93E8-52010EDBEC63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CRGO steel imported; INR depreciation increases RM costs. No natural hedge from exports currently</t>
        </r>
      </text>
    </comment>
    <comment ref="B48" authorId="0" shapeId="0" xr:uid="{35AD9585-30E4-4525-8CD5-DF3B36AF964B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Changes in utility procurement policies, BIS standards, or energy transition pace could impact demand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G6" authorId="0" shapeId="0" xr:uid="{0825F96C-5000-4DD8-B64F-9C4A9B69BCF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9M FY26 standalone ₹120.23 Cr; Q4 est. ~₹45 Cr. Order book ₹311 Cr (Feb'26). Kannur plant ramp-up FY27+</t>
        </r>
      </text>
    </comment>
    <comment ref="L6" authorId="0" shapeId="0" xr:uid="{59AA84F7-ECF4-4759-934E-1F1901F9FEE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10% growth: 9,000 MVA at ~90% utilization. Phase 3 North India capex begins</t>
        </r>
      </text>
    </comment>
    <comment ref="M6" authorId="0" shapeId="0" xr:uid="{C92F6D42-6CF9-4EA0-B280-CD3380B63B53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10% growth: Phase 3 plant construction year. Existing capacity near peak</t>
        </r>
      </text>
    </comment>
    <comment ref="N6" authorId="0" shapeId="0" xr:uid="{D37EB367-5A99-41FF-A6D5-ABCEEABDF1F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12% growth: Phase 3 North India plant commissioned mid-year. Revenue ramp begins</t>
        </r>
      </text>
    </comment>
    <comment ref="O6" authorId="0" shapeId="0" xr:uid="{7E19C3BF-32A7-42D3-9A37-8A12F432870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15% growth: Full year Phase 3. North India expansion (UP, Rajasthan, Gujarat)</t>
        </r>
      </text>
    </comment>
    <comment ref="P6" authorId="0" shapeId="0" xr:uid="{78A628B7-C9AD-42A8-B101-9385E6154A5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10% growth: Approaching combined peak utilization of ~15,000 MVA</t>
        </r>
      </text>
    </comment>
    <comment ref="G20" authorId="0" shapeId="0" xr:uid="{A80B8A03-31BB-402E-BE06-E431045593F5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Kannur plant commissioned Feb 25, 2026; partial year FY26 dep. Full dep from FY27+</t>
        </r>
      </text>
    </comment>
    <comment ref="H20" authorId="0" shapeId="0" xr:uid="{9BAF6D6E-4744-4D1E-93AF-EF6071EA40C7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Full year Kannur plant dep (~₹100 Cr block × 5-6% = ₹5-6 Cr) + existing plants ₹1.5 Cr. Source: Kannur plant commissioned Feb 25, 2026, total investment ~₹100 Cr</t>
        </r>
      </text>
    </comment>
    <comment ref="I20" authorId="0" shapeId="0" xr:uid="{C5F9429E-AD57-4F7A-8F90-E979FE99CA27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Kannur stabilized + small maintenance capex additions to gross block</t>
        </r>
      </text>
    </comment>
    <comment ref="J20" authorId="0" shapeId="0" xr:uid="{81F2294A-736A-42F1-ABF2-B4A0DE205F8B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Steady-state dep on existing gross block. Maintenance capex ₹5 Cr/yr adding incrementally</t>
        </r>
      </text>
    </comment>
    <comment ref="K20" authorId="0" shapeId="0" xr:uid="{EE4E9F65-A4F8-46A9-8C14-E8D0EF2BB22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Stable depreciation. Phase 3 capex begins but not yet on gross block</t>
        </r>
      </text>
    </comment>
    <comment ref="L20" authorId="0" shapeId="0" xr:uid="{10946293-DEE5-4B5E-957D-1F7448EB7524}">
      <text>
        <r>
          <rPr>
            <b/>
            <sz val="9"/>
            <color indexed="81"/>
            <rFont val="Tahoma"/>
            <family val="2"/>
          </rPr>
          <t>Phase 3 North India capex (₹45 Cr Y1) begins capitalizing. Partial year dep + existing base</t>
        </r>
      </text>
    </comment>
    <comment ref="M20" authorId="0" shapeId="0" xr:uid="{982FF3B2-01C7-439D-ACAE-50AD7B75A0D5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Y2 capex (₹45 Cr) added. Significant gross block increase</t>
        </r>
      </text>
    </comment>
    <comment ref="N20" authorId="0" shapeId="0" xr:uid="{831760DB-AA86-40D9-A979-F4936E23C5CD}">
      <text>
        <r>
          <rPr>
            <b/>
            <sz val="9"/>
            <color indexed="81"/>
            <rFont val="Tahoma"/>
            <family val="2"/>
          </rPr>
          <t>Phase 3 plant commissioned mid-year. Full year dep on Phase 2 + partial Phase 3</t>
        </r>
      </text>
    </comment>
    <comment ref="O20" authorId="0" shapeId="0" xr:uid="{1C309D4F-1E22-480F-986A-033E949CF549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Full year Phase 3 dep. Combined gross block ~₹280-300 Cr across all plants</t>
        </r>
      </text>
    </comment>
    <comment ref="P20" authorId="0" shapeId="0" xr:uid="{15A23837-4364-4459-BF67-CBB42692B2C2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Stabilized dep on full gross block ~₹300 Cr. Maintenance capex offsets by fully depreciated older assets</t>
        </r>
      </text>
    </comment>
    <comment ref="G22" authorId="0" shapeId="0" xr:uid="{57563FCB-5C60-420F-B87B-DE709E2610B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Q3 FY26 interest only ₹0.29 Cr. Debt declining; strong cash generation</t>
        </r>
      </text>
    </comment>
    <comment ref="M22" authorId="0" shapeId="0" xr:uid="{989E2B2E-A9DE-4AFA-B87D-B9E61E2A5F5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Uptick from Phase 3 capex borrowing</t>
        </r>
      </text>
    </comment>
    <comment ref="N22" authorId="0" shapeId="0" xr:uid="{032A5ADA-C750-40EC-B78D-E0C9D5FDC07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Peak Phase 3 debt + WC for North India</t>
        </r>
      </text>
    </comment>
    <comment ref="P22" authorId="0" shapeId="0" xr:uid="{19279ECE-35BB-4419-AA05-1ABBDC8A49D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Declining as Phase 3 debt repaid from cash generation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L10" authorId="0" shapeId="0" xr:uid="{0AA1A89F-029E-4CBE-9427-FED22B4FA9A2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capex borrowing ~₹40-50 Cr</t>
        </r>
      </text>
    </comment>
    <comment ref="M10" authorId="0" shapeId="0" xr:uid="{D1C85782-BA23-4493-8A35-B0A38B23C8C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Peak Phase 3 borrowing</t>
        </r>
      </text>
    </comment>
    <comment ref="F11" authorId="0" shapeId="0" xr:uid="{ABCD58BD-8E83-4723-8F88-BA94F1D074B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FY25 Annual Report 2024-2025, supremepower.in/IPO_pdf/Annual Report 2024-2025.pdf</t>
        </r>
      </text>
    </comment>
    <comment ref="L18" authorId="0" shapeId="0" xr:uid="{0D58BF78-6B6E-4E62-8DC2-EA95B24950D5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Existing plants PPE depreciating + maintenance capex ~₹5 Cr</t>
        </r>
      </text>
    </comment>
    <comment ref="N18" authorId="0" shapeId="0" xr:uid="{54001040-233F-4670-B227-C07A5161CE1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North India plant capitalized (~₹80-100 Cr CWIP transferred to PPE)</t>
        </r>
      </text>
    </comment>
    <comment ref="L19" authorId="0" shapeId="0" xr:uid="{899DA852-4B44-4F6A-B759-DB25A201CA0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North India plant under construction</t>
        </r>
      </text>
    </comment>
    <comment ref="M19" authorId="0" shapeId="0" xr:uid="{B9130483-6575-4428-B077-517B67CFFFEF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nearing completion</t>
        </r>
      </text>
    </comment>
    <comment ref="N19" authorId="0" shapeId="0" xr:uid="{67F0DD15-18D3-4446-8696-3F720AEE82B5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transferred to PPE</t>
        </r>
      </text>
    </comment>
    <comment ref="L22" authorId="0" shapeId="0" xr:uid="{E246DC96-11AF-4FC3-9465-5C47CB83695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Debtor days ~80. Revenue ₹635 Cr / 365 * 80 = ₹139 Cr</t>
        </r>
      </text>
    </comment>
    <comment ref="G23" authorId="0" shapeId="0" xr:uid="{10832D9B-3144-4474-824D-A39E4EB0A3F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(FY26E)</t>
        </r>
      </text>
    </comment>
    <comment ref="H23" authorId="0" shapeId="0" xr:uid="{CFDC8321-29AE-4B78-8AF1-45C80FDEF15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(FY27E)</t>
        </r>
      </text>
    </comment>
    <comment ref="I23" authorId="0" shapeId="0" xr:uid="{50E7B5F5-1023-4DD6-A708-2BB1723A15DE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(FY28E)</t>
        </r>
      </text>
    </comment>
    <comment ref="J23" authorId="0" shapeId="0" xr:uid="{94EDA085-93FD-4573-8880-84CEA5B7DFA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(FY29E)</t>
        </r>
      </text>
    </comment>
    <comment ref="K23" authorId="0" shapeId="0" xr:uid="{AC3D6060-19F0-448B-B44B-796276EE37A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(FY30E)</t>
        </r>
      </text>
    </comment>
    <comment ref="L23" authorId="0" shapeId="0" xr:uid="{6E99C82C-69A8-4B3B-852C-ADA669287C74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(FY31E)</t>
        </r>
      </text>
    </comment>
    <comment ref="M23" authorId="0" shapeId="0" xr:uid="{3C7A53CD-BF37-42FE-A1CA-E09EC2D1015E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(FY32E)</t>
        </r>
      </text>
    </comment>
    <comment ref="N23" authorId="0" shapeId="0" xr:uid="{53958C28-2850-4179-89ED-618C8DD77C02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(FY33E)</t>
        </r>
      </text>
    </comment>
    <comment ref="O23" authorId="0" shapeId="0" xr:uid="{7EB9306E-8E7F-483A-936A-3A51C7AACC7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(FY34E)</t>
        </r>
      </text>
    </comment>
    <comment ref="P23" authorId="0" shapeId="0" xr:uid="{A78E9087-3C97-4944-93B3-6B144120366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BS (FY35E)</t>
        </r>
      </text>
    </comment>
    <comment ref="F24" authorId="0" shapeId="0" xr:uid="{D78E8930-6983-4A2F-9923-89B4DB49727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Residual item to balance Total Assets = Total Equity &amp; Liabilities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B8" authorId="0" shapeId="0" xr:uid="{CEF70181-1440-40CD-8EEE-71603BD6711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Annual Report FY21, Working Capital Schedule</t>
        </r>
      </text>
    </comment>
    <comment ref="C8" authorId="0" shapeId="0" xr:uid="{F0914DE6-5672-462B-AAD6-047D11C75EA3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Annual Report FY22, Working Capital Schedule</t>
        </r>
      </text>
    </comment>
    <comment ref="D8" authorId="0" shapeId="0" xr:uid="{A5228885-A0C8-47B1-B9EF-4A54F3CCC46F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Annual Report FY23, Working Capital Schedule</t>
        </r>
      </text>
    </comment>
    <comment ref="E8" authorId="0" shapeId="0" xr:uid="{872F37DF-841B-4E93-B588-0AC3AE4C8CE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Annual Report FY24, Working Capital Schedule</t>
        </r>
      </text>
    </comment>
    <comment ref="F8" authorId="0" shapeId="0" xr:uid="{8CCF3ACE-5C24-4526-AA82-1D5C6EC9705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Annual Report FY25, Working Capital Schedule</t>
        </r>
      </text>
    </comment>
    <comment ref="L8" authorId="0" shapeId="0" xr:uid="{3C218B31-4887-483E-A857-53700DC8428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WC increase: Higher inventory &amp; receivables for ₹635 Cr revenue + Phase 3 ramp</t>
        </r>
      </text>
    </comment>
    <comment ref="N8" authorId="0" shapeId="0" xr:uid="{F7BEE73E-A99D-421A-AF3C-AD8A8897EF1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Higher WC for North India plant ramp-up</t>
        </r>
      </text>
    </comment>
    <comment ref="L12" authorId="0" shapeId="0" xr:uid="{2B1EFD24-5827-413A-9E46-4C281BC03FCB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North India: ~₹40 Cr capex + ₹5 Cr maintenance</t>
        </r>
      </text>
    </comment>
    <comment ref="M12" authorId="0" shapeId="0" xr:uid="{F35055AE-8F5A-4622-AB42-05B3CE1442B2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3: ~₹40 Cr capex + ₹5 Cr maintenance. Total Phase 3: ~₹80-90 Cr</t>
        </r>
      </text>
    </comment>
    <comment ref="N12" authorId="0" shapeId="0" xr:uid="{99E77AAA-C3F2-4B4E-B7C9-CFDD34258284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Phase 3 complete. Maintenance capex only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F11" authorId="0" shapeId="0" xr:uid="{18EBE95F-0480-4232-A99E-CFC95081952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Estimated from Danya Electric order wins. Consolidated total income ₹149.54 Cr per NSE Filing, https://nsearchives.nseindia.com/corporate/SPEL_10022026153726_SPELQ3FY26PressRelease.pdf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F25" authorId="0" shapeId="0" xr:uid="{F4313207-6B50-422F-913B-DAE5C53E3A3F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Plug: Cash as residual to balance Consolidated BS. Includes standalone cash + Danya cash.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B5" authorId="0" shapeId="0" xr:uid="{5F171012-34D4-4AD4-9A19-AA5201767DB3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India 10-year Government Bond yield, ~7.1% as of Feb 2026</t>
        </r>
      </text>
    </comment>
    <comment ref="B6" authorId="0" shapeId="0" xr:uid="{D0B7720B-35D1-4FB7-8F42-A707CFEAC065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Damodaran India ERP, Feb 2026</t>
        </r>
      </text>
    </comment>
    <comment ref="B7" authorId="0" shapeId="0" xr:uid="{9203E058-6435-4CED-87A1-1D2931D9612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Assumed Beta for small-cap transformer co. (higher than industry avg ~0.9-1.0 due to size premium)</t>
        </r>
      </text>
    </comment>
    <comment ref="B9" authorId="0" shapeId="0" xr:uid="{D6EE9A10-99E5-472E-8090-364BBB153340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Estimated borrowing rate for SME (~10%)</t>
        </r>
      </text>
    </comment>
    <comment ref="B10" authorId="0" shapeId="0" xr:uid="{1DC99544-44CE-4DA6-A925-D1C2C562B6E3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Effective tax rate from Income Statement</t>
        </r>
      </text>
    </comment>
    <comment ref="B12" authorId="0" shapeId="0" xr:uid="{61981714-4D2B-4FAF-84FF-E68F3596C84D}">
      <text>
        <r>
          <rPr>
            <b/>
            <sz val="9"/>
            <color indexed="81"/>
            <rFont val="Tahoma"/>
            <family val="2"/>
          </rPr>
          <t>Source: Kotak Neo, https://www.kotakneo.com/stocks/supreme-power-equipment-share-price/ (CMP as of Mar 2, 2026)</t>
        </r>
      </text>
    </comment>
    <comment ref="B15" authorId="0" shapeId="0" xr:uid="{5D585B14-3264-4480-BAB6-6E39458399DC}">
      <text>
        <r>
          <rPr>
            <b/>
            <sz val="9"/>
            <color indexed="81"/>
            <rFont val="Tahoma"/>
            <family val="2"/>
          </rPr>
          <t>Weight of Equity = Market Cap / (Market Cap + Total Debt). Now formula-driven from market values, not hardcoded.</t>
        </r>
      </text>
    </comment>
    <comment ref="B18" authorId="0" shapeId="0" xr:uid="{F7565BC3-C97B-42CB-8DE3-2DE8F5B474C9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Long-term nominal GDP growth rate for India (~4%)</t>
        </r>
      </text>
    </comment>
    <comment ref="B19" authorId="0" shapeId="0" xr:uid="{AA95AE9B-2249-4F37-93B6-38431559954D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Derived: Share Capital ₹24.99 Cr / Face Value ₹10</t>
        </r>
      </text>
    </comment>
    <comment ref="B40" authorId="0" shapeId="0" xr:uid="{BDBD0CEF-655F-460C-8B3E-C6154DE8E68B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Terminal FCFF based on FY35E FCFF × (1 + terminal growth rate)</t>
        </r>
      </text>
    </comment>
    <comment ref="B42" authorId="0" shapeId="0" xr:uid="{7F63DC23-8922-4843-93CD-3F233B5D41AB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PV of terminal value discounted back 10 years</t>
        </r>
      </text>
    </comment>
    <comment ref="B45" authorId="0" shapeId="0" xr:uid="{DD1E4A50-910D-4581-8266-DEDEA0D2B6D6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Sum of PV of FCFFs for FY26E-FY35E (10 years)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Harsh Vijay</author>
  </authors>
  <commentList>
    <comment ref="A5" authorId="0" shapeId="0" xr:uid="{0A92E993-5D3F-4C84-AC94-37194EB0BFEA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Yahoo Finance, https://finance.yahoo.com/quote/VOLTAMP.NS/ ; Screener.in, https://www.screener.in/company/VOLTAMP/</t>
        </r>
      </text>
    </comment>
    <comment ref="B5" authorId="0" shapeId="0" xr:uid="{7E437801-2076-4AC0-A2D1-CE4A682485AE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</t>
        </r>
      </text>
    </comment>
    <comment ref="C5" authorId="0" shapeId="0" xr:uid="{89B5052C-D2D5-447F-B2B8-F43115D05962}">
      <text>
        <r>
          <rPr>
            <b/>
            <sz val="9"/>
            <color indexed="81"/>
            <rFont val="Tahoma"/>
            <family val="2"/>
          </rPr>
          <t>Source: Derived (MCap ₹8,600 - Net Cash; Voltamp is debt-free with D/E=0.00 per Screener.in)</t>
        </r>
      </text>
    </comment>
    <comment ref="D5" authorId="0" shapeId="0" xr:uid="{B5407577-E5FB-468E-8BEA-DF37D1AE65CC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Stock P/E = 24.3</t>
        </r>
      </text>
    </comment>
    <comment ref="E5" authorId="0" shapeId="0" xr:uid="{46A7EB03-6802-4BFA-A819-854923F3D1A2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Price to Book = 5.23</t>
        </r>
      </text>
    </comment>
    <comment ref="F5" authorId="0" shapeId="0" xr:uid="{06CFC5F1-A36A-417F-834D-CF923F9A8CFD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EV/EBITDA = 17.7</t>
        </r>
      </text>
    </comment>
    <comment ref="G5" authorId="0" shapeId="0" xr:uid="{43419389-3768-4C04-9322-14C07DC05DE5}">
      <text>
        <r>
          <rPr>
            <b/>
            <sz val="9"/>
            <color indexed="81"/>
            <rFont val="Tahoma"/>
            <family val="2"/>
          </rPr>
          <t>Source: EV ₹7,768 / FY25 Revenue ₹1,934 Cr = 4.02x (Revenue from Screener.in, user-provided screenshot Mar 2026)</t>
        </r>
      </text>
    </comment>
    <comment ref="A6" authorId="0" shapeId="0" xr:uid="{045A29CF-E85E-4939-A316-020A09AAE3C1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Yahoo Finance, https://finance.yahoo.com/quote/TARIL.BO/ ; Zerodha, https://zerodha.com/markets/stocks/NSE/TARIL/</t>
        </r>
      </text>
    </comment>
    <comment ref="B6" authorId="0" shapeId="0" xr:uid="{45CBC293-8CB4-4C3A-AD38-AAEB4C560A15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</t>
        </r>
      </text>
    </comment>
    <comment ref="C6" authorId="0" shapeId="0" xr:uid="{A07BD3E6-B18A-4ECC-ACE4-0B1EF7748318}">
      <text>
        <r>
          <rPr>
            <b/>
            <sz val="9"/>
            <color indexed="81"/>
            <rFont val="Tahoma"/>
            <family val="2"/>
          </rPr>
          <t>Source: Derived (MCap ₹8,781 + Net Debt ~₹145 Cr; D/E=0.27 per screenshot)</t>
        </r>
      </text>
    </comment>
    <comment ref="D6" authorId="0" shapeId="0" xr:uid="{4EB94A5E-C98F-4F98-9244-6049BBBC30D1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Stock P/E = 32.9</t>
        </r>
      </text>
    </comment>
    <comment ref="E6" authorId="0" shapeId="0" xr:uid="{AAB5D169-F90A-4988-AB6F-8AE0A8A1515B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Price to Book = 6.53</t>
        </r>
      </text>
    </comment>
    <comment ref="F6" authorId="0" shapeId="0" xr:uid="{316320E6-E511-4F8E-B120-642A6A3989DC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EV/EBITDA = 20.2</t>
        </r>
      </text>
    </comment>
    <comment ref="G6" authorId="0" shapeId="0" xr:uid="{6A066942-1682-440F-9789-B08F2D584535}">
      <text>
        <r>
          <rPr>
            <b/>
            <sz val="9"/>
            <color indexed="81"/>
            <rFont val="Tahoma"/>
            <family val="2"/>
          </rPr>
          <t>Source: EV ₹8,926 / FY25 Revenue ₹2,017 Cr = 4.43x (Revenue from Screener.in, user-provided screenshot Mar 2026)</t>
        </r>
      </text>
    </comment>
    <comment ref="A7" authorId="0" shapeId="0" xr:uid="{3CDA7541-1B4E-4779-85B3-C625C100BFF0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Screener.in, https://www.screener.in/company/BBL/ ; Tickertape, https://www.tickertape.in/stocks/bharat-bijlee-BBJL</t>
        </r>
      </text>
    </comment>
    <comment ref="B7" authorId="0" shapeId="0" xr:uid="{9112EDAD-4FB8-42BC-A838-9592D1DDB65A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</t>
        </r>
      </text>
    </comment>
    <comment ref="C7" authorId="0" shapeId="0" xr:uid="{227FF7BE-88DC-46E3-AF8A-C55204C80A5F}">
      <text>
        <r>
          <rPr>
            <b/>
            <sz val="9"/>
            <color indexed="81"/>
            <rFont val="Tahoma"/>
            <family val="2"/>
          </rPr>
          <t>Source: Derived (MCap ₹2,638 + Net Debt; D/E=0.09 per screenshot, Book Value ₹1,942 × D/E 0.09 ≈ ₹175 Cr debt; EV ≈ MCap + Debt - Cash)</t>
        </r>
      </text>
    </comment>
    <comment ref="D7" authorId="0" shapeId="0" xr:uid="{6A8652F7-C788-4F81-AE06-1606AF2254EE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Stock P/E = 20.1</t>
        </r>
      </text>
    </comment>
    <comment ref="E7" authorId="0" shapeId="0" xr:uid="{234671E7-012C-45A5-A89D-0BC3C1269735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Price to Book = 1.21</t>
        </r>
      </text>
    </comment>
    <comment ref="F7" authorId="0" shapeId="0" xr:uid="{2C40A4F5-3B45-46E3-8737-CC98192CB40A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EV/EBITDA = 12.1</t>
        </r>
      </text>
    </comment>
    <comment ref="G7" authorId="0" shapeId="0" xr:uid="{DE91F543-DCF6-4A1D-9733-C6BF0D1BEA30}">
      <text>
        <r>
          <rPr>
            <b/>
            <sz val="9"/>
            <color indexed="81"/>
            <rFont val="Tahoma"/>
            <family val="2"/>
          </rPr>
          <t>Source: EV ₹2,876 / FY25 Revenue ₹1,902 Cr = 1.51x (Revenue from Screener.in P&amp;L, user-provided screenshot)</t>
        </r>
      </text>
    </comment>
    <comment ref="A8" authorId="0" shapeId="0" xr:uid="{23BBB5DB-4C1F-4DC9-B644-86DDFC8B78EC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Screener.in, https://www.screener.in/company/531201/ ; Yahoo Finance, https://finance.yahoo.com/quote/SHILCTECH.BO/</t>
        </r>
      </text>
    </comment>
    <comment ref="B8" authorId="0" shapeId="0" xr:uid="{E69B30C3-FBB4-4589-8F68-BCDE67FFFE40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</t>
        </r>
      </text>
    </comment>
    <comment ref="C8" authorId="0" shapeId="0" xr:uid="{4CC5685D-D63A-440F-9910-F8AC1FD84BAE}">
      <text>
        <r>
          <rPr>
            <b/>
            <sz val="9"/>
            <color indexed="81"/>
            <rFont val="Tahoma"/>
            <family val="2"/>
          </rPr>
          <t>Source: Derived (MCap ₹4,574; D/E=0.00 per screenshot — debt-free; EV ≈ MCap)</t>
        </r>
      </text>
    </comment>
    <comment ref="D8" authorId="0" shapeId="0" xr:uid="{221636C5-3BC9-4272-9B34-57B637E1FA19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Stock P/E = 24.7</t>
        </r>
      </text>
    </comment>
    <comment ref="E8" authorId="0" shapeId="0" xr:uid="{7933B100-73D2-4F76-AB0D-C61CED48A1AA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Price to Book = 10.9</t>
        </r>
      </text>
    </comment>
    <comment ref="F8" authorId="0" shapeId="0" xr:uid="{B7CDD3BC-326D-45F9-8933-6754BBF24F68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EV/EBITDA = 17.9</t>
        </r>
      </text>
    </comment>
    <comment ref="G8" authorId="0" shapeId="0" xr:uid="{FE286C2B-5E8D-4561-9FC2-18DF8F6E844C}">
      <text>
        <r>
          <rPr>
            <b/>
            <sz val="9"/>
            <color indexed="81"/>
            <rFont val="Tahoma"/>
            <family val="2"/>
          </rPr>
          <t>Source: EV ₹4,574 / FY25 Revenue ₹623 Cr = 7.34x (Revenue from Screener.in P&amp;L, user-provided screenshot)</t>
        </r>
      </text>
    </comment>
    <comment ref="A9" authorId="0" shapeId="0" xr:uid="{BB5EE414-8B85-4D37-BB53-7A4D3E7FEF18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Screener.in, https://www.screener.in/company/INDOTECH/ ; Yahoo Finance, https://finance.yahoo.com/quote/INDOTECH.BO/</t>
        </r>
      </text>
    </comment>
    <comment ref="B9" authorId="0" shapeId="0" xr:uid="{906A20DA-AAA6-4DC0-B79B-033D0B4536E1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</t>
        </r>
      </text>
    </comment>
    <comment ref="C9" authorId="0" shapeId="0" xr:uid="{5923EDCF-4C16-485F-B8A5-C3AB76BCBFD8}">
      <text>
        <r>
          <rPr>
            <b/>
            <sz val="9"/>
            <color indexed="81"/>
            <rFont val="Tahoma"/>
            <family val="2"/>
          </rPr>
          <t>Source: Derived (MCap ₹1,380 + Net Debt ~₹205 Cr; D/E=0.04 per screenshot)</t>
        </r>
      </text>
    </comment>
    <comment ref="D9" authorId="0" shapeId="0" xr:uid="{59E9FD4B-B25F-49A3-A167-E6C4CA9B9D82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Stock P/E = 15.4</t>
        </r>
      </text>
    </comment>
    <comment ref="E9" authorId="0" shapeId="0" xr:uid="{98DA769F-D845-4E03-B621-BE6224238217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Price to Book = 4.24</t>
        </r>
      </text>
    </comment>
    <comment ref="F9" authorId="0" shapeId="0" xr:uid="{DF0171AA-96C6-4CAD-9020-3DDB1962C273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EV/EBITDA = 10.5</t>
        </r>
      </text>
    </comment>
    <comment ref="G9" authorId="0" shapeId="0" xr:uid="{1C57CFAC-B7AC-4B52-B021-3BD0C5872458}">
      <text>
        <r>
          <rPr>
            <b/>
            <sz val="9"/>
            <color indexed="81"/>
            <rFont val="Tahoma"/>
            <family val="2"/>
          </rPr>
          <t>Source: EV ₹1,585 / FY25 Revenue ₹612 Cr = 2.59x (Revenue from Screener.in, user-provided screenshot Mar 2026)</t>
        </r>
      </text>
    </comment>
    <comment ref="A10" authorId="0" shapeId="0" xr:uid="{DD49CD43-A3D4-4E2F-8812-8AEC498B479F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Screener.in, https://www.screener.in/company/517467/ ; ICICI Direct, https://www.icicidirect.com/stocks/marsons-ltd-share-price</t>
        </r>
      </text>
    </comment>
    <comment ref="B10" authorId="0" shapeId="0" xr:uid="{8B303AFD-7454-4AA6-8E60-79422E2D1119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</t>
        </r>
      </text>
    </comment>
    <comment ref="C10" authorId="0" shapeId="0" xr:uid="{DFFF6D65-AA4B-4330-8CE0-DF915A56F6EB}">
      <text>
        <r>
          <rPr>
            <b/>
            <sz val="9"/>
            <color indexed="81"/>
            <rFont val="Tahoma"/>
            <family val="2"/>
          </rPr>
          <t>Source: Derived (MCap ₹2,372 + minimal debt; D/E=0.02 per screenshot; near debt-free)</t>
        </r>
      </text>
    </comment>
    <comment ref="D10" authorId="0" shapeId="0" xr:uid="{7242F1AB-115A-495F-A473-9C5DE0AA20FD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Stock P/E = 72.4</t>
        </r>
      </text>
    </comment>
    <comment ref="E10" authorId="0" shapeId="0" xr:uid="{21866A42-3C5E-4521-8788-1A6CC537245F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Price to Book = 17.0</t>
        </r>
      </text>
    </comment>
    <comment ref="F10" authorId="0" shapeId="0" xr:uid="{FF3FD8BF-3A11-44F7-9CA0-B95319A3438E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EV/EBITDA = 69.2. Note: Extreme outlier — very low EBITDA base</t>
        </r>
      </text>
    </comment>
    <comment ref="G10" authorId="0" shapeId="0" xr:uid="{28966EFE-5423-49B1-A965-F984E5B1A279}">
      <text>
        <r>
          <rPr>
            <b/>
            <sz val="9"/>
            <color indexed="81"/>
            <rFont val="Tahoma"/>
            <family val="2"/>
          </rPr>
          <t>Source: EV ₹2,375 / FY25 Revenue ₹168 Cr = 14.14x (Revenue from Screener.in P&amp;L, user-provided screenshot)</t>
        </r>
      </text>
    </comment>
    <comment ref="A11" authorId="0" shapeId="0" xr:uid="{EF5B27B4-A525-4F46-BD6C-0E37351A31C9}">
      <text>
        <r>
          <rPr>
            <b/>
            <sz val="9"/>
            <color indexed="81"/>
            <rFont val="Tahoma"/>
            <family val="2"/>
          </rPr>
          <t>Harsh Vijay:</t>
        </r>
        <r>
          <rPr>
            <sz val="9"/>
            <color indexed="81"/>
            <rFont val="Tahoma"/>
            <family val="2"/>
          </rPr>
          <t xml:space="preserve">
Source: Screener.in, https://www.screener.in/company/ATLANTAELE/ ; Zerodha, https://zerodha.com/markets/stocks/NSE/ATLANTAELE/</t>
        </r>
      </text>
    </comment>
    <comment ref="B11" authorId="0" shapeId="0" xr:uid="{5BA17669-155B-48CE-8D86-5F7A2268D85A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</t>
        </r>
      </text>
    </comment>
    <comment ref="C11" authorId="0" shapeId="0" xr:uid="{B1F85163-43B7-4D72-B4E3-00831C68D0D9}">
      <text>
        <r>
          <rPr>
            <b/>
            <sz val="9"/>
            <color indexed="81"/>
            <rFont val="Tahoma"/>
            <family val="2"/>
          </rPr>
          <t>Source: Derived (MCap ₹8,038 - Net Cash ~₹67 Cr; D/E=0.46 per screenshot but IPO cash on books)</t>
        </r>
      </text>
    </comment>
    <comment ref="D11" authorId="0" shapeId="0" xr:uid="{12FAD721-C78E-448B-A866-D82E3BCC7E66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Stock P/E = 51.5</t>
        </r>
      </text>
    </comment>
    <comment ref="E11" authorId="0" shapeId="0" xr:uid="{46F42D0E-DCBE-4126-8F2E-62D6CFB62E61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Price to Book = 10.2</t>
        </r>
      </text>
    </comment>
    <comment ref="F11" authorId="0" shapeId="0" xr:uid="{C77E6886-A820-436A-A5E6-88C53D276062}">
      <text>
        <r>
          <rPr>
            <b/>
            <sz val="9"/>
            <color indexed="81"/>
            <rFont val="Tahoma"/>
            <family val="2"/>
          </rPr>
          <t>Source: Screener.in Peer Comparison (user-provided screenshot, Mar 2026). EV/EBITDA = 28.5</t>
        </r>
      </text>
    </comment>
    <comment ref="G11" authorId="0" shapeId="0" xr:uid="{5C84B06F-61A7-446E-9B7E-16A050ABC0CB}">
      <text>
        <r>
          <rPr>
            <b/>
            <sz val="9"/>
            <color indexed="81"/>
            <rFont val="Tahoma"/>
            <family val="2"/>
          </rPr>
          <t>Source: EV ₹7,971 / FY25 Revenue ₹1,244 Cr = 6.41x (Revenue from Screener.in P&amp;L, user-provided screenshot)</t>
        </r>
      </text>
    </comment>
  </commentList>
</comments>
</file>

<file path=xl/sharedStrings.xml><?xml version="1.0" encoding="utf-8"?>
<sst xmlns="http://schemas.openxmlformats.org/spreadsheetml/2006/main" count="497" uniqueCount="326">
  <si>
    <t>Supreme Power Equipment Ltd - Income Statement</t>
  </si>
  <si>
    <t>Standalone Figures in ₹ Crores</t>
  </si>
  <si>
    <t>Particulars</t>
  </si>
  <si>
    <t>FY21</t>
  </si>
  <si>
    <t>FY22</t>
  </si>
  <si>
    <t>FY23</t>
  </si>
  <si>
    <t>FY24</t>
  </si>
  <si>
    <t>FY25</t>
  </si>
  <si>
    <t>FY26E</t>
  </si>
  <si>
    <t>FY27E</t>
  </si>
  <si>
    <t>FY28E</t>
  </si>
  <si>
    <t>FY29E</t>
  </si>
  <si>
    <t>FY30E</t>
  </si>
  <si>
    <t>Revenue from Operations</t>
  </si>
  <si>
    <t xml:space="preserve">  YoY Growth %</t>
  </si>
  <si>
    <t>Other Income</t>
  </si>
  <si>
    <t>Total Income</t>
  </si>
  <si>
    <t>EXPENSES</t>
  </si>
  <si>
    <t>Raw Material Cost</t>
  </si>
  <si>
    <t xml:space="preserve">  RM % of Revenue</t>
  </si>
  <si>
    <t>Employee Cost</t>
  </si>
  <si>
    <t>Other Expenses</t>
  </si>
  <si>
    <t>Total Operating Expenses</t>
  </si>
  <si>
    <t>EBITDA</t>
  </si>
  <si>
    <t xml:space="preserve">  EBITDA Margin %</t>
  </si>
  <si>
    <t>Depreciation</t>
  </si>
  <si>
    <t>EBIT</t>
  </si>
  <si>
    <t>Interest / Finance Cost</t>
  </si>
  <si>
    <t>Profit Before Tax (PBT)</t>
  </si>
  <si>
    <t>Tax Expense</t>
  </si>
  <si>
    <t xml:space="preserve">  Effective Tax Rate %</t>
  </si>
  <si>
    <t>Net Profit (PAT)</t>
  </si>
  <si>
    <t xml:space="preserve">  PAT Margin %</t>
  </si>
  <si>
    <t>Supreme Power Equipment Ltd - Key Assumptions</t>
  </si>
  <si>
    <t>REVENUE ASSUMPTIONS</t>
  </si>
  <si>
    <t>Value</t>
  </si>
  <si>
    <t>FY26E Revenue (₹ Cr)</t>
  </si>
  <si>
    <t>FY27E Revenue (₹ Cr)</t>
  </si>
  <si>
    <t>FY28E Revenue (₹ Cr)</t>
  </si>
  <si>
    <t>FY29E Revenue (₹ Cr)</t>
  </si>
  <si>
    <t>FY30E Revenue (₹ Cr)</t>
  </si>
  <si>
    <t>Industry Context</t>
  </si>
  <si>
    <t>Capacity Expansion</t>
  </si>
  <si>
    <t>Bidding Pipeline</t>
  </si>
  <si>
    <t>Demand Drivers</t>
  </si>
  <si>
    <t>COST &amp; MARGIN ASSUMPTIONS</t>
  </si>
  <si>
    <t>Raw Material % of Revenue</t>
  </si>
  <si>
    <t>EBITDA Margin trajectory</t>
  </si>
  <si>
    <t>Employee Cost growth</t>
  </si>
  <si>
    <t>Other Expenses % of Revenue</t>
  </si>
  <si>
    <t>DEPRECIATION, CAPEX &amp; FINANCE</t>
  </si>
  <si>
    <t>New Plant Capex</t>
  </si>
  <si>
    <t>Interest Cost</t>
  </si>
  <si>
    <t>Effective Tax Rate</t>
  </si>
  <si>
    <t>BALANCE SHEET ASSUMPTIONS</t>
  </si>
  <si>
    <t>Debtor Days</t>
  </si>
  <si>
    <t>Working Capital Days</t>
  </si>
  <si>
    <t>Shares Outstanding (FY25)</t>
  </si>
  <si>
    <t>2.50 Cr</t>
  </si>
  <si>
    <t>Promoter Holding</t>
  </si>
  <si>
    <t>KEY RISKS &amp; SENSITIVITIES</t>
  </si>
  <si>
    <t>1. Raw material volatility</t>
  </si>
  <si>
    <t>2. Execution risk - new plant</t>
  </si>
  <si>
    <t>3. Customer concentration</t>
  </si>
  <si>
    <t>4. Working capital intensity</t>
  </si>
  <si>
    <t>5. Competition</t>
  </si>
  <si>
    <t>6. SME listing / liquidity risk</t>
  </si>
  <si>
    <t>7. Order book execution</t>
  </si>
  <si>
    <t>8. Forex risk (RM imports)</t>
  </si>
  <si>
    <t>9. Regulatory / policy risk</t>
  </si>
  <si>
    <t>Supreme Power Equipment Ltd - Balance Sheet</t>
  </si>
  <si>
    <t>EQUITY &amp; LIABILITIES</t>
  </si>
  <si>
    <t>Share Capital</t>
  </si>
  <si>
    <t>Reserves &amp; Surplus</t>
  </si>
  <si>
    <t>Shareholders' Equity</t>
  </si>
  <si>
    <t>Long-term Borrowings</t>
  </si>
  <si>
    <t>Short-term Borrowings</t>
  </si>
  <si>
    <t>Total Borrowings</t>
  </si>
  <si>
    <t>Trade Payables</t>
  </si>
  <si>
    <t>Other Current Liabilities</t>
  </si>
  <si>
    <t>Total Equity &amp; Liabilities</t>
  </si>
  <si>
    <t>ASSETS</t>
  </si>
  <si>
    <t>Net Fixed Assets (PPE)</t>
  </si>
  <si>
    <t>CWIP</t>
  </si>
  <si>
    <t>Other Non-Current Assets</t>
  </si>
  <si>
    <t>Inventory</t>
  </si>
  <si>
    <t>Trade Receivables</t>
  </si>
  <si>
    <t>Cash &amp; Bank Balances</t>
  </si>
  <si>
    <t>Other Current Assets</t>
  </si>
  <si>
    <t>Total Assets</t>
  </si>
  <si>
    <t>Check: Assets - Liabilities</t>
  </si>
  <si>
    <t>Debt/Equity Ratio</t>
  </si>
  <si>
    <t>Supreme Power Equipment Ltd - Cash Flow Statement</t>
  </si>
  <si>
    <t>OPERATING ACTIVITIES</t>
  </si>
  <si>
    <t>(+) Depreciation</t>
  </si>
  <si>
    <t>Changes in Working Capital</t>
  </si>
  <si>
    <t>Cash from Operations (CFO)</t>
  </si>
  <si>
    <t>INVESTING ACTIVITIES</t>
  </si>
  <si>
    <t>Capex (PPE + CWIP)</t>
  </si>
  <si>
    <t>Cash from Investing (CFI)</t>
  </si>
  <si>
    <t>FINANCING ACTIVITIES</t>
  </si>
  <si>
    <t>Net Change in Borrowings</t>
  </si>
  <si>
    <t>Equity Raised / (Interest Paid)</t>
  </si>
  <si>
    <t>Cash from Financing (CFF)</t>
  </si>
  <si>
    <t>Net Change in Cash</t>
  </si>
  <si>
    <t>Supreme Power Equipment Ltd. — Key Financial Ratios</t>
  </si>
  <si>
    <t>All figures in ₹ Crores unless stated otherwise | Blue = Projected</t>
  </si>
  <si>
    <t>PROFITABILITY RATIOS</t>
  </si>
  <si>
    <t>Gross Margin %</t>
  </si>
  <si>
    <t>EBITDA Margin %</t>
  </si>
  <si>
    <t>EBIT Margin %</t>
  </si>
  <si>
    <t>PAT Margin %</t>
  </si>
  <si>
    <t>RETURN RATIOS</t>
  </si>
  <si>
    <t>Return on Equity (ROE) %</t>
  </si>
  <si>
    <t>Return on Assets (ROA) %</t>
  </si>
  <si>
    <t>ROCE (EBIT / Capital Employed) %</t>
  </si>
  <si>
    <t>EFFICIENCY RATIOS</t>
  </si>
  <si>
    <t>Asset Turnover (x)</t>
  </si>
  <si>
    <t>Inventory Days</t>
  </si>
  <si>
    <t>Receivable Days</t>
  </si>
  <si>
    <t>Payable Days</t>
  </si>
  <si>
    <t>Cash Conversion Cycle (days)</t>
  </si>
  <si>
    <t>LIQUIDITY &amp; LEVERAGE</t>
  </si>
  <si>
    <t>Current Ratio (x)</t>
  </si>
  <si>
    <t>Debt / Equity (x)</t>
  </si>
  <si>
    <t>Interest Coverage (x)</t>
  </si>
  <si>
    <t>Net Debt / EBITDA (x)</t>
  </si>
  <si>
    <t>Revenue Growth YoY %</t>
  </si>
  <si>
    <t>—</t>
  </si>
  <si>
    <t>Supreme Power Equipment Ltd - DCF Valuation</t>
  </si>
  <si>
    <t>Discounted Cash Flow (DCF) Analysis</t>
  </si>
  <si>
    <t>WACC ASSUMPTIONS</t>
  </si>
  <si>
    <t>Risk-Free Rate (10Y Gsec)</t>
  </si>
  <si>
    <t>Equity Risk Premium</t>
  </si>
  <si>
    <t>Beta (Levered)</t>
  </si>
  <si>
    <t>Cost of Equity (Ke)</t>
  </si>
  <si>
    <t>Cost of Debt (Pre-Tax)</t>
  </si>
  <si>
    <t>Tax Rate</t>
  </si>
  <si>
    <t>Cost of Debt (Post-Tax)</t>
  </si>
  <si>
    <t>Equity Weight (E/V)</t>
  </si>
  <si>
    <t>Debt Weight (D/V)</t>
  </si>
  <si>
    <t>WACC</t>
  </si>
  <si>
    <t>Terminal Growth Rate</t>
  </si>
  <si>
    <t>Shares Outstanding (Cr)</t>
  </si>
  <si>
    <t>FREE CASH FLOW TO FIRM (FCFF)</t>
  </si>
  <si>
    <t>Particulars (₹ Cr)</t>
  </si>
  <si>
    <t>FY25 (Base)</t>
  </si>
  <si>
    <t>Revenue</t>
  </si>
  <si>
    <t>(-) Tax on EBIT</t>
  </si>
  <si>
    <t>NOPAT (EBIT × (1-t))</t>
  </si>
  <si>
    <t>(-) Capital Expenditure</t>
  </si>
  <si>
    <t>(-) Change in Working Capital</t>
  </si>
  <si>
    <t>Free Cash Flow to Firm (FCFF)</t>
  </si>
  <si>
    <t>FCFF Growth %</t>
  </si>
  <si>
    <t>DCF VALUATION</t>
  </si>
  <si>
    <t>Year</t>
  </si>
  <si>
    <t>Discount Factor</t>
  </si>
  <si>
    <t>PV of FCFF</t>
  </si>
  <si>
    <t>Terminal Value Calculation</t>
  </si>
  <si>
    <t>Terminal Value (TV = FCFF₁/(WACC-g))</t>
  </si>
  <si>
    <t>PV of Terminal Value</t>
  </si>
  <si>
    <t>ENTERPRISE VALUE BRIDGE</t>
  </si>
  <si>
    <t>(+) PV of Terminal Value</t>
  </si>
  <si>
    <t>Enterprise Value (₹ Cr)</t>
  </si>
  <si>
    <t>(-) Total Debt (FY25)</t>
  </si>
  <si>
    <t>(+) Cash &amp; Bank Balances (FY25)</t>
  </si>
  <si>
    <t>Net Debt</t>
  </si>
  <si>
    <t>Equity Value (₹ Cr)</t>
  </si>
  <si>
    <t>DCF Implied Share Price (₹)</t>
  </si>
  <si>
    <t>% of EV from Terminal Value</t>
  </si>
  <si>
    <t>SENSITIVITY ANALYSIS: Implied Share Price (₹)</t>
  </si>
  <si>
    <t>Supreme Power Equipment Ltd - Comparable Company Valuation</t>
  </si>
  <si>
    <t>SECTION 1: PEER COMPANY TRADING MULTIPLES</t>
  </si>
  <si>
    <t>Company</t>
  </si>
  <si>
    <t>Market Cap (₹ Cr)</t>
  </si>
  <si>
    <t>EV (₹ Cr)</t>
  </si>
  <si>
    <t>P/E (x)</t>
  </si>
  <si>
    <t>P/B (x)</t>
  </si>
  <si>
    <t>EV/EBITDA (x)</t>
  </si>
  <si>
    <t>EV/Revenue (x)</t>
  </si>
  <si>
    <t>Source / Notes</t>
  </si>
  <si>
    <t>Voltamp Transformers Ltd</t>
  </si>
  <si>
    <t>Debt-free; Small Cap; Baroda-based</t>
  </si>
  <si>
    <t>TARIL (Transformers &amp; Rectifiers India)</t>
  </si>
  <si>
    <t>Mid Cap; Ahmedabad-based; High growth</t>
  </si>
  <si>
    <t>Bharat Bijlee Ltd</t>
  </si>
  <si>
    <t>Almost debt-free; Small Cap; Mumbai-based</t>
  </si>
  <si>
    <t>Mean</t>
  </si>
  <si>
    <t>Median</t>
  </si>
  <si>
    <t>SECTION 2: SUPREME POWER EQUIPMENT - BASE METRICS</t>
  </si>
  <si>
    <t>Metric</t>
  </si>
  <si>
    <t>FY25 (Actual)</t>
  </si>
  <si>
    <t>FY26E (Forward)</t>
  </si>
  <si>
    <t>Source</t>
  </si>
  <si>
    <t>Revenue (₹ Cr)</t>
  </si>
  <si>
    <t>Income Statement</t>
  </si>
  <si>
    <t>EBITDA (₹ Cr)</t>
  </si>
  <si>
    <t>PAT (₹ Cr)</t>
  </si>
  <si>
    <t>Shareholders' Equity (₹ Cr)</t>
  </si>
  <si>
    <t>Balance Sheet</t>
  </si>
  <si>
    <t>Total Debt (₹ Cr)</t>
  </si>
  <si>
    <t>Cash &amp; Bank (₹ Cr)</t>
  </si>
  <si>
    <t>Net Debt (₹ Cr)</t>
  </si>
  <si>
    <t>Calculated</t>
  </si>
  <si>
    <t>DCF Valuation</t>
  </si>
  <si>
    <t>SECTION 3: IMPLIED VALUATION (USING MEDIAN PEER MULTIPLES)</t>
  </si>
  <si>
    <t>Multiple</t>
  </si>
  <si>
    <t>Median Multiple</t>
  </si>
  <si>
    <t>Base Metric (FY25)</t>
  </si>
  <si>
    <t>Implied Value (₹ Cr)</t>
  </si>
  <si>
    <t>Implied Eq. Value (₹ Cr)</t>
  </si>
  <si>
    <t>Per Share (₹)</t>
  </si>
  <si>
    <t>Methodology</t>
  </si>
  <si>
    <t>P/E</t>
  </si>
  <si>
    <t>Equity Value = P/E × PAT</t>
  </si>
  <si>
    <t>P/B</t>
  </si>
  <si>
    <t>Equity Value = P/B × Book Value</t>
  </si>
  <si>
    <t>EV/EBITDA</t>
  </si>
  <si>
    <t>Equity Value = (EV/EBITDA × EBITDA) - Net Debt</t>
  </si>
  <si>
    <t>EV/Revenue</t>
  </si>
  <si>
    <t>Equity Value = (EV/Rev × Revenue) - Net Debt</t>
  </si>
  <si>
    <t>Forward Valuation (FY26E)</t>
  </si>
  <si>
    <t>Base Metric (FY26E)</t>
  </si>
  <si>
    <t>SECTION 4: COMPARABLE VALUATION SUMMARY</t>
  </si>
  <si>
    <t>FY25 Per Share (₹)</t>
  </si>
  <si>
    <t>FY26E Per Share (₹)</t>
  </si>
  <si>
    <t>Average (₹)</t>
  </si>
  <si>
    <t>P/E Multiple</t>
  </si>
  <si>
    <t>P/B Multiple</t>
  </si>
  <si>
    <t>EV/EBITDA Multiple</t>
  </si>
  <si>
    <t>EV/Revenue Multiple</t>
  </si>
  <si>
    <t>Comparable Avg. Per Share (₹)</t>
  </si>
  <si>
    <t>SECTION 5: DCF vs COMPARABLE - VALUATION RECONCILIATION</t>
  </si>
  <si>
    <t>Valuation Methodology</t>
  </si>
  <si>
    <t>Per Share Value (₹)</t>
  </si>
  <si>
    <t>Weight</t>
  </si>
  <si>
    <t>DCF Valuation (Base Case)</t>
  </si>
  <si>
    <t>Comparable Valuation (FY25 Trailing)</t>
  </si>
  <si>
    <t>Comparable Valuation (FY26E Forward)</t>
  </si>
  <si>
    <t>Weighted Average Valuation (₹/share)</t>
  </si>
  <si>
    <t>Valuation Range</t>
  </si>
  <si>
    <t>Low (Comparable FY25 Trailing Avg.)</t>
  </si>
  <si>
    <t>Mid (Weighted Average)</t>
  </si>
  <si>
    <t>High (DCF Base Case)</t>
  </si>
  <si>
    <t>SECTION 6: KEY OBSERVATIONS &amp; CAVEATS</t>
  </si>
  <si>
    <t>Current Market Price (₹)</t>
  </si>
  <si>
    <t>Total Debt - FY25 (₹ Cr)</t>
  </si>
  <si>
    <t>32% FY26, tapering</t>
  </si>
  <si>
    <t>FY31E Revenue (₹ Cr)</t>
  </si>
  <si>
    <t>FY32E Revenue (₹ Cr)</t>
  </si>
  <si>
    <t>FY33E Revenue (₹ Cr)</t>
  </si>
  <si>
    <t>FY34E Revenue (₹ Cr)</t>
  </si>
  <si>
    <t>FY35E Revenue (₹ Cr)</t>
  </si>
  <si>
    <t>Phase 2: ~₹100 Cr | Phase 3: ~₹80-100 Cr</t>
  </si>
  <si>
    <t>₹2.5 → ₹1.5 Cr</t>
  </si>
  <si>
    <t>110 → 75 days</t>
  </si>
  <si>
    <t>75 → 40 days</t>
  </si>
  <si>
    <t>FY31E</t>
  </si>
  <si>
    <t>FY32E</t>
  </si>
  <si>
    <t>FY33E</t>
  </si>
  <si>
    <t>FY34E</t>
  </si>
  <si>
    <t>FY35E</t>
  </si>
  <si>
    <t>Terminal FCFF (FY35 FCFF × (1+g))</t>
  </si>
  <si>
    <t>Sum of PV of FCFFs (FY26E-FY35E)</t>
  </si>
  <si>
    <t>1. 10-year DCF (FY26E-FY35E) with terminal value. Revenue grows from ₹165 Cr (FY26E) to ₹990 Cr (FY35E) driven by Phase 2 (Kannur) + Phase 3 (North India) capacity expansion.</t>
  </si>
  <si>
    <t>2. Phase 2 Kannur plant commissioned Feb 25, 2026. Total capacity 9,000 MVA. Phase 3 North India plant (~5,000-6,000 MVA) planned FY31-32E. Combined capacity ~15,000 MVA by FY33E.</t>
  </si>
  <si>
    <t>6. Capacity utilization triggers Phase 3 capex: FY30E at 85-90% of 9,000 MVA → ₹80-100 Cr capex in FY31-32E → North India plant operational by FY33E.</t>
  </si>
  <si>
    <t>7. Weighted avg. valuation: 50% DCF + 25% FY25 trailing comparable + 25% FY26E forward comparable.</t>
  </si>
  <si>
    <t>8. CMP ₹141 (Mar 2, 2026). India electricity demand CAGR 6.4% to 2030, renewable targets 500 GW by 2030 / 750-1000 GW by 2035 support long-term demand for transformers.</t>
  </si>
  <si>
    <t>Shilchar Technologies Ltd</t>
  </si>
  <si>
    <t>Almost debt-free; Small Cap; Vadodara-based; High margins</t>
  </si>
  <si>
    <t>Indo Tech Transformers Ltd</t>
  </si>
  <si>
    <t>Small Cap; Kerala/Chennai-based; Promoter pledging</t>
  </si>
  <si>
    <t>Maximum</t>
  </si>
  <si>
    <t>75th Percentile</t>
  </si>
  <si>
    <t>25th Percentile</t>
  </si>
  <si>
    <t>17.4% → 23%</t>
  </si>
  <si>
    <t>₹2.2 → ₹12 Cr</t>
  </si>
  <si>
    <t>69% → 64.5%</t>
  </si>
  <si>
    <t>9.5% → 7.3%</t>
  </si>
  <si>
    <t>3. Order book ~₹368 Cr (Mar 2026 est.) incl. Danya Electric (90% subsidiary) ₹18.23 Cr TNPDCL order. ₹116+ Cr new orders in Jan-Mar 2026. Danya expands distribution transformer segment, improving revenue visibility but with lower margins.</t>
  </si>
  <si>
    <t>4. EBITDA margin trajectory (revised): 17.4% (FY26E, compressed) → 20.2% (FY27E) → 22.3% (FY29E) → 23.9% (FY32E) → 24.4% (FY35E). Tapered from prior 25%+ model; Danya distribution biz and historical peak of ~20% cap upside. Industry leaders at 15-22%.</t>
  </si>
  <si>
    <t>Marsons Ltd</t>
  </si>
  <si>
    <t>Almost debt-free; Micro Cap; Kolkata-based; Turnaround phase; Extreme multiples</t>
  </si>
  <si>
    <t>Atlanta Electricals Ltd</t>
  </si>
  <si>
    <t>Mid Cap; Gujarat-based; IPO Sep 2025; 47,280 MVA capacity; PSU-heavy orderbook</t>
  </si>
  <si>
    <t>5. Depreciation increased: Kannur ₹100 Cr plant → ₹7.5 Cr/yr dep from FY27E (was ₹5 Cr). Phase 3 adds ₹2-3 Cr from FY33E. Terminal value contribution at 57.1% of EV.</t>
  </si>
  <si>
    <t>Supreme Power Equipment Ltd - Consolidated Income Statement</t>
  </si>
  <si>
    <t>Consolidated Figures in ₹ Crores (SPEL Standalone + Danya Electric + Consolidation Adjustments)</t>
  </si>
  <si>
    <t>STANDALONE (from IS tab)</t>
  </si>
  <si>
    <t>Total Standalone Income</t>
  </si>
  <si>
    <t>DANYA ELECTRIC (90% Subsidiary)</t>
  </si>
  <si>
    <t>Danya Revenue</t>
  </si>
  <si>
    <t>Danya Other Income</t>
  </si>
  <si>
    <t>Total Danya Income</t>
  </si>
  <si>
    <t>CONSOLIDATION ADJUSTMENTS</t>
  </si>
  <si>
    <t>Less: Inter-company Elimination</t>
  </si>
  <si>
    <t>CONSOLIDATED INCOME STATEMENT</t>
  </si>
  <si>
    <t>Consolidated Revenue</t>
  </si>
  <si>
    <t>Consolidated Other Income</t>
  </si>
  <si>
    <t>Consolidated Total Income</t>
  </si>
  <si>
    <t>Profit After Tax (Consolidated)</t>
  </si>
  <si>
    <t>(-) Minority Interest (10% Danya)</t>
  </si>
  <si>
    <t>Net Profit Attr. to SPEL</t>
  </si>
  <si>
    <t>Supreme Power Equipment Ltd - Consolidated Balance Sheet</t>
  </si>
  <si>
    <t>Standalone Shareholders' Equity</t>
  </si>
  <si>
    <t>Danya Net Assets (90% share)</t>
  </si>
  <si>
    <t>Consolidated Shareholders' Equity</t>
  </si>
  <si>
    <t>Total Borrowings (Consol.)</t>
  </si>
  <si>
    <t>Trade Payables (Consol.)</t>
  </si>
  <si>
    <t>Other Current Liabilities (Consol.)</t>
  </si>
  <si>
    <t>Net Fixed Assets (PPE) - Consol.</t>
  </si>
  <si>
    <t>CWIP - Consol.</t>
  </si>
  <si>
    <t>Investment in Danya (eliminated)</t>
  </si>
  <si>
    <t>Inventory - Consol.</t>
  </si>
  <si>
    <t>Trade Receivables - Consol.</t>
  </si>
  <si>
    <t>Cash &amp; Bank Balances - Consol.</t>
  </si>
  <si>
    <t>Minority Interest (₹ Cr)</t>
  </si>
  <si>
    <t>Supreme Power Equipment Ltd - Consolidated Cash Flow Statement</t>
  </si>
  <si>
    <t>Consolidated Figures in ₹ Crores</t>
  </si>
  <si>
    <t>Consolidated PAT</t>
  </si>
  <si>
    <t>Danya WC Adjustment</t>
  </si>
  <si>
    <t>Standalone Capex</t>
  </si>
  <si>
    <t>Danya Capex</t>
  </si>
  <si>
    <t>Net Change in Cash (Consolidated)</t>
  </si>
  <si>
    <t>TGR ---&gt;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</si>
</sst>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%"/>
    <numFmt numFmtId="165" formatCode="#,##0.0"/>
    <numFmt numFmtId="166" formatCode="0.00\x"/>
    <numFmt numFmtId="167" formatCode="#,##0.00;\(#,##0.00\);\-"/>
    <numFmt numFmtId="168" formatCode="0.0"/>
    <numFmt numFmtId="169" formatCode="0.000"/>
    <numFmt numFmtId="170" formatCode="0.0000"/>
    <numFmt numFmtId="171" formatCode="\₹#,##0.00"/>
    <numFmt numFmtId="172" formatCode="\₹#,##0"/>
    <numFmt numFmtId="173" formatCode="0.0&quot;x&quot;"/>
    <numFmt numFmtId="174" formatCode="0.00&quot;x&quot;"/>
    <numFmt numFmtId="175" formatCode="#,##0.00;\(#,##0.00\);&quot;-&quot;"/>
  </numFmts>
  <fonts count="4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rgb="FF888888"/>
      <name val="Arial"/>
      <family val="2"/>
    </font>
    <font>
      <sz val="11"/>
      <color rgb="FF0000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8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8000"/>
      <name val="Calibri"/>
      <family val="2"/>
      <scheme val="minor"/>
    </font>
    <font>
      <sz val="10"/>
      <color rgb="FF008000"/>
      <name val="Calibri"/>
      <family val="2"/>
      <scheme val="minor"/>
    </font>
    <font>
      <b/>
      <sz val="10"/>
      <color rgb="FF1B3A5C"/>
      <name val="Calibri"/>
      <family val="2"/>
      <scheme val="minor"/>
    </font>
    <font>
      <b/>
      <sz val="11"/>
      <color rgb="FFFFFFFF"/>
      <name val="Calibri"/>
      <family val="2"/>
    </font>
    <font>
      <sz val="10"/>
      <color theme="1"/>
      <name val="Calibri"/>
      <family val="2"/>
    </font>
    <font>
      <sz val="10"/>
      <color rgb="FF0000FF"/>
      <name val="Calibri"/>
      <family val="2"/>
    </font>
    <font>
      <b/>
      <sz val="10"/>
      <color rgb="FF1B3A5C"/>
      <name val="Calibri"/>
      <family val="2"/>
    </font>
    <font>
      <b/>
      <sz val="16"/>
      <color rgb="FF1B3A5C"/>
      <name val="Calibri"/>
      <family val="2"/>
    </font>
    <font>
      <sz val="10"/>
      <color rgb="FF333333"/>
      <name val="Calibri"/>
      <family val="2"/>
    </font>
    <font>
      <i/>
      <sz val="10"/>
      <color rgb="FF888888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8000"/>
      <name val="Calibri"/>
      <family val="2"/>
    </font>
    <font>
      <i/>
      <sz val="9"/>
      <color rgb="FF777777"/>
      <name val="Calibri"/>
      <family val="2"/>
    </font>
    <font>
      <b/>
      <sz val="9"/>
      <color rgb="FFC00000"/>
      <name val="Calibri"/>
      <family val="2"/>
    </font>
    <font>
      <sz val="10"/>
      <color rgb="FF333333"/>
      <name val="Calibri"/>
      <family val="2"/>
      <scheme val="minor"/>
    </font>
    <font>
      <b/>
      <sz val="10"/>
      <color rgb="FF333333"/>
      <name val="Calibri"/>
      <family val="2"/>
    </font>
    <font>
      <sz val="10"/>
      <color rgb="FF2E75B6"/>
      <name val="Calibri"/>
      <family val="2"/>
    </font>
    <font>
      <sz val="10"/>
      <color rgb="FF2E75B6"/>
      <name val="Calibri"/>
      <family val="2"/>
      <scheme val="minor"/>
    </font>
    <font>
      <b/>
      <sz val="10"/>
      <color rgb="FF2E75B6"/>
      <name val="Calibri"/>
      <family val="2"/>
    </font>
    <font>
      <b/>
      <sz val="16"/>
      <color rgb="FF1B3A5C"/>
      <name val="Calibri"/>
      <family val="2"/>
      <scheme val="minor"/>
    </font>
    <font>
      <b/>
      <sz val="11"/>
      <color rgb="FF666666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9"/>
      <color rgb="FF555555"/>
      <name val="Calibri"/>
      <family val="2"/>
      <scheme val="minor"/>
    </font>
    <font>
      <i/>
      <sz val="10"/>
      <color rgb="FF888888"/>
      <name val="Calibri"/>
      <family val="2"/>
      <scheme val="minor"/>
    </font>
    <font>
      <sz val="10"/>
      <color rgb="FF0000FF"/>
      <name val="Calibri"/>
      <family val="2"/>
      <scheme val="minor"/>
    </font>
    <font>
      <i/>
      <sz val="9"/>
      <color rgb="FF777777"/>
      <name val="Calibri"/>
      <family val="2"/>
      <scheme val="minor"/>
    </font>
    <font>
      <b/>
      <sz val="10"/>
      <color rgb="FF0000FF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1B3A5C"/>
        <bgColor indexed="64"/>
      </patternFill>
    </fill>
    <fill>
      <patternFill patternType="solid">
        <fgColor rgb="FF2E75B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FFF2F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8F9FB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0F4F8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rgb="FFE0E0E0"/>
      </bottom>
      <diagonal/>
    </border>
    <border>
      <left/>
      <right/>
      <top style="thin">
        <color rgb="FFE0E0E0"/>
      </top>
      <bottom style="thin">
        <color rgb="FFE0E0E0"/>
      </bottom>
      <diagonal/>
    </border>
    <border>
      <left/>
      <right/>
      <top style="thin">
        <color rgb="FFE0E0E0"/>
      </top>
      <bottom/>
      <diagonal/>
    </border>
    <border>
      <left/>
      <right/>
      <top/>
      <bottom style="thin">
        <color rgb="FFE8E8E8"/>
      </bottom>
      <diagonal/>
    </border>
    <border>
      <left/>
      <right/>
      <top style="thin">
        <color rgb="FFE8E8E8"/>
      </top>
      <bottom style="thin">
        <color rgb="FFE8E8E8"/>
      </bottom>
      <diagonal/>
    </border>
    <border>
      <left/>
      <right/>
      <top style="thin">
        <color rgb="FFE8E8E8"/>
      </top>
      <bottom/>
      <diagonal/>
    </border>
    <border>
      <left/>
      <right/>
      <top/>
      <bottom style="thin">
        <color rgb="FF1B3A5C"/>
      </bottom>
      <diagonal/>
    </border>
    <border>
      <left/>
      <right/>
      <top/>
      <bottom style="medium">
        <color rgb="FF1B3A5C"/>
      </bottom>
      <diagonal/>
    </border>
    <border>
      <left/>
      <right/>
      <top style="thin">
        <color rgb="FFB4C6E7"/>
      </top>
      <bottom style="thin">
        <color rgb="FFE8E8E8"/>
      </bottom>
      <diagonal/>
    </border>
    <border>
      <left/>
      <right/>
      <top style="thin">
        <color rgb="FFB4C6E7"/>
      </top>
      <bottom/>
      <diagonal/>
    </border>
    <border>
      <left/>
      <right/>
      <top style="medium">
        <color rgb="FF1B3A5C"/>
      </top>
      <bottom style="thin">
        <color rgb="FFE8E8E8"/>
      </bottom>
      <diagonal/>
    </border>
    <border>
      <left/>
      <right/>
      <top style="medium">
        <color rgb="FF1B3A5C"/>
      </top>
      <bottom/>
      <diagonal/>
    </border>
    <border>
      <left/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 style="thin">
        <color rgb="FFD0D0D0"/>
      </bottom>
      <diagonal/>
    </border>
    <border>
      <left/>
      <right style="thin">
        <color rgb="FFD0D0D0"/>
      </right>
      <top style="medium">
        <color rgb="FF1B3A5C"/>
      </top>
      <bottom style="thin">
        <color rgb="FFD0D0D0"/>
      </bottom>
      <diagonal/>
    </border>
    <border>
      <left style="thin">
        <color rgb="FFD0D0D0"/>
      </left>
      <right style="thin">
        <color rgb="FFD0D0D0"/>
      </right>
      <top style="medium">
        <color rgb="FF1B3A5C"/>
      </top>
      <bottom style="thin">
        <color rgb="FFD0D0D0"/>
      </bottom>
      <diagonal/>
    </border>
    <border>
      <left style="thin">
        <color rgb="FFD0D0D0"/>
      </left>
      <right/>
      <top style="medium">
        <color rgb="FF1B3A5C"/>
      </top>
      <bottom style="thin">
        <color rgb="FFD0D0D0"/>
      </bottom>
      <diagonal/>
    </border>
    <border>
      <left/>
      <right/>
      <top style="medium">
        <color rgb="FF1B3A5C"/>
      </top>
      <bottom style="thin">
        <color rgb="FF1B3A5C"/>
      </bottom>
      <diagonal/>
    </border>
    <border>
      <left/>
      <right style="thin">
        <color rgb="FFD0D0D0"/>
      </right>
      <top style="thin">
        <color rgb="FFD0D0D0"/>
      </top>
      <bottom style="medium">
        <color rgb="FF1B3A5C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medium">
        <color rgb="FF1B3A5C"/>
      </bottom>
      <diagonal/>
    </border>
    <border>
      <left style="thin">
        <color rgb="FFD0D0D0"/>
      </left>
      <right/>
      <top style="thin">
        <color rgb="FFD0D0D0"/>
      </top>
      <bottom style="medium">
        <color rgb="FF1B3A5C"/>
      </bottom>
      <diagonal/>
    </border>
    <border>
      <left style="medium">
        <color rgb="FF1B3A5C"/>
      </left>
      <right style="thin">
        <color rgb="FFD0D0D0"/>
      </right>
      <top style="medium">
        <color rgb="FF1B3A5C"/>
      </top>
      <bottom style="thin">
        <color rgb="FFD0D0D0"/>
      </bottom>
      <diagonal/>
    </border>
    <border>
      <left style="medium">
        <color rgb="FF1B3A5C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medium">
        <color rgb="FF1B3A5C"/>
      </left>
      <right style="thin">
        <color rgb="FFD0D0D0"/>
      </right>
      <top style="thin">
        <color rgb="FFD0D0D0"/>
      </top>
      <bottom style="medium">
        <color rgb="FF1B3A5C"/>
      </bottom>
      <diagonal/>
    </border>
    <border>
      <left style="thin">
        <color rgb="FFD0D0D0"/>
      </left>
      <right style="medium">
        <color rgb="FF1B3A5C"/>
      </right>
      <top style="medium">
        <color rgb="FF1B3A5C"/>
      </top>
      <bottom style="thin">
        <color rgb="FFD0D0D0"/>
      </bottom>
      <diagonal/>
    </border>
    <border>
      <left style="thin">
        <color rgb="FFD0D0D0"/>
      </left>
      <right style="medium">
        <color rgb="FF1B3A5C"/>
      </right>
      <top style="thin">
        <color rgb="FFD0D0D0"/>
      </top>
      <bottom style="thin">
        <color rgb="FFD0D0D0"/>
      </bottom>
      <diagonal/>
    </border>
    <border>
      <left style="thin">
        <color rgb="FFD0D0D0"/>
      </left>
      <right style="medium">
        <color rgb="FF1B3A5C"/>
      </right>
      <top style="thin">
        <color rgb="FFD0D0D0"/>
      </top>
      <bottom style="medium">
        <color rgb="FF1B3A5C"/>
      </bottom>
      <diagonal/>
    </border>
    <border>
      <left/>
      <right/>
      <top style="thin">
        <color rgb="FFE8E8E8"/>
      </top>
      <bottom style="thin">
        <color rgb="FF1B3A5C"/>
      </bottom>
      <diagonal/>
    </border>
    <border>
      <left/>
      <right style="medium">
        <color rgb="FF1B3A5C"/>
      </right>
      <top/>
      <bottom/>
      <diagonal/>
    </border>
    <border>
      <left/>
      <right style="medium">
        <color rgb="FF1B3A5C"/>
      </right>
      <top/>
      <bottom style="medium">
        <color rgb="FF1B3A5C"/>
      </bottom>
      <diagonal/>
    </border>
    <border>
      <left/>
      <right style="medium">
        <color rgb="FF1B3A5C"/>
      </right>
      <top/>
      <bottom style="thin">
        <color rgb="FFE8E8E8"/>
      </bottom>
      <diagonal/>
    </border>
    <border>
      <left/>
      <right style="medium">
        <color rgb="FF1B3A5C"/>
      </right>
      <top style="thin">
        <color rgb="FFE8E8E8"/>
      </top>
      <bottom style="thin">
        <color rgb="FFE8E8E8"/>
      </bottom>
      <diagonal/>
    </border>
    <border>
      <left/>
      <right style="medium">
        <color rgb="FF1B3A5C"/>
      </right>
      <top style="thin">
        <color rgb="FFE8E8E8"/>
      </top>
      <bottom/>
      <diagonal/>
    </border>
    <border>
      <left/>
      <right style="medium">
        <color rgb="FF1B3A5C"/>
      </right>
      <top style="thin">
        <color rgb="FFB4C6E7"/>
      </top>
      <bottom style="thin">
        <color rgb="FFE8E8E8"/>
      </bottom>
      <diagonal/>
    </border>
    <border>
      <left/>
      <right style="medium">
        <color rgb="FF1B3A5C"/>
      </right>
      <top style="medium">
        <color rgb="FF1B3A5C"/>
      </top>
      <bottom style="thin">
        <color rgb="FFE8E8E8"/>
      </bottom>
      <diagonal/>
    </border>
    <border>
      <left/>
      <right style="medium">
        <color rgb="FF1B3A5C"/>
      </right>
      <top style="medium">
        <color rgb="FF1B3A5C"/>
      </top>
      <bottom/>
      <diagonal/>
    </border>
    <border>
      <left/>
      <right style="medium">
        <color rgb="FF1B3A5C"/>
      </right>
      <top style="medium">
        <color rgb="FF1B3A5C"/>
      </top>
      <bottom style="thin">
        <color rgb="FF1B3A5C"/>
      </bottom>
      <diagonal/>
    </border>
    <border>
      <left/>
      <right style="medium">
        <color rgb="FF1B3A5C"/>
      </right>
      <top style="thin">
        <color rgb="FFE8E8E8"/>
      </top>
      <bottom style="thin">
        <color rgb="FF1B3A5C"/>
      </bottom>
      <diagonal/>
    </border>
  </borders>
  <cellStyleXfs count="1">
    <xf numFmtId="0" fontId="0" fillId="0" borderId="0"/>
  </cellStyleXfs>
  <cellXfs count="297">
    <xf numFmtId="0" fontId="0" fillId="0" borderId="0" xfId="0"/>
    <xf numFmtId="0" fontId="2" fillId="0" borderId="0" xfId="0" applyFont="1"/>
    <xf numFmtId="0" fontId="1" fillId="0" borderId="0" xfId="0" applyFont="1"/>
    <xf numFmtId="164" fontId="3" fillId="0" borderId="0" xfId="0" applyNumberFormat="1" applyFont="1"/>
    <xf numFmtId="2" fontId="3" fillId="0" borderId="0" xfId="0" applyNumberFormat="1" applyFont="1"/>
    <xf numFmtId="0" fontId="1" fillId="5" borderId="0" xfId="0" applyFont="1" applyFill="1"/>
    <xf numFmtId="0" fontId="7" fillId="6" borderId="0" xfId="0" applyFont="1" applyFill="1"/>
    <xf numFmtId="169" fontId="3" fillId="0" borderId="0" xfId="0" applyNumberFormat="1" applyFont="1"/>
    <xf numFmtId="0" fontId="1" fillId="7" borderId="0" xfId="0" applyFont="1" applyFill="1"/>
    <xf numFmtId="0" fontId="1" fillId="7" borderId="0" xfId="0" applyFont="1" applyFill="1" applyAlignment="1">
      <alignment horizontal="center"/>
    </xf>
    <xf numFmtId="4" fontId="1" fillId="0" borderId="0" xfId="0" applyNumberFormat="1" applyFont="1"/>
    <xf numFmtId="4" fontId="1" fillId="5" borderId="0" xfId="0" applyNumberFormat="1" applyFont="1" applyFill="1"/>
    <xf numFmtId="0" fontId="4" fillId="2" borderId="0" xfId="0" applyFont="1" applyFill="1"/>
    <xf numFmtId="4" fontId="1" fillId="0" borderId="0" xfId="0" applyNumberFormat="1" applyFont="1" applyAlignment="1">
      <alignment horizontal="center"/>
    </xf>
    <xf numFmtId="171" fontId="1" fillId="0" borderId="0" xfId="0" applyNumberFormat="1" applyFont="1" applyAlignment="1">
      <alignment horizontal="center"/>
    </xf>
    <xf numFmtId="172" fontId="1" fillId="5" borderId="0" xfId="0" applyNumberFormat="1" applyFont="1" applyFill="1" applyAlignment="1">
      <alignment horizontal="center"/>
    </xf>
    <xf numFmtId="9" fontId="3" fillId="0" borderId="0" xfId="0" applyNumberFormat="1" applyFont="1" applyAlignment="1">
      <alignment horizontal="center"/>
    </xf>
    <xf numFmtId="0" fontId="8" fillId="5" borderId="0" xfId="0" applyFont="1" applyFill="1"/>
    <xf numFmtId="4" fontId="9" fillId="5" borderId="0" xfId="0" applyNumberFormat="1" applyFont="1" applyFill="1"/>
    <xf numFmtId="4" fontId="10" fillId="5" borderId="0" xfId="0" applyNumberFormat="1" applyFont="1" applyFill="1"/>
    <xf numFmtId="164" fontId="9" fillId="0" borderId="0" xfId="0" applyNumberFormat="1" applyFont="1"/>
    <xf numFmtId="0" fontId="12" fillId="0" borderId="0" xfId="0" applyFont="1"/>
    <xf numFmtId="4" fontId="10" fillId="0" borderId="0" xfId="0" applyNumberFormat="1" applyFont="1"/>
    <xf numFmtId="4" fontId="10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/>
    </xf>
    <xf numFmtId="0" fontId="16" fillId="2" borderId="0" xfId="0" applyFont="1" applyFill="1"/>
    <xf numFmtId="0" fontId="16" fillId="2" borderId="0" xfId="0" applyFont="1" applyFill="1" applyAlignment="1">
      <alignment horizontal="center"/>
    </xf>
    <xf numFmtId="0" fontId="17" fillId="0" borderId="0" xfId="0" applyFont="1"/>
    <xf numFmtId="0" fontId="19" fillId="0" borderId="0" xfId="0" applyFont="1"/>
    <xf numFmtId="0" fontId="18" fillId="0" borderId="0" xfId="0" applyFont="1" applyAlignment="1">
      <alignment horizontal="center"/>
    </xf>
    <xf numFmtId="10" fontId="18" fillId="0" borderId="0" xfId="0" applyNumberFormat="1" applyFont="1" applyAlignment="1">
      <alignment horizontal="center"/>
    </xf>
    <xf numFmtId="0" fontId="16" fillId="4" borderId="0" xfId="0" applyFont="1" applyFill="1"/>
    <xf numFmtId="0" fontId="20" fillId="0" borderId="0" xfId="0" applyFont="1"/>
    <xf numFmtId="0" fontId="20" fillId="10" borderId="0" xfId="0" applyFont="1" applyFill="1"/>
    <xf numFmtId="0" fontId="21" fillId="0" borderId="0" xfId="0" applyFont="1"/>
    <xf numFmtId="0" fontId="4" fillId="4" borderId="0" xfId="0" applyFont="1" applyFill="1"/>
    <xf numFmtId="0" fontId="21" fillId="12" borderId="0" xfId="0" applyFont="1" applyFill="1"/>
    <xf numFmtId="0" fontId="0" fillId="12" borderId="0" xfId="0" applyFill="1"/>
    <xf numFmtId="0" fontId="21" fillId="11" borderId="1" xfId="0" applyFont="1" applyFill="1" applyBorder="1"/>
    <xf numFmtId="3" fontId="18" fillId="11" borderId="1" xfId="0" applyNumberFormat="1" applyFont="1" applyFill="1" applyBorder="1" applyAlignment="1">
      <alignment horizontal="center"/>
    </xf>
    <xf numFmtId="0" fontId="21" fillId="0" borderId="2" xfId="0" applyFont="1" applyBorder="1"/>
    <xf numFmtId="3" fontId="18" fillId="0" borderId="2" xfId="0" applyNumberFormat="1" applyFont="1" applyBorder="1" applyAlignment="1">
      <alignment horizontal="center"/>
    </xf>
    <xf numFmtId="0" fontId="21" fillId="11" borderId="2" xfId="0" applyFont="1" applyFill="1" applyBorder="1"/>
    <xf numFmtId="3" fontId="18" fillId="11" borderId="2" xfId="0" applyNumberFormat="1" applyFont="1" applyFill="1" applyBorder="1" applyAlignment="1">
      <alignment horizontal="center"/>
    </xf>
    <xf numFmtId="165" fontId="18" fillId="0" borderId="2" xfId="0" applyNumberFormat="1" applyFont="1" applyBorder="1" applyAlignment="1">
      <alignment horizontal="center"/>
    </xf>
    <xf numFmtId="165" fontId="18" fillId="11" borderId="2" xfId="0" applyNumberFormat="1" applyFont="1" applyFill="1" applyBorder="1" applyAlignment="1">
      <alignment horizontal="center"/>
    </xf>
    <xf numFmtId="0" fontId="21" fillId="0" borderId="3" xfId="0" applyFont="1" applyBorder="1"/>
    <xf numFmtId="165" fontId="18" fillId="0" borderId="3" xfId="0" applyNumberFormat="1" applyFont="1" applyBorder="1" applyAlignment="1">
      <alignment horizontal="center"/>
    </xf>
    <xf numFmtId="0" fontId="22" fillId="0" borderId="0" xfId="0" applyFont="1"/>
    <xf numFmtId="0" fontId="24" fillId="0" borderId="0" xfId="0" applyFont="1"/>
    <xf numFmtId="0" fontId="12" fillId="0" borderId="4" xfId="0" applyFont="1" applyBorder="1"/>
    <xf numFmtId="4" fontId="17" fillId="0" borderId="5" xfId="0" applyNumberFormat="1" applyFont="1" applyBorder="1" applyAlignment="1">
      <alignment horizontal="center"/>
    </xf>
    <xf numFmtId="4" fontId="18" fillId="0" borderId="5" xfId="0" applyNumberFormat="1" applyFont="1" applyBorder="1" applyAlignment="1">
      <alignment horizontal="center"/>
    </xf>
    <xf numFmtId="0" fontId="12" fillId="0" borderId="5" xfId="0" applyFont="1" applyBorder="1"/>
    <xf numFmtId="4" fontId="26" fillId="0" borderId="5" xfId="0" applyNumberFormat="1" applyFont="1" applyBorder="1" applyAlignment="1">
      <alignment horizontal="center"/>
    </xf>
    <xf numFmtId="4" fontId="18" fillId="10" borderId="5" xfId="0" applyNumberFormat="1" applyFont="1" applyFill="1" applyBorder="1" applyAlignment="1">
      <alignment horizontal="center"/>
    </xf>
    <xf numFmtId="4" fontId="24" fillId="0" borderId="5" xfId="0" applyNumberFormat="1" applyFont="1" applyBorder="1" applyAlignment="1">
      <alignment horizontal="center"/>
    </xf>
    <xf numFmtId="4" fontId="25" fillId="10" borderId="5" xfId="0" applyNumberFormat="1" applyFont="1" applyFill="1" applyBorder="1" applyAlignment="1">
      <alignment horizontal="center"/>
    </xf>
    <xf numFmtId="0" fontId="23" fillId="2" borderId="8" xfId="0" applyFont="1" applyFill="1" applyBorder="1" applyAlignment="1">
      <alignment horizontal="left"/>
    </xf>
    <xf numFmtId="0" fontId="23" fillId="2" borderId="8" xfId="0" applyFont="1" applyFill="1" applyBorder="1" applyAlignment="1">
      <alignment horizontal="center"/>
    </xf>
    <xf numFmtId="0" fontId="23" fillId="3" borderId="8" xfId="0" applyFont="1" applyFill="1" applyBorder="1" applyAlignment="1">
      <alignment horizontal="center"/>
    </xf>
    <xf numFmtId="4" fontId="26" fillId="10" borderId="5" xfId="0" applyNumberFormat="1" applyFont="1" applyFill="1" applyBorder="1" applyAlignment="1">
      <alignment horizontal="center"/>
    </xf>
    <xf numFmtId="167" fontId="17" fillId="0" borderId="5" xfId="0" applyNumberFormat="1" applyFont="1" applyBorder="1" applyAlignment="1">
      <alignment horizontal="center"/>
    </xf>
    <xf numFmtId="167" fontId="27" fillId="0" borderId="5" xfId="0" applyNumberFormat="1" applyFont="1" applyBorder="1" applyAlignment="1">
      <alignment horizontal="center"/>
    </xf>
    <xf numFmtId="0" fontId="15" fillId="10" borderId="0" xfId="0" applyFont="1" applyFill="1"/>
    <xf numFmtId="0" fontId="12" fillId="10" borderId="4" xfId="0" applyFont="1" applyFill="1" applyBorder="1"/>
    <xf numFmtId="0" fontId="19" fillId="10" borderId="0" xfId="0" applyFont="1" applyFill="1"/>
    <xf numFmtId="0" fontId="12" fillId="10" borderId="5" xfId="0" applyFont="1" applyFill="1" applyBorder="1"/>
    <xf numFmtId="0" fontId="24" fillId="13" borderId="0" xfId="0" applyFont="1" applyFill="1"/>
    <xf numFmtId="4" fontId="17" fillId="0" borderId="6" xfId="0" applyNumberFormat="1" applyFont="1" applyBorder="1" applyAlignment="1">
      <alignment horizontal="center"/>
    </xf>
    <xf numFmtId="4" fontId="18" fillId="0" borderId="6" xfId="0" applyNumberFormat="1" applyFont="1" applyBorder="1" applyAlignment="1">
      <alignment horizontal="center"/>
    </xf>
    <xf numFmtId="0" fontId="24" fillId="13" borderId="10" xfId="0" applyFont="1" applyFill="1" applyBorder="1"/>
    <xf numFmtId="4" fontId="24" fillId="13" borderId="9" xfId="0" applyNumberFormat="1" applyFont="1" applyFill="1" applyBorder="1" applyAlignment="1">
      <alignment horizontal="center"/>
    </xf>
    <xf numFmtId="4" fontId="25" fillId="13" borderId="9" xfId="0" applyNumberFormat="1" applyFont="1" applyFill="1" applyBorder="1" applyAlignment="1">
      <alignment horizontal="center"/>
    </xf>
    <xf numFmtId="0" fontId="12" fillId="0" borderId="6" xfId="0" applyFont="1" applyBorder="1"/>
    <xf numFmtId="0" fontId="24" fillId="14" borderId="0" xfId="0" applyFont="1" applyFill="1"/>
    <xf numFmtId="4" fontId="24" fillId="14" borderId="5" xfId="0" applyNumberFormat="1" applyFont="1" applyFill="1" applyBorder="1" applyAlignment="1">
      <alignment horizontal="center"/>
    </xf>
    <xf numFmtId="4" fontId="25" fillId="14" borderId="5" xfId="0" applyNumberFormat="1" applyFont="1" applyFill="1" applyBorder="1" applyAlignment="1">
      <alignment horizontal="center"/>
    </xf>
    <xf numFmtId="0" fontId="16" fillId="2" borderId="12" xfId="0" applyFont="1" applyFill="1" applyBorder="1"/>
    <xf numFmtId="4" fontId="16" fillId="2" borderId="11" xfId="0" applyNumberFormat="1" applyFont="1" applyFill="1" applyBorder="1" applyAlignment="1">
      <alignment horizontal="center"/>
    </xf>
    <xf numFmtId="0" fontId="28" fillId="15" borderId="0" xfId="0" applyFont="1" applyFill="1"/>
    <xf numFmtId="164" fontId="28" fillId="15" borderId="5" xfId="0" applyNumberFormat="1" applyFont="1" applyFill="1" applyBorder="1" applyAlignment="1">
      <alignment horizontal="center"/>
    </xf>
    <xf numFmtId="164" fontId="28" fillId="15" borderId="6" xfId="0" applyNumberFormat="1" applyFont="1" applyFill="1" applyBorder="1" applyAlignment="1">
      <alignment horizontal="center"/>
    </xf>
    <xf numFmtId="4" fontId="27" fillId="0" borderId="6" xfId="0" applyNumberFormat="1" applyFont="1" applyBorder="1" applyAlignment="1">
      <alignment horizontal="center"/>
    </xf>
    <xf numFmtId="4" fontId="27" fillId="10" borderId="6" xfId="0" applyNumberFormat="1" applyFont="1" applyFill="1" applyBorder="1" applyAlignment="1">
      <alignment horizontal="center"/>
    </xf>
    <xf numFmtId="0" fontId="23" fillId="2" borderId="12" xfId="0" applyFont="1" applyFill="1" applyBorder="1"/>
    <xf numFmtId="4" fontId="23" fillId="2" borderId="11" xfId="0" applyNumberFormat="1" applyFont="1" applyFill="1" applyBorder="1" applyAlignment="1">
      <alignment horizontal="center"/>
    </xf>
    <xf numFmtId="0" fontId="29" fillId="0" borderId="0" xfId="0" applyFont="1"/>
    <xf numFmtId="4" fontId="29" fillId="0" borderId="5" xfId="0" applyNumberFormat="1" applyFont="1" applyBorder="1" applyAlignment="1">
      <alignment horizontal="center"/>
    </xf>
    <xf numFmtId="4" fontId="29" fillId="10" borderId="5" xfId="0" applyNumberFormat="1" applyFont="1" applyFill="1" applyBorder="1" applyAlignment="1">
      <alignment horizontal="center"/>
    </xf>
    <xf numFmtId="0" fontId="24" fillId="16" borderId="0" xfId="0" applyFont="1" applyFill="1"/>
    <xf numFmtId="167" fontId="17" fillId="0" borderId="6" xfId="0" applyNumberFormat="1" applyFont="1" applyBorder="1" applyAlignment="1">
      <alignment horizontal="center"/>
    </xf>
    <xf numFmtId="167" fontId="18" fillId="0" borderId="6" xfId="0" applyNumberFormat="1" applyFont="1" applyBorder="1" applyAlignment="1">
      <alignment horizontal="center"/>
    </xf>
    <xf numFmtId="167" fontId="24" fillId="13" borderId="9" xfId="0" applyNumberFormat="1" applyFont="1" applyFill="1" applyBorder="1" applyAlignment="1">
      <alignment horizontal="center"/>
    </xf>
    <xf numFmtId="167" fontId="27" fillId="0" borderId="6" xfId="0" applyNumberFormat="1" applyFont="1" applyBorder="1" applyAlignment="1">
      <alignment horizontal="center"/>
    </xf>
    <xf numFmtId="167" fontId="16" fillId="2" borderId="12" xfId="0" applyNumberFormat="1" applyFont="1" applyFill="1" applyBorder="1" applyAlignment="1">
      <alignment horizontal="center"/>
    </xf>
    <xf numFmtId="0" fontId="23" fillId="2" borderId="0" xfId="0" applyFont="1" applyFill="1" applyAlignment="1">
      <alignment horizontal="center"/>
    </xf>
    <xf numFmtId="0" fontId="12" fillId="10" borderId="11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168" fontId="21" fillId="0" borderId="5" xfId="0" applyNumberFormat="1" applyFont="1" applyBorder="1" applyAlignment="1">
      <alignment horizontal="center"/>
    </xf>
    <xf numFmtId="0" fontId="30" fillId="0" borderId="5" xfId="0" applyFont="1" applyBorder="1" applyAlignment="1">
      <alignment horizontal="center"/>
    </xf>
    <xf numFmtId="0" fontId="30" fillId="10" borderId="5" xfId="0" applyFont="1" applyFill="1" applyBorder="1" applyAlignment="1">
      <alignment horizontal="center"/>
    </xf>
    <xf numFmtId="2" fontId="21" fillId="0" borderId="5" xfId="0" applyNumberFormat="1" applyFont="1" applyBorder="1" applyAlignment="1">
      <alignment horizontal="center"/>
    </xf>
    <xf numFmtId="1" fontId="21" fillId="0" borderId="5" xfId="0" applyNumberFormat="1" applyFont="1" applyBorder="1" applyAlignment="1">
      <alignment horizontal="center"/>
    </xf>
    <xf numFmtId="1" fontId="31" fillId="13" borderId="5" xfId="0" applyNumberFormat="1" applyFont="1" applyFill="1" applyBorder="1" applyAlignment="1">
      <alignment horizontal="center"/>
    </xf>
    <xf numFmtId="168" fontId="21" fillId="0" borderId="6" xfId="0" applyNumberFormat="1" applyFont="1" applyBorder="1" applyAlignment="1">
      <alignment horizontal="center"/>
    </xf>
    <xf numFmtId="168" fontId="32" fillId="0" borderId="5" xfId="0" applyNumberFormat="1" applyFont="1" applyBorder="1" applyAlignment="1">
      <alignment horizontal="center"/>
    </xf>
    <xf numFmtId="168" fontId="32" fillId="10" borderId="5" xfId="0" applyNumberFormat="1" applyFont="1" applyFill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33" fillId="10" borderId="5" xfId="0" applyFont="1" applyFill="1" applyBorder="1" applyAlignment="1">
      <alignment horizontal="center"/>
    </xf>
    <xf numFmtId="2" fontId="32" fillId="0" borderId="5" xfId="0" applyNumberFormat="1" applyFont="1" applyBorder="1" applyAlignment="1">
      <alignment horizontal="center"/>
    </xf>
    <xf numFmtId="2" fontId="32" fillId="10" borderId="5" xfId="0" applyNumberFormat="1" applyFont="1" applyFill="1" applyBorder="1" applyAlignment="1">
      <alignment horizontal="center"/>
    </xf>
    <xf numFmtId="1" fontId="32" fillId="0" borderId="5" xfId="0" applyNumberFormat="1" applyFont="1" applyBorder="1" applyAlignment="1">
      <alignment horizontal="center"/>
    </xf>
    <xf numFmtId="1" fontId="32" fillId="10" borderId="5" xfId="0" applyNumberFormat="1" applyFont="1" applyFill="1" applyBorder="1" applyAlignment="1">
      <alignment horizontal="center"/>
    </xf>
    <xf numFmtId="1" fontId="34" fillId="13" borderId="5" xfId="0" applyNumberFormat="1" applyFont="1" applyFill="1" applyBorder="1" applyAlignment="1">
      <alignment horizontal="center"/>
    </xf>
    <xf numFmtId="168" fontId="32" fillId="0" borderId="6" xfId="0" applyNumberFormat="1" applyFont="1" applyBorder="1" applyAlignment="1">
      <alignment horizontal="center"/>
    </xf>
    <xf numFmtId="168" fontId="32" fillId="10" borderId="6" xfId="0" applyNumberFormat="1" applyFont="1" applyFill="1" applyBorder="1" applyAlignment="1">
      <alignment horizontal="center"/>
    </xf>
    <xf numFmtId="0" fontId="35" fillId="0" borderId="0" xfId="0" applyFont="1"/>
    <xf numFmtId="0" fontId="36" fillId="0" borderId="0" xfId="0" applyFont="1"/>
    <xf numFmtId="0" fontId="1" fillId="6" borderId="0" xfId="0" applyFont="1" applyFill="1"/>
    <xf numFmtId="164" fontId="1" fillId="6" borderId="0" xfId="0" applyNumberFormat="1" applyFont="1" applyFill="1"/>
    <xf numFmtId="164" fontId="0" fillId="5" borderId="0" xfId="0" applyNumberFormat="1" applyFill="1"/>
    <xf numFmtId="171" fontId="3" fillId="5" borderId="0" xfId="0" applyNumberFormat="1" applyFont="1" applyFill="1"/>
    <xf numFmtId="164" fontId="0" fillId="0" borderId="0" xfId="0" applyNumberFormat="1"/>
    <xf numFmtId="4" fontId="0" fillId="0" borderId="0" xfId="0" applyNumberFormat="1"/>
    <xf numFmtId="170" fontId="0" fillId="0" borderId="0" xfId="0" applyNumberFormat="1"/>
    <xf numFmtId="169" fontId="0" fillId="0" borderId="0" xfId="0" applyNumberFormat="1"/>
    <xf numFmtId="10" fontId="1" fillId="6" borderId="0" xfId="0" applyNumberFormat="1" applyFont="1" applyFill="1"/>
    <xf numFmtId="0" fontId="16" fillId="7" borderId="0" xfId="0" applyFont="1" applyFill="1" applyAlignment="1">
      <alignment horizontal="center"/>
    </xf>
    <xf numFmtId="4" fontId="1" fillId="6" borderId="0" xfId="0" applyNumberFormat="1" applyFont="1" applyFill="1"/>
    <xf numFmtId="171" fontId="1" fillId="6" borderId="0" xfId="0" applyNumberFormat="1" applyFont="1" applyFill="1"/>
    <xf numFmtId="172" fontId="0" fillId="0" borderId="0" xfId="0" applyNumberFormat="1" applyAlignment="1">
      <alignment horizontal="center"/>
    </xf>
    <xf numFmtId="172" fontId="0" fillId="0" borderId="14" xfId="0" applyNumberFormat="1" applyBorder="1" applyAlignment="1">
      <alignment horizontal="center"/>
    </xf>
    <xf numFmtId="172" fontId="0" fillId="10" borderId="14" xfId="0" applyNumberFormat="1" applyFill="1" applyBorder="1" applyAlignment="1">
      <alignment horizontal="center"/>
    </xf>
    <xf numFmtId="172" fontId="1" fillId="8" borderId="14" xfId="0" applyNumberFormat="1" applyFont="1" applyFill="1" applyBorder="1" applyAlignment="1">
      <alignment horizontal="center"/>
    </xf>
    <xf numFmtId="164" fontId="1" fillId="7" borderId="17" xfId="0" applyNumberFormat="1" applyFont="1" applyFill="1" applyBorder="1" applyAlignment="1">
      <alignment horizontal="center"/>
    </xf>
    <xf numFmtId="164" fontId="1" fillId="8" borderId="17" xfId="0" applyNumberFormat="1" applyFont="1" applyFill="1" applyBorder="1" applyAlignment="1">
      <alignment horizontal="center"/>
    </xf>
    <xf numFmtId="172" fontId="0" fillId="0" borderId="21" xfId="0" applyNumberFormat="1" applyBorder="1" applyAlignment="1">
      <alignment horizontal="center"/>
    </xf>
    <xf numFmtId="10" fontId="1" fillId="7" borderId="24" xfId="0" applyNumberFormat="1" applyFont="1" applyFill="1" applyBorder="1"/>
    <xf numFmtId="10" fontId="1" fillId="8" borderId="24" xfId="0" applyNumberFormat="1" applyFont="1" applyFill="1" applyBorder="1"/>
    <xf numFmtId="10" fontId="1" fillId="7" borderId="25" xfId="0" applyNumberFormat="1" applyFont="1" applyFill="1" applyBorder="1"/>
    <xf numFmtId="164" fontId="1" fillId="7" borderId="26" xfId="0" applyNumberFormat="1" applyFont="1" applyFill="1" applyBorder="1" applyAlignment="1">
      <alignment horizontal="center"/>
    </xf>
    <xf numFmtId="172" fontId="0" fillId="0" borderId="27" xfId="0" applyNumberFormat="1" applyBorder="1" applyAlignment="1">
      <alignment horizontal="center"/>
    </xf>
    <xf numFmtId="172" fontId="0" fillId="0" borderId="28" xfId="0" applyNumberFormat="1" applyBorder="1" applyAlignment="1">
      <alignment horizontal="center"/>
    </xf>
    <xf numFmtId="0" fontId="11" fillId="7" borderId="0" xfId="0" applyFont="1" applyFill="1"/>
    <xf numFmtId="0" fontId="11" fillId="7" borderId="0" xfId="0" applyFont="1" applyFill="1" applyAlignment="1">
      <alignment horizontal="center"/>
    </xf>
    <xf numFmtId="0" fontId="37" fillId="9" borderId="0" xfId="0" applyFont="1" applyFill="1"/>
    <xf numFmtId="0" fontId="11" fillId="9" borderId="0" xfId="0" applyFont="1" applyFill="1" applyAlignment="1">
      <alignment horizontal="center"/>
    </xf>
    <xf numFmtId="0" fontId="11" fillId="9" borderId="0" xfId="0" applyFont="1" applyFill="1"/>
    <xf numFmtId="172" fontId="1" fillId="6" borderId="0" xfId="0" applyNumberFormat="1" applyFont="1" applyFill="1" applyAlignment="1">
      <alignment horizontal="center"/>
    </xf>
    <xf numFmtId="171" fontId="7" fillId="6" borderId="0" xfId="0" applyNumberFormat="1" applyFont="1" applyFill="1" applyAlignment="1">
      <alignment horizontal="center"/>
    </xf>
    <xf numFmtId="9" fontId="7" fillId="6" borderId="0" xfId="0" applyNumberFormat="1" applyFont="1" applyFill="1" applyAlignment="1">
      <alignment horizontal="center"/>
    </xf>
    <xf numFmtId="0" fontId="38" fillId="0" borderId="0" xfId="0" applyFont="1"/>
    <xf numFmtId="0" fontId="38" fillId="15" borderId="0" xfId="0" applyFont="1" applyFill="1"/>
    <xf numFmtId="173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174" fontId="0" fillId="0" borderId="0" xfId="0" applyNumberFormat="1" applyAlignment="1">
      <alignment horizontal="center"/>
    </xf>
    <xf numFmtId="0" fontId="0" fillId="14" borderId="0" xfId="0" applyFill="1"/>
    <xf numFmtId="172" fontId="0" fillId="14" borderId="0" xfId="0" applyNumberFormat="1" applyFill="1" applyAlignment="1">
      <alignment horizontal="center"/>
    </xf>
    <xf numFmtId="0" fontId="0" fillId="15" borderId="0" xfId="0" applyFill="1"/>
    <xf numFmtId="0" fontId="0" fillId="17" borderId="13" xfId="0" applyFill="1" applyBorder="1"/>
    <xf numFmtId="3" fontId="0" fillId="17" borderId="14" xfId="0" applyNumberFormat="1" applyFill="1" applyBorder="1" applyAlignment="1">
      <alignment horizontal="center"/>
    </xf>
    <xf numFmtId="168" fontId="0" fillId="17" borderId="14" xfId="0" applyNumberFormat="1" applyFill="1" applyBorder="1" applyAlignment="1">
      <alignment horizontal="center"/>
    </xf>
    <xf numFmtId="2" fontId="0" fillId="17" borderId="14" xfId="0" applyNumberFormat="1" applyFill="1" applyBorder="1" applyAlignment="1">
      <alignment horizontal="center"/>
    </xf>
    <xf numFmtId="0" fontId="0" fillId="17" borderId="15" xfId="0" applyFill="1" applyBorder="1"/>
    <xf numFmtId="0" fontId="0" fillId="10" borderId="13" xfId="0" applyFill="1" applyBorder="1"/>
    <xf numFmtId="3" fontId="0" fillId="10" borderId="14" xfId="0" applyNumberFormat="1" applyFill="1" applyBorder="1" applyAlignment="1">
      <alignment horizontal="center"/>
    </xf>
    <xf numFmtId="168" fontId="0" fillId="10" borderId="14" xfId="0" applyNumberFormat="1" applyFill="1" applyBorder="1" applyAlignment="1">
      <alignment horizontal="center"/>
    </xf>
    <xf numFmtId="2" fontId="0" fillId="10" borderId="14" xfId="0" applyNumberFormat="1" applyFill="1" applyBorder="1" applyAlignment="1">
      <alignment horizontal="center"/>
    </xf>
    <xf numFmtId="0" fontId="0" fillId="10" borderId="15" xfId="0" applyFill="1" applyBorder="1"/>
    <xf numFmtId="0" fontId="1" fillId="5" borderId="13" xfId="0" applyFont="1" applyFill="1" applyBorder="1"/>
    <xf numFmtId="3" fontId="0" fillId="5" borderId="14" xfId="0" applyNumberFormat="1" applyFill="1" applyBorder="1" applyAlignment="1">
      <alignment horizontal="center"/>
    </xf>
    <xf numFmtId="168" fontId="1" fillId="5" borderId="14" xfId="0" applyNumberFormat="1" applyFont="1" applyFill="1" applyBorder="1" applyAlignment="1">
      <alignment horizontal="center"/>
    </xf>
    <xf numFmtId="2" fontId="1" fillId="5" borderId="14" xfId="0" applyNumberFormat="1" applyFont="1" applyFill="1" applyBorder="1" applyAlignment="1">
      <alignment horizontal="center"/>
    </xf>
    <xf numFmtId="0" fontId="0" fillId="5" borderId="15" xfId="0" applyFill="1" applyBorder="1"/>
    <xf numFmtId="0" fontId="0" fillId="5" borderId="14" xfId="0" applyFill="1" applyBorder="1"/>
    <xf numFmtId="0" fontId="1" fillId="18" borderId="20" xfId="0" applyFont="1" applyFill="1" applyBorder="1"/>
    <xf numFmtId="0" fontId="1" fillId="18" borderId="21" xfId="0" applyFont="1" applyFill="1" applyBorder="1"/>
    <xf numFmtId="168" fontId="1" fillId="18" borderId="21" xfId="0" applyNumberFormat="1" applyFont="1" applyFill="1" applyBorder="1" applyAlignment="1">
      <alignment horizontal="center"/>
    </xf>
    <xf numFmtId="2" fontId="1" fillId="18" borderId="21" xfId="0" applyNumberFormat="1" applyFont="1" applyFill="1" applyBorder="1" applyAlignment="1">
      <alignment horizontal="center"/>
    </xf>
    <xf numFmtId="0" fontId="1" fillId="18" borderId="22" xfId="0" applyFont="1" applyFill="1" applyBorder="1"/>
    <xf numFmtId="0" fontId="11" fillId="7" borderId="16" xfId="0" applyFont="1" applyFill="1" applyBorder="1"/>
    <xf numFmtId="0" fontId="11" fillId="7" borderId="17" xfId="0" applyFont="1" applyFill="1" applyBorder="1" applyAlignment="1">
      <alignment horizontal="center"/>
    </xf>
    <xf numFmtId="0" fontId="11" fillId="7" borderId="18" xfId="0" applyFont="1" applyFill="1" applyBorder="1" applyAlignment="1">
      <alignment horizontal="center"/>
    </xf>
    <xf numFmtId="0" fontId="39" fillId="0" borderId="0" xfId="0" applyFont="1"/>
    <xf numFmtId="0" fontId="23" fillId="3" borderId="0" xfId="0" applyFont="1" applyFill="1" applyAlignment="1">
      <alignment horizontal="center"/>
    </xf>
    <xf numFmtId="4" fontId="14" fillId="0" borderId="5" xfId="0" applyNumberFormat="1" applyFont="1" applyBorder="1" applyAlignment="1">
      <alignment horizontal="center"/>
    </xf>
    <xf numFmtId="4" fontId="12" fillId="0" borderId="5" xfId="0" applyNumberFormat="1" applyFont="1" applyBorder="1" applyAlignment="1">
      <alignment horizontal="center"/>
    </xf>
    <xf numFmtId="0" fontId="23" fillId="2" borderId="0" xfId="0" applyFont="1" applyFill="1" applyAlignment="1">
      <alignment horizontal="left"/>
    </xf>
    <xf numFmtId="4" fontId="14" fillId="0" borderId="4" xfId="0" applyNumberFormat="1" applyFont="1" applyBorder="1" applyAlignment="1">
      <alignment horizontal="center"/>
    </xf>
    <xf numFmtId="0" fontId="19" fillId="19" borderId="19" xfId="0" applyFont="1" applyFill="1" applyBorder="1"/>
    <xf numFmtId="0" fontId="12" fillId="19" borderId="19" xfId="0" applyFont="1" applyFill="1" applyBorder="1" applyAlignment="1">
      <alignment horizontal="center"/>
    </xf>
    <xf numFmtId="4" fontId="12" fillId="0" borderId="4" xfId="0" applyNumberFormat="1" applyFont="1" applyBorder="1" applyAlignment="1">
      <alignment horizontal="center"/>
    </xf>
    <xf numFmtId="4" fontId="40" fillId="0" borderId="4" xfId="0" applyNumberFormat="1" applyFont="1" applyBorder="1" applyAlignment="1">
      <alignment horizontal="center"/>
    </xf>
    <xf numFmtId="0" fontId="19" fillId="19" borderId="7" xfId="0" applyFont="1" applyFill="1" applyBorder="1"/>
    <xf numFmtId="0" fontId="12" fillId="19" borderId="29" xfId="0" applyFont="1" applyFill="1" applyBorder="1" applyAlignment="1">
      <alignment horizontal="center"/>
    </xf>
    <xf numFmtId="4" fontId="14" fillId="0" borderId="6" xfId="0" applyNumberFormat="1" applyFont="1" applyBorder="1" applyAlignment="1">
      <alignment horizontal="center"/>
    </xf>
    <xf numFmtId="4" fontId="11" fillId="13" borderId="9" xfId="0" applyNumberFormat="1" applyFont="1" applyFill="1" applyBorder="1" applyAlignment="1">
      <alignment horizontal="center"/>
    </xf>
    <xf numFmtId="4" fontId="12" fillId="0" borderId="6" xfId="0" applyNumberFormat="1" applyFont="1" applyBorder="1" applyAlignment="1">
      <alignment horizontal="center"/>
    </xf>
    <xf numFmtId="4" fontId="40" fillId="0" borderId="6" xfId="0" applyNumberFormat="1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4" fontId="4" fillId="2" borderId="11" xfId="0" applyNumberFormat="1" applyFont="1" applyFill="1" applyBorder="1" applyAlignment="1">
      <alignment horizontal="center"/>
    </xf>
    <xf numFmtId="164" fontId="41" fillId="15" borderId="5" xfId="0" applyNumberFormat="1" applyFont="1" applyFill="1" applyBorder="1" applyAlignment="1">
      <alignment horizontal="center"/>
    </xf>
    <xf numFmtId="164" fontId="41" fillId="15" borderId="6" xfId="0" applyNumberFormat="1" applyFont="1" applyFill="1" applyBorder="1" applyAlignment="1">
      <alignment horizontal="center"/>
    </xf>
    <xf numFmtId="0" fontId="17" fillId="0" borderId="5" xfId="0" applyFont="1" applyBorder="1" applyAlignment="1">
      <alignment horizontal="center"/>
    </xf>
    <xf numFmtId="4" fontId="27" fillId="0" borderId="4" xfId="0" applyNumberFormat="1" applyFont="1" applyBorder="1" applyAlignment="1">
      <alignment horizontal="center"/>
    </xf>
    <xf numFmtId="4" fontId="17" fillId="0" borderId="4" xfId="0" applyNumberFormat="1" applyFont="1" applyBorder="1" applyAlignment="1">
      <alignment horizontal="center"/>
    </xf>
    <xf numFmtId="4" fontId="17" fillId="19" borderId="29" xfId="0" applyNumberFormat="1" applyFont="1" applyFill="1" applyBorder="1" applyAlignment="1">
      <alignment horizontal="center"/>
    </xf>
    <xf numFmtId="166" fontId="24" fillId="16" borderId="5" xfId="0" applyNumberFormat="1" applyFont="1" applyFill="1" applyBorder="1" applyAlignment="1">
      <alignment horizontal="center"/>
    </xf>
    <xf numFmtId="0" fontId="24" fillId="9" borderId="0" xfId="0" applyFont="1" applyFill="1"/>
    <xf numFmtId="4" fontId="24" fillId="9" borderId="6" xfId="0" applyNumberFormat="1" applyFont="1" applyFill="1" applyBorder="1" applyAlignment="1">
      <alignment horizontal="center"/>
    </xf>
    <xf numFmtId="4" fontId="42" fillId="9" borderId="6" xfId="0" applyNumberFormat="1" applyFont="1" applyFill="1" applyBorder="1" applyAlignment="1">
      <alignment horizontal="center"/>
    </xf>
    <xf numFmtId="167" fontId="27" fillId="0" borderId="4" xfId="0" applyNumberFormat="1" applyFont="1" applyBorder="1" applyAlignment="1">
      <alignment horizontal="center"/>
    </xf>
    <xf numFmtId="167" fontId="17" fillId="19" borderId="29" xfId="0" applyNumberFormat="1" applyFont="1" applyFill="1" applyBorder="1" applyAlignment="1">
      <alignment horizontal="center"/>
    </xf>
    <xf numFmtId="4" fontId="12" fillId="0" borderId="5" xfId="0" applyNumberFormat="1" applyFont="1" applyBorder="1"/>
    <xf numFmtId="174" fontId="24" fillId="16" borderId="6" xfId="0" applyNumberFormat="1" applyFont="1" applyFill="1" applyBorder="1" applyAlignment="1">
      <alignment horizontal="center"/>
    </xf>
    <xf numFmtId="175" fontId="17" fillId="0" borderId="5" xfId="0" applyNumberFormat="1" applyFont="1" applyBorder="1" applyAlignment="1">
      <alignment horizontal="center"/>
    </xf>
    <xf numFmtId="175" fontId="27" fillId="0" borderId="5" xfId="0" applyNumberFormat="1" applyFont="1" applyBorder="1" applyAlignment="1">
      <alignment horizontal="center"/>
    </xf>
    <xf numFmtId="175" fontId="27" fillId="10" borderId="5" xfId="0" applyNumberFormat="1" applyFont="1" applyFill="1" applyBorder="1" applyAlignment="1">
      <alignment horizontal="center"/>
    </xf>
    <xf numFmtId="175" fontId="17" fillId="0" borderId="6" xfId="0" applyNumberFormat="1" applyFont="1" applyBorder="1" applyAlignment="1">
      <alignment horizontal="center"/>
    </xf>
    <xf numFmtId="175" fontId="18" fillId="0" borderId="6" xfId="0" applyNumberFormat="1" applyFont="1" applyBorder="1" applyAlignment="1">
      <alignment horizontal="center"/>
    </xf>
    <xf numFmtId="175" fontId="18" fillId="10" borderId="6" xfId="0" applyNumberFormat="1" applyFont="1" applyFill="1" applyBorder="1" applyAlignment="1">
      <alignment horizontal="center"/>
    </xf>
    <xf numFmtId="175" fontId="24" fillId="13" borderId="9" xfId="0" applyNumberFormat="1" applyFont="1" applyFill="1" applyBorder="1" applyAlignment="1">
      <alignment horizontal="center"/>
    </xf>
    <xf numFmtId="175" fontId="25" fillId="13" borderId="9" xfId="0" applyNumberFormat="1" applyFont="1" applyFill="1" applyBorder="1" applyAlignment="1">
      <alignment horizontal="center"/>
    </xf>
    <xf numFmtId="175" fontId="12" fillId="0" borderId="5" xfId="0" applyNumberFormat="1" applyFont="1" applyBorder="1"/>
    <xf numFmtId="175" fontId="27" fillId="0" borderId="6" xfId="0" applyNumberFormat="1" applyFont="1" applyBorder="1" applyAlignment="1">
      <alignment horizontal="center"/>
    </xf>
    <xf numFmtId="175" fontId="27" fillId="10" borderId="6" xfId="0" applyNumberFormat="1" applyFont="1" applyFill="1" applyBorder="1" applyAlignment="1">
      <alignment horizontal="center"/>
    </xf>
    <xf numFmtId="175" fontId="12" fillId="0" borderId="6" xfId="0" applyNumberFormat="1" applyFont="1" applyBorder="1"/>
    <xf numFmtId="175" fontId="16" fillId="2" borderId="12" xfId="0" applyNumberFormat="1" applyFont="1" applyFill="1" applyBorder="1" applyAlignment="1">
      <alignment horizontal="center"/>
    </xf>
    <xf numFmtId="0" fontId="23" fillId="2" borderId="31" xfId="0" applyFont="1" applyFill="1" applyBorder="1" applyAlignment="1">
      <alignment horizontal="center"/>
    </xf>
    <xf numFmtId="0" fontId="12" fillId="10" borderId="32" xfId="0" applyFont="1" applyFill="1" applyBorder="1"/>
    <xf numFmtId="4" fontId="17" fillId="0" borderId="33" xfId="0" applyNumberFormat="1" applyFont="1" applyBorder="1" applyAlignment="1">
      <alignment horizontal="center"/>
    </xf>
    <xf numFmtId="164" fontId="28" fillId="15" borderId="33" xfId="0" applyNumberFormat="1" applyFont="1" applyFill="1" applyBorder="1" applyAlignment="1">
      <alignment horizontal="center"/>
    </xf>
    <xf numFmtId="4" fontId="17" fillId="0" borderId="34" xfId="0" applyNumberFormat="1" applyFont="1" applyBorder="1" applyAlignment="1">
      <alignment horizontal="center"/>
    </xf>
    <xf numFmtId="4" fontId="24" fillId="13" borderId="35" xfId="0" applyNumberFormat="1" applyFont="1" applyFill="1" applyBorder="1" applyAlignment="1">
      <alignment horizontal="center"/>
    </xf>
    <xf numFmtId="0" fontId="12" fillId="0" borderId="33" xfId="0" applyFont="1" applyBorder="1"/>
    <xf numFmtId="0" fontId="12" fillId="10" borderId="33" xfId="0" applyFont="1" applyFill="1" applyBorder="1"/>
    <xf numFmtId="4" fontId="24" fillId="14" borderId="33" xfId="0" applyNumberFormat="1" applyFont="1" applyFill="1" applyBorder="1" applyAlignment="1">
      <alignment horizontal="center"/>
    </xf>
    <xf numFmtId="0" fontId="12" fillId="0" borderId="34" xfId="0" applyFont="1" applyBorder="1"/>
    <xf numFmtId="4" fontId="24" fillId="0" borderId="33" xfId="0" applyNumberFormat="1" applyFont="1" applyBorder="1" applyAlignment="1">
      <alignment horizontal="center"/>
    </xf>
    <xf numFmtId="4" fontId="16" fillId="2" borderId="36" xfId="0" applyNumberFormat="1" applyFont="1" applyFill="1" applyBorder="1" applyAlignment="1">
      <alignment horizontal="center"/>
    </xf>
    <xf numFmtId="164" fontId="28" fillId="15" borderId="34" xfId="0" applyNumberFormat="1" applyFont="1" applyFill="1" applyBorder="1" applyAlignment="1">
      <alignment horizontal="center"/>
    </xf>
    <xf numFmtId="0" fontId="12" fillId="0" borderId="32" xfId="0" applyFont="1" applyBorder="1"/>
    <xf numFmtId="4" fontId="12" fillId="0" borderId="33" xfId="0" applyNumberFormat="1" applyFont="1" applyBorder="1"/>
    <xf numFmtId="4" fontId="23" fillId="2" borderId="36" xfId="0" applyNumberFormat="1" applyFont="1" applyFill="1" applyBorder="1" applyAlignment="1">
      <alignment horizontal="center"/>
    </xf>
    <xf numFmtId="4" fontId="29" fillId="0" borderId="33" xfId="0" applyNumberFormat="1" applyFont="1" applyBorder="1" applyAlignment="1">
      <alignment horizontal="center"/>
    </xf>
    <xf numFmtId="174" fontId="24" fillId="16" borderId="34" xfId="0" applyNumberFormat="1" applyFont="1" applyFill="1" applyBorder="1" applyAlignment="1">
      <alignment horizontal="center"/>
    </xf>
    <xf numFmtId="175" fontId="17" fillId="0" borderId="33" xfId="0" applyNumberFormat="1" applyFont="1" applyBorder="1" applyAlignment="1">
      <alignment horizontal="center"/>
    </xf>
    <xf numFmtId="175" fontId="17" fillId="0" borderId="34" xfId="0" applyNumberFormat="1" applyFont="1" applyBorder="1" applyAlignment="1">
      <alignment horizontal="center"/>
    </xf>
    <xf numFmtId="175" fontId="24" fillId="13" borderId="35" xfId="0" applyNumberFormat="1" applyFont="1" applyFill="1" applyBorder="1" applyAlignment="1">
      <alignment horizontal="center"/>
    </xf>
    <xf numFmtId="175" fontId="12" fillId="0" borderId="33" xfId="0" applyNumberFormat="1" applyFont="1" applyBorder="1"/>
    <xf numFmtId="175" fontId="12" fillId="0" borderId="34" xfId="0" applyNumberFormat="1" applyFont="1" applyBorder="1"/>
    <xf numFmtId="175" fontId="16" fillId="2" borderId="37" xfId="0" applyNumberFormat="1" applyFont="1" applyFill="1" applyBorder="1" applyAlignment="1">
      <alignment horizontal="center"/>
    </xf>
    <xf numFmtId="0" fontId="23" fillId="2" borderId="30" xfId="0" applyFont="1" applyFill="1" applyBorder="1" applyAlignment="1">
      <alignment horizontal="center"/>
    </xf>
    <xf numFmtId="0" fontId="12" fillId="10" borderId="36" xfId="0" applyFont="1" applyFill="1" applyBorder="1" applyAlignment="1">
      <alignment horizontal="center"/>
    </xf>
    <xf numFmtId="168" fontId="21" fillId="0" borderId="33" xfId="0" applyNumberFormat="1" applyFont="1" applyBorder="1" applyAlignment="1">
      <alignment horizontal="center"/>
    </xf>
    <xf numFmtId="0" fontId="30" fillId="0" borderId="33" xfId="0" applyFont="1" applyBorder="1" applyAlignment="1">
      <alignment horizontal="center"/>
    </xf>
    <xf numFmtId="0" fontId="30" fillId="10" borderId="33" xfId="0" applyFont="1" applyFill="1" applyBorder="1" applyAlignment="1">
      <alignment horizontal="center"/>
    </xf>
    <xf numFmtId="2" fontId="21" fillId="0" borderId="33" xfId="0" applyNumberFormat="1" applyFont="1" applyBorder="1" applyAlignment="1">
      <alignment horizontal="center"/>
    </xf>
    <xf numFmtId="1" fontId="21" fillId="0" borderId="33" xfId="0" applyNumberFormat="1" applyFont="1" applyBorder="1" applyAlignment="1">
      <alignment horizontal="center"/>
    </xf>
    <xf numFmtId="1" fontId="31" fillId="13" borderId="33" xfId="0" applyNumberFormat="1" applyFont="1" applyFill="1" applyBorder="1" applyAlignment="1">
      <alignment horizontal="center"/>
    </xf>
    <xf numFmtId="168" fontId="21" fillId="0" borderId="34" xfId="0" applyNumberFormat="1" applyFont="1" applyBorder="1" applyAlignment="1">
      <alignment horizontal="center"/>
    </xf>
    <xf numFmtId="0" fontId="12" fillId="19" borderId="38" xfId="0" applyFont="1" applyFill="1" applyBorder="1" applyAlignment="1">
      <alignment horizontal="center"/>
    </xf>
    <xf numFmtId="4" fontId="14" fillId="0" borderId="32" xfId="0" applyNumberFormat="1" applyFont="1" applyBorder="1" applyAlignment="1">
      <alignment horizontal="center"/>
    </xf>
    <xf numFmtId="4" fontId="14" fillId="0" borderId="34" xfId="0" applyNumberFormat="1" applyFont="1" applyBorder="1" applyAlignment="1">
      <alignment horizontal="center"/>
    </xf>
    <xf numFmtId="4" fontId="11" fillId="13" borderId="35" xfId="0" applyNumberFormat="1" applyFont="1" applyFill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12" fillId="19" borderId="39" xfId="0" applyFont="1" applyFill="1" applyBorder="1" applyAlignment="1">
      <alignment horizontal="center"/>
    </xf>
    <xf numFmtId="4" fontId="12" fillId="0" borderId="32" xfId="0" applyNumberFormat="1" applyFont="1" applyBorder="1" applyAlignment="1">
      <alignment horizontal="center"/>
    </xf>
    <xf numFmtId="4" fontId="12" fillId="0" borderId="34" xfId="0" applyNumberFormat="1" applyFont="1" applyBorder="1" applyAlignment="1">
      <alignment horizontal="center"/>
    </xf>
    <xf numFmtId="4" fontId="12" fillId="0" borderId="33" xfId="0" applyNumberFormat="1" applyFont="1" applyBorder="1" applyAlignment="1">
      <alignment horizontal="center"/>
    </xf>
    <xf numFmtId="164" fontId="41" fillId="15" borderId="33" xfId="0" applyNumberFormat="1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4" fontId="4" fillId="2" borderId="36" xfId="0" applyNumberFormat="1" applyFont="1" applyFill="1" applyBorder="1" applyAlignment="1">
      <alignment horizontal="center"/>
    </xf>
    <xf numFmtId="164" fontId="41" fillId="15" borderId="34" xfId="0" applyNumberFormat="1" applyFont="1" applyFill="1" applyBorder="1" applyAlignment="1">
      <alignment horizontal="center"/>
    </xf>
    <xf numFmtId="4" fontId="27" fillId="0" borderId="32" xfId="0" applyNumberFormat="1" applyFont="1" applyBorder="1" applyAlignment="1">
      <alignment horizontal="center"/>
    </xf>
    <xf numFmtId="4" fontId="17" fillId="19" borderId="39" xfId="0" applyNumberFormat="1" applyFont="1" applyFill="1" applyBorder="1" applyAlignment="1">
      <alignment horizontal="center"/>
    </xf>
    <xf numFmtId="4" fontId="17" fillId="0" borderId="32" xfId="0" applyNumberFormat="1" applyFont="1" applyBorder="1" applyAlignment="1">
      <alignment horizontal="center"/>
    </xf>
    <xf numFmtId="0" fontId="17" fillId="0" borderId="33" xfId="0" applyFont="1" applyBorder="1" applyAlignment="1">
      <alignment horizontal="center"/>
    </xf>
    <xf numFmtId="166" fontId="24" fillId="16" borderId="33" xfId="0" applyNumberFormat="1" applyFont="1" applyFill="1" applyBorder="1" applyAlignment="1">
      <alignment horizontal="center"/>
    </xf>
    <xf numFmtId="4" fontId="24" fillId="9" borderId="34" xfId="0" applyNumberFormat="1" applyFont="1" applyFill="1" applyBorder="1" applyAlignment="1">
      <alignment horizontal="center"/>
    </xf>
    <xf numFmtId="167" fontId="27" fillId="0" borderId="32" xfId="0" applyNumberFormat="1" applyFont="1" applyBorder="1" applyAlignment="1">
      <alignment horizontal="center"/>
    </xf>
    <xf numFmtId="167" fontId="27" fillId="0" borderId="33" xfId="0" applyNumberFormat="1" applyFont="1" applyBorder="1" applyAlignment="1">
      <alignment horizontal="center"/>
    </xf>
    <xf numFmtId="167" fontId="17" fillId="0" borderId="34" xfId="0" applyNumberFormat="1" applyFont="1" applyBorder="1" applyAlignment="1">
      <alignment horizontal="center"/>
    </xf>
    <xf numFmtId="167" fontId="24" fillId="13" borderId="35" xfId="0" applyNumberFormat="1" applyFont="1" applyFill="1" applyBorder="1" applyAlignment="1">
      <alignment horizontal="center"/>
    </xf>
    <xf numFmtId="167" fontId="17" fillId="0" borderId="33" xfId="0" applyNumberFormat="1" applyFont="1" applyBorder="1" applyAlignment="1">
      <alignment horizontal="center"/>
    </xf>
    <xf numFmtId="167" fontId="17" fillId="19" borderId="39" xfId="0" applyNumberFormat="1" applyFont="1" applyFill="1" applyBorder="1" applyAlignment="1">
      <alignment horizontal="center"/>
    </xf>
    <xf numFmtId="167" fontId="27" fillId="0" borderId="34" xfId="0" applyNumberFormat="1" applyFont="1" applyBorder="1" applyAlignment="1">
      <alignment horizontal="center"/>
    </xf>
    <xf numFmtId="167" fontId="16" fillId="2" borderId="37" xfId="0" applyNumberFormat="1" applyFont="1" applyFill="1" applyBorder="1" applyAlignment="1">
      <alignment horizontal="center"/>
    </xf>
    <xf numFmtId="0" fontId="1" fillId="7" borderId="30" xfId="0" applyFont="1" applyFill="1" applyBorder="1" applyAlignment="1">
      <alignment horizontal="center"/>
    </xf>
    <xf numFmtId="4" fontId="10" fillId="0" borderId="30" xfId="0" applyNumberFormat="1" applyFont="1" applyBorder="1"/>
    <xf numFmtId="4" fontId="0" fillId="0" borderId="30" xfId="0" applyNumberFormat="1" applyBorder="1"/>
    <xf numFmtId="4" fontId="1" fillId="0" borderId="30" xfId="0" applyNumberFormat="1" applyFont="1" applyBorder="1"/>
    <xf numFmtId="0" fontId="0" fillId="0" borderId="30" xfId="0" applyBorder="1"/>
    <xf numFmtId="4" fontId="1" fillId="5" borderId="30" xfId="0" applyNumberFormat="1" applyFont="1" applyFill="1" applyBorder="1"/>
    <xf numFmtId="171" fontId="1" fillId="7" borderId="23" xfId="0" applyNumberFormat="1" applyFont="1" applyFill="1" applyBorder="1"/>
    <xf numFmtId="0" fontId="4" fillId="2" borderId="8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10/relationships/person" Target="persons/pers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10/relationships/person" Target="persons/person3.xml"/><Relationship Id="rId2" Type="http://schemas.openxmlformats.org/officeDocument/2006/relationships/worksheet" Target="worksheets/sheet2.xml"/><Relationship Id="rId16" Type="http://schemas.microsoft.com/office/2017/10/relationships/person" Target="persons/person0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microsoft.com/office/2017/10/relationships/person" Target="persons/pers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5315417-9CC1-43EE-8A3F-714F71A2BB4F}">
  <we:reference id="wa200009404" version="1.0.0.5" store="en-US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6A29B-B36C-4010-A0A0-A4D6870E14F1}">
  <sheetPr>
    <tabColor rgb="FF5B9BD5"/>
  </sheetPr>
  <dimension ref="A1:B48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2" width="46.33203125" customWidth="1"/>
    <col min="3" max="3" width="101.88671875" customWidth="1"/>
  </cols>
  <sheetData>
    <row r="1" spans="1:2" ht="21" x14ac:dyDescent="0.4">
      <c r="A1" s="33" t="s">
        <v>33</v>
      </c>
    </row>
    <row r="3" spans="1:2" x14ac:dyDescent="0.3">
      <c r="A3" s="25" t="s">
        <v>34</v>
      </c>
      <c r="B3" s="26" t="s">
        <v>35</v>
      </c>
    </row>
    <row r="4" spans="1:2" x14ac:dyDescent="0.3">
      <c r="A4" s="38" t="s">
        <v>36</v>
      </c>
      <c r="B4" s="39">
        <v>165</v>
      </c>
    </row>
    <row r="5" spans="1:2" x14ac:dyDescent="0.3">
      <c r="A5" s="40" t="s">
        <v>37</v>
      </c>
      <c r="B5" s="41">
        <v>300</v>
      </c>
    </row>
    <row r="6" spans="1:2" x14ac:dyDescent="0.3">
      <c r="A6" s="42" t="s">
        <v>38</v>
      </c>
      <c r="B6" s="43">
        <v>420</v>
      </c>
    </row>
    <row r="7" spans="1:2" x14ac:dyDescent="0.3">
      <c r="A7" s="40" t="s">
        <v>39</v>
      </c>
      <c r="B7" s="44">
        <v>525</v>
      </c>
    </row>
    <row r="8" spans="1:2" x14ac:dyDescent="0.3">
      <c r="A8" s="42" t="s">
        <v>40</v>
      </c>
      <c r="B8" s="45">
        <v>577.5</v>
      </c>
    </row>
    <row r="9" spans="1:2" x14ac:dyDescent="0.3">
      <c r="A9" s="40" t="s">
        <v>248</v>
      </c>
      <c r="B9" s="44">
        <v>635</v>
      </c>
    </row>
    <row r="10" spans="1:2" x14ac:dyDescent="0.3">
      <c r="A10" s="42" t="s">
        <v>249</v>
      </c>
      <c r="B10" s="45">
        <v>698.5</v>
      </c>
    </row>
    <row r="11" spans="1:2" x14ac:dyDescent="0.3">
      <c r="A11" s="40" t="s">
        <v>250</v>
      </c>
      <c r="B11" s="44">
        <v>782.3</v>
      </c>
    </row>
    <row r="12" spans="1:2" x14ac:dyDescent="0.3">
      <c r="A12" s="42" t="s">
        <v>251</v>
      </c>
      <c r="B12" s="45">
        <v>899.6</v>
      </c>
    </row>
    <row r="13" spans="1:2" x14ac:dyDescent="0.3">
      <c r="A13" s="46" t="s">
        <v>252</v>
      </c>
      <c r="B13" s="47">
        <v>989.6</v>
      </c>
    </row>
    <row r="15" spans="1:2" x14ac:dyDescent="0.3">
      <c r="A15" s="28" t="s">
        <v>41</v>
      </c>
    </row>
    <row r="16" spans="1:2" x14ac:dyDescent="0.3">
      <c r="A16" s="28" t="s">
        <v>42</v>
      </c>
    </row>
    <row r="17" spans="1:2" x14ac:dyDescent="0.3">
      <c r="A17" s="28" t="s">
        <v>43</v>
      </c>
    </row>
    <row r="18" spans="1:2" x14ac:dyDescent="0.3">
      <c r="A18" s="28" t="s">
        <v>44</v>
      </c>
    </row>
    <row r="20" spans="1:2" x14ac:dyDescent="0.3">
      <c r="A20" s="25" t="s">
        <v>45</v>
      </c>
      <c r="B20" s="12"/>
    </row>
    <row r="21" spans="1:2" x14ac:dyDescent="0.3">
      <c r="A21" s="28" t="s">
        <v>46</v>
      </c>
      <c r="B21" s="29" t="s">
        <v>278</v>
      </c>
    </row>
    <row r="22" spans="1:2" x14ac:dyDescent="0.3">
      <c r="A22" s="28" t="s">
        <v>47</v>
      </c>
      <c r="B22" s="29" t="s">
        <v>276</v>
      </c>
    </row>
    <row r="23" spans="1:2" x14ac:dyDescent="0.3">
      <c r="A23" s="28" t="s">
        <v>48</v>
      </c>
      <c r="B23" s="29" t="s">
        <v>247</v>
      </c>
    </row>
    <row r="24" spans="1:2" x14ac:dyDescent="0.3">
      <c r="A24" s="28" t="s">
        <v>49</v>
      </c>
      <c r="B24" s="29" t="s">
        <v>279</v>
      </c>
    </row>
    <row r="26" spans="1:2" x14ac:dyDescent="0.3">
      <c r="A26" s="25" t="s">
        <v>50</v>
      </c>
      <c r="B26" s="12"/>
    </row>
    <row r="27" spans="1:2" x14ac:dyDescent="0.3">
      <c r="A27" s="28" t="s">
        <v>51</v>
      </c>
      <c r="B27" s="29" t="s">
        <v>253</v>
      </c>
    </row>
    <row r="28" spans="1:2" x14ac:dyDescent="0.3">
      <c r="A28" s="28" t="s">
        <v>25</v>
      </c>
      <c r="B28" s="29" t="s">
        <v>277</v>
      </c>
    </row>
    <row r="29" spans="1:2" x14ac:dyDescent="0.3">
      <c r="A29" s="28" t="s">
        <v>52</v>
      </c>
      <c r="B29" s="29" t="s">
        <v>254</v>
      </c>
    </row>
    <row r="30" spans="1:2" x14ac:dyDescent="0.3">
      <c r="A30" s="28" t="s">
        <v>53</v>
      </c>
      <c r="B30" s="30">
        <v>0.254</v>
      </c>
    </row>
    <row r="32" spans="1:2" x14ac:dyDescent="0.3">
      <c r="A32" s="25" t="s">
        <v>54</v>
      </c>
      <c r="B32" s="12"/>
    </row>
    <row r="33" spans="1:2" x14ac:dyDescent="0.3">
      <c r="A33" s="28" t="s">
        <v>55</v>
      </c>
      <c r="B33" s="29" t="s">
        <v>255</v>
      </c>
    </row>
    <row r="34" spans="1:2" x14ac:dyDescent="0.3">
      <c r="A34" s="28" t="s">
        <v>56</v>
      </c>
      <c r="B34" s="29" t="s">
        <v>256</v>
      </c>
    </row>
    <row r="36" spans="1:2" x14ac:dyDescent="0.3">
      <c r="A36" s="34" t="s">
        <v>57</v>
      </c>
      <c r="B36" s="29" t="s">
        <v>58</v>
      </c>
    </row>
    <row r="37" spans="1:2" x14ac:dyDescent="0.3">
      <c r="A37" s="34" t="s">
        <v>59</v>
      </c>
      <c r="B37" s="30">
        <v>0.5716</v>
      </c>
    </row>
    <row r="39" spans="1:2" x14ac:dyDescent="0.3">
      <c r="A39" s="31" t="s">
        <v>60</v>
      </c>
      <c r="B39" s="35"/>
    </row>
    <row r="40" spans="1:2" x14ac:dyDescent="0.3">
      <c r="A40" s="36" t="s">
        <v>61</v>
      </c>
      <c r="B40" s="37"/>
    </row>
    <row r="41" spans="1:2" x14ac:dyDescent="0.3">
      <c r="A41" s="34" t="s">
        <v>62</v>
      </c>
    </row>
    <row r="42" spans="1:2" x14ac:dyDescent="0.3">
      <c r="A42" s="36" t="s">
        <v>63</v>
      </c>
      <c r="B42" s="37"/>
    </row>
    <row r="43" spans="1:2" x14ac:dyDescent="0.3">
      <c r="A43" s="34" t="s">
        <v>64</v>
      </c>
    </row>
    <row r="44" spans="1:2" x14ac:dyDescent="0.3">
      <c r="A44" s="36" t="s">
        <v>65</v>
      </c>
      <c r="B44" s="37"/>
    </row>
    <row r="45" spans="1:2" x14ac:dyDescent="0.3">
      <c r="A45" s="34" t="s">
        <v>66</v>
      </c>
    </row>
    <row r="46" spans="1:2" x14ac:dyDescent="0.3">
      <c r="A46" s="36" t="s">
        <v>67</v>
      </c>
      <c r="B46" s="37"/>
    </row>
    <row r="47" spans="1:2" x14ac:dyDescent="0.3">
      <c r="A47" s="34" t="s">
        <v>68</v>
      </c>
    </row>
    <row r="48" spans="1:2" x14ac:dyDescent="0.3">
      <c r="A48" s="36" t="s">
        <v>69</v>
      </c>
      <c r="B48" s="37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1548-06EE-46BA-B603-4A028A43C65C}">
  <sheetPr>
    <tabColor rgb="FFFFC000"/>
  </sheetPr>
  <dimension ref="A1:H72"/>
  <sheetViews>
    <sheetView tabSelected="1" workbookViewId="0">
      <pane ySplit="2" topLeftCell="A44" activePane="bottomLeft" state="frozen"/>
      <selection pane="bottomLeft" activeCell="B57" sqref="B57"/>
    </sheetView>
  </sheetViews>
  <sheetFormatPr defaultRowHeight="14.4" x14ac:dyDescent="0.3"/>
  <cols>
    <col min="1" max="1" width="51.88671875" customWidth="1"/>
    <col min="2" max="7" width="20.33203125" customWidth="1"/>
    <col min="8" max="8" width="46.33203125" customWidth="1"/>
  </cols>
  <sheetData>
    <row r="1" spans="1:8" ht="28.05" customHeight="1" x14ac:dyDescent="0.4">
      <c r="A1" s="117" t="s">
        <v>171</v>
      </c>
    </row>
    <row r="2" spans="1:8" ht="7.95" customHeight="1" x14ac:dyDescent="0.3"/>
    <row r="3" spans="1:8" ht="15" thickBot="1" x14ac:dyDescent="0.35">
      <c r="A3" s="12" t="s">
        <v>172</v>
      </c>
      <c r="B3" s="12"/>
      <c r="C3" s="12"/>
      <c r="D3" s="12"/>
      <c r="E3" s="12"/>
      <c r="F3" s="12"/>
      <c r="G3" s="12"/>
      <c r="H3" s="12"/>
    </row>
    <row r="4" spans="1:8" x14ac:dyDescent="0.3">
      <c r="A4" s="181" t="s">
        <v>173</v>
      </c>
      <c r="B4" s="182" t="s">
        <v>174</v>
      </c>
      <c r="C4" s="182" t="s">
        <v>175</v>
      </c>
      <c r="D4" s="182" t="s">
        <v>176</v>
      </c>
      <c r="E4" s="182" t="s">
        <v>177</v>
      </c>
      <c r="F4" s="182" t="s">
        <v>178</v>
      </c>
      <c r="G4" s="182" t="s">
        <v>179</v>
      </c>
      <c r="H4" s="183" t="s">
        <v>180</v>
      </c>
    </row>
    <row r="5" spans="1:8" x14ac:dyDescent="0.3">
      <c r="A5" s="160" t="s">
        <v>181</v>
      </c>
      <c r="B5" s="161">
        <v>8600</v>
      </c>
      <c r="C5" s="161">
        <v>7768</v>
      </c>
      <c r="D5" s="162">
        <v>24.3</v>
      </c>
      <c r="E5" s="163">
        <v>5.23</v>
      </c>
      <c r="F5" s="162">
        <v>17.7</v>
      </c>
      <c r="G5" s="163">
        <v>4.0199999999999996</v>
      </c>
      <c r="H5" s="164" t="s">
        <v>182</v>
      </c>
    </row>
    <row r="6" spans="1:8" x14ac:dyDescent="0.3">
      <c r="A6" s="165" t="s">
        <v>183</v>
      </c>
      <c r="B6" s="166">
        <v>8781</v>
      </c>
      <c r="C6" s="166">
        <v>8926</v>
      </c>
      <c r="D6" s="167">
        <v>32.9</v>
      </c>
      <c r="E6" s="168">
        <v>6.53</v>
      </c>
      <c r="F6" s="167">
        <v>20.2</v>
      </c>
      <c r="G6" s="168">
        <v>4.43</v>
      </c>
      <c r="H6" s="169" t="s">
        <v>184</v>
      </c>
    </row>
    <row r="7" spans="1:8" x14ac:dyDescent="0.3">
      <c r="A7" s="160" t="s">
        <v>185</v>
      </c>
      <c r="B7" s="161">
        <v>2638</v>
      </c>
      <c r="C7" s="161">
        <v>2876</v>
      </c>
      <c r="D7" s="162">
        <v>20.100000000000001</v>
      </c>
      <c r="E7" s="163">
        <v>1.21</v>
      </c>
      <c r="F7" s="162">
        <v>12.1</v>
      </c>
      <c r="G7" s="163">
        <v>1.51</v>
      </c>
      <c r="H7" s="164" t="s">
        <v>186</v>
      </c>
    </row>
    <row r="8" spans="1:8" x14ac:dyDescent="0.3">
      <c r="A8" s="165" t="s">
        <v>269</v>
      </c>
      <c r="B8" s="166">
        <v>4574</v>
      </c>
      <c r="C8" s="166">
        <v>4574</v>
      </c>
      <c r="D8" s="167">
        <v>24.7</v>
      </c>
      <c r="E8" s="168">
        <v>10.9</v>
      </c>
      <c r="F8" s="167">
        <v>17.899999999999999</v>
      </c>
      <c r="G8" s="168">
        <v>7.34</v>
      </c>
      <c r="H8" s="169" t="s">
        <v>270</v>
      </c>
    </row>
    <row r="9" spans="1:8" x14ac:dyDescent="0.3">
      <c r="A9" s="160" t="s">
        <v>271</v>
      </c>
      <c r="B9" s="161">
        <v>1380</v>
      </c>
      <c r="C9" s="161">
        <v>1585</v>
      </c>
      <c r="D9" s="162">
        <v>15.4</v>
      </c>
      <c r="E9" s="163">
        <v>4.24</v>
      </c>
      <c r="F9" s="162">
        <v>10.5</v>
      </c>
      <c r="G9" s="163">
        <v>2.59</v>
      </c>
      <c r="H9" s="164" t="s">
        <v>272</v>
      </c>
    </row>
    <row r="10" spans="1:8" x14ac:dyDescent="0.3">
      <c r="A10" s="165" t="s">
        <v>282</v>
      </c>
      <c r="B10" s="166">
        <v>2372</v>
      </c>
      <c r="C10" s="166">
        <v>2375</v>
      </c>
      <c r="D10" s="167">
        <v>72.400000000000006</v>
      </c>
      <c r="E10" s="168">
        <v>17</v>
      </c>
      <c r="F10" s="167">
        <v>69.2</v>
      </c>
      <c r="G10" s="168">
        <v>14.14</v>
      </c>
      <c r="H10" s="169" t="s">
        <v>283</v>
      </c>
    </row>
    <row r="11" spans="1:8" x14ac:dyDescent="0.3">
      <c r="A11" s="160" t="s">
        <v>284</v>
      </c>
      <c r="B11" s="161">
        <v>8038</v>
      </c>
      <c r="C11" s="161">
        <v>7971</v>
      </c>
      <c r="D11" s="162">
        <v>51.5</v>
      </c>
      <c r="E11" s="163">
        <v>10.199999999999999</v>
      </c>
      <c r="F11" s="162">
        <v>28.5</v>
      </c>
      <c r="G11" s="163">
        <v>6.41</v>
      </c>
      <c r="H11" s="164" t="s">
        <v>285</v>
      </c>
    </row>
    <row r="12" spans="1:8" x14ac:dyDescent="0.3">
      <c r="A12" s="170" t="s">
        <v>273</v>
      </c>
      <c r="B12" s="171"/>
      <c r="C12" s="171"/>
      <c r="D12" s="172">
        <f>MAX(D5:D11)</f>
        <v>72.400000000000006</v>
      </c>
      <c r="E12" s="173">
        <f>MAX(E5:E11)</f>
        <v>17</v>
      </c>
      <c r="F12" s="172">
        <f>MAX(F5:F11)</f>
        <v>69.2</v>
      </c>
      <c r="G12" s="173">
        <f>MAX(G5:G11)</f>
        <v>14.14</v>
      </c>
      <c r="H12" s="174"/>
    </row>
    <row r="13" spans="1:8" x14ac:dyDescent="0.3">
      <c r="A13" s="170" t="s">
        <v>274</v>
      </c>
      <c r="B13" s="171"/>
      <c r="C13" s="171"/>
      <c r="D13" s="172">
        <f>QUARTILE(D5:D11,3)</f>
        <v>42.2</v>
      </c>
      <c r="E13" s="173">
        <f>QUARTILE(E5:E11,3)</f>
        <v>10.55</v>
      </c>
      <c r="F13" s="172">
        <f>QUARTILE(F5:F11,3)</f>
        <v>24.35</v>
      </c>
      <c r="G13" s="173">
        <f>QUARTILE(G5:G11,3)</f>
        <v>6.875</v>
      </c>
      <c r="H13" s="174"/>
    </row>
    <row r="14" spans="1:8" x14ac:dyDescent="0.3">
      <c r="A14" s="170" t="s">
        <v>275</v>
      </c>
      <c r="B14" s="171"/>
      <c r="C14" s="171"/>
      <c r="D14" s="172">
        <f>QUARTILE(D5:D11,1)</f>
        <v>22.200000000000003</v>
      </c>
      <c r="E14" s="173">
        <f>QUARTILE(E5:E11,1)</f>
        <v>4.7350000000000003</v>
      </c>
      <c r="F14" s="172">
        <f>QUARTILE(F5:F11,1)</f>
        <v>14.899999999999999</v>
      </c>
      <c r="G14" s="173">
        <f>QUARTILE(G5:G11,1)</f>
        <v>3.3049999999999997</v>
      </c>
      <c r="H14" s="174"/>
    </row>
    <row r="15" spans="1:8" x14ac:dyDescent="0.3">
      <c r="A15" s="170" t="s">
        <v>187</v>
      </c>
      <c r="B15" s="175"/>
      <c r="C15" s="175"/>
      <c r="D15" s="172">
        <f>AVERAGE(D5:D11)</f>
        <v>34.471428571428575</v>
      </c>
      <c r="E15" s="173">
        <f>AVERAGE(E5:E11)</f>
        <v>7.9014285714285721</v>
      </c>
      <c r="F15" s="172">
        <f>AVERAGE(F5:F11)</f>
        <v>25.157142857142862</v>
      </c>
      <c r="G15" s="173">
        <f>AVERAGE(G5:G11)</f>
        <v>5.7771428571428567</v>
      </c>
      <c r="H15" s="174"/>
    </row>
    <row r="16" spans="1:8" ht="15" thickBot="1" x14ac:dyDescent="0.35">
      <c r="A16" s="176" t="s">
        <v>188</v>
      </c>
      <c r="B16" s="177"/>
      <c r="C16" s="177"/>
      <c r="D16" s="178">
        <f>MEDIAN(D5:D11)</f>
        <v>24.7</v>
      </c>
      <c r="E16" s="179">
        <f>MEDIAN(E5:E11)</f>
        <v>6.53</v>
      </c>
      <c r="F16" s="178">
        <f>MEDIAN(F5:F11)</f>
        <v>17.899999999999999</v>
      </c>
      <c r="G16" s="179">
        <f>MEDIAN(G5:G11)</f>
        <v>4.43</v>
      </c>
      <c r="H16" s="180"/>
    </row>
    <row r="18" spans="1:8" x14ac:dyDescent="0.3">
      <c r="A18" s="12" t="s">
        <v>189</v>
      </c>
      <c r="B18" s="12"/>
      <c r="C18" s="12"/>
      <c r="D18" s="12"/>
      <c r="E18" s="12"/>
      <c r="F18" s="12"/>
      <c r="G18" s="12"/>
      <c r="H18" s="12"/>
    </row>
    <row r="19" spans="1:8" x14ac:dyDescent="0.3">
      <c r="A19" s="144" t="s">
        <v>190</v>
      </c>
      <c r="B19" s="145" t="s">
        <v>191</v>
      </c>
      <c r="C19" s="145" t="s">
        <v>192</v>
      </c>
      <c r="D19" s="144" t="s">
        <v>193</v>
      </c>
      <c r="E19" s="144"/>
      <c r="F19" s="144"/>
      <c r="G19" s="144"/>
      <c r="H19" s="144"/>
    </row>
    <row r="20" spans="1:8" x14ac:dyDescent="0.3">
      <c r="A20" t="s">
        <v>194</v>
      </c>
      <c r="B20" s="23">
        <f>'Income Statement'!F6</f>
        <v>148.35</v>
      </c>
      <c r="C20" s="23">
        <f>'Income Statement'!G6</f>
        <v>165</v>
      </c>
      <c r="D20" t="s">
        <v>195</v>
      </c>
    </row>
    <row r="21" spans="1:8" x14ac:dyDescent="0.3">
      <c r="A21" t="s">
        <v>196</v>
      </c>
      <c r="B21" s="23">
        <f>'Income Statement'!F18</f>
        <v>29.070000000000007</v>
      </c>
      <c r="C21" s="23">
        <f>'Income Statement'!G18</f>
        <v>28.724999999999994</v>
      </c>
      <c r="D21" t="s">
        <v>195</v>
      </c>
    </row>
    <row r="22" spans="1:8" x14ac:dyDescent="0.3">
      <c r="A22" t="s">
        <v>197</v>
      </c>
      <c r="B22" s="23">
        <f>'Income Statement'!F27</f>
        <v>20.100000000000009</v>
      </c>
      <c r="C22" s="23">
        <f>'Income Statement'!G27</f>
        <v>18.817849999999996</v>
      </c>
      <c r="D22" t="s">
        <v>195</v>
      </c>
    </row>
    <row r="23" spans="1:8" x14ac:dyDescent="0.3">
      <c r="A23" t="s">
        <v>198</v>
      </c>
      <c r="B23" s="23">
        <f>'Balance Sheet'!F8</f>
        <v>92.5</v>
      </c>
      <c r="C23" s="23">
        <f>'Balance Sheet'!G8</f>
        <v>111.82785</v>
      </c>
      <c r="D23" t="s">
        <v>199</v>
      </c>
    </row>
    <row r="24" spans="1:8" x14ac:dyDescent="0.3">
      <c r="A24" t="s">
        <v>200</v>
      </c>
      <c r="B24" s="23">
        <f>'Balance Sheet'!F12</f>
        <v>24.53</v>
      </c>
      <c r="C24" s="23">
        <f>'Balance Sheet'!G12</f>
        <v>40</v>
      </c>
      <c r="D24" t="s">
        <v>199</v>
      </c>
    </row>
    <row r="25" spans="1:8" x14ac:dyDescent="0.3">
      <c r="A25" t="s">
        <v>201</v>
      </c>
      <c r="B25" s="23">
        <f>'Balance Sheet'!F23</f>
        <v>8</v>
      </c>
      <c r="C25" s="23">
        <f>'Balance Sheet'!G23</f>
        <v>5.3278500000000122</v>
      </c>
      <c r="D25" t="s">
        <v>199</v>
      </c>
    </row>
    <row r="26" spans="1:8" x14ac:dyDescent="0.3">
      <c r="A26" s="2" t="s">
        <v>202</v>
      </c>
      <c r="B26" s="13">
        <f>B24-B25</f>
        <v>16.53</v>
      </c>
      <c r="C26" s="13">
        <f>C24-C25</f>
        <v>34.672149999999988</v>
      </c>
      <c r="D26" t="s">
        <v>203</v>
      </c>
    </row>
    <row r="27" spans="1:8" x14ac:dyDescent="0.3">
      <c r="A27" s="2" t="s">
        <v>143</v>
      </c>
      <c r="B27" s="24">
        <f>'DCF Valuation'!B19</f>
        <v>2.4990000000000001</v>
      </c>
      <c r="C27" s="24">
        <f>'DCF Valuation'!B19</f>
        <v>2.4990000000000001</v>
      </c>
      <c r="D27" t="s">
        <v>204</v>
      </c>
    </row>
    <row r="29" spans="1:8" x14ac:dyDescent="0.3">
      <c r="A29" s="12" t="s">
        <v>205</v>
      </c>
      <c r="B29" s="12"/>
      <c r="C29" s="12"/>
      <c r="D29" s="12"/>
      <c r="E29" s="12"/>
      <c r="F29" s="12"/>
      <c r="G29" s="12"/>
      <c r="H29" s="12"/>
    </row>
    <row r="30" spans="1:8" x14ac:dyDescent="0.3">
      <c r="A30" s="144" t="s">
        <v>206</v>
      </c>
      <c r="B30" s="145" t="s">
        <v>207</v>
      </c>
      <c r="C30" s="145" t="s">
        <v>208</v>
      </c>
      <c r="D30" s="145" t="s">
        <v>209</v>
      </c>
      <c r="E30" s="145" t="s">
        <v>210</v>
      </c>
      <c r="F30" s="145" t="s">
        <v>211</v>
      </c>
      <c r="G30" s="145" t="s">
        <v>212</v>
      </c>
      <c r="H30" s="144"/>
    </row>
    <row r="31" spans="1:8" x14ac:dyDescent="0.3">
      <c r="A31" t="s">
        <v>213</v>
      </c>
      <c r="B31" s="154">
        <f>D16</f>
        <v>24.7</v>
      </c>
      <c r="C31" s="155">
        <f>B22</f>
        <v>20.100000000000009</v>
      </c>
      <c r="D31" s="155">
        <f>B31*C31</f>
        <v>496.4700000000002</v>
      </c>
      <c r="E31" s="155">
        <f>D31</f>
        <v>496.4700000000002</v>
      </c>
      <c r="F31" s="14">
        <f>E31/B27</f>
        <v>198.66746698679478</v>
      </c>
      <c r="G31" t="s">
        <v>214</v>
      </c>
    </row>
    <row r="32" spans="1:8" x14ac:dyDescent="0.3">
      <c r="A32" t="s">
        <v>215</v>
      </c>
      <c r="B32" s="156">
        <f>E16</f>
        <v>6.53</v>
      </c>
      <c r="C32" s="155">
        <f>B23</f>
        <v>92.5</v>
      </c>
      <c r="D32" s="155">
        <f>B32*C32</f>
        <v>604.02499999999998</v>
      </c>
      <c r="E32" s="155">
        <f>D32</f>
        <v>604.02499999999998</v>
      </c>
      <c r="F32" s="14">
        <f>E32/B27</f>
        <v>241.7066826730692</v>
      </c>
      <c r="G32" t="s">
        <v>216</v>
      </c>
    </row>
    <row r="33" spans="1:8" x14ac:dyDescent="0.3">
      <c r="A33" t="s">
        <v>217</v>
      </c>
      <c r="B33" s="154">
        <f>F16</f>
        <v>17.899999999999999</v>
      </c>
      <c r="C33" s="155">
        <f>B21</f>
        <v>29.070000000000007</v>
      </c>
      <c r="D33" s="155">
        <f>B33*C33</f>
        <v>520.35300000000007</v>
      </c>
      <c r="E33" s="155">
        <f>D33-B26</f>
        <v>503.82300000000009</v>
      </c>
      <c r="F33" s="14">
        <f>E33/B27</f>
        <v>201.60984393757505</v>
      </c>
      <c r="G33" t="s">
        <v>218</v>
      </c>
    </row>
    <row r="34" spans="1:8" x14ac:dyDescent="0.3">
      <c r="A34" t="s">
        <v>219</v>
      </c>
      <c r="B34" s="156">
        <f>G16</f>
        <v>4.43</v>
      </c>
      <c r="C34" s="155">
        <f>B20</f>
        <v>148.35</v>
      </c>
      <c r="D34" s="155">
        <f>B34*C34</f>
        <v>657.19049999999993</v>
      </c>
      <c r="E34" s="155">
        <f>D34-B26</f>
        <v>640.66049999999996</v>
      </c>
      <c r="F34" s="14">
        <f>E34/B27</f>
        <v>256.36674669867944</v>
      </c>
      <c r="G34" t="s">
        <v>220</v>
      </c>
    </row>
    <row r="36" spans="1:8" x14ac:dyDescent="0.3">
      <c r="A36" s="146" t="s">
        <v>221</v>
      </c>
      <c r="B36" s="147" t="s">
        <v>207</v>
      </c>
      <c r="C36" s="147" t="s">
        <v>222</v>
      </c>
      <c r="D36" s="147" t="s">
        <v>209</v>
      </c>
      <c r="E36" s="147" t="s">
        <v>210</v>
      </c>
      <c r="F36" s="147" t="s">
        <v>211</v>
      </c>
      <c r="G36" s="147" t="s">
        <v>212</v>
      </c>
      <c r="H36" s="148"/>
    </row>
    <row r="37" spans="1:8" x14ac:dyDescent="0.3">
      <c r="A37" t="s">
        <v>213</v>
      </c>
      <c r="B37" s="154">
        <f>D16</f>
        <v>24.7</v>
      </c>
      <c r="C37" s="155">
        <f>C22</f>
        <v>18.817849999999996</v>
      </c>
      <c r="D37" s="155">
        <f>B37*C37</f>
        <v>464.80089499999991</v>
      </c>
      <c r="E37" s="155">
        <f>D37</f>
        <v>464.80089499999991</v>
      </c>
      <c r="F37" s="14">
        <f>E37/C27</f>
        <v>185.99475590236091</v>
      </c>
      <c r="G37" t="s">
        <v>214</v>
      </c>
    </row>
    <row r="38" spans="1:8" x14ac:dyDescent="0.3">
      <c r="A38" t="s">
        <v>215</v>
      </c>
      <c r="B38" s="156">
        <f>E16</f>
        <v>6.53</v>
      </c>
      <c r="C38" s="155">
        <f>C23</f>
        <v>111.82785</v>
      </c>
      <c r="D38" s="155">
        <f>B38*C38</f>
        <v>730.23586050000006</v>
      </c>
      <c r="E38" s="155">
        <f>D38</f>
        <v>730.23586050000006</v>
      </c>
      <c r="F38" s="14">
        <f>E38/C27</f>
        <v>292.21122869147661</v>
      </c>
      <c r="G38" t="s">
        <v>216</v>
      </c>
    </row>
    <row r="39" spans="1:8" x14ac:dyDescent="0.3">
      <c r="A39" t="s">
        <v>217</v>
      </c>
      <c r="B39" s="154">
        <f>F16</f>
        <v>17.899999999999999</v>
      </c>
      <c r="C39" s="155">
        <f>C21</f>
        <v>28.724999999999994</v>
      </c>
      <c r="D39" s="155">
        <f>B39*C39</f>
        <v>514.1774999999999</v>
      </c>
      <c r="E39" s="155">
        <f>D39-C26</f>
        <v>479.50534999999991</v>
      </c>
      <c r="F39" s="14">
        <f>E39/C27</f>
        <v>191.87889155662259</v>
      </c>
      <c r="G39" t="s">
        <v>218</v>
      </c>
    </row>
    <row r="40" spans="1:8" x14ac:dyDescent="0.3">
      <c r="A40" t="s">
        <v>219</v>
      </c>
      <c r="B40" s="156">
        <f>G16</f>
        <v>4.43</v>
      </c>
      <c r="C40" s="155">
        <f>C20</f>
        <v>165</v>
      </c>
      <c r="D40" s="155">
        <f>B40*C40</f>
        <v>730.94999999999993</v>
      </c>
      <c r="E40" s="155">
        <f>D40-C26</f>
        <v>696.27784999999994</v>
      </c>
      <c r="F40" s="14">
        <f>E40/C27</f>
        <v>278.62258903561423</v>
      </c>
      <c r="G40" t="s">
        <v>220</v>
      </c>
    </row>
    <row r="42" spans="1:8" x14ac:dyDescent="0.3">
      <c r="A42" s="12" t="s">
        <v>223</v>
      </c>
      <c r="B42" s="12"/>
      <c r="C42" s="12"/>
      <c r="D42" s="12"/>
      <c r="E42" s="12"/>
      <c r="F42" s="12"/>
      <c r="G42" s="12"/>
      <c r="H42" s="12"/>
    </row>
    <row r="43" spans="1:8" x14ac:dyDescent="0.3">
      <c r="A43" s="144" t="s">
        <v>212</v>
      </c>
      <c r="B43" s="145" t="s">
        <v>224</v>
      </c>
      <c r="C43" s="145" t="s">
        <v>225</v>
      </c>
      <c r="D43" s="145" t="s">
        <v>226</v>
      </c>
      <c r="E43" s="144"/>
      <c r="F43" s="144"/>
      <c r="G43" s="144"/>
      <c r="H43" s="144"/>
    </row>
    <row r="44" spans="1:8" x14ac:dyDescent="0.3">
      <c r="A44" t="s">
        <v>227</v>
      </c>
      <c r="B44" s="131">
        <f>F31</f>
        <v>198.66746698679478</v>
      </c>
      <c r="C44" s="131">
        <f>F37</f>
        <v>185.99475590236091</v>
      </c>
      <c r="D44" s="131">
        <f>AVERAGE(B44,C44)</f>
        <v>192.33111144457786</v>
      </c>
    </row>
    <row r="45" spans="1:8" x14ac:dyDescent="0.3">
      <c r="A45" t="s">
        <v>228</v>
      </c>
      <c r="B45" s="131">
        <f>F32</f>
        <v>241.7066826730692</v>
      </c>
      <c r="C45" s="131">
        <f>F38</f>
        <v>292.21122869147661</v>
      </c>
      <c r="D45" s="131">
        <f>AVERAGE(B45,C45)</f>
        <v>266.95895568227292</v>
      </c>
    </row>
    <row r="46" spans="1:8" x14ac:dyDescent="0.3">
      <c r="A46" t="s">
        <v>229</v>
      </c>
      <c r="B46" s="131">
        <f>F33</f>
        <v>201.60984393757505</v>
      </c>
      <c r="C46" s="131">
        <f>F39</f>
        <v>191.87889155662259</v>
      </c>
      <c r="D46" s="131">
        <f>AVERAGE(B46,C46)</f>
        <v>196.74436774709881</v>
      </c>
    </row>
    <row r="47" spans="1:8" x14ac:dyDescent="0.3">
      <c r="A47" t="s">
        <v>230</v>
      </c>
      <c r="B47" s="131">
        <f>F34</f>
        <v>256.36674669867944</v>
      </c>
      <c r="C47" s="131">
        <f>F40</f>
        <v>278.62258903561423</v>
      </c>
      <c r="D47" s="131">
        <f>AVERAGE(B47,C47)</f>
        <v>267.49466786714686</v>
      </c>
    </row>
    <row r="49" spans="1:8" x14ac:dyDescent="0.3">
      <c r="A49" s="119" t="s">
        <v>231</v>
      </c>
      <c r="B49" s="149">
        <f>AVERAGE(B44:B47)</f>
        <v>224.58768507402962</v>
      </c>
      <c r="C49" s="149">
        <f>AVERAGE(C44:C47)</f>
        <v>237.1768662965186</v>
      </c>
      <c r="D49" s="149">
        <f>AVERAGE(D44:D47)</f>
        <v>230.8822756852741</v>
      </c>
    </row>
    <row r="51" spans="1:8" x14ac:dyDescent="0.3">
      <c r="A51" s="12" t="s">
        <v>232</v>
      </c>
      <c r="B51" s="12"/>
      <c r="C51" s="12"/>
      <c r="D51" s="12"/>
      <c r="E51" s="12"/>
      <c r="F51" s="12"/>
      <c r="G51" s="12"/>
      <c r="H51" s="12"/>
    </row>
    <row r="52" spans="1:8" x14ac:dyDescent="0.3">
      <c r="A52" s="144" t="s">
        <v>233</v>
      </c>
      <c r="B52" s="145" t="s">
        <v>234</v>
      </c>
      <c r="C52" s="145" t="s">
        <v>235</v>
      </c>
      <c r="D52" s="144"/>
      <c r="E52" s="144"/>
      <c r="F52" s="144"/>
      <c r="G52" s="144"/>
      <c r="H52" s="144"/>
    </row>
    <row r="53" spans="1:8" x14ac:dyDescent="0.3">
      <c r="A53" t="s">
        <v>236</v>
      </c>
      <c r="B53" s="155">
        <f>'DCF Valuation'!B55</f>
        <v>274.68477145140372</v>
      </c>
      <c r="C53" s="16">
        <v>0.5</v>
      </c>
    </row>
    <row r="54" spans="1:8" x14ac:dyDescent="0.3">
      <c r="A54" t="s">
        <v>237</v>
      </c>
      <c r="B54" s="155">
        <f>B49</f>
        <v>224.58768507402962</v>
      </c>
      <c r="C54" s="16">
        <v>0.25</v>
      </c>
    </row>
    <row r="55" spans="1:8" x14ac:dyDescent="0.3">
      <c r="A55" t="s">
        <v>238</v>
      </c>
      <c r="B55" s="155">
        <f>C49</f>
        <v>237.1768662965186</v>
      </c>
      <c r="C55" s="16">
        <v>0.25</v>
      </c>
    </row>
    <row r="57" spans="1:8" ht="15.6" x14ac:dyDescent="0.3">
      <c r="A57" s="6" t="s">
        <v>239</v>
      </c>
      <c r="B57" s="150">
        <f>SUMPRODUCT(B53:B55,C53:C55)</f>
        <v>252.78352356833892</v>
      </c>
      <c r="C57" s="151">
        <f>SUM(C53:C55)</f>
        <v>1</v>
      </c>
    </row>
    <row r="59" spans="1:8" x14ac:dyDescent="0.3">
      <c r="A59" s="8" t="s">
        <v>240</v>
      </c>
      <c r="B59" s="8"/>
      <c r="C59" s="8"/>
    </row>
    <row r="60" spans="1:8" x14ac:dyDescent="0.3">
      <c r="A60" s="157" t="s">
        <v>241</v>
      </c>
      <c r="B60" s="158">
        <f>B49</f>
        <v>224.58768507402962</v>
      </c>
    </row>
    <row r="61" spans="1:8" x14ac:dyDescent="0.3">
      <c r="A61" s="5" t="s">
        <v>242</v>
      </c>
      <c r="B61" s="15">
        <f>B57</f>
        <v>252.78352356833892</v>
      </c>
    </row>
    <row r="62" spans="1:8" x14ac:dyDescent="0.3">
      <c r="A62" s="157" t="s">
        <v>243</v>
      </c>
      <c r="B62" s="158">
        <f>B53</f>
        <v>274.68477145140372</v>
      </c>
    </row>
    <row r="64" spans="1:8" x14ac:dyDescent="0.3">
      <c r="A64" s="12" t="s">
        <v>244</v>
      </c>
      <c r="B64" s="12"/>
      <c r="C64" s="12"/>
      <c r="D64" s="12"/>
      <c r="E64" s="12"/>
      <c r="F64" s="12"/>
      <c r="G64" s="12"/>
      <c r="H64" s="12"/>
    </row>
    <row r="65" spans="1:8" x14ac:dyDescent="0.3">
      <c r="A65" s="153" t="s">
        <v>264</v>
      </c>
      <c r="B65" s="159"/>
      <c r="C65" s="159"/>
      <c r="D65" s="159"/>
      <c r="E65" s="159"/>
      <c r="F65" s="159"/>
      <c r="G65" s="159"/>
      <c r="H65" s="159"/>
    </row>
    <row r="66" spans="1:8" x14ac:dyDescent="0.3">
      <c r="A66" s="152" t="s">
        <v>265</v>
      </c>
    </row>
    <row r="67" spans="1:8" x14ac:dyDescent="0.3">
      <c r="A67" s="153" t="s">
        <v>280</v>
      </c>
      <c r="B67" s="159"/>
      <c r="C67" s="159"/>
      <c r="D67" s="159"/>
      <c r="E67" s="159"/>
      <c r="F67" s="159"/>
      <c r="G67" s="159"/>
      <c r="H67" s="159"/>
    </row>
    <row r="68" spans="1:8" x14ac:dyDescent="0.3">
      <c r="A68" s="152" t="s">
        <v>281</v>
      </c>
    </row>
    <row r="69" spans="1:8" x14ac:dyDescent="0.3">
      <c r="A69" s="153" t="s">
        <v>286</v>
      </c>
      <c r="B69" s="159"/>
      <c r="C69" s="159"/>
      <c r="D69" s="159"/>
      <c r="E69" s="159"/>
      <c r="F69" s="159"/>
      <c r="G69" s="159"/>
      <c r="H69" s="159"/>
    </row>
    <row r="70" spans="1:8" x14ac:dyDescent="0.3">
      <c r="A70" s="152" t="s">
        <v>266</v>
      </c>
    </row>
    <row r="71" spans="1:8" x14ac:dyDescent="0.3">
      <c r="A71" s="153" t="s">
        <v>267</v>
      </c>
      <c r="B71" s="159"/>
      <c r="C71" s="159"/>
      <c r="D71" s="159"/>
      <c r="E71" s="159"/>
      <c r="F71" s="159"/>
      <c r="G71" s="159"/>
      <c r="H71" s="159"/>
    </row>
    <row r="72" spans="1:8" x14ac:dyDescent="0.3">
      <c r="A72" s="152" t="s">
        <v>268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91649-E8D6-4A3E-A496-7EFBC7ABFCB9}">
  <sheetPr>
    <tabColor rgb="FF1B3A5C"/>
  </sheetPr>
  <dimension ref="A1:P28"/>
  <sheetViews>
    <sheetView workbookViewId="0">
      <pane xSplit="1" topLeftCell="B1" activePane="topRight" state="frozen"/>
      <selection pane="topRight" activeCell="D10" sqref="D10"/>
    </sheetView>
  </sheetViews>
  <sheetFormatPr defaultRowHeight="14.4" x14ac:dyDescent="0.3"/>
  <cols>
    <col min="1" max="1" width="37" customWidth="1"/>
    <col min="2" max="16" width="15.21875" customWidth="1"/>
  </cols>
  <sheetData>
    <row r="1" spans="1:16" ht="30" customHeight="1" x14ac:dyDescent="0.4">
      <c r="A1" s="32" t="s">
        <v>0</v>
      </c>
    </row>
    <row r="2" spans="1:16" ht="18" customHeight="1" x14ac:dyDescent="0.3">
      <c r="A2" s="48" t="s">
        <v>1</v>
      </c>
    </row>
    <row r="3" spans="1:16" ht="7.95" customHeight="1" x14ac:dyDescent="0.3"/>
    <row r="4" spans="1:16" ht="28.05" customHeight="1" thickBot="1" x14ac:dyDescent="0.35">
      <c r="A4" s="58" t="s">
        <v>2</v>
      </c>
      <c r="B4" s="59" t="s">
        <v>3</v>
      </c>
      <c r="C4" s="59" t="s">
        <v>4</v>
      </c>
      <c r="D4" s="59" t="s">
        <v>5</v>
      </c>
      <c r="E4" s="59" t="s">
        <v>6</v>
      </c>
      <c r="F4" s="229" t="s">
        <v>7</v>
      </c>
      <c r="G4" s="60" t="s">
        <v>8</v>
      </c>
      <c r="H4" s="60" t="s">
        <v>9</v>
      </c>
      <c r="I4" s="60" t="s">
        <v>10</v>
      </c>
      <c r="J4" s="60" t="s">
        <v>11</v>
      </c>
      <c r="K4" s="60" t="s">
        <v>12</v>
      </c>
      <c r="L4" s="60" t="s">
        <v>257</v>
      </c>
      <c r="M4" s="60" t="s">
        <v>258</v>
      </c>
      <c r="N4" s="60" t="s">
        <v>259</v>
      </c>
      <c r="O4" s="60" t="s">
        <v>260</v>
      </c>
      <c r="P4" s="60" t="s">
        <v>261</v>
      </c>
    </row>
    <row r="5" spans="1:16" ht="7.95" customHeight="1" x14ac:dyDescent="0.3">
      <c r="A5" s="64"/>
      <c r="B5" s="65"/>
      <c r="C5" s="65"/>
      <c r="D5" s="65"/>
      <c r="E5" s="65"/>
      <c r="F5" s="230"/>
      <c r="G5" s="65"/>
      <c r="H5" s="65"/>
      <c r="I5" s="65"/>
      <c r="J5" s="65"/>
      <c r="K5" s="65"/>
      <c r="L5" s="65"/>
      <c r="M5" s="65"/>
      <c r="N5" s="65"/>
      <c r="O5" s="65"/>
      <c r="P5" s="65"/>
    </row>
    <row r="6" spans="1:16" ht="19.95" customHeight="1" x14ac:dyDescent="0.3">
      <c r="A6" s="49" t="s">
        <v>13</v>
      </c>
      <c r="B6" s="51">
        <v>33.68</v>
      </c>
      <c r="C6" s="51">
        <v>51.86</v>
      </c>
      <c r="D6" s="51">
        <v>75.53</v>
      </c>
      <c r="E6" s="51">
        <v>109.96</v>
      </c>
      <c r="F6" s="231">
        <v>148.35</v>
      </c>
      <c r="G6" s="52">
        <v>165</v>
      </c>
      <c r="H6" s="52">
        <v>300</v>
      </c>
      <c r="I6" s="52">
        <v>420</v>
      </c>
      <c r="J6" s="52">
        <v>525</v>
      </c>
      <c r="K6" s="52">
        <v>577.5</v>
      </c>
      <c r="L6" s="52">
        <v>635</v>
      </c>
      <c r="M6" s="52">
        <v>698.5</v>
      </c>
      <c r="N6" s="52">
        <v>782.3</v>
      </c>
      <c r="O6" s="52">
        <v>899.6</v>
      </c>
      <c r="P6" s="52">
        <v>989.6</v>
      </c>
    </row>
    <row r="7" spans="1:16" ht="19.95" customHeight="1" x14ac:dyDescent="0.3">
      <c r="A7" s="80" t="s">
        <v>14</v>
      </c>
      <c r="B7" s="81"/>
      <c r="C7" s="81">
        <f t="shared" ref="C7:K7" si="0">(C6-B6)/B6</f>
        <v>0.5397862232779097</v>
      </c>
      <c r="D7" s="81">
        <f t="shared" si="0"/>
        <v>0.45642113382182803</v>
      </c>
      <c r="E7" s="81">
        <f t="shared" si="0"/>
        <v>0.45584535945981719</v>
      </c>
      <c r="F7" s="232">
        <f t="shared" si="0"/>
        <v>0.34912695525645693</v>
      </c>
      <c r="G7" s="81">
        <f t="shared" si="0"/>
        <v>0.11223458038422654</v>
      </c>
      <c r="H7" s="81">
        <f t="shared" si="0"/>
        <v>0.81818181818181823</v>
      </c>
      <c r="I7" s="81">
        <f t="shared" si="0"/>
        <v>0.4</v>
      </c>
      <c r="J7" s="81">
        <f t="shared" si="0"/>
        <v>0.25</v>
      </c>
      <c r="K7" s="81">
        <f t="shared" si="0"/>
        <v>0.1</v>
      </c>
      <c r="L7" s="81">
        <f>(L6-K6)/K6</f>
        <v>9.9567099567099568E-2</v>
      </c>
      <c r="M7" s="81">
        <f>(M6-L6)/L6</f>
        <v>0.1</v>
      </c>
      <c r="N7" s="81">
        <f>(N6-M6)/M6</f>
        <v>0.11997136721546164</v>
      </c>
      <c r="O7" s="81">
        <f>(O6-N6)/N6</f>
        <v>0.14994247731049479</v>
      </c>
      <c r="P7" s="81">
        <f>(P6-O6)/O6</f>
        <v>0.10004446420631391</v>
      </c>
    </row>
    <row r="8" spans="1:16" ht="19.95" customHeight="1" x14ac:dyDescent="0.3">
      <c r="A8" s="27" t="s">
        <v>15</v>
      </c>
      <c r="B8" s="69">
        <v>0.18</v>
      </c>
      <c r="C8" s="69">
        <v>0.22</v>
      </c>
      <c r="D8" s="69">
        <v>0.43</v>
      </c>
      <c r="E8" s="69">
        <v>0.75</v>
      </c>
      <c r="F8" s="233">
        <v>1.19</v>
      </c>
      <c r="G8" s="70">
        <v>1.2</v>
      </c>
      <c r="H8" s="70">
        <v>2</v>
      </c>
      <c r="I8" s="70">
        <v>2.5</v>
      </c>
      <c r="J8" s="70">
        <v>3</v>
      </c>
      <c r="K8" s="70">
        <v>3.5</v>
      </c>
      <c r="L8" s="70">
        <v>4</v>
      </c>
      <c r="M8" s="70">
        <v>4.5</v>
      </c>
      <c r="N8" s="70">
        <v>5</v>
      </c>
      <c r="O8" s="70">
        <v>5.5</v>
      </c>
      <c r="P8" s="70">
        <v>6</v>
      </c>
    </row>
    <row r="9" spans="1:16" ht="19.95" customHeight="1" x14ac:dyDescent="0.3">
      <c r="A9" s="71" t="s">
        <v>16</v>
      </c>
      <c r="B9" s="72">
        <f t="shared" ref="B9:K9" si="1">B6+B8</f>
        <v>33.86</v>
      </c>
      <c r="C9" s="72">
        <f t="shared" si="1"/>
        <v>52.08</v>
      </c>
      <c r="D9" s="72">
        <f t="shared" si="1"/>
        <v>75.960000000000008</v>
      </c>
      <c r="E9" s="72">
        <f t="shared" si="1"/>
        <v>110.71</v>
      </c>
      <c r="F9" s="234">
        <f t="shared" si="1"/>
        <v>149.54</v>
      </c>
      <c r="G9" s="72">
        <f t="shared" si="1"/>
        <v>166.2</v>
      </c>
      <c r="H9" s="72">
        <f t="shared" si="1"/>
        <v>302</v>
      </c>
      <c r="I9" s="72">
        <f t="shared" si="1"/>
        <v>422.5</v>
      </c>
      <c r="J9" s="72">
        <f t="shared" si="1"/>
        <v>528</v>
      </c>
      <c r="K9" s="72">
        <f t="shared" si="1"/>
        <v>581</v>
      </c>
      <c r="L9" s="73">
        <f>L6+L8</f>
        <v>639</v>
      </c>
      <c r="M9" s="73">
        <f>M6+M8</f>
        <v>703</v>
      </c>
      <c r="N9" s="73">
        <f>N6+N8</f>
        <v>787.3</v>
      </c>
      <c r="O9" s="73">
        <f>O6+O8</f>
        <v>905.1</v>
      </c>
      <c r="P9" s="73">
        <f>P6+P8</f>
        <v>995.6</v>
      </c>
    </row>
    <row r="10" spans="1:16" ht="7.95" customHeight="1" x14ac:dyDescent="0.3">
      <c r="A10" s="21"/>
      <c r="B10" s="53"/>
      <c r="C10" s="53"/>
      <c r="D10" s="53"/>
      <c r="E10" s="53"/>
      <c r="F10" s="235"/>
      <c r="G10" s="53"/>
      <c r="H10" s="53"/>
      <c r="I10" s="53"/>
      <c r="J10" s="53"/>
      <c r="K10" s="53"/>
      <c r="L10" s="53"/>
      <c r="M10" s="53"/>
      <c r="N10" s="53"/>
      <c r="O10" s="53"/>
      <c r="P10" s="53"/>
    </row>
    <row r="11" spans="1:16" ht="19.95" customHeight="1" x14ac:dyDescent="0.3">
      <c r="A11" s="66" t="s">
        <v>17</v>
      </c>
      <c r="B11" s="67"/>
      <c r="C11" s="67"/>
      <c r="D11" s="67"/>
      <c r="E11" s="67"/>
      <c r="F11" s="236"/>
      <c r="G11" s="67"/>
      <c r="H11" s="67"/>
      <c r="I11" s="67"/>
      <c r="J11" s="67"/>
      <c r="K11" s="67"/>
      <c r="L11" s="67"/>
      <c r="M11" s="67"/>
      <c r="N11" s="67"/>
      <c r="O11" s="67"/>
      <c r="P11" s="67"/>
    </row>
    <row r="12" spans="1:16" ht="19.95" customHeight="1" x14ac:dyDescent="0.3">
      <c r="A12" s="27" t="s">
        <v>18</v>
      </c>
      <c r="B12" s="51">
        <v>22.42</v>
      </c>
      <c r="C12" s="51">
        <v>35.799999999999997</v>
      </c>
      <c r="D12" s="51">
        <v>51.8</v>
      </c>
      <c r="E12" s="51">
        <v>73.5</v>
      </c>
      <c r="F12" s="231">
        <v>100.88</v>
      </c>
      <c r="G12" s="54">
        <f>G6*0.69</f>
        <v>113.85</v>
      </c>
      <c r="H12" s="54">
        <f>H6*0.68</f>
        <v>204.00000000000003</v>
      </c>
      <c r="I12" s="54">
        <f>I6*0.67</f>
        <v>281.40000000000003</v>
      </c>
      <c r="J12" s="54">
        <f>J6*0.665</f>
        <v>349.125</v>
      </c>
      <c r="K12" s="54">
        <f>K6*0.66</f>
        <v>381.15000000000003</v>
      </c>
      <c r="L12" s="55">
        <f>L6*0.655</f>
        <v>415.92500000000001</v>
      </c>
      <c r="M12" s="55">
        <f>M6*0.65</f>
        <v>454.02500000000003</v>
      </c>
      <c r="N12" s="55">
        <f>N6*0.65</f>
        <v>508.495</v>
      </c>
      <c r="O12" s="55">
        <f>O6*0.645</f>
        <v>580.24200000000008</v>
      </c>
      <c r="P12" s="55">
        <f>P6*0.645</f>
        <v>638.29200000000003</v>
      </c>
    </row>
    <row r="13" spans="1:16" ht="19.95" customHeight="1" x14ac:dyDescent="0.3">
      <c r="A13" s="80" t="s">
        <v>19</v>
      </c>
      <c r="B13" s="81">
        <f t="shared" ref="B13:K13" si="2">B12/B6</f>
        <v>0.66567695961995255</v>
      </c>
      <c r="C13" s="81">
        <f t="shared" si="2"/>
        <v>0.69032009255688387</v>
      </c>
      <c r="D13" s="81">
        <f t="shared" si="2"/>
        <v>0.68582020389249299</v>
      </c>
      <c r="E13" s="81">
        <f t="shared" si="2"/>
        <v>0.66842488177519099</v>
      </c>
      <c r="F13" s="232">
        <f t="shared" si="2"/>
        <v>0.68001348163127739</v>
      </c>
      <c r="G13" s="81">
        <f t="shared" si="2"/>
        <v>0.69</v>
      </c>
      <c r="H13" s="81">
        <f t="shared" si="2"/>
        <v>0.68</v>
      </c>
      <c r="I13" s="81">
        <f t="shared" si="2"/>
        <v>0.67</v>
      </c>
      <c r="J13" s="81">
        <f t="shared" si="2"/>
        <v>0.66500000000000004</v>
      </c>
      <c r="K13" s="81">
        <f t="shared" si="2"/>
        <v>0.66</v>
      </c>
      <c r="L13" s="81">
        <f>L12/L6</f>
        <v>0.65500000000000003</v>
      </c>
      <c r="M13" s="81">
        <f>M12/M6</f>
        <v>0.65</v>
      </c>
      <c r="N13" s="81">
        <f>N12/N6</f>
        <v>0.65</v>
      </c>
      <c r="O13" s="81">
        <f>O12/O6</f>
        <v>0.64500000000000002</v>
      </c>
      <c r="P13" s="81">
        <f>P12/P6</f>
        <v>0.64500000000000002</v>
      </c>
    </row>
    <row r="14" spans="1:16" ht="19.95" customHeight="1" x14ac:dyDescent="0.3">
      <c r="A14" s="27" t="s">
        <v>20</v>
      </c>
      <c r="B14" s="51">
        <v>2.1</v>
      </c>
      <c r="C14" s="51">
        <v>2.65</v>
      </c>
      <c r="D14" s="51">
        <v>3.45</v>
      </c>
      <c r="E14" s="51">
        <v>4.28</v>
      </c>
      <c r="F14" s="231">
        <v>5.0999999999999996</v>
      </c>
      <c r="G14" s="52">
        <v>6.75</v>
      </c>
      <c r="H14" s="52">
        <v>10</v>
      </c>
      <c r="I14" s="52">
        <v>13.5</v>
      </c>
      <c r="J14" s="52">
        <v>17</v>
      </c>
      <c r="K14" s="52">
        <v>19.5</v>
      </c>
      <c r="L14" s="52">
        <v>22</v>
      </c>
      <c r="M14" s="52">
        <v>25</v>
      </c>
      <c r="N14" s="52">
        <v>28</v>
      </c>
      <c r="O14" s="52">
        <v>32</v>
      </c>
      <c r="P14" s="52">
        <v>35</v>
      </c>
    </row>
    <row r="15" spans="1:16" ht="19.95" customHeight="1" x14ac:dyDescent="0.3">
      <c r="A15" s="27" t="s">
        <v>21</v>
      </c>
      <c r="B15" s="51">
        <v>2.85</v>
      </c>
      <c r="C15" s="51">
        <v>4.1500000000000004</v>
      </c>
      <c r="D15" s="51">
        <v>5.65</v>
      </c>
      <c r="E15" s="51">
        <v>9.8000000000000007</v>
      </c>
      <c r="F15" s="231">
        <v>13.3</v>
      </c>
      <c r="G15" s="54">
        <f>G6*0.095</f>
        <v>15.675000000000001</v>
      </c>
      <c r="H15" s="54">
        <f>H6*0.085</f>
        <v>25.500000000000004</v>
      </c>
      <c r="I15" s="54">
        <f>I6*0.082</f>
        <v>34.440000000000005</v>
      </c>
      <c r="J15" s="54">
        <f>J6*0.08</f>
        <v>42</v>
      </c>
      <c r="K15" s="54">
        <f>K6*0.078</f>
        <v>45.045000000000002</v>
      </c>
      <c r="L15" s="55">
        <f>L6*0.076</f>
        <v>48.26</v>
      </c>
      <c r="M15" s="55">
        <f>M6*0.075</f>
        <v>52.387499999999996</v>
      </c>
      <c r="N15" s="55">
        <f>N6*0.077</f>
        <v>60.237099999999998</v>
      </c>
      <c r="O15" s="55">
        <f>O6*0.076</f>
        <v>68.369600000000005</v>
      </c>
      <c r="P15" s="55">
        <f>P6*0.076</f>
        <v>75.209599999999995</v>
      </c>
    </row>
    <row r="16" spans="1:16" ht="19.95" customHeight="1" x14ac:dyDescent="0.3">
      <c r="A16" s="75" t="s">
        <v>22</v>
      </c>
      <c r="B16" s="76">
        <f t="shared" ref="B16:K16" si="3">B12+B14+B15</f>
        <v>27.370000000000005</v>
      </c>
      <c r="C16" s="76">
        <f t="shared" si="3"/>
        <v>42.599999999999994</v>
      </c>
      <c r="D16" s="76">
        <f t="shared" si="3"/>
        <v>60.9</v>
      </c>
      <c r="E16" s="76">
        <f t="shared" si="3"/>
        <v>87.58</v>
      </c>
      <c r="F16" s="237">
        <f t="shared" si="3"/>
        <v>119.27999999999999</v>
      </c>
      <c r="G16" s="76">
        <f t="shared" si="3"/>
        <v>136.27500000000001</v>
      </c>
      <c r="H16" s="76">
        <f t="shared" si="3"/>
        <v>239.50000000000003</v>
      </c>
      <c r="I16" s="76">
        <f t="shared" si="3"/>
        <v>329.34000000000003</v>
      </c>
      <c r="J16" s="76">
        <f t="shared" si="3"/>
        <v>408.125</v>
      </c>
      <c r="K16" s="76">
        <f t="shared" si="3"/>
        <v>445.69500000000005</v>
      </c>
      <c r="L16" s="77">
        <f>L12+L14+L15</f>
        <v>486.185</v>
      </c>
      <c r="M16" s="77">
        <f>M12+M14+M15</f>
        <v>531.41250000000002</v>
      </c>
      <c r="N16" s="77">
        <f>N12+N14+N15</f>
        <v>596.73209999999995</v>
      </c>
      <c r="O16" s="77">
        <f>O12+O14+O15</f>
        <v>680.61160000000007</v>
      </c>
      <c r="P16" s="77">
        <f>P12+P14+P15</f>
        <v>748.50160000000005</v>
      </c>
    </row>
    <row r="17" spans="1:16" ht="7.95" customHeight="1" x14ac:dyDescent="0.3">
      <c r="A17" s="21"/>
      <c r="B17" s="74"/>
      <c r="C17" s="74"/>
      <c r="D17" s="74"/>
      <c r="E17" s="74"/>
      <c r="F17" s="238"/>
      <c r="G17" s="74"/>
      <c r="H17" s="74"/>
      <c r="I17" s="74"/>
      <c r="J17" s="74"/>
      <c r="K17" s="74"/>
      <c r="L17" s="74"/>
      <c r="M17" s="74"/>
      <c r="N17" s="74"/>
      <c r="O17" s="74"/>
      <c r="P17" s="74"/>
    </row>
    <row r="18" spans="1:16" ht="19.95" customHeight="1" x14ac:dyDescent="0.3">
      <c r="A18" s="71" t="s">
        <v>23</v>
      </c>
      <c r="B18" s="72">
        <f t="shared" ref="B18:K18" si="4">B6-B16</f>
        <v>6.3099999999999952</v>
      </c>
      <c r="C18" s="72">
        <f t="shared" si="4"/>
        <v>9.2600000000000051</v>
      </c>
      <c r="D18" s="72">
        <f t="shared" si="4"/>
        <v>14.630000000000003</v>
      </c>
      <c r="E18" s="72">
        <f t="shared" si="4"/>
        <v>22.379999999999995</v>
      </c>
      <c r="F18" s="234">
        <f t="shared" si="4"/>
        <v>29.070000000000007</v>
      </c>
      <c r="G18" s="72">
        <f t="shared" si="4"/>
        <v>28.724999999999994</v>
      </c>
      <c r="H18" s="72">
        <f t="shared" si="4"/>
        <v>60.499999999999972</v>
      </c>
      <c r="I18" s="72">
        <f t="shared" si="4"/>
        <v>90.659999999999968</v>
      </c>
      <c r="J18" s="72">
        <f t="shared" si="4"/>
        <v>116.875</v>
      </c>
      <c r="K18" s="72">
        <f t="shared" si="4"/>
        <v>131.80499999999995</v>
      </c>
      <c r="L18" s="73">
        <f>L6-L16</f>
        <v>148.815</v>
      </c>
      <c r="M18" s="73">
        <f>M6-M16</f>
        <v>167.08749999999998</v>
      </c>
      <c r="N18" s="73">
        <f>N6-N16</f>
        <v>185.56790000000001</v>
      </c>
      <c r="O18" s="73">
        <f>O6-O16</f>
        <v>218.98839999999996</v>
      </c>
      <c r="P18" s="73">
        <f>P6-P16</f>
        <v>241.09839999999997</v>
      </c>
    </row>
    <row r="19" spans="1:16" ht="19.95" customHeight="1" x14ac:dyDescent="0.3">
      <c r="A19" s="80" t="s">
        <v>24</v>
      </c>
      <c r="B19" s="81">
        <f t="shared" ref="B19:K19" si="5">B18/B6</f>
        <v>0.18735154394299272</v>
      </c>
      <c r="C19" s="81">
        <f t="shared" si="5"/>
        <v>0.17855765522560751</v>
      </c>
      <c r="D19" s="81">
        <f t="shared" si="5"/>
        <v>0.19369786839666361</v>
      </c>
      <c r="E19" s="81">
        <f t="shared" si="5"/>
        <v>0.2035285558384867</v>
      </c>
      <c r="F19" s="232">
        <f t="shared" si="5"/>
        <v>0.19595551061678468</v>
      </c>
      <c r="G19" s="81">
        <f t="shared" si="5"/>
        <v>0.17409090909090905</v>
      </c>
      <c r="H19" s="81">
        <f t="shared" si="5"/>
        <v>0.20166666666666658</v>
      </c>
      <c r="I19" s="81">
        <f t="shared" si="5"/>
        <v>0.21585714285714278</v>
      </c>
      <c r="J19" s="81">
        <f t="shared" si="5"/>
        <v>0.22261904761904761</v>
      </c>
      <c r="K19" s="81">
        <f t="shared" si="5"/>
        <v>0.22823376623376615</v>
      </c>
      <c r="L19" s="81">
        <f>L18/L6</f>
        <v>0.23435433070866141</v>
      </c>
      <c r="M19" s="81">
        <f>M18/M6</f>
        <v>0.23920901932712954</v>
      </c>
      <c r="N19" s="81">
        <f>N18/N6</f>
        <v>0.23720810430781034</v>
      </c>
      <c r="O19" s="81">
        <f>O18/O6</f>
        <v>0.2434286349488661</v>
      </c>
      <c r="P19" s="81">
        <f>P18/P6</f>
        <v>0.24363217461600642</v>
      </c>
    </row>
    <row r="20" spans="1:16" ht="19.95" customHeight="1" x14ac:dyDescent="0.3">
      <c r="A20" s="27" t="s">
        <v>25</v>
      </c>
      <c r="B20" s="51">
        <v>0.52</v>
      </c>
      <c r="C20" s="51">
        <v>0.6</v>
      </c>
      <c r="D20" s="51">
        <v>0.65</v>
      </c>
      <c r="E20" s="51">
        <v>0.95</v>
      </c>
      <c r="F20" s="231">
        <v>1.18</v>
      </c>
      <c r="G20" s="52">
        <v>2.2000000000000002</v>
      </c>
      <c r="H20" s="52">
        <v>7.5</v>
      </c>
      <c r="I20" s="52">
        <v>8</v>
      </c>
      <c r="J20" s="52">
        <v>8.5</v>
      </c>
      <c r="K20" s="52">
        <v>8.5</v>
      </c>
      <c r="L20" s="52">
        <v>9</v>
      </c>
      <c r="M20" s="52">
        <v>9.5</v>
      </c>
      <c r="N20" s="52">
        <v>11</v>
      </c>
      <c r="O20" s="52">
        <v>12</v>
      </c>
      <c r="P20" s="52">
        <v>12</v>
      </c>
    </row>
    <row r="21" spans="1:16" ht="19.95" customHeight="1" x14ac:dyDescent="0.3">
      <c r="A21" s="49" t="s">
        <v>26</v>
      </c>
      <c r="B21" s="56">
        <f t="shared" ref="B21:K21" si="6">B18-B20</f>
        <v>5.7899999999999956</v>
      </c>
      <c r="C21" s="56">
        <f t="shared" si="6"/>
        <v>8.6600000000000055</v>
      </c>
      <c r="D21" s="56">
        <f t="shared" si="6"/>
        <v>13.980000000000002</v>
      </c>
      <c r="E21" s="56">
        <f t="shared" si="6"/>
        <v>21.429999999999996</v>
      </c>
      <c r="F21" s="239">
        <f t="shared" si="6"/>
        <v>27.890000000000008</v>
      </c>
      <c r="G21" s="56">
        <f t="shared" si="6"/>
        <v>26.524999999999995</v>
      </c>
      <c r="H21" s="56">
        <f t="shared" si="6"/>
        <v>52.999999999999972</v>
      </c>
      <c r="I21" s="56">
        <f t="shared" si="6"/>
        <v>82.659999999999968</v>
      </c>
      <c r="J21" s="56">
        <f t="shared" si="6"/>
        <v>108.375</v>
      </c>
      <c r="K21" s="56">
        <f t="shared" si="6"/>
        <v>123.30499999999995</v>
      </c>
      <c r="L21" s="57">
        <f>L18-L20</f>
        <v>139.815</v>
      </c>
      <c r="M21" s="57">
        <f>M18-M20</f>
        <v>157.58749999999998</v>
      </c>
      <c r="N21" s="57">
        <f>N18-N20</f>
        <v>174.56790000000001</v>
      </c>
      <c r="O21" s="57">
        <f>O18-O20</f>
        <v>206.98839999999996</v>
      </c>
      <c r="P21" s="57">
        <f>P18-P20</f>
        <v>229.09839999999997</v>
      </c>
    </row>
    <row r="22" spans="1:16" ht="19.95" customHeight="1" x14ac:dyDescent="0.3">
      <c r="A22" s="27" t="s">
        <v>27</v>
      </c>
      <c r="B22" s="69">
        <v>1.95</v>
      </c>
      <c r="C22" s="69">
        <v>2.2999999999999998</v>
      </c>
      <c r="D22" s="69">
        <v>2.85</v>
      </c>
      <c r="E22" s="69">
        <v>3.7</v>
      </c>
      <c r="F22" s="233">
        <v>2.4</v>
      </c>
      <c r="G22" s="70">
        <v>2.5</v>
      </c>
      <c r="H22" s="70">
        <v>4</v>
      </c>
      <c r="I22" s="70">
        <v>3.5</v>
      </c>
      <c r="J22" s="70">
        <v>2.8</v>
      </c>
      <c r="K22" s="70">
        <v>2</v>
      </c>
      <c r="L22" s="70">
        <v>2</v>
      </c>
      <c r="M22" s="70">
        <v>3</v>
      </c>
      <c r="N22" s="70">
        <v>3.5</v>
      </c>
      <c r="O22" s="70">
        <v>3</v>
      </c>
      <c r="P22" s="70">
        <v>2</v>
      </c>
    </row>
    <row r="23" spans="1:16" ht="19.95" customHeight="1" x14ac:dyDescent="0.3">
      <c r="A23" s="71" t="s">
        <v>28</v>
      </c>
      <c r="B23" s="72">
        <f t="shared" ref="B23:K23" si="7">B21+B8-B22</f>
        <v>4.0199999999999951</v>
      </c>
      <c r="C23" s="72">
        <f t="shared" si="7"/>
        <v>6.5800000000000063</v>
      </c>
      <c r="D23" s="72">
        <f t="shared" si="7"/>
        <v>11.560000000000002</v>
      </c>
      <c r="E23" s="72">
        <f t="shared" si="7"/>
        <v>18.479999999999997</v>
      </c>
      <c r="F23" s="234">
        <f t="shared" si="7"/>
        <v>26.68000000000001</v>
      </c>
      <c r="G23" s="72">
        <f t="shared" si="7"/>
        <v>25.224999999999994</v>
      </c>
      <c r="H23" s="72">
        <f t="shared" si="7"/>
        <v>50.999999999999972</v>
      </c>
      <c r="I23" s="72">
        <f t="shared" si="7"/>
        <v>81.659999999999968</v>
      </c>
      <c r="J23" s="72">
        <f t="shared" si="7"/>
        <v>108.575</v>
      </c>
      <c r="K23" s="72">
        <f t="shared" si="7"/>
        <v>124.80499999999995</v>
      </c>
      <c r="L23" s="73">
        <f>L21+L8-L22</f>
        <v>141.815</v>
      </c>
      <c r="M23" s="73">
        <f>M21+M8-M22</f>
        <v>159.08749999999998</v>
      </c>
      <c r="N23" s="73">
        <f>N21+N8-N22</f>
        <v>176.06790000000001</v>
      </c>
      <c r="O23" s="73">
        <f>O21+O8-O22</f>
        <v>209.48839999999996</v>
      </c>
      <c r="P23" s="73">
        <f>P21+P8-P22</f>
        <v>233.09839999999997</v>
      </c>
    </row>
    <row r="24" spans="1:16" ht="19.95" customHeight="1" x14ac:dyDescent="0.3">
      <c r="A24" s="27" t="s">
        <v>29</v>
      </c>
      <c r="B24" s="51">
        <v>1.25</v>
      </c>
      <c r="C24" s="51">
        <v>2.1</v>
      </c>
      <c r="D24" s="51">
        <v>3.5</v>
      </c>
      <c r="E24" s="51">
        <v>5.0999999999999996</v>
      </c>
      <c r="F24" s="231">
        <v>6.58</v>
      </c>
      <c r="G24" s="54">
        <f t="shared" ref="G24:P24" si="8">G23*0.254</f>
        <v>6.4071499999999988</v>
      </c>
      <c r="H24" s="54">
        <f t="shared" si="8"/>
        <v>12.953999999999994</v>
      </c>
      <c r="I24" s="54">
        <f t="shared" si="8"/>
        <v>20.741639999999993</v>
      </c>
      <c r="J24" s="54">
        <f t="shared" si="8"/>
        <v>27.578050000000001</v>
      </c>
      <c r="K24" s="54">
        <f t="shared" si="8"/>
        <v>31.700469999999989</v>
      </c>
      <c r="L24" s="54">
        <f t="shared" si="8"/>
        <v>36.021009999999997</v>
      </c>
      <c r="M24" s="54">
        <f t="shared" si="8"/>
        <v>40.408224999999995</v>
      </c>
      <c r="N24" s="54">
        <f t="shared" si="8"/>
        <v>44.721246600000001</v>
      </c>
      <c r="O24" s="54">
        <f t="shared" si="8"/>
        <v>53.210053599999988</v>
      </c>
      <c r="P24" s="54">
        <f t="shared" si="8"/>
        <v>59.20699359999999</v>
      </c>
    </row>
    <row r="25" spans="1:16" ht="19.95" customHeight="1" x14ac:dyDescent="0.3">
      <c r="A25" s="80" t="s">
        <v>30</v>
      </c>
      <c r="B25" s="81">
        <f t="shared" ref="B25:K25" si="9">IF(B23&gt;0,B24/B23,0)</f>
        <v>0.31094527363184116</v>
      </c>
      <c r="C25" s="81">
        <f t="shared" si="9"/>
        <v>0.31914893617021245</v>
      </c>
      <c r="D25" s="81">
        <f t="shared" si="9"/>
        <v>0.30276816608996532</v>
      </c>
      <c r="E25" s="81">
        <f t="shared" si="9"/>
        <v>0.27597402597402598</v>
      </c>
      <c r="F25" s="232">
        <f t="shared" si="9"/>
        <v>0.24662668665667156</v>
      </c>
      <c r="G25" s="81">
        <f t="shared" si="9"/>
        <v>0.254</v>
      </c>
      <c r="H25" s="81">
        <f t="shared" si="9"/>
        <v>0.254</v>
      </c>
      <c r="I25" s="81">
        <f t="shared" si="9"/>
        <v>0.254</v>
      </c>
      <c r="J25" s="81">
        <f t="shared" si="9"/>
        <v>0.254</v>
      </c>
      <c r="K25" s="81">
        <f t="shared" si="9"/>
        <v>0.254</v>
      </c>
      <c r="L25" s="81">
        <f>IF(L23&gt;0,L24/L23,0)</f>
        <v>0.254</v>
      </c>
      <c r="M25" s="81">
        <f>IF(M23&gt;0,M24/M23,0)</f>
        <v>0.254</v>
      </c>
      <c r="N25" s="81">
        <f>IF(N23&gt;0,N24/N23,0)</f>
        <v>0.254</v>
      </c>
      <c r="O25" s="81">
        <f>IF(O23&gt;0,O24/O23,0)</f>
        <v>0.254</v>
      </c>
      <c r="P25" s="81">
        <f>IF(P23&gt;0,P24/P23,0)</f>
        <v>0.254</v>
      </c>
    </row>
    <row r="26" spans="1:16" ht="7.95" customHeight="1" thickBot="1" x14ac:dyDescent="0.35">
      <c r="A26" s="21"/>
      <c r="B26" s="74"/>
      <c r="C26" s="74"/>
      <c r="D26" s="74"/>
      <c r="E26" s="74"/>
      <c r="F26" s="238"/>
      <c r="G26" s="74"/>
      <c r="H26" s="74"/>
      <c r="I26" s="74"/>
      <c r="J26" s="74"/>
      <c r="K26" s="74"/>
      <c r="L26" s="74"/>
      <c r="M26" s="74"/>
      <c r="N26" s="74"/>
      <c r="O26" s="74"/>
      <c r="P26" s="74"/>
    </row>
    <row r="27" spans="1:16" ht="19.95" customHeight="1" x14ac:dyDescent="0.3">
      <c r="A27" s="78" t="s">
        <v>31</v>
      </c>
      <c r="B27" s="79">
        <f t="shared" ref="B27:K27" si="10">B23-B24</f>
        <v>2.7699999999999951</v>
      </c>
      <c r="C27" s="79">
        <f t="shared" si="10"/>
        <v>4.4800000000000058</v>
      </c>
      <c r="D27" s="79">
        <f t="shared" si="10"/>
        <v>8.0600000000000023</v>
      </c>
      <c r="E27" s="79">
        <f t="shared" si="10"/>
        <v>13.379999999999997</v>
      </c>
      <c r="F27" s="240">
        <f t="shared" si="10"/>
        <v>20.100000000000009</v>
      </c>
      <c r="G27" s="79">
        <f t="shared" si="10"/>
        <v>18.817849999999996</v>
      </c>
      <c r="H27" s="79">
        <f t="shared" si="10"/>
        <v>38.045999999999978</v>
      </c>
      <c r="I27" s="79">
        <f t="shared" si="10"/>
        <v>60.918359999999979</v>
      </c>
      <c r="J27" s="79">
        <f t="shared" si="10"/>
        <v>80.996949999999998</v>
      </c>
      <c r="K27" s="79">
        <f t="shared" si="10"/>
        <v>93.104529999999954</v>
      </c>
      <c r="L27" s="79">
        <f>L23-L24</f>
        <v>105.79399000000001</v>
      </c>
      <c r="M27" s="79">
        <f>M23-M24</f>
        <v>118.67927499999999</v>
      </c>
      <c r="N27" s="79">
        <f>N23-N24</f>
        <v>131.34665340000001</v>
      </c>
      <c r="O27" s="79">
        <f>O23-O24</f>
        <v>156.27834639999998</v>
      </c>
      <c r="P27" s="79">
        <f>P23-P24</f>
        <v>173.89140639999999</v>
      </c>
    </row>
    <row r="28" spans="1:16" ht="19.95" customHeight="1" x14ac:dyDescent="0.3">
      <c r="A28" s="80" t="s">
        <v>32</v>
      </c>
      <c r="B28" s="82">
        <f t="shared" ref="B28:K28" si="11">B27/B6</f>
        <v>8.2244655581947601E-2</v>
      </c>
      <c r="C28" s="82">
        <f t="shared" si="11"/>
        <v>8.6386424990358771E-2</v>
      </c>
      <c r="D28" s="82">
        <f t="shared" si="11"/>
        <v>0.10671256454388987</v>
      </c>
      <c r="E28" s="82">
        <f t="shared" si="11"/>
        <v>0.12168061113132046</v>
      </c>
      <c r="F28" s="241">
        <f t="shared" si="11"/>
        <v>0.13549039433771493</v>
      </c>
      <c r="G28" s="82">
        <f t="shared" si="11"/>
        <v>0.11404757575757574</v>
      </c>
      <c r="H28" s="82">
        <f t="shared" si="11"/>
        <v>0.12681999999999993</v>
      </c>
      <c r="I28" s="82">
        <f t="shared" si="11"/>
        <v>0.14504371428571425</v>
      </c>
      <c r="J28" s="82">
        <f t="shared" si="11"/>
        <v>0.15427990476190476</v>
      </c>
      <c r="K28" s="82">
        <f t="shared" si="11"/>
        <v>0.16121996536796529</v>
      </c>
      <c r="L28" s="82">
        <f>L27/L6</f>
        <v>0.16660470866141733</v>
      </c>
      <c r="M28" s="82">
        <f>M27/M6</f>
        <v>0.16990590551181101</v>
      </c>
      <c r="N28" s="82">
        <f>N27/N6</f>
        <v>0.16789806135753549</v>
      </c>
      <c r="O28" s="82">
        <f>O27/O6</f>
        <v>0.17371981591818583</v>
      </c>
      <c r="P28" s="82">
        <f>P27/P6</f>
        <v>0.17571888278092157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10299-CDF3-4AE9-B5E1-0B52D4B4D488}">
  <sheetPr>
    <tabColor rgb="FF1B3A5C"/>
  </sheetPr>
  <dimension ref="A1:P29"/>
  <sheetViews>
    <sheetView workbookViewId="0">
      <pane xSplit="1" topLeftCell="B1" activePane="topRight" state="frozen"/>
      <selection pane="topRight"/>
    </sheetView>
  </sheetViews>
  <sheetFormatPr defaultRowHeight="14.4" x14ac:dyDescent="0.3"/>
  <cols>
    <col min="1" max="1" width="37" customWidth="1"/>
    <col min="2" max="16" width="15.21875" customWidth="1"/>
  </cols>
  <sheetData>
    <row r="1" spans="1:16" ht="30" customHeight="1" x14ac:dyDescent="0.4">
      <c r="A1" s="32" t="s">
        <v>70</v>
      </c>
    </row>
    <row r="2" spans="1:16" ht="18" customHeight="1" x14ac:dyDescent="0.3">
      <c r="A2" s="48" t="s">
        <v>1</v>
      </c>
    </row>
    <row r="3" spans="1:16" ht="7.95" customHeight="1" x14ac:dyDescent="0.3"/>
    <row r="4" spans="1:16" ht="28.05" customHeight="1" thickBot="1" x14ac:dyDescent="0.35">
      <c r="A4" s="58" t="s">
        <v>2</v>
      </c>
      <c r="B4" s="59" t="s">
        <v>3</v>
      </c>
      <c r="C4" s="59" t="s">
        <v>4</v>
      </c>
      <c r="D4" s="59" t="s">
        <v>5</v>
      </c>
      <c r="E4" s="59" t="s">
        <v>6</v>
      </c>
      <c r="F4" s="229" t="s">
        <v>7</v>
      </c>
      <c r="G4" s="60" t="s">
        <v>8</v>
      </c>
      <c r="H4" s="60" t="s">
        <v>9</v>
      </c>
      <c r="I4" s="60" t="s">
        <v>10</v>
      </c>
      <c r="J4" s="60" t="s">
        <v>11</v>
      </c>
      <c r="K4" s="60" t="s">
        <v>12</v>
      </c>
      <c r="L4" s="60" t="s">
        <v>257</v>
      </c>
      <c r="M4" s="60" t="s">
        <v>258</v>
      </c>
      <c r="N4" s="60" t="s">
        <v>259</v>
      </c>
      <c r="O4" s="60" t="s">
        <v>260</v>
      </c>
      <c r="P4" s="60" t="s">
        <v>261</v>
      </c>
    </row>
    <row r="5" spans="1:16" ht="19.95" customHeight="1" x14ac:dyDescent="0.3">
      <c r="A5" s="28" t="s">
        <v>71</v>
      </c>
      <c r="B5" s="50"/>
      <c r="C5" s="50"/>
      <c r="D5" s="50"/>
      <c r="E5" s="50"/>
      <c r="F5" s="242"/>
      <c r="G5" s="50"/>
      <c r="H5" s="50"/>
      <c r="I5" s="50"/>
      <c r="J5" s="50"/>
      <c r="K5" s="50"/>
      <c r="L5" s="50"/>
      <c r="M5" s="50"/>
      <c r="N5" s="50"/>
      <c r="O5" s="50"/>
      <c r="P5" s="50"/>
    </row>
    <row r="6" spans="1:16" ht="19.95" customHeight="1" x14ac:dyDescent="0.3">
      <c r="A6" s="27" t="s">
        <v>72</v>
      </c>
      <c r="B6" s="51">
        <v>17.8</v>
      </c>
      <c r="C6" s="51">
        <v>17.8</v>
      </c>
      <c r="D6" s="51">
        <v>17.8</v>
      </c>
      <c r="E6" s="51">
        <v>24.98</v>
      </c>
      <c r="F6" s="231">
        <v>24.99</v>
      </c>
      <c r="G6" s="52">
        <v>25.5</v>
      </c>
      <c r="H6" s="52">
        <v>26.5</v>
      </c>
      <c r="I6" s="52">
        <v>26.5</v>
      </c>
      <c r="J6" s="52">
        <v>26.5</v>
      </c>
      <c r="K6" s="52">
        <v>26.5</v>
      </c>
      <c r="L6" s="52">
        <v>26.5</v>
      </c>
      <c r="M6" s="52">
        <v>26.5</v>
      </c>
      <c r="N6" s="52">
        <v>26.5</v>
      </c>
      <c r="O6" s="52">
        <v>26.5</v>
      </c>
      <c r="P6" s="52">
        <v>26.5</v>
      </c>
    </row>
    <row r="7" spans="1:16" ht="19.95" customHeight="1" x14ac:dyDescent="0.3">
      <c r="A7" s="27" t="s">
        <v>73</v>
      </c>
      <c r="B7" s="69">
        <v>8.5</v>
      </c>
      <c r="C7" s="69">
        <v>12.98</v>
      </c>
      <c r="D7" s="69">
        <v>21.04</v>
      </c>
      <c r="E7" s="69">
        <v>41.2</v>
      </c>
      <c r="F7" s="233">
        <v>67.510000000000005</v>
      </c>
      <c r="G7" s="83">
        <f>F7+'Income Statement'!G27</f>
        <v>86.327849999999998</v>
      </c>
      <c r="H7" s="83">
        <f>G7+'Income Statement'!H27</f>
        <v>124.37384999999998</v>
      </c>
      <c r="I7" s="83">
        <f>H7+'Income Statement'!I27</f>
        <v>185.29220999999995</v>
      </c>
      <c r="J7" s="83">
        <f>I7+'Income Statement'!J27</f>
        <v>266.28915999999992</v>
      </c>
      <c r="K7" s="83">
        <f>J7+'Income Statement'!K27</f>
        <v>359.39368999999988</v>
      </c>
      <c r="L7" s="84">
        <f>K7+'Income Statement'!L27</f>
        <v>465.18767999999989</v>
      </c>
      <c r="M7" s="84">
        <f>L7+'Income Statement'!M27</f>
        <v>583.86695499999985</v>
      </c>
      <c r="N7" s="84">
        <f>M7+'Income Statement'!N27</f>
        <v>715.21360839999988</v>
      </c>
      <c r="O7" s="84">
        <f>N7+'Income Statement'!O27</f>
        <v>871.4919547999998</v>
      </c>
      <c r="P7" s="84">
        <f>O7+'Income Statement'!P27</f>
        <v>1045.3833611999999</v>
      </c>
    </row>
    <row r="8" spans="1:16" ht="19.95" customHeight="1" x14ac:dyDescent="0.3">
      <c r="A8" s="71" t="s">
        <v>74</v>
      </c>
      <c r="B8" s="72">
        <f t="shared" ref="B8:K8" si="0">B6+B7</f>
        <v>26.3</v>
      </c>
      <c r="C8" s="72">
        <f t="shared" si="0"/>
        <v>30.78</v>
      </c>
      <c r="D8" s="72">
        <f t="shared" si="0"/>
        <v>38.840000000000003</v>
      </c>
      <c r="E8" s="72">
        <f t="shared" si="0"/>
        <v>66.180000000000007</v>
      </c>
      <c r="F8" s="234">
        <f t="shared" si="0"/>
        <v>92.5</v>
      </c>
      <c r="G8" s="72">
        <f t="shared" si="0"/>
        <v>111.82785</v>
      </c>
      <c r="H8" s="72">
        <f t="shared" si="0"/>
        <v>150.87384999999998</v>
      </c>
      <c r="I8" s="72">
        <f t="shared" si="0"/>
        <v>211.79220999999995</v>
      </c>
      <c r="J8" s="72">
        <f t="shared" si="0"/>
        <v>292.78915999999992</v>
      </c>
      <c r="K8" s="72">
        <f t="shared" si="0"/>
        <v>385.89368999999988</v>
      </c>
      <c r="L8" s="73">
        <f>L6+L7</f>
        <v>491.68767999999989</v>
      </c>
      <c r="M8" s="73">
        <f>M6+M7</f>
        <v>610.36695499999985</v>
      </c>
      <c r="N8" s="73">
        <f>N6+N7</f>
        <v>741.71360839999988</v>
      </c>
      <c r="O8" s="73">
        <f>O6+O7</f>
        <v>897.9919547999998</v>
      </c>
      <c r="P8" s="73">
        <f>P6+P7</f>
        <v>1071.8833611999999</v>
      </c>
    </row>
    <row r="9" spans="1:16" ht="7.95" customHeight="1" x14ac:dyDescent="0.3">
      <c r="A9" s="21"/>
      <c r="B9" s="214"/>
      <c r="C9" s="214"/>
      <c r="D9" s="214"/>
      <c r="E9" s="214"/>
      <c r="F9" s="243"/>
      <c r="G9" s="214"/>
      <c r="H9" s="214"/>
      <c r="I9" s="214"/>
      <c r="J9" s="214"/>
      <c r="K9" s="214"/>
      <c r="L9" s="214"/>
      <c r="M9" s="214"/>
      <c r="N9" s="214"/>
      <c r="O9" s="214"/>
      <c r="P9" s="214"/>
    </row>
    <row r="10" spans="1:16" ht="19.95" customHeight="1" x14ac:dyDescent="0.3">
      <c r="A10" s="27" t="s">
        <v>75</v>
      </c>
      <c r="B10" s="51">
        <v>5.2</v>
      </c>
      <c r="C10" s="51">
        <v>4.8</v>
      </c>
      <c r="D10" s="51">
        <v>4</v>
      </c>
      <c r="E10" s="51">
        <v>3.81</v>
      </c>
      <c r="F10" s="231">
        <v>9.09</v>
      </c>
      <c r="G10" s="52">
        <v>22</v>
      </c>
      <c r="H10" s="52">
        <v>18</v>
      </c>
      <c r="I10" s="52">
        <v>14</v>
      </c>
      <c r="J10" s="52">
        <v>10</v>
      </c>
      <c r="K10" s="52">
        <v>5</v>
      </c>
      <c r="L10" s="52">
        <v>15</v>
      </c>
      <c r="M10" s="52">
        <v>30</v>
      </c>
      <c r="N10" s="52">
        <v>25</v>
      </c>
      <c r="O10" s="52">
        <v>18</v>
      </c>
      <c r="P10" s="52">
        <v>10</v>
      </c>
    </row>
    <row r="11" spans="1:16" ht="19.95" customHeight="1" x14ac:dyDescent="0.3">
      <c r="A11" s="27" t="s">
        <v>76</v>
      </c>
      <c r="B11" s="69">
        <v>8.5</v>
      </c>
      <c r="C11" s="69">
        <v>10.199999999999999</v>
      </c>
      <c r="D11" s="69">
        <v>12.5</v>
      </c>
      <c r="E11" s="69">
        <v>15</v>
      </c>
      <c r="F11" s="233">
        <v>15.44</v>
      </c>
      <c r="G11" s="70">
        <v>18</v>
      </c>
      <c r="H11" s="70">
        <v>22</v>
      </c>
      <c r="I11" s="70">
        <v>25</v>
      </c>
      <c r="J11" s="70">
        <v>25</v>
      </c>
      <c r="K11" s="70">
        <v>22</v>
      </c>
      <c r="L11" s="70">
        <v>20</v>
      </c>
      <c r="M11" s="70">
        <v>22</v>
      </c>
      <c r="N11" s="70">
        <v>25</v>
      </c>
      <c r="O11" s="70">
        <v>25</v>
      </c>
      <c r="P11" s="70">
        <v>22</v>
      </c>
    </row>
    <row r="12" spans="1:16" ht="19.95" customHeight="1" x14ac:dyDescent="0.3">
      <c r="A12" s="71" t="s">
        <v>77</v>
      </c>
      <c r="B12" s="72">
        <f t="shared" ref="B12:K12" si="1">B10+B11</f>
        <v>13.7</v>
      </c>
      <c r="C12" s="72">
        <f t="shared" si="1"/>
        <v>15</v>
      </c>
      <c r="D12" s="72">
        <f t="shared" si="1"/>
        <v>16.5</v>
      </c>
      <c r="E12" s="72">
        <f t="shared" si="1"/>
        <v>18.809999999999999</v>
      </c>
      <c r="F12" s="234">
        <f t="shared" si="1"/>
        <v>24.53</v>
      </c>
      <c r="G12" s="72">
        <f t="shared" si="1"/>
        <v>40</v>
      </c>
      <c r="H12" s="72">
        <f t="shared" si="1"/>
        <v>40</v>
      </c>
      <c r="I12" s="72">
        <f t="shared" si="1"/>
        <v>39</v>
      </c>
      <c r="J12" s="72">
        <f t="shared" si="1"/>
        <v>35</v>
      </c>
      <c r="K12" s="72">
        <f t="shared" si="1"/>
        <v>27</v>
      </c>
      <c r="L12" s="73">
        <f>L10+L11</f>
        <v>35</v>
      </c>
      <c r="M12" s="73">
        <f>M10+M11</f>
        <v>52</v>
      </c>
      <c r="N12" s="73">
        <f>N10+N11</f>
        <v>50</v>
      </c>
      <c r="O12" s="73">
        <f>O10+O11</f>
        <v>43</v>
      </c>
      <c r="P12" s="73">
        <f>P10+P11</f>
        <v>32</v>
      </c>
    </row>
    <row r="13" spans="1:16" ht="19.95" customHeight="1" x14ac:dyDescent="0.3">
      <c r="A13" s="27" t="s">
        <v>78</v>
      </c>
      <c r="B13" s="51">
        <v>5.8</v>
      </c>
      <c r="C13" s="51">
        <v>8.5</v>
      </c>
      <c r="D13" s="51">
        <v>12</v>
      </c>
      <c r="E13" s="51">
        <v>18</v>
      </c>
      <c r="F13" s="231">
        <v>22</v>
      </c>
      <c r="G13" s="52">
        <v>25</v>
      </c>
      <c r="H13" s="52">
        <v>45</v>
      </c>
      <c r="I13" s="52">
        <v>60</v>
      </c>
      <c r="J13" s="52">
        <v>72</v>
      </c>
      <c r="K13" s="52">
        <v>80</v>
      </c>
      <c r="L13" s="52">
        <v>90</v>
      </c>
      <c r="M13" s="52">
        <v>100</v>
      </c>
      <c r="N13" s="52">
        <v>115</v>
      </c>
      <c r="O13" s="52">
        <v>130</v>
      </c>
      <c r="P13" s="52">
        <v>140</v>
      </c>
    </row>
    <row r="14" spans="1:16" ht="19.95" customHeight="1" thickBot="1" x14ac:dyDescent="0.35">
      <c r="A14" s="27" t="s">
        <v>79</v>
      </c>
      <c r="B14" s="69">
        <v>3.2</v>
      </c>
      <c r="C14" s="69">
        <v>4.0999999999999996</v>
      </c>
      <c r="D14" s="69">
        <v>5.5</v>
      </c>
      <c r="E14" s="69">
        <v>8</v>
      </c>
      <c r="F14" s="233">
        <v>10</v>
      </c>
      <c r="G14" s="70">
        <v>12</v>
      </c>
      <c r="H14" s="70">
        <v>18</v>
      </c>
      <c r="I14" s="70">
        <v>22</v>
      </c>
      <c r="J14" s="70">
        <v>26</v>
      </c>
      <c r="K14" s="70">
        <v>30</v>
      </c>
      <c r="L14" s="70">
        <v>35</v>
      </c>
      <c r="M14" s="70">
        <v>40</v>
      </c>
      <c r="N14" s="70">
        <v>45</v>
      </c>
      <c r="O14" s="70">
        <v>50</v>
      </c>
      <c r="P14" s="70">
        <v>55</v>
      </c>
    </row>
    <row r="15" spans="1:16" ht="19.95" customHeight="1" x14ac:dyDescent="0.3">
      <c r="A15" s="85" t="s">
        <v>80</v>
      </c>
      <c r="B15" s="86">
        <f t="shared" ref="B15:K15" si="2">B8+B12+B13+B14</f>
        <v>49</v>
      </c>
      <c r="C15" s="86">
        <f t="shared" si="2"/>
        <v>58.38</v>
      </c>
      <c r="D15" s="86">
        <f t="shared" si="2"/>
        <v>72.84</v>
      </c>
      <c r="E15" s="86">
        <f t="shared" si="2"/>
        <v>110.99000000000001</v>
      </c>
      <c r="F15" s="244">
        <f t="shared" si="2"/>
        <v>149.03</v>
      </c>
      <c r="G15" s="86">
        <f t="shared" si="2"/>
        <v>188.82785000000001</v>
      </c>
      <c r="H15" s="86">
        <f t="shared" si="2"/>
        <v>253.87384999999998</v>
      </c>
      <c r="I15" s="86">
        <f t="shared" si="2"/>
        <v>332.79220999999995</v>
      </c>
      <c r="J15" s="86">
        <f t="shared" si="2"/>
        <v>425.78915999999992</v>
      </c>
      <c r="K15" s="86">
        <f t="shared" si="2"/>
        <v>522.89368999999988</v>
      </c>
      <c r="L15" s="86">
        <f>L8+L12+L13+L14</f>
        <v>651.68767999999989</v>
      </c>
      <c r="M15" s="86">
        <f>M8+M12+M13+M14</f>
        <v>802.36695499999985</v>
      </c>
      <c r="N15" s="86">
        <f>N8+N12+N13+N14</f>
        <v>951.71360839999988</v>
      </c>
      <c r="O15" s="86">
        <f>O8+O12+O13+O14</f>
        <v>1120.9919547999998</v>
      </c>
      <c r="P15" s="86">
        <f>P8+P12+P13+P14</f>
        <v>1298.8833611999999</v>
      </c>
    </row>
    <row r="16" spans="1:16" ht="7.95" customHeight="1" x14ac:dyDescent="0.3">
      <c r="A16" s="21"/>
      <c r="B16" s="53"/>
      <c r="C16" s="53"/>
      <c r="D16" s="53"/>
      <c r="E16" s="53"/>
      <c r="F16" s="235"/>
      <c r="G16" s="53"/>
      <c r="H16" s="53"/>
      <c r="I16" s="53"/>
      <c r="J16" s="53"/>
      <c r="K16" s="53"/>
      <c r="L16" s="53"/>
      <c r="M16" s="53"/>
      <c r="N16" s="53"/>
      <c r="O16" s="53"/>
      <c r="P16" s="53"/>
    </row>
    <row r="17" spans="1:16" ht="19.95" customHeight="1" x14ac:dyDescent="0.3">
      <c r="A17" s="28" t="s">
        <v>81</v>
      </c>
      <c r="B17" s="53"/>
      <c r="C17" s="53"/>
      <c r="D17" s="53"/>
      <c r="E17" s="53"/>
      <c r="F17" s="235"/>
      <c r="G17" s="53"/>
      <c r="H17" s="53"/>
      <c r="I17" s="53"/>
      <c r="J17" s="53"/>
      <c r="K17" s="53"/>
      <c r="L17" s="53"/>
      <c r="M17" s="53"/>
      <c r="N17" s="53"/>
      <c r="O17" s="53"/>
      <c r="P17" s="53"/>
    </row>
    <row r="18" spans="1:16" ht="19.95" customHeight="1" x14ac:dyDescent="0.3">
      <c r="A18" s="27" t="s">
        <v>82</v>
      </c>
      <c r="B18" s="51">
        <v>9.5</v>
      </c>
      <c r="C18" s="51">
        <v>10.199999999999999</v>
      </c>
      <c r="D18" s="51">
        <v>12.5</v>
      </c>
      <c r="E18" s="51">
        <v>16.8</v>
      </c>
      <c r="F18" s="231">
        <v>30</v>
      </c>
      <c r="G18" s="52">
        <v>100</v>
      </c>
      <c r="H18" s="52">
        <v>100</v>
      </c>
      <c r="I18" s="52">
        <v>99</v>
      </c>
      <c r="J18" s="52">
        <v>97.5</v>
      </c>
      <c r="K18" s="52">
        <v>95.5</v>
      </c>
      <c r="L18" s="52">
        <v>93</v>
      </c>
      <c r="M18" s="52">
        <v>90</v>
      </c>
      <c r="N18" s="52">
        <v>165</v>
      </c>
      <c r="O18" s="52">
        <v>160</v>
      </c>
      <c r="P18" s="52">
        <v>154</v>
      </c>
    </row>
    <row r="19" spans="1:16" ht="19.95" customHeight="1" x14ac:dyDescent="0.3">
      <c r="A19" s="27" t="s">
        <v>83</v>
      </c>
      <c r="B19" s="51">
        <v>0.5</v>
      </c>
      <c r="C19" s="51">
        <v>1</v>
      </c>
      <c r="D19" s="51">
        <v>2.5</v>
      </c>
      <c r="E19" s="51">
        <v>18</v>
      </c>
      <c r="F19" s="231">
        <v>45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40</v>
      </c>
      <c r="M19" s="52">
        <v>80</v>
      </c>
      <c r="N19" s="52">
        <v>0</v>
      </c>
      <c r="O19" s="52">
        <v>0</v>
      </c>
      <c r="P19" s="52">
        <v>0</v>
      </c>
    </row>
    <row r="20" spans="1:16" ht="19.95" customHeight="1" x14ac:dyDescent="0.3">
      <c r="A20" s="27" t="s">
        <v>84</v>
      </c>
      <c r="B20" s="51">
        <v>1.2</v>
      </c>
      <c r="C20" s="51">
        <v>1.5</v>
      </c>
      <c r="D20" s="51">
        <v>2</v>
      </c>
      <c r="E20" s="51">
        <v>3</v>
      </c>
      <c r="F20" s="231">
        <v>3.5</v>
      </c>
      <c r="G20" s="52">
        <v>3.5</v>
      </c>
      <c r="H20" s="52">
        <v>5</v>
      </c>
      <c r="I20" s="52">
        <v>5.5</v>
      </c>
      <c r="J20" s="52">
        <v>6</v>
      </c>
      <c r="K20" s="52">
        <v>6.5</v>
      </c>
      <c r="L20" s="52">
        <v>7</v>
      </c>
      <c r="M20" s="52">
        <v>7.5</v>
      </c>
      <c r="N20" s="52">
        <v>8</v>
      </c>
      <c r="O20" s="52">
        <v>8.5</v>
      </c>
      <c r="P20" s="52">
        <v>9</v>
      </c>
    </row>
    <row r="21" spans="1:16" ht="19.95" customHeight="1" x14ac:dyDescent="0.3">
      <c r="A21" s="27" t="s">
        <v>85</v>
      </c>
      <c r="B21" s="51">
        <v>5.2</v>
      </c>
      <c r="C21" s="51">
        <v>7.8</v>
      </c>
      <c r="D21" s="51">
        <v>10.5</v>
      </c>
      <c r="E21" s="51">
        <v>15</v>
      </c>
      <c r="F21" s="231">
        <v>18.5</v>
      </c>
      <c r="G21" s="52">
        <v>22</v>
      </c>
      <c r="H21" s="52">
        <v>35</v>
      </c>
      <c r="I21" s="52">
        <v>48</v>
      </c>
      <c r="J21" s="52">
        <v>58</v>
      </c>
      <c r="K21" s="52">
        <v>64</v>
      </c>
      <c r="L21" s="52">
        <v>70</v>
      </c>
      <c r="M21" s="52">
        <v>78</v>
      </c>
      <c r="N21" s="52">
        <v>88</v>
      </c>
      <c r="O21" s="52">
        <v>100</v>
      </c>
      <c r="P21" s="52">
        <v>108</v>
      </c>
    </row>
    <row r="22" spans="1:16" ht="19.95" customHeight="1" x14ac:dyDescent="0.3">
      <c r="A22" s="27" t="s">
        <v>86</v>
      </c>
      <c r="B22" s="51">
        <v>13.5</v>
      </c>
      <c r="C22" s="51">
        <v>18</v>
      </c>
      <c r="D22" s="51">
        <v>24</v>
      </c>
      <c r="E22" s="51">
        <v>34</v>
      </c>
      <c r="F22" s="231">
        <v>42</v>
      </c>
      <c r="G22" s="52">
        <v>48</v>
      </c>
      <c r="H22" s="52">
        <v>78</v>
      </c>
      <c r="I22" s="52">
        <v>100</v>
      </c>
      <c r="J22" s="52">
        <v>122</v>
      </c>
      <c r="K22" s="52">
        <v>135</v>
      </c>
      <c r="L22" s="52">
        <v>140</v>
      </c>
      <c r="M22" s="52">
        <v>150</v>
      </c>
      <c r="N22" s="52">
        <v>168</v>
      </c>
      <c r="O22" s="52">
        <v>190</v>
      </c>
      <c r="P22" s="52">
        <v>203</v>
      </c>
    </row>
    <row r="23" spans="1:16" ht="19.95" customHeight="1" x14ac:dyDescent="0.3">
      <c r="A23" s="27" t="s">
        <v>87</v>
      </c>
      <c r="B23" s="51">
        <v>1.5</v>
      </c>
      <c r="C23" s="51">
        <v>2</v>
      </c>
      <c r="D23" s="51">
        <v>3</v>
      </c>
      <c r="E23" s="51">
        <v>5</v>
      </c>
      <c r="F23" s="231">
        <v>8</v>
      </c>
      <c r="G23" s="54">
        <f t="shared" ref="G23:P23" si="3">G15-G18-G19-G20-G21-G22-G24</f>
        <v>5.3278500000000122</v>
      </c>
      <c r="H23" s="54">
        <f t="shared" si="3"/>
        <v>19.873849999999976</v>
      </c>
      <c r="I23" s="54">
        <f t="shared" si="3"/>
        <v>58.292209999999955</v>
      </c>
      <c r="J23" s="54">
        <f t="shared" si="3"/>
        <v>114.28915999999992</v>
      </c>
      <c r="K23" s="54">
        <f t="shared" si="3"/>
        <v>187.89368999999988</v>
      </c>
      <c r="L23" s="61">
        <f t="shared" si="3"/>
        <v>261.68767999999989</v>
      </c>
      <c r="M23" s="61">
        <f t="shared" si="3"/>
        <v>351.86695499999985</v>
      </c>
      <c r="N23" s="61">
        <f t="shared" si="3"/>
        <v>472.71360839999988</v>
      </c>
      <c r="O23" s="61">
        <f t="shared" si="3"/>
        <v>607.4919547999998</v>
      </c>
      <c r="P23" s="61">
        <f t="shared" si="3"/>
        <v>764.88336119999985</v>
      </c>
    </row>
    <row r="24" spans="1:16" ht="19.95" customHeight="1" thickBot="1" x14ac:dyDescent="0.35">
      <c r="A24" s="27" t="s">
        <v>88</v>
      </c>
      <c r="B24" s="69">
        <v>17.600000000000001</v>
      </c>
      <c r="C24" s="69">
        <v>17.88</v>
      </c>
      <c r="D24" s="69">
        <v>18.34</v>
      </c>
      <c r="E24" s="69">
        <v>19.190000000000001</v>
      </c>
      <c r="F24" s="233">
        <f>F15-F18-F19-F20-F21-F22-F23</f>
        <v>2.0300000000000011</v>
      </c>
      <c r="G24" s="70">
        <v>10</v>
      </c>
      <c r="H24" s="70">
        <v>16</v>
      </c>
      <c r="I24" s="70">
        <v>22</v>
      </c>
      <c r="J24" s="70">
        <v>28</v>
      </c>
      <c r="K24" s="70">
        <v>34</v>
      </c>
      <c r="L24" s="70">
        <v>40</v>
      </c>
      <c r="M24" s="70">
        <v>45</v>
      </c>
      <c r="N24" s="70">
        <v>50</v>
      </c>
      <c r="O24" s="70">
        <v>55</v>
      </c>
      <c r="P24" s="70">
        <v>60</v>
      </c>
    </row>
    <row r="25" spans="1:16" ht="19.95" customHeight="1" x14ac:dyDescent="0.3">
      <c r="A25" s="85" t="s">
        <v>89</v>
      </c>
      <c r="B25" s="86">
        <f t="shared" ref="B25:K25" si="4">B18+B19+B20+B21+B22+B23+B24</f>
        <v>49</v>
      </c>
      <c r="C25" s="86">
        <f t="shared" si="4"/>
        <v>58.379999999999995</v>
      </c>
      <c r="D25" s="86">
        <f t="shared" si="4"/>
        <v>72.84</v>
      </c>
      <c r="E25" s="86">
        <f t="shared" si="4"/>
        <v>110.99</v>
      </c>
      <c r="F25" s="244">
        <f t="shared" si="4"/>
        <v>149.03</v>
      </c>
      <c r="G25" s="86">
        <f t="shared" si="4"/>
        <v>188.82785000000001</v>
      </c>
      <c r="H25" s="86">
        <f t="shared" si="4"/>
        <v>253.87384999999998</v>
      </c>
      <c r="I25" s="86">
        <f t="shared" si="4"/>
        <v>332.79220999999995</v>
      </c>
      <c r="J25" s="86">
        <f t="shared" si="4"/>
        <v>425.78915999999992</v>
      </c>
      <c r="K25" s="86">
        <f t="shared" si="4"/>
        <v>522.89368999999988</v>
      </c>
      <c r="L25" s="86">
        <f>L18+L19+L20+L21+L22+L23+L24</f>
        <v>651.68767999999989</v>
      </c>
      <c r="M25" s="86">
        <f>M18+M19+M20+M21+M22+M23+M24</f>
        <v>802.36695499999985</v>
      </c>
      <c r="N25" s="86">
        <f>N18+N19+N20+N21+N22+N23+N24</f>
        <v>951.71360839999988</v>
      </c>
      <c r="O25" s="86">
        <f>O18+O19+O20+O21+O22+O23+O24</f>
        <v>1120.9919547999998</v>
      </c>
      <c r="P25" s="86">
        <f>P18+P19+P20+P21+P22+P23+P24</f>
        <v>1298.8833611999999</v>
      </c>
    </row>
    <row r="26" spans="1:16" ht="7.95" customHeight="1" x14ac:dyDescent="0.3">
      <c r="A26" s="21"/>
      <c r="B26" s="53"/>
      <c r="C26" s="53"/>
      <c r="D26" s="53"/>
      <c r="E26" s="53"/>
      <c r="F26" s="235"/>
      <c r="G26" s="53"/>
      <c r="H26" s="53"/>
      <c r="I26" s="53"/>
      <c r="J26" s="53"/>
      <c r="K26" s="53"/>
      <c r="L26" s="53"/>
      <c r="M26" s="53"/>
      <c r="N26" s="53"/>
      <c r="O26" s="53"/>
      <c r="P26" s="53"/>
    </row>
    <row r="27" spans="1:16" ht="19.95" customHeight="1" x14ac:dyDescent="0.3">
      <c r="A27" s="87" t="s">
        <v>90</v>
      </c>
      <c r="B27" s="88">
        <f t="shared" ref="B27:K27" si="5">B25-B15</f>
        <v>0</v>
      </c>
      <c r="C27" s="88">
        <f t="shared" si="5"/>
        <v>0</v>
      </c>
      <c r="D27" s="88">
        <f t="shared" si="5"/>
        <v>0</v>
      </c>
      <c r="E27" s="88">
        <f t="shared" si="5"/>
        <v>0</v>
      </c>
      <c r="F27" s="245">
        <f t="shared" si="5"/>
        <v>0</v>
      </c>
      <c r="G27" s="88">
        <f t="shared" si="5"/>
        <v>0</v>
      </c>
      <c r="H27" s="88">
        <f t="shared" si="5"/>
        <v>0</v>
      </c>
      <c r="I27" s="88">
        <f t="shared" si="5"/>
        <v>0</v>
      </c>
      <c r="J27" s="88">
        <f t="shared" si="5"/>
        <v>0</v>
      </c>
      <c r="K27" s="88">
        <f t="shared" si="5"/>
        <v>0</v>
      </c>
      <c r="L27" s="89">
        <f>L25-L15</f>
        <v>0</v>
      </c>
      <c r="M27" s="89">
        <f>M25-M15</f>
        <v>0</v>
      </c>
      <c r="N27" s="89">
        <f>N25-N15</f>
        <v>0</v>
      </c>
      <c r="O27" s="89">
        <f>O25-O15</f>
        <v>0</v>
      </c>
      <c r="P27" s="89">
        <f>P25-P15</f>
        <v>0</v>
      </c>
    </row>
    <row r="28" spans="1:16" ht="7.95" customHeight="1" x14ac:dyDescent="0.3">
      <c r="A28" s="21"/>
      <c r="B28" s="53"/>
      <c r="C28" s="53"/>
      <c r="D28" s="53"/>
      <c r="E28" s="53"/>
      <c r="F28" s="235"/>
      <c r="G28" s="53"/>
      <c r="H28" s="53"/>
      <c r="I28" s="53"/>
      <c r="J28" s="53"/>
      <c r="K28" s="53"/>
      <c r="L28" s="53"/>
      <c r="M28" s="53"/>
      <c r="N28" s="53"/>
      <c r="O28" s="53"/>
      <c r="P28" s="53"/>
    </row>
    <row r="29" spans="1:16" ht="19.95" customHeight="1" x14ac:dyDescent="0.3">
      <c r="A29" s="90" t="s">
        <v>91</v>
      </c>
      <c r="B29" s="215">
        <f t="shared" ref="B29:K29" si="6">B12/B8</f>
        <v>0.52091254752851712</v>
      </c>
      <c r="C29" s="215">
        <f t="shared" si="6"/>
        <v>0.48732943469785572</v>
      </c>
      <c r="D29" s="215">
        <f t="shared" si="6"/>
        <v>0.42481977342945415</v>
      </c>
      <c r="E29" s="215">
        <f t="shared" si="6"/>
        <v>0.28422484134179504</v>
      </c>
      <c r="F29" s="246">
        <f t="shared" si="6"/>
        <v>0.26518918918918921</v>
      </c>
      <c r="G29" s="215">
        <f t="shared" si="6"/>
        <v>0.35769264990787181</v>
      </c>
      <c r="H29" s="215">
        <f t="shared" si="6"/>
        <v>0.26512215337515421</v>
      </c>
      <c r="I29" s="215">
        <f t="shared" si="6"/>
        <v>0.18414275010398168</v>
      </c>
      <c r="J29" s="215">
        <f t="shared" si="6"/>
        <v>0.11953994471653256</v>
      </c>
      <c r="K29" s="215">
        <f t="shared" si="6"/>
        <v>6.9967456581111781E-2</v>
      </c>
      <c r="L29" s="215">
        <f>L12/L8</f>
        <v>7.1183398371909595E-2</v>
      </c>
      <c r="M29" s="215">
        <f>M12/M8</f>
        <v>8.5194651469950589E-2</v>
      </c>
      <c r="N29" s="215">
        <f>N12/N8</f>
        <v>6.741146371556854E-2</v>
      </c>
      <c r="O29" s="215">
        <f>O12/O8</f>
        <v>4.7884616081640657E-2</v>
      </c>
      <c r="P29" s="215">
        <f>P12/P8</f>
        <v>2.9853994528075526E-2</v>
      </c>
    </row>
  </sheetData>
  <conditionalFormatting sqref="B27:P27">
    <cfRule type="cellIs" dxfId="3" priority="1" operator="equal">
      <formula>0</formula>
    </cfRule>
    <cfRule type="cellIs" dxfId="2" priority="2" operator="notEqual">
      <formula>0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E1749-04AF-4CC9-A833-3AA495DB82AF}">
  <sheetPr>
    <tabColor rgb="FF1B3A5C"/>
  </sheetPr>
  <dimension ref="A1:P20"/>
  <sheetViews>
    <sheetView workbookViewId="0">
      <pane xSplit="1" topLeftCell="B1" activePane="topRight" state="frozen"/>
      <selection pane="topRight" activeCell="D10" sqref="D10"/>
    </sheetView>
  </sheetViews>
  <sheetFormatPr defaultRowHeight="14.4" x14ac:dyDescent="0.3"/>
  <cols>
    <col min="1" max="1" width="37" customWidth="1"/>
    <col min="2" max="16" width="15.21875" customWidth="1"/>
  </cols>
  <sheetData>
    <row r="1" spans="1:16" ht="30" customHeight="1" x14ac:dyDescent="0.4">
      <c r="A1" s="32" t="s">
        <v>92</v>
      </c>
    </row>
    <row r="2" spans="1:16" ht="18" customHeight="1" x14ac:dyDescent="0.3">
      <c r="A2" s="48" t="s">
        <v>1</v>
      </c>
    </row>
    <row r="3" spans="1:16" ht="7.95" customHeight="1" x14ac:dyDescent="0.3"/>
    <row r="4" spans="1:16" ht="28.05" customHeight="1" thickBot="1" x14ac:dyDescent="0.35">
      <c r="A4" s="58" t="s">
        <v>2</v>
      </c>
      <c r="B4" s="59" t="s">
        <v>3</v>
      </c>
      <c r="C4" s="59" t="s">
        <v>4</v>
      </c>
      <c r="D4" s="59" t="s">
        <v>5</v>
      </c>
      <c r="E4" s="59" t="s">
        <v>6</v>
      </c>
      <c r="F4" s="229" t="s">
        <v>7</v>
      </c>
      <c r="G4" s="60" t="s">
        <v>8</v>
      </c>
      <c r="H4" s="60" t="s">
        <v>9</v>
      </c>
      <c r="I4" s="60" t="s">
        <v>10</v>
      </c>
      <c r="J4" s="60" t="s">
        <v>11</v>
      </c>
      <c r="K4" s="60" t="s">
        <v>12</v>
      </c>
      <c r="L4" s="60" t="s">
        <v>257</v>
      </c>
      <c r="M4" s="60" t="s">
        <v>258</v>
      </c>
      <c r="N4" s="60" t="s">
        <v>259</v>
      </c>
      <c r="O4" s="60" t="s">
        <v>260</v>
      </c>
      <c r="P4" s="60" t="s">
        <v>261</v>
      </c>
    </row>
    <row r="5" spans="1:16" ht="19.95" customHeight="1" x14ac:dyDescent="0.3">
      <c r="A5" s="28" t="s">
        <v>93</v>
      </c>
      <c r="B5" s="50"/>
      <c r="C5" s="50"/>
      <c r="D5" s="50"/>
      <c r="E5" s="50"/>
      <c r="F5" s="242"/>
      <c r="G5" s="50"/>
      <c r="H5" s="50"/>
      <c r="I5" s="50"/>
      <c r="J5" s="50"/>
      <c r="K5" s="50"/>
      <c r="L5" s="50"/>
      <c r="M5" s="50"/>
      <c r="N5" s="50"/>
      <c r="O5" s="50"/>
      <c r="P5" s="50"/>
    </row>
    <row r="6" spans="1:16" ht="19.95" customHeight="1" x14ac:dyDescent="0.3">
      <c r="A6" s="27" t="s">
        <v>31</v>
      </c>
      <c r="B6" s="216">
        <f>'Income Statement'!B27</f>
        <v>2.7699999999999951</v>
      </c>
      <c r="C6" s="216">
        <f>'Income Statement'!C27</f>
        <v>4.4800000000000058</v>
      </c>
      <c r="D6" s="216">
        <f>'Income Statement'!D27</f>
        <v>8.0600000000000023</v>
      </c>
      <c r="E6" s="216">
        <f>'Income Statement'!E27</f>
        <v>13.379999999999997</v>
      </c>
      <c r="F6" s="247">
        <f>'Income Statement'!F27</f>
        <v>20.100000000000009</v>
      </c>
      <c r="G6" s="217">
        <f>'Income Statement'!G27</f>
        <v>18.817849999999996</v>
      </c>
      <c r="H6" s="217">
        <f>'Income Statement'!H27</f>
        <v>38.045999999999978</v>
      </c>
      <c r="I6" s="217">
        <f>'Income Statement'!I27</f>
        <v>60.918359999999979</v>
      </c>
      <c r="J6" s="217">
        <f>'Income Statement'!J27</f>
        <v>80.996949999999998</v>
      </c>
      <c r="K6" s="217">
        <f>'Income Statement'!K27</f>
        <v>93.104529999999954</v>
      </c>
      <c r="L6" s="218">
        <f>'Income Statement'!L27</f>
        <v>105.79399000000001</v>
      </c>
      <c r="M6" s="218">
        <f>'Income Statement'!M27</f>
        <v>118.67927499999999</v>
      </c>
      <c r="N6" s="218">
        <f>'Income Statement'!N27</f>
        <v>131.34665340000001</v>
      </c>
      <c r="O6" s="218">
        <f>'Income Statement'!O27</f>
        <v>156.27834639999998</v>
      </c>
      <c r="P6" s="218">
        <f>'Income Statement'!P27</f>
        <v>173.89140639999999</v>
      </c>
    </row>
    <row r="7" spans="1:16" ht="19.95" customHeight="1" x14ac:dyDescent="0.3">
      <c r="A7" s="27" t="s">
        <v>94</v>
      </c>
      <c r="B7" s="216">
        <f>'Income Statement'!B20</f>
        <v>0.52</v>
      </c>
      <c r="C7" s="216">
        <f>'Income Statement'!C20</f>
        <v>0.6</v>
      </c>
      <c r="D7" s="216">
        <f>'Income Statement'!D20</f>
        <v>0.65</v>
      </c>
      <c r="E7" s="216">
        <f>'Income Statement'!E20</f>
        <v>0.95</v>
      </c>
      <c r="F7" s="247">
        <f>'Income Statement'!F20</f>
        <v>1.18</v>
      </c>
      <c r="G7" s="217">
        <f>'Income Statement'!G20</f>
        <v>2.2000000000000002</v>
      </c>
      <c r="H7" s="217">
        <f>'Income Statement'!H20</f>
        <v>7.5</v>
      </c>
      <c r="I7" s="217">
        <f>'Income Statement'!I20</f>
        <v>8</v>
      </c>
      <c r="J7" s="217">
        <f>'Income Statement'!J20</f>
        <v>8.5</v>
      </c>
      <c r="K7" s="217">
        <f>'Income Statement'!K20</f>
        <v>8.5</v>
      </c>
      <c r="L7" s="218">
        <f>'Income Statement'!L20</f>
        <v>9</v>
      </c>
      <c r="M7" s="218">
        <f>'Income Statement'!M20</f>
        <v>9.5</v>
      </c>
      <c r="N7" s="218">
        <f>'Income Statement'!N20</f>
        <v>11</v>
      </c>
      <c r="O7" s="218">
        <f>'Income Statement'!O20</f>
        <v>12</v>
      </c>
      <c r="P7" s="218">
        <f>'Income Statement'!P20</f>
        <v>12</v>
      </c>
    </row>
    <row r="8" spans="1:16" ht="19.95" customHeight="1" x14ac:dyDescent="0.3">
      <c r="A8" s="27" t="s">
        <v>95</v>
      </c>
      <c r="B8" s="219">
        <v>-2.5</v>
      </c>
      <c r="C8" s="219">
        <v>-3.8</v>
      </c>
      <c r="D8" s="219">
        <v>-4.2</v>
      </c>
      <c r="E8" s="219">
        <v>-8.5</v>
      </c>
      <c r="F8" s="248">
        <v>-5</v>
      </c>
      <c r="G8" s="220">
        <v>-8</v>
      </c>
      <c r="H8" s="220">
        <v>-18</v>
      </c>
      <c r="I8" s="220">
        <v>-18</v>
      </c>
      <c r="J8" s="220">
        <v>-16</v>
      </c>
      <c r="K8" s="220">
        <v>-12</v>
      </c>
      <c r="L8" s="221">
        <v>-15</v>
      </c>
      <c r="M8" s="221">
        <v>-12</v>
      </c>
      <c r="N8" s="221">
        <v>-18</v>
      </c>
      <c r="O8" s="221">
        <v>-18</v>
      </c>
      <c r="P8" s="221">
        <v>-15</v>
      </c>
    </row>
    <row r="9" spans="1:16" ht="19.95" customHeight="1" x14ac:dyDescent="0.3">
      <c r="A9" s="71" t="s">
        <v>96</v>
      </c>
      <c r="B9" s="222">
        <f t="shared" ref="B9:K9" si="0">B6+B7+B8</f>
        <v>0.78999999999999515</v>
      </c>
      <c r="C9" s="222">
        <f t="shared" si="0"/>
        <v>1.2800000000000056</v>
      </c>
      <c r="D9" s="222">
        <f t="shared" si="0"/>
        <v>4.5100000000000025</v>
      </c>
      <c r="E9" s="222">
        <f t="shared" si="0"/>
        <v>5.8299999999999965</v>
      </c>
      <c r="F9" s="249">
        <f t="shared" si="0"/>
        <v>16.280000000000008</v>
      </c>
      <c r="G9" s="222">
        <f t="shared" si="0"/>
        <v>13.017849999999996</v>
      </c>
      <c r="H9" s="222">
        <f t="shared" si="0"/>
        <v>27.545999999999978</v>
      </c>
      <c r="I9" s="222">
        <f t="shared" si="0"/>
        <v>50.918359999999979</v>
      </c>
      <c r="J9" s="222">
        <f t="shared" si="0"/>
        <v>73.496949999999998</v>
      </c>
      <c r="K9" s="222">
        <f t="shared" si="0"/>
        <v>89.604529999999954</v>
      </c>
      <c r="L9" s="223">
        <f>L6+L7+L8</f>
        <v>99.793990000000008</v>
      </c>
      <c r="M9" s="223">
        <f>M6+M7+M8</f>
        <v>116.17927499999999</v>
      </c>
      <c r="N9" s="223">
        <f>N6+N7+N8</f>
        <v>124.34665340000001</v>
      </c>
      <c r="O9" s="223">
        <f>O6+O7+O8</f>
        <v>150.27834639999998</v>
      </c>
      <c r="P9" s="223">
        <f>P6+P7+P8</f>
        <v>170.89140639999999</v>
      </c>
    </row>
    <row r="10" spans="1:16" ht="7.95" customHeight="1" x14ac:dyDescent="0.3">
      <c r="A10" s="21"/>
      <c r="B10" s="224"/>
      <c r="C10" s="224"/>
      <c r="D10" s="224"/>
      <c r="E10" s="224"/>
      <c r="F10" s="250"/>
      <c r="G10" s="224"/>
      <c r="H10" s="224"/>
      <c r="I10" s="224"/>
      <c r="J10" s="224"/>
      <c r="K10" s="224"/>
      <c r="L10" s="224"/>
      <c r="M10" s="224"/>
      <c r="N10" s="224"/>
      <c r="O10" s="224"/>
      <c r="P10" s="224"/>
    </row>
    <row r="11" spans="1:16" ht="19.95" customHeight="1" x14ac:dyDescent="0.3">
      <c r="A11" s="28" t="s">
        <v>97</v>
      </c>
      <c r="B11" s="224"/>
      <c r="C11" s="224"/>
      <c r="D11" s="224"/>
      <c r="E11" s="224"/>
      <c r="F11" s="250"/>
      <c r="G11" s="224"/>
      <c r="H11" s="224"/>
      <c r="I11" s="224"/>
      <c r="J11" s="224"/>
      <c r="K11" s="224"/>
      <c r="L11" s="224"/>
      <c r="M11" s="224"/>
      <c r="N11" s="224"/>
      <c r="O11" s="224"/>
      <c r="P11" s="224"/>
    </row>
    <row r="12" spans="1:16" ht="19.95" customHeight="1" x14ac:dyDescent="0.3">
      <c r="A12" s="27" t="s">
        <v>98</v>
      </c>
      <c r="B12" s="219">
        <v>-1.5</v>
      </c>
      <c r="C12" s="219">
        <v>-2</v>
      </c>
      <c r="D12" s="219">
        <v>-4.5</v>
      </c>
      <c r="E12" s="219">
        <v>-20</v>
      </c>
      <c r="F12" s="248">
        <v>-38</v>
      </c>
      <c r="G12" s="220">
        <v>-15</v>
      </c>
      <c r="H12" s="220">
        <v>-5</v>
      </c>
      <c r="I12" s="220">
        <v>-5</v>
      </c>
      <c r="J12" s="220">
        <v>-5</v>
      </c>
      <c r="K12" s="220">
        <v>-5</v>
      </c>
      <c r="L12" s="221">
        <v>-45</v>
      </c>
      <c r="M12" s="221">
        <v>-45</v>
      </c>
      <c r="N12" s="221">
        <v>-8</v>
      </c>
      <c r="O12" s="221">
        <v>-8</v>
      </c>
      <c r="P12" s="221">
        <v>-8</v>
      </c>
    </row>
    <row r="13" spans="1:16" ht="19.95" customHeight="1" x14ac:dyDescent="0.3">
      <c r="A13" s="71" t="s">
        <v>99</v>
      </c>
      <c r="B13" s="222">
        <f t="shared" ref="B13:K13" si="1">B12</f>
        <v>-1.5</v>
      </c>
      <c r="C13" s="222">
        <f t="shared" si="1"/>
        <v>-2</v>
      </c>
      <c r="D13" s="222">
        <f t="shared" si="1"/>
        <v>-4.5</v>
      </c>
      <c r="E13" s="222">
        <f t="shared" si="1"/>
        <v>-20</v>
      </c>
      <c r="F13" s="249">
        <f t="shared" si="1"/>
        <v>-38</v>
      </c>
      <c r="G13" s="222">
        <f t="shared" si="1"/>
        <v>-15</v>
      </c>
      <c r="H13" s="222">
        <f t="shared" si="1"/>
        <v>-5</v>
      </c>
      <c r="I13" s="222">
        <f t="shared" si="1"/>
        <v>-5</v>
      </c>
      <c r="J13" s="222">
        <f t="shared" si="1"/>
        <v>-5</v>
      </c>
      <c r="K13" s="222">
        <f t="shared" si="1"/>
        <v>-5</v>
      </c>
      <c r="L13" s="222">
        <f>L12</f>
        <v>-45</v>
      </c>
      <c r="M13" s="222">
        <f>M12</f>
        <v>-45</v>
      </c>
      <c r="N13" s="222">
        <f>N12</f>
        <v>-8</v>
      </c>
      <c r="O13" s="222">
        <f>O12</f>
        <v>-8</v>
      </c>
      <c r="P13" s="222">
        <f>P12</f>
        <v>-8</v>
      </c>
    </row>
    <row r="14" spans="1:16" ht="7.95" customHeight="1" x14ac:dyDescent="0.3">
      <c r="A14" s="21"/>
      <c r="B14" s="224"/>
      <c r="C14" s="224"/>
      <c r="D14" s="224"/>
      <c r="E14" s="224"/>
      <c r="F14" s="250"/>
      <c r="G14" s="224"/>
      <c r="H14" s="224"/>
      <c r="I14" s="224"/>
      <c r="J14" s="224"/>
      <c r="K14" s="224"/>
      <c r="L14" s="224"/>
      <c r="M14" s="224"/>
      <c r="N14" s="224"/>
      <c r="O14" s="224"/>
      <c r="P14" s="224"/>
    </row>
    <row r="15" spans="1:16" ht="19.95" customHeight="1" x14ac:dyDescent="0.3">
      <c r="A15" s="28" t="s">
        <v>100</v>
      </c>
      <c r="B15" s="224"/>
      <c r="C15" s="224"/>
      <c r="D15" s="224"/>
      <c r="E15" s="224"/>
      <c r="F15" s="250"/>
      <c r="G15" s="224"/>
      <c r="H15" s="224"/>
      <c r="I15" s="224"/>
      <c r="J15" s="224"/>
      <c r="K15" s="224"/>
      <c r="L15" s="224"/>
      <c r="M15" s="224"/>
      <c r="N15" s="224"/>
      <c r="O15" s="224"/>
      <c r="P15" s="224"/>
    </row>
    <row r="16" spans="1:16" ht="19.95" customHeight="1" x14ac:dyDescent="0.3">
      <c r="A16" s="27" t="s">
        <v>101</v>
      </c>
      <c r="B16" s="216">
        <v>1</v>
      </c>
      <c r="C16" s="216">
        <v>1.3</v>
      </c>
      <c r="D16" s="216">
        <v>1.5</v>
      </c>
      <c r="E16" s="216">
        <v>2.31</v>
      </c>
      <c r="F16" s="247">
        <v>5.28</v>
      </c>
      <c r="G16" s="217">
        <f>'Balance Sheet'!G12-'Balance Sheet'!F12</f>
        <v>15.469999999999999</v>
      </c>
      <c r="H16" s="217">
        <f>'Balance Sheet'!H12-'Balance Sheet'!G12</f>
        <v>0</v>
      </c>
      <c r="I16" s="217">
        <f>'Balance Sheet'!I12-'Balance Sheet'!H12</f>
        <v>-1</v>
      </c>
      <c r="J16" s="217">
        <f>'Balance Sheet'!J12-'Balance Sheet'!I12</f>
        <v>-4</v>
      </c>
      <c r="K16" s="217">
        <f>'Balance Sheet'!K12-'Balance Sheet'!J12</f>
        <v>-8</v>
      </c>
      <c r="L16" s="218">
        <f>'Balance Sheet'!L12-'Balance Sheet'!K12</f>
        <v>8</v>
      </c>
      <c r="M16" s="218">
        <f>'Balance Sheet'!M12-'Balance Sheet'!L12</f>
        <v>17</v>
      </c>
      <c r="N16" s="218">
        <f>'Balance Sheet'!N12-'Balance Sheet'!M12</f>
        <v>-2</v>
      </c>
      <c r="O16" s="218">
        <f>'Balance Sheet'!O12-'Balance Sheet'!N12</f>
        <v>-7</v>
      </c>
      <c r="P16" s="218">
        <f>'Balance Sheet'!P12-'Balance Sheet'!O12</f>
        <v>-11</v>
      </c>
    </row>
    <row r="17" spans="1:16" ht="19.95" customHeight="1" x14ac:dyDescent="0.3">
      <c r="A17" s="27" t="s">
        <v>102</v>
      </c>
      <c r="B17" s="219">
        <v>-1.5</v>
      </c>
      <c r="C17" s="219">
        <v>-1.8</v>
      </c>
      <c r="D17" s="219">
        <v>-2.2000000000000002</v>
      </c>
      <c r="E17" s="219">
        <v>16.48</v>
      </c>
      <c r="F17" s="248">
        <v>-2.4</v>
      </c>
      <c r="G17" s="225">
        <f>-'Income Statement'!G22</f>
        <v>-2.5</v>
      </c>
      <c r="H17" s="225">
        <f>-'Income Statement'!H22</f>
        <v>-4</v>
      </c>
      <c r="I17" s="225">
        <f>-'Income Statement'!I22</f>
        <v>-3.5</v>
      </c>
      <c r="J17" s="225">
        <f>-'Income Statement'!J22</f>
        <v>-2.8</v>
      </c>
      <c r="K17" s="225">
        <f>-'Income Statement'!K22</f>
        <v>-2</v>
      </c>
      <c r="L17" s="226">
        <f>-'Income Statement'!L22</f>
        <v>-2</v>
      </c>
      <c r="M17" s="226">
        <f>-'Income Statement'!M22</f>
        <v>-3</v>
      </c>
      <c r="N17" s="226">
        <f>-'Income Statement'!N22</f>
        <v>-3.5</v>
      </c>
      <c r="O17" s="226">
        <f>-'Income Statement'!O22</f>
        <v>-3</v>
      </c>
      <c r="P17" s="226">
        <f>-'Income Statement'!P22</f>
        <v>-2</v>
      </c>
    </row>
    <row r="18" spans="1:16" ht="19.95" customHeight="1" x14ac:dyDescent="0.3">
      <c r="A18" s="71" t="s">
        <v>103</v>
      </c>
      <c r="B18" s="222">
        <f t="shared" ref="B18:K18" si="2">B16+B17</f>
        <v>-0.5</v>
      </c>
      <c r="C18" s="222">
        <f t="shared" si="2"/>
        <v>-0.5</v>
      </c>
      <c r="D18" s="222">
        <f t="shared" si="2"/>
        <v>-0.70000000000000018</v>
      </c>
      <c r="E18" s="222">
        <f t="shared" si="2"/>
        <v>18.79</v>
      </c>
      <c r="F18" s="249">
        <f t="shared" si="2"/>
        <v>2.8800000000000003</v>
      </c>
      <c r="G18" s="222">
        <f t="shared" si="2"/>
        <v>12.969999999999999</v>
      </c>
      <c r="H18" s="222">
        <f t="shared" si="2"/>
        <v>-4</v>
      </c>
      <c r="I18" s="222">
        <f t="shared" si="2"/>
        <v>-4.5</v>
      </c>
      <c r="J18" s="222">
        <f t="shared" si="2"/>
        <v>-6.8</v>
      </c>
      <c r="K18" s="222">
        <f t="shared" si="2"/>
        <v>-10</v>
      </c>
      <c r="L18" s="223">
        <f>L16+L17</f>
        <v>6</v>
      </c>
      <c r="M18" s="223">
        <f>M16+M17</f>
        <v>14</v>
      </c>
      <c r="N18" s="223">
        <f>N16+N17</f>
        <v>-5.5</v>
      </c>
      <c r="O18" s="223">
        <f>O16+O17</f>
        <v>-10</v>
      </c>
      <c r="P18" s="223">
        <f>P16+P17</f>
        <v>-13</v>
      </c>
    </row>
    <row r="19" spans="1:16" ht="7.95" customHeight="1" thickBot="1" x14ac:dyDescent="0.35">
      <c r="A19" s="21"/>
      <c r="B19" s="227"/>
      <c r="C19" s="227"/>
      <c r="D19" s="227"/>
      <c r="E19" s="227"/>
      <c r="F19" s="251"/>
      <c r="G19" s="227"/>
      <c r="H19" s="227"/>
      <c r="I19" s="227"/>
      <c r="J19" s="227"/>
      <c r="K19" s="227"/>
      <c r="L19" s="227"/>
      <c r="M19" s="227"/>
      <c r="N19" s="227"/>
      <c r="O19" s="227"/>
      <c r="P19" s="227"/>
    </row>
    <row r="20" spans="1:16" ht="19.95" customHeight="1" x14ac:dyDescent="0.3">
      <c r="A20" s="78" t="s">
        <v>104</v>
      </c>
      <c r="B20" s="228">
        <f t="shared" ref="B20:K20" si="3">B9+B13+B18</f>
        <v>-1.2100000000000048</v>
      </c>
      <c r="C20" s="228">
        <f t="shared" si="3"/>
        <v>-1.2199999999999944</v>
      </c>
      <c r="D20" s="228">
        <f t="shared" si="3"/>
        <v>-0.68999999999999773</v>
      </c>
      <c r="E20" s="228">
        <f t="shared" si="3"/>
        <v>4.6199999999999957</v>
      </c>
      <c r="F20" s="252">
        <f t="shared" si="3"/>
        <v>-18.839999999999993</v>
      </c>
      <c r="G20" s="228">
        <f t="shared" si="3"/>
        <v>10.987849999999995</v>
      </c>
      <c r="H20" s="228">
        <f t="shared" si="3"/>
        <v>18.545999999999978</v>
      </c>
      <c r="I20" s="228">
        <f t="shared" si="3"/>
        <v>41.418359999999979</v>
      </c>
      <c r="J20" s="228">
        <f t="shared" si="3"/>
        <v>61.696950000000001</v>
      </c>
      <c r="K20" s="228">
        <f t="shared" si="3"/>
        <v>74.604529999999954</v>
      </c>
      <c r="L20" s="228">
        <f>L9+L13+L18</f>
        <v>60.793990000000008</v>
      </c>
      <c r="M20" s="228">
        <f>M9+M13+M18</f>
        <v>85.17927499999999</v>
      </c>
      <c r="N20" s="228">
        <f>N9+N13+N18</f>
        <v>110.84665340000001</v>
      </c>
      <c r="O20" s="228">
        <f>O9+O13+O18</f>
        <v>132.27834639999998</v>
      </c>
      <c r="P20" s="228">
        <f>P9+P13+P18</f>
        <v>149.89140639999999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5A0AF-FE29-49DA-8002-67243CCCABFE}">
  <sheetPr>
    <tabColor rgb="FF548235"/>
  </sheetPr>
  <dimension ref="A1:P41"/>
  <sheetViews>
    <sheetView workbookViewId="0">
      <pane xSplit="1" topLeftCell="B1" activePane="topRight" state="frozen"/>
      <selection pane="topRight" activeCell="D11" sqref="D11"/>
    </sheetView>
  </sheetViews>
  <sheetFormatPr defaultRowHeight="14.4" x14ac:dyDescent="0.3"/>
  <cols>
    <col min="1" max="1" width="40.77734375" customWidth="1"/>
    <col min="2" max="16" width="15.21875" customWidth="1"/>
  </cols>
  <sheetData>
    <row r="1" spans="1:16" ht="30" customHeight="1" x14ac:dyDescent="0.4">
      <c r="A1" s="117" t="s">
        <v>287</v>
      </c>
    </row>
    <row r="2" spans="1:16" ht="18" customHeight="1" x14ac:dyDescent="0.3">
      <c r="A2" s="184" t="s">
        <v>288</v>
      </c>
    </row>
    <row r="3" spans="1:16" ht="7.95" customHeight="1" x14ac:dyDescent="0.3"/>
    <row r="4" spans="1:16" ht="28.05" customHeight="1" thickBot="1" x14ac:dyDescent="0.35">
      <c r="A4" s="188" t="s">
        <v>2</v>
      </c>
      <c r="B4" s="96" t="s">
        <v>3</v>
      </c>
      <c r="C4" s="96" t="s">
        <v>4</v>
      </c>
      <c r="D4" s="96" t="s">
        <v>5</v>
      </c>
      <c r="E4" s="96" t="s">
        <v>6</v>
      </c>
      <c r="F4" s="253" t="s">
        <v>7</v>
      </c>
      <c r="G4" s="185" t="s">
        <v>8</v>
      </c>
      <c r="H4" s="185" t="s">
        <v>9</v>
      </c>
      <c r="I4" s="185" t="s">
        <v>10</v>
      </c>
      <c r="J4" s="185" t="s">
        <v>11</v>
      </c>
      <c r="K4" s="185" t="s">
        <v>12</v>
      </c>
      <c r="L4" s="185" t="s">
        <v>257</v>
      </c>
      <c r="M4" s="185" t="s">
        <v>258</v>
      </c>
      <c r="N4" s="185" t="s">
        <v>259</v>
      </c>
      <c r="O4" s="185" t="s">
        <v>260</v>
      </c>
      <c r="P4" s="185" t="s">
        <v>261</v>
      </c>
    </row>
    <row r="5" spans="1:16" ht="19.95" customHeight="1" x14ac:dyDescent="0.3">
      <c r="A5" s="190" t="s">
        <v>289</v>
      </c>
      <c r="B5" s="191"/>
      <c r="C5" s="191"/>
      <c r="D5" s="191"/>
      <c r="E5" s="191"/>
      <c r="F5" s="262"/>
      <c r="G5" s="191"/>
      <c r="H5" s="191"/>
      <c r="I5" s="191"/>
      <c r="J5" s="191"/>
      <c r="K5" s="191"/>
      <c r="L5" s="191"/>
      <c r="M5" s="191"/>
      <c r="N5" s="191"/>
      <c r="O5" s="191"/>
      <c r="P5" s="191"/>
    </row>
    <row r="6" spans="1:16" ht="19.95" customHeight="1" x14ac:dyDescent="0.3">
      <c r="A6" s="27" t="s">
        <v>13</v>
      </c>
      <c r="B6" s="189">
        <f>'Income Statement'!B6</f>
        <v>33.68</v>
      </c>
      <c r="C6" s="189">
        <f>'Income Statement'!C6</f>
        <v>51.86</v>
      </c>
      <c r="D6" s="189">
        <f>'Income Statement'!D6</f>
        <v>75.53</v>
      </c>
      <c r="E6" s="189">
        <f>'Income Statement'!E6</f>
        <v>109.96</v>
      </c>
      <c r="F6" s="263">
        <f>'Income Statement'!F6</f>
        <v>148.35</v>
      </c>
      <c r="G6" s="189">
        <f>'Income Statement'!G6</f>
        <v>165</v>
      </c>
      <c r="H6" s="189">
        <f>'Income Statement'!H6</f>
        <v>300</v>
      </c>
      <c r="I6" s="189">
        <f>'Income Statement'!I6</f>
        <v>420</v>
      </c>
      <c r="J6" s="189">
        <f>'Income Statement'!J6</f>
        <v>525</v>
      </c>
      <c r="K6" s="189">
        <f>'Income Statement'!K6</f>
        <v>577.5</v>
      </c>
      <c r="L6" s="189">
        <f>'Income Statement'!L6</f>
        <v>635</v>
      </c>
      <c r="M6" s="189">
        <f>'Income Statement'!M6</f>
        <v>698.5</v>
      </c>
      <c r="N6" s="189">
        <f>'Income Statement'!N6</f>
        <v>782.3</v>
      </c>
      <c r="O6" s="189">
        <f>'Income Statement'!O6</f>
        <v>899.6</v>
      </c>
      <c r="P6" s="189">
        <f>'Income Statement'!P6</f>
        <v>989.6</v>
      </c>
    </row>
    <row r="7" spans="1:16" ht="19.95" customHeight="1" x14ac:dyDescent="0.3">
      <c r="A7" s="27" t="s">
        <v>15</v>
      </c>
      <c r="B7" s="196">
        <f>'Income Statement'!B8</f>
        <v>0.18</v>
      </c>
      <c r="C7" s="196">
        <f>'Income Statement'!C8</f>
        <v>0.22</v>
      </c>
      <c r="D7" s="196">
        <f>'Income Statement'!D8</f>
        <v>0.43</v>
      </c>
      <c r="E7" s="196">
        <f>'Income Statement'!E8</f>
        <v>0.75</v>
      </c>
      <c r="F7" s="264">
        <f>'Income Statement'!F8</f>
        <v>1.19</v>
      </c>
      <c r="G7" s="196">
        <f>'Income Statement'!G8</f>
        <v>1.2</v>
      </c>
      <c r="H7" s="196">
        <f>'Income Statement'!H8</f>
        <v>2</v>
      </c>
      <c r="I7" s="196">
        <f>'Income Statement'!I8</f>
        <v>2.5</v>
      </c>
      <c r="J7" s="196">
        <f>'Income Statement'!J8</f>
        <v>3</v>
      </c>
      <c r="K7" s="196">
        <f>'Income Statement'!K8</f>
        <v>3.5</v>
      </c>
      <c r="L7" s="196">
        <f>'Income Statement'!L8</f>
        <v>4</v>
      </c>
      <c r="M7" s="196">
        <f>'Income Statement'!M8</f>
        <v>4.5</v>
      </c>
      <c r="N7" s="196">
        <f>'Income Statement'!N8</f>
        <v>5</v>
      </c>
      <c r="O7" s="196">
        <f>'Income Statement'!O8</f>
        <v>5.5</v>
      </c>
      <c r="P7" s="196">
        <f>'Income Statement'!P8</f>
        <v>6</v>
      </c>
    </row>
    <row r="8" spans="1:16" ht="19.95" customHeight="1" x14ac:dyDescent="0.3">
      <c r="A8" s="71" t="s">
        <v>290</v>
      </c>
      <c r="B8" s="197">
        <f t="shared" ref="B8:P8" si="0">B6+B7</f>
        <v>33.86</v>
      </c>
      <c r="C8" s="197">
        <f t="shared" si="0"/>
        <v>52.08</v>
      </c>
      <c r="D8" s="197">
        <f t="shared" si="0"/>
        <v>75.960000000000008</v>
      </c>
      <c r="E8" s="197">
        <f t="shared" si="0"/>
        <v>110.71</v>
      </c>
      <c r="F8" s="265">
        <f t="shared" si="0"/>
        <v>149.54</v>
      </c>
      <c r="G8" s="197">
        <f t="shared" si="0"/>
        <v>166.2</v>
      </c>
      <c r="H8" s="197">
        <f t="shared" si="0"/>
        <v>302</v>
      </c>
      <c r="I8" s="197">
        <f t="shared" si="0"/>
        <v>422.5</v>
      </c>
      <c r="J8" s="197">
        <f t="shared" si="0"/>
        <v>528</v>
      </c>
      <c r="K8" s="197">
        <f t="shared" si="0"/>
        <v>581</v>
      </c>
      <c r="L8" s="197">
        <f t="shared" si="0"/>
        <v>639</v>
      </c>
      <c r="M8" s="197">
        <f t="shared" si="0"/>
        <v>703</v>
      </c>
      <c r="N8" s="197">
        <f t="shared" si="0"/>
        <v>787.3</v>
      </c>
      <c r="O8" s="197">
        <f t="shared" si="0"/>
        <v>905.1</v>
      </c>
      <c r="P8" s="197">
        <f t="shared" si="0"/>
        <v>995.6</v>
      </c>
    </row>
    <row r="9" spans="1:16" ht="7.95" customHeight="1" x14ac:dyDescent="0.3">
      <c r="A9" s="21"/>
      <c r="B9" s="98"/>
      <c r="C9" s="98"/>
      <c r="D9" s="98"/>
      <c r="E9" s="98"/>
      <c r="F9" s="266"/>
      <c r="G9" s="98"/>
      <c r="H9" s="98"/>
      <c r="I9" s="98"/>
      <c r="J9" s="98"/>
      <c r="K9" s="98"/>
      <c r="L9" s="98"/>
      <c r="M9" s="98"/>
      <c r="N9" s="98"/>
      <c r="O9" s="98"/>
      <c r="P9" s="98"/>
    </row>
    <row r="10" spans="1:16" ht="19.95" customHeight="1" x14ac:dyDescent="0.3">
      <c r="A10" s="194" t="s">
        <v>291</v>
      </c>
      <c r="B10" s="195"/>
      <c r="C10" s="195"/>
      <c r="D10" s="195"/>
      <c r="E10" s="195"/>
      <c r="F10" s="267"/>
      <c r="G10" s="195"/>
      <c r="H10" s="195"/>
      <c r="I10" s="195"/>
      <c r="J10" s="195"/>
      <c r="K10" s="195"/>
      <c r="L10" s="195"/>
      <c r="M10" s="195"/>
      <c r="N10" s="195"/>
      <c r="O10" s="195"/>
      <c r="P10" s="195"/>
    </row>
    <row r="11" spans="1:16" ht="19.95" customHeight="1" x14ac:dyDescent="0.3">
      <c r="A11" s="27" t="s">
        <v>292</v>
      </c>
      <c r="B11" s="192">
        <v>0</v>
      </c>
      <c r="C11" s="192">
        <v>0</v>
      </c>
      <c r="D11" s="192">
        <v>0</v>
      </c>
      <c r="E11" s="192">
        <v>5</v>
      </c>
      <c r="F11" s="268">
        <v>12</v>
      </c>
      <c r="G11" s="193">
        <v>18</v>
      </c>
      <c r="H11" s="193">
        <v>30</v>
      </c>
      <c r="I11" s="193">
        <v>42</v>
      </c>
      <c r="J11" s="193">
        <v>52</v>
      </c>
      <c r="K11" s="193">
        <v>58</v>
      </c>
      <c r="L11" s="193">
        <v>65</v>
      </c>
      <c r="M11" s="193">
        <v>72</v>
      </c>
      <c r="N11" s="193">
        <v>82</v>
      </c>
      <c r="O11" s="193">
        <v>95</v>
      </c>
      <c r="P11" s="193">
        <v>105</v>
      </c>
    </row>
    <row r="12" spans="1:16" ht="19.95" customHeight="1" x14ac:dyDescent="0.3">
      <c r="A12" s="27" t="s">
        <v>293</v>
      </c>
      <c r="B12" s="198">
        <v>0</v>
      </c>
      <c r="C12" s="198">
        <v>0</v>
      </c>
      <c r="D12" s="198">
        <v>0</v>
      </c>
      <c r="E12" s="198">
        <v>0.05</v>
      </c>
      <c r="F12" s="269">
        <v>0.08</v>
      </c>
      <c r="G12" s="199">
        <v>0.1</v>
      </c>
      <c r="H12" s="199">
        <v>0.15</v>
      </c>
      <c r="I12" s="199">
        <v>0.2</v>
      </c>
      <c r="J12" s="199">
        <v>0.25</v>
      </c>
      <c r="K12" s="199">
        <v>0.3</v>
      </c>
      <c r="L12" s="199">
        <v>0.35</v>
      </c>
      <c r="M12" s="199">
        <v>0.4</v>
      </c>
      <c r="N12" s="199">
        <v>0.45</v>
      </c>
      <c r="O12" s="199">
        <v>0.5</v>
      </c>
      <c r="P12" s="199">
        <v>0.55000000000000004</v>
      </c>
    </row>
    <row r="13" spans="1:16" ht="19.95" customHeight="1" x14ac:dyDescent="0.3">
      <c r="A13" s="71" t="s">
        <v>294</v>
      </c>
      <c r="B13" s="197">
        <f t="shared" ref="B13:P13" si="1">B11+B12</f>
        <v>0</v>
      </c>
      <c r="C13" s="197">
        <f t="shared" si="1"/>
        <v>0</v>
      </c>
      <c r="D13" s="197">
        <f t="shared" si="1"/>
        <v>0</v>
      </c>
      <c r="E13" s="197">
        <f t="shared" si="1"/>
        <v>5.05</v>
      </c>
      <c r="F13" s="265">
        <f t="shared" si="1"/>
        <v>12.08</v>
      </c>
      <c r="G13" s="197">
        <f t="shared" si="1"/>
        <v>18.100000000000001</v>
      </c>
      <c r="H13" s="197">
        <f t="shared" si="1"/>
        <v>30.15</v>
      </c>
      <c r="I13" s="197">
        <f t="shared" si="1"/>
        <v>42.2</v>
      </c>
      <c r="J13" s="197">
        <f t="shared" si="1"/>
        <v>52.25</v>
      </c>
      <c r="K13" s="197">
        <f t="shared" si="1"/>
        <v>58.3</v>
      </c>
      <c r="L13" s="197">
        <f t="shared" si="1"/>
        <v>65.349999999999994</v>
      </c>
      <c r="M13" s="197">
        <f t="shared" si="1"/>
        <v>72.400000000000006</v>
      </c>
      <c r="N13" s="197">
        <f t="shared" si="1"/>
        <v>82.45</v>
      </c>
      <c r="O13" s="197">
        <f t="shared" si="1"/>
        <v>95.5</v>
      </c>
      <c r="P13" s="197">
        <f t="shared" si="1"/>
        <v>105.55</v>
      </c>
    </row>
    <row r="14" spans="1:16" ht="7.95" customHeight="1" x14ac:dyDescent="0.3">
      <c r="A14" s="21"/>
      <c r="B14" s="98"/>
      <c r="C14" s="98"/>
      <c r="D14" s="98"/>
      <c r="E14" s="98"/>
      <c r="F14" s="266"/>
      <c r="G14" s="98"/>
      <c r="H14" s="98"/>
      <c r="I14" s="98"/>
      <c r="J14" s="98"/>
      <c r="K14" s="98"/>
      <c r="L14" s="98"/>
      <c r="M14" s="98"/>
      <c r="N14" s="98"/>
      <c r="O14" s="98"/>
      <c r="P14" s="98"/>
    </row>
    <row r="15" spans="1:16" ht="19.95" customHeight="1" x14ac:dyDescent="0.3">
      <c r="A15" s="194" t="s">
        <v>295</v>
      </c>
      <c r="B15" s="195"/>
      <c r="C15" s="195"/>
      <c r="D15" s="195"/>
      <c r="E15" s="195"/>
      <c r="F15" s="267"/>
      <c r="G15" s="195"/>
      <c r="H15" s="195"/>
      <c r="I15" s="195"/>
      <c r="J15" s="195"/>
      <c r="K15" s="195"/>
      <c r="L15" s="195"/>
      <c r="M15" s="195"/>
      <c r="N15" s="195"/>
      <c r="O15" s="195"/>
      <c r="P15" s="195"/>
    </row>
    <row r="16" spans="1:16" ht="19.95" customHeight="1" x14ac:dyDescent="0.3">
      <c r="A16" s="27" t="s">
        <v>296</v>
      </c>
      <c r="B16" s="192">
        <v>0</v>
      </c>
      <c r="C16" s="192">
        <v>0</v>
      </c>
      <c r="D16" s="192">
        <v>0</v>
      </c>
      <c r="E16" s="192">
        <v>-5</v>
      </c>
      <c r="F16" s="268">
        <v>-12</v>
      </c>
      <c r="G16" s="193">
        <v>-8</v>
      </c>
      <c r="H16" s="193">
        <v>-12</v>
      </c>
      <c r="I16" s="193">
        <v>-15</v>
      </c>
      <c r="J16" s="193">
        <v>-18</v>
      </c>
      <c r="K16" s="193">
        <v>-20</v>
      </c>
      <c r="L16" s="193">
        <v>-22</v>
      </c>
      <c r="M16" s="193">
        <v>-24</v>
      </c>
      <c r="N16" s="193">
        <v>-26</v>
      </c>
      <c r="O16" s="193">
        <v>-28</v>
      </c>
      <c r="P16" s="193">
        <v>-30</v>
      </c>
    </row>
    <row r="17" spans="1:16" ht="7.95" customHeight="1" x14ac:dyDescent="0.3">
      <c r="A17" s="21"/>
      <c r="B17" s="98"/>
      <c r="C17" s="98"/>
      <c r="D17" s="98"/>
      <c r="E17" s="98"/>
      <c r="F17" s="266"/>
      <c r="G17" s="98"/>
      <c r="H17" s="98"/>
      <c r="I17" s="98"/>
      <c r="J17" s="98"/>
      <c r="K17" s="98"/>
      <c r="L17" s="98"/>
      <c r="M17" s="98"/>
      <c r="N17" s="98"/>
      <c r="O17" s="98"/>
      <c r="P17" s="98"/>
    </row>
    <row r="18" spans="1:16" ht="19.95" customHeight="1" x14ac:dyDescent="0.3">
      <c r="A18" s="194" t="s">
        <v>297</v>
      </c>
      <c r="B18" s="195"/>
      <c r="C18" s="195"/>
      <c r="D18" s="195"/>
      <c r="E18" s="195"/>
      <c r="F18" s="267"/>
      <c r="G18" s="195"/>
      <c r="H18" s="195"/>
      <c r="I18" s="195"/>
      <c r="J18" s="195"/>
      <c r="K18" s="195"/>
      <c r="L18" s="195"/>
      <c r="M18" s="195"/>
      <c r="N18" s="195"/>
      <c r="O18" s="195"/>
      <c r="P18" s="195"/>
    </row>
    <row r="19" spans="1:16" ht="19.95" customHeight="1" x14ac:dyDescent="0.3">
      <c r="A19" s="27" t="s">
        <v>298</v>
      </c>
      <c r="B19" s="192">
        <f t="shared" ref="B19:P19" si="2">B6+B11+B16</f>
        <v>33.68</v>
      </c>
      <c r="C19" s="192">
        <f t="shared" si="2"/>
        <v>51.86</v>
      </c>
      <c r="D19" s="192">
        <f t="shared" si="2"/>
        <v>75.53</v>
      </c>
      <c r="E19" s="192">
        <f t="shared" si="2"/>
        <v>109.96</v>
      </c>
      <c r="F19" s="268">
        <f t="shared" si="2"/>
        <v>148.35</v>
      </c>
      <c r="G19" s="192">
        <f t="shared" si="2"/>
        <v>175</v>
      </c>
      <c r="H19" s="192">
        <f t="shared" si="2"/>
        <v>318</v>
      </c>
      <c r="I19" s="192">
        <f t="shared" si="2"/>
        <v>447</v>
      </c>
      <c r="J19" s="192">
        <f t="shared" si="2"/>
        <v>559</v>
      </c>
      <c r="K19" s="192">
        <f t="shared" si="2"/>
        <v>615.5</v>
      </c>
      <c r="L19" s="192">
        <f t="shared" si="2"/>
        <v>678</v>
      </c>
      <c r="M19" s="192">
        <f t="shared" si="2"/>
        <v>746.5</v>
      </c>
      <c r="N19" s="192">
        <f t="shared" si="2"/>
        <v>838.3</v>
      </c>
      <c r="O19" s="192">
        <f t="shared" si="2"/>
        <v>966.6</v>
      </c>
      <c r="P19" s="192">
        <f t="shared" si="2"/>
        <v>1064.5999999999999</v>
      </c>
    </row>
    <row r="20" spans="1:16" ht="19.95" customHeight="1" x14ac:dyDescent="0.3">
      <c r="A20" s="27" t="s">
        <v>299</v>
      </c>
      <c r="B20" s="198">
        <f t="shared" ref="B20:P20" si="3">B7+B12</f>
        <v>0.18</v>
      </c>
      <c r="C20" s="198">
        <f t="shared" si="3"/>
        <v>0.22</v>
      </c>
      <c r="D20" s="198">
        <f t="shared" si="3"/>
        <v>0.43</v>
      </c>
      <c r="E20" s="198">
        <f t="shared" si="3"/>
        <v>0.8</v>
      </c>
      <c r="F20" s="269">
        <f t="shared" si="3"/>
        <v>1.27</v>
      </c>
      <c r="G20" s="198">
        <f t="shared" si="3"/>
        <v>1.3</v>
      </c>
      <c r="H20" s="198">
        <f t="shared" si="3"/>
        <v>2.15</v>
      </c>
      <c r="I20" s="198">
        <f t="shared" si="3"/>
        <v>2.7</v>
      </c>
      <c r="J20" s="198">
        <f t="shared" si="3"/>
        <v>3.25</v>
      </c>
      <c r="K20" s="198">
        <f t="shared" si="3"/>
        <v>3.8</v>
      </c>
      <c r="L20" s="198">
        <f t="shared" si="3"/>
        <v>4.3499999999999996</v>
      </c>
      <c r="M20" s="198">
        <f t="shared" si="3"/>
        <v>4.9000000000000004</v>
      </c>
      <c r="N20" s="198">
        <f t="shared" si="3"/>
        <v>5.45</v>
      </c>
      <c r="O20" s="198">
        <f t="shared" si="3"/>
        <v>6</v>
      </c>
      <c r="P20" s="198">
        <f t="shared" si="3"/>
        <v>6.55</v>
      </c>
    </row>
    <row r="21" spans="1:16" ht="19.95" customHeight="1" x14ac:dyDescent="0.3">
      <c r="A21" s="71" t="s">
        <v>300</v>
      </c>
      <c r="B21" s="197">
        <f t="shared" ref="B21:P21" si="4">B19+B20</f>
        <v>33.86</v>
      </c>
      <c r="C21" s="197">
        <f t="shared" si="4"/>
        <v>52.08</v>
      </c>
      <c r="D21" s="197">
        <f t="shared" si="4"/>
        <v>75.960000000000008</v>
      </c>
      <c r="E21" s="197">
        <f t="shared" si="4"/>
        <v>110.75999999999999</v>
      </c>
      <c r="F21" s="265">
        <f t="shared" si="4"/>
        <v>149.62</v>
      </c>
      <c r="G21" s="197">
        <f t="shared" si="4"/>
        <v>176.3</v>
      </c>
      <c r="H21" s="197">
        <f t="shared" si="4"/>
        <v>320.14999999999998</v>
      </c>
      <c r="I21" s="197">
        <f t="shared" si="4"/>
        <v>449.7</v>
      </c>
      <c r="J21" s="197">
        <f t="shared" si="4"/>
        <v>562.25</v>
      </c>
      <c r="K21" s="197">
        <f t="shared" si="4"/>
        <v>619.29999999999995</v>
      </c>
      <c r="L21" s="197">
        <f t="shared" si="4"/>
        <v>682.35</v>
      </c>
      <c r="M21" s="197">
        <f t="shared" si="4"/>
        <v>751.4</v>
      </c>
      <c r="N21" s="197">
        <f t="shared" si="4"/>
        <v>843.75</v>
      </c>
      <c r="O21" s="197">
        <f t="shared" si="4"/>
        <v>972.6</v>
      </c>
      <c r="P21" s="197">
        <f t="shared" si="4"/>
        <v>1071.1499999999999</v>
      </c>
    </row>
    <row r="22" spans="1:16" ht="7.95" customHeight="1" x14ac:dyDescent="0.3">
      <c r="A22" s="21"/>
      <c r="B22" s="98"/>
      <c r="C22" s="98"/>
      <c r="D22" s="98"/>
      <c r="E22" s="98"/>
      <c r="F22" s="266"/>
      <c r="G22" s="98"/>
      <c r="H22" s="98"/>
      <c r="I22" s="98"/>
      <c r="J22" s="98"/>
      <c r="K22" s="98"/>
      <c r="L22" s="98"/>
      <c r="M22" s="98"/>
      <c r="N22" s="98"/>
      <c r="O22" s="98"/>
      <c r="P22" s="98"/>
    </row>
    <row r="23" spans="1:16" ht="19.95" customHeight="1" x14ac:dyDescent="0.3">
      <c r="A23" s="27" t="s">
        <v>18</v>
      </c>
      <c r="B23" s="187">
        <f>'Income Statement'!B12+(B11+B16)*0.72</f>
        <v>22.42</v>
      </c>
      <c r="C23" s="187">
        <f>'Income Statement'!C12+(C11+C16)*0.72</f>
        <v>35.799999999999997</v>
      </c>
      <c r="D23" s="187">
        <f>'Income Statement'!D12+(D11+D16)*0.72</f>
        <v>51.8</v>
      </c>
      <c r="E23" s="187">
        <f>'Income Statement'!E12+(E11+E16)*0.72</f>
        <v>73.5</v>
      </c>
      <c r="F23" s="270">
        <f>'Income Statement'!F12+(F11+F16)*0.72</f>
        <v>100.88</v>
      </c>
      <c r="G23" s="186">
        <f>'Income Statement'!G12+(G11+G16)*0.72</f>
        <v>121.05</v>
      </c>
      <c r="H23" s="186">
        <f>'Income Statement'!H12+(H11+H16)*0.72</f>
        <v>216.96000000000004</v>
      </c>
      <c r="I23" s="186">
        <f>'Income Statement'!I12+(I11+I16)*0.72</f>
        <v>300.84000000000003</v>
      </c>
      <c r="J23" s="186">
        <f>'Income Statement'!J12+(J11+J16)*0.72</f>
        <v>373.60500000000002</v>
      </c>
      <c r="K23" s="186">
        <f>'Income Statement'!K12+(K11+K16)*0.72</f>
        <v>408.51000000000005</v>
      </c>
      <c r="L23" s="186">
        <f>'Income Statement'!L12+(L11+L16)*0.72</f>
        <v>446.88499999999999</v>
      </c>
      <c r="M23" s="186">
        <f>'Income Statement'!M12+(M11+M16)*0.72</f>
        <v>488.58500000000004</v>
      </c>
      <c r="N23" s="186">
        <f>'Income Statement'!N12+(N11+N16)*0.72</f>
        <v>548.81500000000005</v>
      </c>
      <c r="O23" s="186">
        <f>'Income Statement'!O12+(O11+O16)*0.72</f>
        <v>628.48200000000008</v>
      </c>
      <c r="P23" s="186">
        <f>'Income Statement'!P12+(P11+P16)*0.72</f>
        <v>692.29200000000003</v>
      </c>
    </row>
    <row r="24" spans="1:16" ht="19.95" customHeight="1" x14ac:dyDescent="0.3">
      <c r="A24" s="80" t="s">
        <v>19</v>
      </c>
      <c r="B24" s="202">
        <f t="shared" ref="B24:P24" si="5">IF(B19&gt;0,B23/B19,0)</f>
        <v>0.66567695961995255</v>
      </c>
      <c r="C24" s="202">
        <f t="shared" si="5"/>
        <v>0.69032009255688387</v>
      </c>
      <c r="D24" s="202">
        <f t="shared" si="5"/>
        <v>0.68582020389249299</v>
      </c>
      <c r="E24" s="202">
        <f t="shared" si="5"/>
        <v>0.66842488177519099</v>
      </c>
      <c r="F24" s="271">
        <f t="shared" si="5"/>
        <v>0.68001348163127739</v>
      </c>
      <c r="G24" s="202">
        <f t="shared" si="5"/>
        <v>0.69171428571428573</v>
      </c>
      <c r="H24" s="202">
        <f t="shared" si="5"/>
        <v>0.68226415094339632</v>
      </c>
      <c r="I24" s="202">
        <f t="shared" si="5"/>
        <v>0.67302013422818796</v>
      </c>
      <c r="J24" s="202">
        <f t="shared" si="5"/>
        <v>0.66834525939177103</v>
      </c>
      <c r="K24" s="202">
        <f t="shared" si="5"/>
        <v>0.66370430544272951</v>
      </c>
      <c r="L24" s="202">
        <f t="shared" si="5"/>
        <v>0.65912241887905598</v>
      </c>
      <c r="M24" s="202">
        <f t="shared" si="5"/>
        <v>0.65450100468854655</v>
      </c>
      <c r="N24" s="202">
        <f t="shared" si="5"/>
        <v>0.65467613026362892</v>
      </c>
      <c r="O24" s="202">
        <f t="shared" si="5"/>
        <v>0.65019863438857861</v>
      </c>
      <c r="P24" s="202">
        <f t="shared" si="5"/>
        <v>0.65028367461957548</v>
      </c>
    </row>
    <row r="25" spans="1:16" ht="19.95" customHeight="1" x14ac:dyDescent="0.3">
      <c r="A25" s="27" t="s">
        <v>20</v>
      </c>
      <c r="B25" s="187">
        <f>'Income Statement'!B14+(B11+B16)*0.1</f>
        <v>2.1</v>
      </c>
      <c r="C25" s="187">
        <f>'Income Statement'!C14+(C11+C16)*0.1</f>
        <v>2.65</v>
      </c>
      <c r="D25" s="187">
        <f>'Income Statement'!D14+(D11+D16)*0.1</f>
        <v>3.45</v>
      </c>
      <c r="E25" s="187">
        <f>'Income Statement'!E14+(E11+E16)*0.1</f>
        <v>4.28</v>
      </c>
      <c r="F25" s="270">
        <f>'Income Statement'!F14+(F11+F16)*0.1</f>
        <v>5.0999999999999996</v>
      </c>
      <c r="G25" s="186">
        <f>'Income Statement'!G14+(G11+G16)*0.1</f>
        <v>7.75</v>
      </c>
      <c r="H25" s="186">
        <f>'Income Statement'!H14+(H11+H16)*0.1</f>
        <v>11.8</v>
      </c>
      <c r="I25" s="186">
        <f>'Income Statement'!I14+(I11+I16)*0.1</f>
        <v>16.2</v>
      </c>
      <c r="J25" s="186">
        <f>'Income Statement'!J14+(J11+J16)*0.1</f>
        <v>20.399999999999999</v>
      </c>
      <c r="K25" s="186">
        <f>'Income Statement'!K14+(K11+K16)*0.1</f>
        <v>23.3</v>
      </c>
      <c r="L25" s="186">
        <f>'Income Statement'!L14+(L11+L16)*0.1</f>
        <v>26.3</v>
      </c>
      <c r="M25" s="186">
        <f>'Income Statement'!M14+(M11+M16)*0.1</f>
        <v>29.8</v>
      </c>
      <c r="N25" s="186">
        <f>'Income Statement'!N14+(N11+N16)*0.1</f>
        <v>33.6</v>
      </c>
      <c r="O25" s="186">
        <f>'Income Statement'!O14+(O11+O16)*0.1</f>
        <v>38.700000000000003</v>
      </c>
      <c r="P25" s="186">
        <f>'Income Statement'!P14+(P11+P16)*0.1</f>
        <v>42.5</v>
      </c>
    </row>
    <row r="26" spans="1:16" ht="19.95" customHeight="1" x14ac:dyDescent="0.3">
      <c r="A26" s="27" t="s">
        <v>21</v>
      </c>
      <c r="B26" s="198">
        <f>'Income Statement'!B15+(B11+B16)*0.07</f>
        <v>2.85</v>
      </c>
      <c r="C26" s="198">
        <f>'Income Statement'!C15+(C11+C16)*0.07</f>
        <v>4.1500000000000004</v>
      </c>
      <c r="D26" s="198">
        <f>'Income Statement'!D15+(D11+D16)*0.07</f>
        <v>5.65</v>
      </c>
      <c r="E26" s="198">
        <f>'Income Statement'!E15+(E11+E16)*0.07</f>
        <v>9.8000000000000007</v>
      </c>
      <c r="F26" s="269">
        <f>'Income Statement'!F15+(F11+F16)*0.07</f>
        <v>13.3</v>
      </c>
      <c r="G26" s="196">
        <f>'Income Statement'!G15+(G11+G16)*0.07</f>
        <v>16.375</v>
      </c>
      <c r="H26" s="196">
        <f>'Income Statement'!H15+(H11+H16)*0.07</f>
        <v>26.760000000000005</v>
      </c>
      <c r="I26" s="196">
        <f>'Income Statement'!I15+(I11+I16)*0.07</f>
        <v>36.330000000000005</v>
      </c>
      <c r="J26" s="196">
        <f>'Income Statement'!J15+(J11+J16)*0.07</f>
        <v>44.38</v>
      </c>
      <c r="K26" s="196">
        <f>'Income Statement'!K15+(K11+K16)*0.07</f>
        <v>47.704999999999998</v>
      </c>
      <c r="L26" s="196">
        <f>'Income Statement'!L15+(L11+L16)*0.07</f>
        <v>51.269999999999996</v>
      </c>
      <c r="M26" s="196">
        <f>'Income Statement'!M15+(M11+M16)*0.07</f>
        <v>55.747499999999995</v>
      </c>
      <c r="N26" s="196">
        <f>'Income Statement'!N15+(N11+N16)*0.07</f>
        <v>64.1571</v>
      </c>
      <c r="O26" s="196">
        <f>'Income Statement'!O15+(O11+O16)*0.07</f>
        <v>73.059600000000003</v>
      </c>
      <c r="P26" s="196">
        <f>'Income Statement'!P15+(P11+P16)*0.07</f>
        <v>80.459599999999995</v>
      </c>
    </row>
    <row r="27" spans="1:16" ht="19.95" customHeight="1" x14ac:dyDescent="0.3">
      <c r="A27" s="71" t="s">
        <v>22</v>
      </c>
      <c r="B27" s="197">
        <f t="shared" ref="B27:P27" si="6">B23+B25+B26</f>
        <v>27.370000000000005</v>
      </c>
      <c r="C27" s="197">
        <f t="shared" si="6"/>
        <v>42.599999999999994</v>
      </c>
      <c r="D27" s="197">
        <f t="shared" si="6"/>
        <v>60.9</v>
      </c>
      <c r="E27" s="197">
        <f t="shared" si="6"/>
        <v>87.58</v>
      </c>
      <c r="F27" s="265">
        <f t="shared" si="6"/>
        <v>119.27999999999999</v>
      </c>
      <c r="G27" s="197">
        <f t="shared" si="6"/>
        <v>145.17500000000001</v>
      </c>
      <c r="H27" s="197">
        <f t="shared" si="6"/>
        <v>255.52000000000004</v>
      </c>
      <c r="I27" s="197">
        <f t="shared" si="6"/>
        <v>353.37</v>
      </c>
      <c r="J27" s="197">
        <f t="shared" si="6"/>
        <v>438.38499999999999</v>
      </c>
      <c r="K27" s="197">
        <f t="shared" si="6"/>
        <v>479.51500000000004</v>
      </c>
      <c r="L27" s="197">
        <f t="shared" si="6"/>
        <v>524.45500000000004</v>
      </c>
      <c r="M27" s="197">
        <f t="shared" si="6"/>
        <v>574.13249999999994</v>
      </c>
      <c r="N27" s="197">
        <f t="shared" si="6"/>
        <v>646.57210000000009</v>
      </c>
      <c r="O27" s="197">
        <f t="shared" si="6"/>
        <v>740.24160000000018</v>
      </c>
      <c r="P27" s="197">
        <f t="shared" si="6"/>
        <v>815.25160000000005</v>
      </c>
    </row>
    <row r="28" spans="1:16" ht="7.95" customHeight="1" x14ac:dyDescent="0.3">
      <c r="A28" s="21"/>
      <c r="B28" s="200"/>
      <c r="C28" s="200"/>
      <c r="D28" s="200"/>
      <c r="E28" s="200"/>
      <c r="F28" s="272"/>
      <c r="G28" s="200"/>
      <c r="H28" s="200"/>
      <c r="I28" s="200"/>
      <c r="J28" s="200"/>
      <c r="K28" s="200"/>
      <c r="L28" s="200"/>
      <c r="M28" s="200"/>
      <c r="N28" s="200"/>
      <c r="O28" s="200"/>
      <c r="P28" s="200"/>
    </row>
    <row r="29" spans="1:16" ht="19.95" customHeight="1" x14ac:dyDescent="0.3">
      <c r="A29" s="71" t="s">
        <v>23</v>
      </c>
      <c r="B29" s="197">
        <f t="shared" ref="B29:P29" si="7">B21-B27</f>
        <v>6.4899999999999949</v>
      </c>
      <c r="C29" s="197">
        <f t="shared" si="7"/>
        <v>9.480000000000004</v>
      </c>
      <c r="D29" s="197">
        <f t="shared" si="7"/>
        <v>15.060000000000009</v>
      </c>
      <c r="E29" s="197">
        <f t="shared" si="7"/>
        <v>23.179999999999993</v>
      </c>
      <c r="F29" s="265">
        <f t="shared" si="7"/>
        <v>30.340000000000018</v>
      </c>
      <c r="G29" s="197">
        <f t="shared" si="7"/>
        <v>31.125</v>
      </c>
      <c r="H29" s="197">
        <f t="shared" si="7"/>
        <v>64.629999999999939</v>
      </c>
      <c r="I29" s="197">
        <f t="shared" si="7"/>
        <v>96.329999999999984</v>
      </c>
      <c r="J29" s="197">
        <f t="shared" si="7"/>
        <v>123.86500000000001</v>
      </c>
      <c r="K29" s="197">
        <f t="shared" si="7"/>
        <v>139.78499999999991</v>
      </c>
      <c r="L29" s="197">
        <f t="shared" si="7"/>
        <v>157.89499999999998</v>
      </c>
      <c r="M29" s="197">
        <f t="shared" si="7"/>
        <v>177.26750000000004</v>
      </c>
      <c r="N29" s="197">
        <f t="shared" si="7"/>
        <v>197.17789999999991</v>
      </c>
      <c r="O29" s="197">
        <f t="shared" si="7"/>
        <v>232.35839999999985</v>
      </c>
      <c r="P29" s="197">
        <f t="shared" si="7"/>
        <v>255.89839999999981</v>
      </c>
    </row>
    <row r="30" spans="1:16" ht="19.95" customHeight="1" x14ac:dyDescent="0.3">
      <c r="A30" s="80" t="s">
        <v>24</v>
      </c>
      <c r="B30" s="202">
        <f t="shared" ref="B30:P30" si="8">IF(B19&gt;0,B29/B19,0)</f>
        <v>0.19269596199524924</v>
      </c>
      <c r="C30" s="202">
        <f t="shared" si="8"/>
        <v>0.18279984573852689</v>
      </c>
      <c r="D30" s="202">
        <f t="shared" si="8"/>
        <v>0.19939097047530793</v>
      </c>
      <c r="E30" s="202">
        <f t="shared" si="8"/>
        <v>0.2108039287013459</v>
      </c>
      <c r="F30" s="271">
        <f t="shared" si="8"/>
        <v>0.20451634647792397</v>
      </c>
      <c r="G30" s="202">
        <f t="shared" si="8"/>
        <v>0.17785714285714285</v>
      </c>
      <c r="H30" s="202">
        <f t="shared" si="8"/>
        <v>0.20323899371069162</v>
      </c>
      <c r="I30" s="202">
        <f t="shared" si="8"/>
        <v>0.21550335570469795</v>
      </c>
      <c r="J30" s="202">
        <f t="shared" si="8"/>
        <v>0.22158318425760287</v>
      </c>
      <c r="K30" s="202">
        <f t="shared" si="8"/>
        <v>0.22710804224207948</v>
      </c>
      <c r="L30" s="202">
        <f t="shared" si="8"/>
        <v>0.23288348082595867</v>
      </c>
      <c r="M30" s="202">
        <f t="shared" si="8"/>
        <v>0.23746483590087078</v>
      </c>
      <c r="N30" s="202">
        <f t="shared" si="8"/>
        <v>0.23521161875223656</v>
      </c>
      <c r="O30" s="202">
        <f t="shared" si="8"/>
        <v>0.24038733705772797</v>
      </c>
      <c r="P30" s="202">
        <f t="shared" si="8"/>
        <v>0.24037046778132617</v>
      </c>
    </row>
    <row r="31" spans="1:16" ht="19.95" customHeight="1" x14ac:dyDescent="0.3">
      <c r="A31" s="27" t="s">
        <v>25</v>
      </c>
      <c r="B31" s="187">
        <f>'Income Statement'!B20+(B11+B16)*0.02</f>
        <v>0.52</v>
      </c>
      <c r="C31" s="187">
        <f>'Income Statement'!C20+(C11+C16)*0.02</f>
        <v>0.6</v>
      </c>
      <c r="D31" s="187">
        <f>'Income Statement'!D20+(D11+D16)*0.02</f>
        <v>0.65</v>
      </c>
      <c r="E31" s="187">
        <f>'Income Statement'!E20+(E11+E16)*0.02</f>
        <v>0.95</v>
      </c>
      <c r="F31" s="270">
        <f>'Income Statement'!F20+(F11+F16)*0.02</f>
        <v>1.18</v>
      </c>
      <c r="G31" s="186">
        <f>'Income Statement'!G20+(G11+G16)*0.02</f>
        <v>2.4000000000000004</v>
      </c>
      <c r="H31" s="186">
        <f>'Income Statement'!H20+(H11+H16)*0.02</f>
        <v>7.86</v>
      </c>
      <c r="I31" s="186">
        <f>'Income Statement'!I20+(I11+I16)*0.02</f>
        <v>8.5399999999999991</v>
      </c>
      <c r="J31" s="186">
        <f>'Income Statement'!J20+(J11+J16)*0.02</f>
        <v>9.18</v>
      </c>
      <c r="K31" s="186">
        <f>'Income Statement'!K20+(K11+K16)*0.02</f>
        <v>9.26</v>
      </c>
      <c r="L31" s="186">
        <f>'Income Statement'!L20+(L11+L16)*0.02</f>
        <v>9.86</v>
      </c>
      <c r="M31" s="186">
        <f>'Income Statement'!M20+(M11+M16)*0.02</f>
        <v>10.46</v>
      </c>
      <c r="N31" s="186">
        <f>'Income Statement'!N20+(N11+N16)*0.02</f>
        <v>12.120000000000001</v>
      </c>
      <c r="O31" s="186">
        <f>'Income Statement'!O20+(O11+O16)*0.02</f>
        <v>13.34</v>
      </c>
      <c r="P31" s="186">
        <f>'Income Statement'!P20+(P11+P16)*0.02</f>
        <v>13.5</v>
      </c>
    </row>
    <row r="32" spans="1:16" ht="19.95" customHeight="1" x14ac:dyDescent="0.3">
      <c r="A32" s="49" t="s">
        <v>26</v>
      </c>
      <c r="B32" s="187">
        <f t="shared" ref="B32:P32" si="9">B29-B31</f>
        <v>5.9699999999999953</v>
      </c>
      <c r="C32" s="187">
        <f t="shared" si="9"/>
        <v>8.8800000000000043</v>
      </c>
      <c r="D32" s="187">
        <f t="shared" si="9"/>
        <v>14.410000000000009</v>
      </c>
      <c r="E32" s="187">
        <f t="shared" si="9"/>
        <v>22.229999999999993</v>
      </c>
      <c r="F32" s="270">
        <f t="shared" si="9"/>
        <v>29.160000000000018</v>
      </c>
      <c r="G32" s="187">
        <f t="shared" si="9"/>
        <v>28.725000000000001</v>
      </c>
      <c r="H32" s="187">
        <f t="shared" si="9"/>
        <v>56.769999999999939</v>
      </c>
      <c r="I32" s="187">
        <f t="shared" si="9"/>
        <v>87.789999999999992</v>
      </c>
      <c r="J32" s="187">
        <f t="shared" si="9"/>
        <v>114.685</v>
      </c>
      <c r="K32" s="187">
        <f t="shared" si="9"/>
        <v>130.52499999999992</v>
      </c>
      <c r="L32" s="187">
        <f t="shared" si="9"/>
        <v>148.03499999999997</v>
      </c>
      <c r="M32" s="187">
        <f t="shared" si="9"/>
        <v>166.80750000000003</v>
      </c>
      <c r="N32" s="187">
        <f t="shared" si="9"/>
        <v>185.0578999999999</v>
      </c>
      <c r="O32" s="187">
        <f t="shared" si="9"/>
        <v>219.01839999999984</v>
      </c>
      <c r="P32" s="187">
        <f t="shared" si="9"/>
        <v>242.39839999999981</v>
      </c>
    </row>
    <row r="33" spans="1:16" ht="19.95" customHeight="1" x14ac:dyDescent="0.3">
      <c r="A33" s="27" t="s">
        <v>27</v>
      </c>
      <c r="B33" s="198">
        <f>'Income Statement'!B22+(B11+B16)*0.025</f>
        <v>1.95</v>
      </c>
      <c r="C33" s="198">
        <f>'Income Statement'!C22+(C11+C16)*0.025</f>
        <v>2.2999999999999998</v>
      </c>
      <c r="D33" s="198">
        <f>'Income Statement'!D22+(D11+D16)*0.025</f>
        <v>2.85</v>
      </c>
      <c r="E33" s="198">
        <f>'Income Statement'!E22+(E11+E16)*0.025</f>
        <v>3.7</v>
      </c>
      <c r="F33" s="269">
        <f>'Income Statement'!F22+(F11+F16)*0.025</f>
        <v>2.4</v>
      </c>
      <c r="G33" s="196">
        <f>'Income Statement'!G22+(G11+G16)*0.025</f>
        <v>2.75</v>
      </c>
      <c r="H33" s="196">
        <f>'Income Statement'!H22+(H11+H16)*0.025</f>
        <v>4.45</v>
      </c>
      <c r="I33" s="196">
        <f>'Income Statement'!I22+(I11+I16)*0.025</f>
        <v>4.1749999999999998</v>
      </c>
      <c r="J33" s="196">
        <f>'Income Statement'!J22+(J11+J16)*0.025</f>
        <v>3.65</v>
      </c>
      <c r="K33" s="196">
        <f>'Income Statement'!K22+(K11+K16)*0.025</f>
        <v>2.95</v>
      </c>
      <c r="L33" s="196">
        <f>'Income Statement'!L22+(L11+L16)*0.025</f>
        <v>3.0750000000000002</v>
      </c>
      <c r="M33" s="196">
        <f>'Income Statement'!M22+(M11+M16)*0.025</f>
        <v>4.2</v>
      </c>
      <c r="N33" s="196">
        <f>'Income Statement'!N22+(N11+N16)*0.025</f>
        <v>4.9000000000000004</v>
      </c>
      <c r="O33" s="196">
        <f>'Income Statement'!O22+(O11+O16)*0.025</f>
        <v>4.6749999999999998</v>
      </c>
      <c r="P33" s="196">
        <f>'Income Statement'!P22+(P11+P16)*0.025</f>
        <v>3.875</v>
      </c>
    </row>
    <row r="34" spans="1:16" ht="19.95" customHeight="1" x14ac:dyDescent="0.3">
      <c r="A34" s="71" t="s">
        <v>28</v>
      </c>
      <c r="B34" s="197">
        <f t="shared" ref="B34:P34" si="10">B32-B33</f>
        <v>4.0199999999999951</v>
      </c>
      <c r="C34" s="197">
        <f t="shared" si="10"/>
        <v>6.5800000000000045</v>
      </c>
      <c r="D34" s="197">
        <f t="shared" si="10"/>
        <v>11.560000000000009</v>
      </c>
      <c r="E34" s="197">
        <f t="shared" si="10"/>
        <v>18.529999999999994</v>
      </c>
      <c r="F34" s="265">
        <f t="shared" si="10"/>
        <v>26.760000000000019</v>
      </c>
      <c r="G34" s="197">
        <f t="shared" si="10"/>
        <v>25.975000000000001</v>
      </c>
      <c r="H34" s="197">
        <f t="shared" si="10"/>
        <v>52.319999999999936</v>
      </c>
      <c r="I34" s="197">
        <f t="shared" si="10"/>
        <v>83.614999999999995</v>
      </c>
      <c r="J34" s="197">
        <f t="shared" si="10"/>
        <v>111.035</v>
      </c>
      <c r="K34" s="197">
        <f t="shared" si="10"/>
        <v>127.57499999999992</v>
      </c>
      <c r="L34" s="197">
        <f t="shared" si="10"/>
        <v>144.95999999999998</v>
      </c>
      <c r="M34" s="197">
        <f t="shared" si="10"/>
        <v>162.60750000000004</v>
      </c>
      <c r="N34" s="197">
        <f t="shared" si="10"/>
        <v>180.1578999999999</v>
      </c>
      <c r="O34" s="197">
        <f t="shared" si="10"/>
        <v>214.34339999999983</v>
      </c>
      <c r="P34" s="197">
        <f t="shared" si="10"/>
        <v>238.52339999999981</v>
      </c>
    </row>
    <row r="35" spans="1:16" ht="19.95" customHeight="1" x14ac:dyDescent="0.3">
      <c r="A35" s="27" t="s">
        <v>29</v>
      </c>
      <c r="B35" s="187">
        <f t="shared" ref="B35:P35" si="11">B34*0.254</f>
        <v>1.0210799999999989</v>
      </c>
      <c r="C35" s="187">
        <f t="shared" si="11"/>
        <v>1.6713200000000012</v>
      </c>
      <c r="D35" s="187">
        <f t="shared" si="11"/>
        <v>2.9362400000000024</v>
      </c>
      <c r="E35" s="187">
        <f t="shared" si="11"/>
        <v>4.7066199999999982</v>
      </c>
      <c r="F35" s="270">
        <f t="shared" si="11"/>
        <v>6.7970400000000053</v>
      </c>
      <c r="G35" s="187">
        <f t="shared" si="11"/>
        <v>6.5976500000000007</v>
      </c>
      <c r="H35" s="187">
        <f t="shared" si="11"/>
        <v>13.289279999999984</v>
      </c>
      <c r="I35" s="187">
        <f t="shared" si="11"/>
        <v>21.238209999999999</v>
      </c>
      <c r="J35" s="187">
        <f t="shared" si="11"/>
        <v>28.20289</v>
      </c>
      <c r="K35" s="187">
        <f t="shared" si="11"/>
        <v>32.404049999999977</v>
      </c>
      <c r="L35" s="187">
        <f t="shared" si="11"/>
        <v>36.819839999999992</v>
      </c>
      <c r="M35" s="187">
        <f t="shared" si="11"/>
        <v>41.302305000000011</v>
      </c>
      <c r="N35" s="187">
        <f t="shared" si="11"/>
        <v>45.760106599999972</v>
      </c>
      <c r="O35" s="187">
        <f t="shared" si="11"/>
        <v>54.443223599999961</v>
      </c>
      <c r="P35" s="187">
        <f t="shared" si="11"/>
        <v>60.584943599999953</v>
      </c>
    </row>
    <row r="36" spans="1:16" ht="19.95" customHeight="1" x14ac:dyDescent="0.3">
      <c r="A36" s="80" t="s">
        <v>30</v>
      </c>
      <c r="B36" s="202">
        <f t="shared" ref="B36:P36" si="12">IF(B34&gt;0,B35/B34,0)</f>
        <v>0.254</v>
      </c>
      <c r="C36" s="202">
        <f t="shared" si="12"/>
        <v>0.254</v>
      </c>
      <c r="D36" s="202">
        <f t="shared" si="12"/>
        <v>0.254</v>
      </c>
      <c r="E36" s="202">
        <f t="shared" si="12"/>
        <v>0.254</v>
      </c>
      <c r="F36" s="271">
        <f t="shared" si="12"/>
        <v>0.254</v>
      </c>
      <c r="G36" s="202">
        <f t="shared" si="12"/>
        <v>0.254</v>
      </c>
      <c r="H36" s="202">
        <f t="shared" si="12"/>
        <v>0.254</v>
      </c>
      <c r="I36" s="202">
        <f t="shared" si="12"/>
        <v>0.254</v>
      </c>
      <c r="J36" s="202">
        <f t="shared" si="12"/>
        <v>0.254</v>
      </c>
      <c r="K36" s="202">
        <f t="shared" si="12"/>
        <v>0.254</v>
      </c>
      <c r="L36" s="202">
        <f t="shared" si="12"/>
        <v>0.254</v>
      </c>
      <c r="M36" s="202">
        <f t="shared" si="12"/>
        <v>0.254</v>
      </c>
      <c r="N36" s="202">
        <f t="shared" si="12"/>
        <v>0.254</v>
      </c>
      <c r="O36" s="202">
        <f t="shared" si="12"/>
        <v>0.254</v>
      </c>
      <c r="P36" s="202">
        <f t="shared" si="12"/>
        <v>0.254</v>
      </c>
    </row>
    <row r="37" spans="1:16" ht="7.95" customHeight="1" x14ac:dyDescent="0.3">
      <c r="A37" s="21"/>
      <c r="B37" s="200"/>
      <c r="C37" s="200"/>
      <c r="D37" s="200"/>
      <c r="E37" s="200"/>
      <c r="F37" s="272"/>
      <c r="G37" s="200"/>
      <c r="H37" s="200"/>
      <c r="I37" s="200"/>
      <c r="J37" s="200"/>
      <c r="K37" s="200"/>
      <c r="L37" s="200"/>
      <c r="M37" s="200"/>
      <c r="N37" s="200"/>
      <c r="O37" s="200"/>
      <c r="P37" s="200"/>
    </row>
    <row r="38" spans="1:16" ht="19.95" customHeight="1" x14ac:dyDescent="0.3">
      <c r="A38" s="71" t="s">
        <v>301</v>
      </c>
      <c r="B38" s="197">
        <f t="shared" ref="B38:P38" si="13">B34-B35</f>
        <v>2.9989199999999965</v>
      </c>
      <c r="C38" s="197">
        <f t="shared" si="13"/>
        <v>4.908680000000003</v>
      </c>
      <c r="D38" s="197">
        <f t="shared" si="13"/>
        <v>8.6237600000000079</v>
      </c>
      <c r="E38" s="197">
        <f t="shared" si="13"/>
        <v>13.823379999999997</v>
      </c>
      <c r="F38" s="265">
        <f t="shared" si="13"/>
        <v>19.962960000000013</v>
      </c>
      <c r="G38" s="197">
        <f t="shared" si="13"/>
        <v>19.37735</v>
      </c>
      <c r="H38" s="197">
        <f t="shared" si="13"/>
        <v>39.030719999999953</v>
      </c>
      <c r="I38" s="197">
        <f t="shared" si="13"/>
        <v>62.37679</v>
      </c>
      <c r="J38" s="197">
        <f t="shared" si="13"/>
        <v>82.83211</v>
      </c>
      <c r="K38" s="197">
        <f t="shared" si="13"/>
        <v>95.170949999999948</v>
      </c>
      <c r="L38" s="197">
        <f t="shared" si="13"/>
        <v>108.14015999999998</v>
      </c>
      <c r="M38" s="197">
        <f t="shared" si="13"/>
        <v>121.30519500000003</v>
      </c>
      <c r="N38" s="197">
        <f t="shared" si="13"/>
        <v>134.39779339999993</v>
      </c>
      <c r="O38" s="197">
        <f t="shared" si="13"/>
        <v>159.90017639999988</v>
      </c>
      <c r="P38" s="197">
        <f t="shared" si="13"/>
        <v>177.93845639999986</v>
      </c>
    </row>
    <row r="39" spans="1:16" ht="19.95" customHeight="1" thickBot="1" x14ac:dyDescent="0.35">
      <c r="A39" s="27" t="s">
        <v>302</v>
      </c>
      <c r="B39" s="198">
        <f t="shared" ref="B39:P39" si="14">(B11+B16)*0.04*0.1</f>
        <v>0</v>
      </c>
      <c r="C39" s="198">
        <f t="shared" si="14"/>
        <v>0</v>
      </c>
      <c r="D39" s="198">
        <f t="shared" si="14"/>
        <v>0</v>
      </c>
      <c r="E39" s="198">
        <f t="shared" si="14"/>
        <v>0</v>
      </c>
      <c r="F39" s="269">
        <f t="shared" si="14"/>
        <v>0</v>
      </c>
      <c r="G39" s="198">
        <f t="shared" si="14"/>
        <v>4.0000000000000008E-2</v>
      </c>
      <c r="H39" s="198">
        <f t="shared" si="14"/>
        <v>7.1999999999999995E-2</v>
      </c>
      <c r="I39" s="198">
        <f t="shared" si="14"/>
        <v>0.10800000000000001</v>
      </c>
      <c r="J39" s="198">
        <f t="shared" si="14"/>
        <v>0.13600000000000001</v>
      </c>
      <c r="K39" s="198">
        <f t="shared" si="14"/>
        <v>0.15200000000000002</v>
      </c>
      <c r="L39" s="198">
        <f t="shared" si="14"/>
        <v>0.17200000000000001</v>
      </c>
      <c r="M39" s="198">
        <f t="shared" si="14"/>
        <v>0.192</v>
      </c>
      <c r="N39" s="198">
        <f t="shared" si="14"/>
        <v>0.22400000000000003</v>
      </c>
      <c r="O39" s="198">
        <f t="shared" si="14"/>
        <v>0.26800000000000002</v>
      </c>
      <c r="P39" s="198">
        <f t="shared" si="14"/>
        <v>0.30000000000000004</v>
      </c>
    </row>
    <row r="40" spans="1:16" ht="19.95" customHeight="1" x14ac:dyDescent="0.3">
      <c r="A40" s="78" t="s">
        <v>303</v>
      </c>
      <c r="B40" s="201">
        <f t="shared" ref="B40:P40" si="15">B38-B39</f>
        <v>2.9989199999999965</v>
      </c>
      <c r="C40" s="201">
        <f t="shared" si="15"/>
        <v>4.908680000000003</v>
      </c>
      <c r="D40" s="201">
        <f t="shared" si="15"/>
        <v>8.6237600000000079</v>
      </c>
      <c r="E40" s="201">
        <f t="shared" si="15"/>
        <v>13.823379999999997</v>
      </c>
      <c r="F40" s="273">
        <f t="shared" si="15"/>
        <v>19.962960000000013</v>
      </c>
      <c r="G40" s="201">
        <f t="shared" si="15"/>
        <v>19.337350000000001</v>
      </c>
      <c r="H40" s="201">
        <f t="shared" si="15"/>
        <v>38.95871999999995</v>
      </c>
      <c r="I40" s="201">
        <f t="shared" si="15"/>
        <v>62.268790000000003</v>
      </c>
      <c r="J40" s="201">
        <f t="shared" si="15"/>
        <v>82.696110000000004</v>
      </c>
      <c r="K40" s="201">
        <f t="shared" si="15"/>
        <v>95.018949999999947</v>
      </c>
      <c r="L40" s="201">
        <f t="shared" si="15"/>
        <v>107.96815999999998</v>
      </c>
      <c r="M40" s="201">
        <f t="shared" si="15"/>
        <v>121.11319500000003</v>
      </c>
      <c r="N40" s="201">
        <f t="shared" si="15"/>
        <v>134.17379339999994</v>
      </c>
      <c r="O40" s="201">
        <f t="shared" si="15"/>
        <v>159.63217639999988</v>
      </c>
      <c r="P40" s="201">
        <f t="shared" si="15"/>
        <v>177.63845639999985</v>
      </c>
    </row>
    <row r="41" spans="1:16" ht="19.95" customHeight="1" x14ac:dyDescent="0.3">
      <c r="A41" s="80" t="s">
        <v>32</v>
      </c>
      <c r="B41" s="203">
        <f t="shared" ref="B41:P41" si="16">IF(B19&gt;0,B40/B19,0)</f>
        <v>8.9041567695961887E-2</v>
      </c>
      <c r="C41" s="203">
        <f t="shared" si="16"/>
        <v>9.4652526031623663E-2</v>
      </c>
      <c r="D41" s="203">
        <f t="shared" si="16"/>
        <v>0.11417661856216084</v>
      </c>
      <c r="E41" s="203">
        <f t="shared" si="16"/>
        <v>0.1257128046562386</v>
      </c>
      <c r="F41" s="274">
        <f t="shared" si="16"/>
        <v>0.13456663296258856</v>
      </c>
      <c r="G41" s="203">
        <f t="shared" si="16"/>
        <v>0.11049914285714287</v>
      </c>
      <c r="H41" s="203">
        <f t="shared" si="16"/>
        <v>0.12251169811320739</v>
      </c>
      <c r="I41" s="203">
        <f t="shared" si="16"/>
        <v>0.13930378076062641</v>
      </c>
      <c r="J41" s="203">
        <f t="shared" si="16"/>
        <v>0.14793579606440072</v>
      </c>
      <c r="K41" s="203">
        <f t="shared" si="16"/>
        <v>0.15437684809098284</v>
      </c>
      <c r="L41" s="203">
        <f t="shared" si="16"/>
        <v>0.15924507374631267</v>
      </c>
      <c r="M41" s="203">
        <f t="shared" si="16"/>
        <v>0.16224138647019429</v>
      </c>
      <c r="N41" s="203">
        <f t="shared" si="16"/>
        <v>0.16005462650602403</v>
      </c>
      <c r="O41" s="203">
        <f t="shared" si="16"/>
        <v>0.1651481237326711</v>
      </c>
      <c r="P41" s="203">
        <f t="shared" si="16"/>
        <v>0.1668593428517752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4F62A-FF35-44D2-88E4-4856006A4BDE}">
  <sheetPr>
    <tabColor rgb="FF548235"/>
  </sheetPr>
  <dimension ref="A1:P32"/>
  <sheetViews>
    <sheetView workbookViewId="0">
      <pane xSplit="1" topLeftCell="B1" activePane="topRight" state="frozen"/>
      <selection pane="topRight" activeCell="E9" sqref="E9"/>
    </sheetView>
  </sheetViews>
  <sheetFormatPr defaultRowHeight="14.4" x14ac:dyDescent="0.3"/>
  <cols>
    <col min="1" max="1" width="40.77734375" customWidth="1"/>
    <col min="2" max="16" width="15.21875" customWidth="1"/>
  </cols>
  <sheetData>
    <row r="1" spans="1:16" ht="30" customHeight="1" x14ac:dyDescent="0.4">
      <c r="A1" s="117" t="s">
        <v>304</v>
      </c>
    </row>
    <row r="2" spans="1:16" ht="18" customHeight="1" x14ac:dyDescent="0.3">
      <c r="A2" s="184" t="s">
        <v>288</v>
      </c>
    </row>
    <row r="3" spans="1:16" ht="7.95" customHeight="1" x14ac:dyDescent="0.3"/>
    <row r="4" spans="1:16" ht="28.05" customHeight="1" thickBot="1" x14ac:dyDescent="0.35">
      <c r="A4" s="188" t="s">
        <v>2</v>
      </c>
      <c r="B4" s="96" t="s">
        <v>3</v>
      </c>
      <c r="C4" s="96" t="s">
        <v>4</v>
      </c>
      <c r="D4" s="96" t="s">
        <v>5</v>
      </c>
      <c r="E4" s="96" t="s">
        <v>6</v>
      </c>
      <c r="F4" s="253" t="s">
        <v>7</v>
      </c>
      <c r="G4" s="185" t="s">
        <v>8</v>
      </c>
      <c r="H4" s="185" t="s">
        <v>9</v>
      </c>
      <c r="I4" s="185" t="s">
        <v>10</v>
      </c>
      <c r="J4" s="185" t="s">
        <v>11</v>
      </c>
      <c r="K4" s="185" t="s">
        <v>12</v>
      </c>
      <c r="L4" s="185" t="s">
        <v>257</v>
      </c>
      <c r="M4" s="185" t="s">
        <v>258</v>
      </c>
      <c r="N4" s="185" t="s">
        <v>259</v>
      </c>
      <c r="O4" s="185" t="s">
        <v>260</v>
      </c>
      <c r="P4" s="185" t="s">
        <v>261</v>
      </c>
    </row>
    <row r="5" spans="1:16" ht="19.95" customHeight="1" x14ac:dyDescent="0.3">
      <c r="A5" s="190" t="s">
        <v>71</v>
      </c>
      <c r="B5" s="191"/>
      <c r="C5" s="191"/>
      <c r="D5" s="191"/>
      <c r="E5" s="191"/>
      <c r="F5" s="262"/>
      <c r="G5" s="191"/>
      <c r="H5" s="191"/>
      <c r="I5" s="191"/>
      <c r="J5" s="191"/>
      <c r="K5" s="191"/>
      <c r="L5" s="191"/>
      <c r="M5" s="191"/>
      <c r="N5" s="191"/>
      <c r="O5" s="191"/>
      <c r="P5" s="191"/>
    </row>
    <row r="6" spans="1:16" ht="19.95" customHeight="1" x14ac:dyDescent="0.3">
      <c r="A6" s="27" t="s">
        <v>305</v>
      </c>
      <c r="B6" s="205">
        <f>'Balance Sheet'!B8</f>
        <v>26.3</v>
      </c>
      <c r="C6" s="205">
        <f>'Balance Sheet'!C8</f>
        <v>30.78</v>
      </c>
      <c r="D6" s="205">
        <f>'Balance Sheet'!D8</f>
        <v>38.840000000000003</v>
      </c>
      <c r="E6" s="205">
        <f>'Balance Sheet'!E8</f>
        <v>66.180000000000007</v>
      </c>
      <c r="F6" s="275">
        <f>'Balance Sheet'!F8</f>
        <v>92.5</v>
      </c>
      <c r="G6" s="205">
        <f>'Balance Sheet'!G8</f>
        <v>111.82785</v>
      </c>
      <c r="H6" s="205">
        <f>'Balance Sheet'!H8</f>
        <v>150.87384999999998</v>
      </c>
      <c r="I6" s="205">
        <f>'Balance Sheet'!I8</f>
        <v>211.79220999999995</v>
      </c>
      <c r="J6" s="205">
        <f>'Balance Sheet'!J8</f>
        <v>292.78915999999992</v>
      </c>
      <c r="K6" s="205">
        <f>'Balance Sheet'!K8</f>
        <v>385.89368999999988</v>
      </c>
      <c r="L6" s="205">
        <f>'Balance Sheet'!L8</f>
        <v>491.68767999999989</v>
      </c>
      <c r="M6" s="205">
        <f>'Balance Sheet'!M8</f>
        <v>610.36695499999985</v>
      </c>
      <c r="N6" s="205">
        <f>'Balance Sheet'!N8</f>
        <v>741.71360839999988</v>
      </c>
      <c r="O6" s="205">
        <f>'Balance Sheet'!O8</f>
        <v>897.9919547999998</v>
      </c>
      <c r="P6" s="205">
        <f>'Balance Sheet'!P8</f>
        <v>1071.8833611999999</v>
      </c>
    </row>
    <row r="7" spans="1:16" ht="19.95" customHeight="1" x14ac:dyDescent="0.3">
      <c r="A7" s="27" t="s">
        <v>306</v>
      </c>
      <c r="B7" s="51">
        <v>0</v>
      </c>
      <c r="C7" s="51">
        <v>0</v>
      </c>
      <c r="D7" s="51">
        <v>0</v>
      </c>
      <c r="E7" s="51">
        <v>1.8</v>
      </c>
      <c r="F7" s="231">
        <v>3.15</v>
      </c>
      <c r="G7" s="52">
        <v>4.5</v>
      </c>
      <c r="H7" s="52">
        <v>7.2</v>
      </c>
      <c r="I7" s="52">
        <v>10.8</v>
      </c>
      <c r="J7" s="52">
        <v>14.4</v>
      </c>
      <c r="K7" s="52">
        <v>18</v>
      </c>
      <c r="L7" s="52">
        <v>21.6</v>
      </c>
      <c r="M7" s="52">
        <v>25.2</v>
      </c>
      <c r="N7" s="52">
        <v>29.7</v>
      </c>
      <c r="O7" s="52">
        <v>34.200000000000003</v>
      </c>
      <c r="P7" s="52">
        <v>37.800000000000004</v>
      </c>
    </row>
    <row r="8" spans="1:16" ht="19.95" customHeight="1" x14ac:dyDescent="0.3">
      <c r="A8" s="27" t="s">
        <v>302</v>
      </c>
      <c r="B8" s="69">
        <v>0</v>
      </c>
      <c r="C8" s="69">
        <v>0</v>
      </c>
      <c r="D8" s="69">
        <v>0</v>
      </c>
      <c r="E8" s="69">
        <v>-0.2</v>
      </c>
      <c r="F8" s="233">
        <v>-0.35000000000000003</v>
      </c>
      <c r="G8" s="70">
        <v>-0.5</v>
      </c>
      <c r="H8" s="70">
        <v>-0.8</v>
      </c>
      <c r="I8" s="70">
        <v>-1.2000000000000002</v>
      </c>
      <c r="J8" s="70">
        <v>-1.6</v>
      </c>
      <c r="K8" s="70">
        <v>-2</v>
      </c>
      <c r="L8" s="70">
        <v>-2.4000000000000004</v>
      </c>
      <c r="M8" s="70">
        <v>-2.8000000000000003</v>
      </c>
      <c r="N8" s="70">
        <v>-3.3000000000000003</v>
      </c>
      <c r="O8" s="70">
        <v>-3.8000000000000003</v>
      </c>
      <c r="P8" s="70">
        <v>-4.2</v>
      </c>
    </row>
    <row r="9" spans="1:16" ht="19.95" customHeight="1" x14ac:dyDescent="0.3">
      <c r="A9" s="71" t="s">
        <v>307</v>
      </c>
      <c r="B9" s="72">
        <f t="shared" ref="B9:P9" si="0">B6+B7+B8</f>
        <v>26.3</v>
      </c>
      <c r="C9" s="72">
        <f t="shared" si="0"/>
        <v>30.78</v>
      </c>
      <c r="D9" s="72">
        <f t="shared" si="0"/>
        <v>38.840000000000003</v>
      </c>
      <c r="E9" s="72">
        <f t="shared" si="0"/>
        <v>67.78</v>
      </c>
      <c r="F9" s="234">
        <f t="shared" si="0"/>
        <v>95.300000000000011</v>
      </c>
      <c r="G9" s="72">
        <f t="shared" si="0"/>
        <v>115.82785</v>
      </c>
      <c r="H9" s="72">
        <f t="shared" si="0"/>
        <v>157.27384999999995</v>
      </c>
      <c r="I9" s="72">
        <f t="shared" si="0"/>
        <v>221.39220999999998</v>
      </c>
      <c r="J9" s="72">
        <f t="shared" si="0"/>
        <v>305.58915999999988</v>
      </c>
      <c r="K9" s="72">
        <f t="shared" si="0"/>
        <v>401.89368999999988</v>
      </c>
      <c r="L9" s="72">
        <f t="shared" si="0"/>
        <v>510.88767999999993</v>
      </c>
      <c r="M9" s="72">
        <f t="shared" si="0"/>
        <v>632.76695499999994</v>
      </c>
      <c r="N9" s="72">
        <f t="shared" si="0"/>
        <v>768.11360839999998</v>
      </c>
      <c r="O9" s="72">
        <f t="shared" si="0"/>
        <v>928.39195479999989</v>
      </c>
      <c r="P9" s="72">
        <f t="shared" si="0"/>
        <v>1105.4833611999998</v>
      </c>
    </row>
    <row r="10" spans="1:16" ht="7.95" customHeight="1" x14ac:dyDescent="0.3">
      <c r="A10" s="27"/>
      <c r="B10" s="51"/>
      <c r="C10" s="51"/>
      <c r="D10" s="51"/>
      <c r="E10" s="51"/>
      <c r="F10" s="231"/>
      <c r="G10" s="51"/>
      <c r="H10" s="51"/>
      <c r="I10" s="51"/>
      <c r="J10" s="51"/>
      <c r="K10" s="51"/>
      <c r="L10" s="51"/>
      <c r="M10" s="51"/>
      <c r="N10" s="51"/>
      <c r="O10" s="51"/>
      <c r="P10" s="51"/>
    </row>
    <row r="11" spans="1:16" ht="19.95" customHeight="1" x14ac:dyDescent="0.3">
      <c r="A11" s="27" t="s">
        <v>75</v>
      </c>
      <c r="B11" s="51">
        <f>'Balance Sheet'!B10+0</f>
        <v>5.2</v>
      </c>
      <c r="C11" s="51">
        <f>'Balance Sheet'!C10+0</f>
        <v>4.8</v>
      </c>
      <c r="D11" s="51">
        <f>'Balance Sheet'!D10+0</f>
        <v>4</v>
      </c>
      <c r="E11" s="51">
        <f>'Balance Sheet'!E10+0.48</f>
        <v>4.29</v>
      </c>
      <c r="F11" s="231">
        <f>'Balance Sheet'!F10+0.899999999999999</f>
        <v>9.9899999999999984</v>
      </c>
      <c r="G11" s="51">
        <f>'Balance Sheet'!G10+1.5</f>
        <v>23.5</v>
      </c>
      <c r="H11" s="51">
        <f>'Balance Sheet'!H10+2.1</f>
        <v>20.100000000000001</v>
      </c>
      <c r="I11" s="51">
        <f>'Balance Sheet'!I10+2.4</f>
        <v>16.399999999999999</v>
      </c>
      <c r="J11" s="51">
        <f>'Balance Sheet'!J10+2.4</f>
        <v>12.4</v>
      </c>
      <c r="K11" s="51">
        <f>'Balance Sheet'!K10+2.1</f>
        <v>7.1</v>
      </c>
      <c r="L11" s="51">
        <f>'Balance Sheet'!L10+1.79999999999999</f>
        <v>16.79999999999999</v>
      </c>
      <c r="M11" s="51">
        <f>'Balance Sheet'!M10+1.79999999999999</f>
        <v>31.79999999999999</v>
      </c>
      <c r="N11" s="51">
        <f>'Balance Sheet'!N10+1.79999999999999</f>
        <v>26.79999999999999</v>
      </c>
      <c r="O11" s="51">
        <f>'Balance Sheet'!O10+1.5</f>
        <v>19.5</v>
      </c>
      <c r="P11" s="51">
        <f>'Balance Sheet'!P10+1.2</f>
        <v>11.2</v>
      </c>
    </row>
    <row r="12" spans="1:16" ht="19.95" customHeight="1" x14ac:dyDescent="0.3">
      <c r="A12" s="27" t="s">
        <v>76</v>
      </c>
      <c r="B12" s="69">
        <f>'Balance Sheet'!B11+0</f>
        <v>8.5</v>
      </c>
      <c r="C12" s="69">
        <f>'Balance Sheet'!C11+0</f>
        <v>10.199999999999999</v>
      </c>
      <c r="D12" s="69">
        <f>'Balance Sheet'!D11+0</f>
        <v>12.5</v>
      </c>
      <c r="E12" s="69">
        <f>'Balance Sheet'!E11+0.32</f>
        <v>15.32</v>
      </c>
      <c r="F12" s="233">
        <f>'Balance Sheet'!F11+0.6</f>
        <v>16.04</v>
      </c>
      <c r="G12" s="69">
        <f>'Balance Sheet'!G11+1</f>
        <v>19</v>
      </c>
      <c r="H12" s="69">
        <f>'Balance Sheet'!H11+1.4</f>
        <v>23.4</v>
      </c>
      <c r="I12" s="69">
        <f>'Balance Sheet'!I11+1.6</f>
        <v>26.6</v>
      </c>
      <c r="J12" s="69">
        <f>'Balance Sheet'!J11+1.6</f>
        <v>26.6</v>
      </c>
      <c r="K12" s="69">
        <f>'Balance Sheet'!K11+1.4</f>
        <v>23.4</v>
      </c>
      <c r="L12" s="69">
        <f>'Balance Sheet'!L11+1.2</f>
        <v>21.2</v>
      </c>
      <c r="M12" s="69">
        <f>'Balance Sheet'!M11+1.2</f>
        <v>23.2</v>
      </c>
      <c r="N12" s="69">
        <f>'Balance Sheet'!N11+1.2</f>
        <v>26.2</v>
      </c>
      <c r="O12" s="69">
        <f>'Balance Sheet'!O11+1</f>
        <v>26</v>
      </c>
      <c r="P12" s="69">
        <f>'Balance Sheet'!P11+0.8</f>
        <v>22.8</v>
      </c>
    </row>
    <row r="13" spans="1:16" ht="19.95" customHeight="1" x14ac:dyDescent="0.3">
      <c r="A13" s="71" t="s">
        <v>308</v>
      </c>
      <c r="B13" s="72">
        <f t="shared" ref="B13:P13" si="1">B11+B12</f>
        <v>13.7</v>
      </c>
      <c r="C13" s="72">
        <f t="shared" si="1"/>
        <v>15</v>
      </c>
      <c r="D13" s="72">
        <f t="shared" si="1"/>
        <v>16.5</v>
      </c>
      <c r="E13" s="72">
        <f t="shared" si="1"/>
        <v>19.61</v>
      </c>
      <c r="F13" s="234">
        <f t="shared" si="1"/>
        <v>26.029999999999998</v>
      </c>
      <c r="G13" s="72">
        <f t="shared" si="1"/>
        <v>42.5</v>
      </c>
      <c r="H13" s="72">
        <f t="shared" si="1"/>
        <v>43.5</v>
      </c>
      <c r="I13" s="72">
        <f t="shared" si="1"/>
        <v>43</v>
      </c>
      <c r="J13" s="72">
        <f t="shared" si="1"/>
        <v>39</v>
      </c>
      <c r="K13" s="72">
        <f t="shared" si="1"/>
        <v>30.5</v>
      </c>
      <c r="L13" s="72">
        <f t="shared" si="1"/>
        <v>37.999999999999986</v>
      </c>
      <c r="M13" s="72">
        <f t="shared" si="1"/>
        <v>54.999999999999986</v>
      </c>
      <c r="N13" s="72">
        <f t="shared" si="1"/>
        <v>52.999999999999986</v>
      </c>
      <c r="O13" s="72">
        <f t="shared" si="1"/>
        <v>45.5</v>
      </c>
      <c r="P13" s="72">
        <f t="shared" si="1"/>
        <v>34</v>
      </c>
    </row>
    <row r="14" spans="1:16" ht="19.95" customHeight="1" x14ac:dyDescent="0.3">
      <c r="A14" s="27" t="s">
        <v>309</v>
      </c>
      <c r="B14" s="51">
        <f>'Balance Sheet'!B13+0</f>
        <v>5.8</v>
      </c>
      <c r="C14" s="51">
        <f>'Balance Sheet'!C13+0</f>
        <v>8.5</v>
      </c>
      <c r="D14" s="51">
        <f>'Balance Sheet'!D13+0</f>
        <v>12</v>
      </c>
      <c r="E14" s="51">
        <f>'Balance Sheet'!E13+0.8</f>
        <v>18.8</v>
      </c>
      <c r="F14" s="231">
        <f>'Balance Sheet'!F13+1.5</f>
        <v>23.5</v>
      </c>
      <c r="G14" s="51">
        <f>'Balance Sheet'!G13+2.5</f>
        <v>27.5</v>
      </c>
      <c r="H14" s="51">
        <f>'Balance Sheet'!H13+4</f>
        <v>49</v>
      </c>
      <c r="I14" s="51">
        <f>'Balance Sheet'!I13+5.5</f>
        <v>65.5</v>
      </c>
      <c r="J14" s="51">
        <f>'Balance Sheet'!J13+7</f>
        <v>79</v>
      </c>
      <c r="K14" s="51">
        <f>'Balance Sheet'!K13+8.5</f>
        <v>88.5</v>
      </c>
      <c r="L14" s="51">
        <f>'Balance Sheet'!L13+9.5</f>
        <v>99.5</v>
      </c>
      <c r="M14" s="51">
        <f>'Balance Sheet'!M13+10.5</f>
        <v>110.5</v>
      </c>
      <c r="N14" s="51">
        <f>'Balance Sheet'!N13+12.5</f>
        <v>127.5</v>
      </c>
      <c r="O14" s="51">
        <f>'Balance Sheet'!O13+14</f>
        <v>144</v>
      </c>
      <c r="P14" s="51">
        <f>'Balance Sheet'!P13+15</f>
        <v>155</v>
      </c>
    </row>
    <row r="15" spans="1:16" ht="19.95" customHeight="1" thickBot="1" x14ac:dyDescent="0.35">
      <c r="A15" s="27" t="s">
        <v>310</v>
      </c>
      <c r="B15" s="69">
        <f>'Balance Sheet'!B14+0</f>
        <v>3.2</v>
      </c>
      <c r="C15" s="69">
        <f>'Balance Sheet'!C14+0</f>
        <v>4.0999999999999996</v>
      </c>
      <c r="D15" s="69">
        <f>'Balance Sheet'!D14+0</f>
        <v>5.5</v>
      </c>
      <c r="E15" s="69">
        <f>'Balance Sheet'!E14+0.1</f>
        <v>8.1</v>
      </c>
      <c r="F15" s="233">
        <f>'Balance Sheet'!F14+0.175</f>
        <v>10.175000000000001</v>
      </c>
      <c r="G15" s="69">
        <f>'Balance Sheet'!G14+0.25</f>
        <v>12.25</v>
      </c>
      <c r="H15" s="69">
        <f>'Balance Sheet'!H14+0.4</f>
        <v>18.399999999999999</v>
      </c>
      <c r="I15" s="69">
        <f>'Balance Sheet'!I14+0.6</f>
        <v>22.6</v>
      </c>
      <c r="J15" s="69">
        <f>'Balance Sheet'!J14+0.8</f>
        <v>26.8</v>
      </c>
      <c r="K15" s="69">
        <f>'Balance Sheet'!K14+1</f>
        <v>31</v>
      </c>
      <c r="L15" s="69">
        <f>'Balance Sheet'!L14+1.2</f>
        <v>36.200000000000003</v>
      </c>
      <c r="M15" s="69">
        <f>'Balance Sheet'!M14+1.4</f>
        <v>41.4</v>
      </c>
      <c r="N15" s="69">
        <f>'Balance Sheet'!N14+1.65</f>
        <v>46.65</v>
      </c>
      <c r="O15" s="69">
        <f>'Balance Sheet'!O14+1.9</f>
        <v>51.9</v>
      </c>
      <c r="P15" s="69">
        <f>'Balance Sheet'!P14+2.1</f>
        <v>57.1</v>
      </c>
    </row>
    <row r="16" spans="1:16" ht="19.95" customHeight="1" x14ac:dyDescent="0.3">
      <c r="A16" s="78" t="s">
        <v>80</v>
      </c>
      <c r="B16" s="79">
        <f t="shared" ref="B16:P16" si="2">B6+B7+B13+B14+B15</f>
        <v>49</v>
      </c>
      <c r="C16" s="79">
        <f t="shared" si="2"/>
        <v>58.38</v>
      </c>
      <c r="D16" s="79">
        <f t="shared" si="2"/>
        <v>72.84</v>
      </c>
      <c r="E16" s="79">
        <f t="shared" si="2"/>
        <v>114.49</v>
      </c>
      <c r="F16" s="240">
        <f t="shared" si="2"/>
        <v>155.35500000000002</v>
      </c>
      <c r="G16" s="79">
        <f t="shared" si="2"/>
        <v>198.57785000000001</v>
      </c>
      <c r="H16" s="79">
        <f t="shared" si="2"/>
        <v>268.97384999999997</v>
      </c>
      <c r="I16" s="79">
        <f t="shared" si="2"/>
        <v>353.69220999999999</v>
      </c>
      <c r="J16" s="79">
        <f t="shared" si="2"/>
        <v>451.98915999999991</v>
      </c>
      <c r="K16" s="79">
        <f t="shared" si="2"/>
        <v>553.89368999999988</v>
      </c>
      <c r="L16" s="79">
        <f t="shared" si="2"/>
        <v>686.98767999999995</v>
      </c>
      <c r="M16" s="79">
        <f t="shared" si="2"/>
        <v>842.46695499999987</v>
      </c>
      <c r="N16" s="79">
        <f t="shared" si="2"/>
        <v>998.56360839999991</v>
      </c>
      <c r="O16" s="79">
        <f t="shared" si="2"/>
        <v>1173.5919547999999</v>
      </c>
      <c r="P16" s="79">
        <f t="shared" si="2"/>
        <v>1355.7833611999997</v>
      </c>
    </row>
    <row r="17" spans="1:16" ht="7.95" customHeight="1" x14ac:dyDescent="0.3">
      <c r="A17" s="27"/>
      <c r="B17" s="51"/>
      <c r="C17" s="51"/>
      <c r="D17" s="51"/>
      <c r="E17" s="51"/>
      <c r="F17" s="231"/>
      <c r="G17" s="51"/>
      <c r="H17" s="51"/>
      <c r="I17" s="51"/>
      <c r="J17" s="51"/>
      <c r="K17" s="51"/>
      <c r="L17" s="51"/>
      <c r="M17" s="51"/>
      <c r="N17" s="51"/>
      <c r="O17" s="51"/>
      <c r="P17" s="51"/>
    </row>
    <row r="18" spans="1:16" ht="19.95" customHeight="1" x14ac:dyDescent="0.3">
      <c r="A18" s="194" t="s">
        <v>81</v>
      </c>
      <c r="B18" s="207"/>
      <c r="C18" s="207"/>
      <c r="D18" s="207"/>
      <c r="E18" s="207"/>
      <c r="F18" s="276"/>
      <c r="G18" s="207"/>
      <c r="H18" s="207"/>
      <c r="I18" s="207"/>
      <c r="J18" s="207"/>
      <c r="K18" s="207"/>
      <c r="L18" s="207"/>
      <c r="M18" s="207"/>
      <c r="N18" s="207"/>
      <c r="O18" s="207"/>
      <c r="P18" s="207"/>
    </row>
    <row r="19" spans="1:16" ht="19.95" customHeight="1" x14ac:dyDescent="0.3">
      <c r="A19" s="27" t="s">
        <v>311</v>
      </c>
      <c r="B19" s="206">
        <f>'Balance Sheet'!B18+0</f>
        <v>9.5</v>
      </c>
      <c r="C19" s="206">
        <f>'Balance Sheet'!C18+0</f>
        <v>10.199999999999999</v>
      </c>
      <c r="D19" s="206">
        <f>'Balance Sheet'!D18+0</f>
        <v>12.5</v>
      </c>
      <c r="E19" s="206">
        <f>'Balance Sheet'!E18+1</f>
        <v>17.8</v>
      </c>
      <c r="F19" s="277">
        <f>'Balance Sheet'!F18+2</f>
        <v>32</v>
      </c>
      <c r="G19" s="206">
        <f>'Balance Sheet'!G18+3</f>
        <v>103</v>
      </c>
      <c r="H19" s="206">
        <f>'Balance Sheet'!H18+4.5</f>
        <v>104.5</v>
      </c>
      <c r="I19" s="206">
        <f>'Balance Sheet'!I18+6</f>
        <v>105</v>
      </c>
      <c r="J19" s="206">
        <f>'Balance Sheet'!J18+7.5</f>
        <v>105</v>
      </c>
      <c r="K19" s="206">
        <f>'Balance Sheet'!K18+9</f>
        <v>104.5</v>
      </c>
      <c r="L19" s="206">
        <f>'Balance Sheet'!L18+10.5</f>
        <v>103.5</v>
      </c>
      <c r="M19" s="206">
        <f>'Balance Sheet'!M18+12</f>
        <v>102</v>
      </c>
      <c r="N19" s="206">
        <f>'Balance Sheet'!N18+14</f>
        <v>179</v>
      </c>
      <c r="O19" s="206">
        <f>'Balance Sheet'!O18+16</f>
        <v>176</v>
      </c>
      <c r="P19" s="206">
        <f>'Balance Sheet'!P18+18</f>
        <v>172</v>
      </c>
    </row>
    <row r="20" spans="1:16" ht="19.95" customHeight="1" x14ac:dyDescent="0.3">
      <c r="A20" s="27" t="s">
        <v>312</v>
      </c>
      <c r="B20" s="51">
        <f>'Balance Sheet'!B19</f>
        <v>0.5</v>
      </c>
      <c r="C20" s="51">
        <f>'Balance Sheet'!C19</f>
        <v>1</v>
      </c>
      <c r="D20" s="51">
        <f>'Balance Sheet'!D19</f>
        <v>2.5</v>
      </c>
      <c r="E20" s="51">
        <f>'Balance Sheet'!E19</f>
        <v>18</v>
      </c>
      <c r="F20" s="231">
        <f>'Balance Sheet'!F19</f>
        <v>45</v>
      </c>
      <c r="G20" s="51">
        <f>'Balance Sheet'!G19</f>
        <v>0</v>
      </c>
      <c r="H20" s="51">
        <f>'Balance Sheet'!H19</f>
        <v>0</v>
      </c>
      <c r="I20" s="51">
        <f>'Balance Sheet'!I19</f>
        <v>0</v>
      </c>
      <c r="J20" s="51">
        <f>'Balance Sheet'!J19</f>
        <v>0</v>
      </c>
      <c r="K20" s="51">
        <f>'Balance Sheet'!K19</f>
        <v>0</v>
      </c>
      <c r="L20" s="51">
        <f>'Balance Sheet'!L19</f>
        <v>40</v>
      </c>
      <c r="M20" s="51">
        <f>'Balance Sheet'!M19</f>
        <v>80</v>
      </c>
      <c r="N20" s="51">
        <f>'Balance Sheet'!N19</f>
        <v>0</v>
      </c>
      <c r="O20" s="51">
        <f>'Balance Sheet'!O19</f>
        <v>0</v>
      </c>
      <c r="P20" s="51">
        <f>'Balance Sheet'!P19</f>
        <v>0</v>
      </c>
    </row>
    <row r="21" spans="1:16" ht="19.95" customHeight="1" x14ac:dyDescent="0.3">
      <c r="A21" s="27" t="s">
        <v>313</v>
      </c>
      <c r="B21" s="51">
        <v>0</v>
      </c>
      <c r="C21" s="51">
        <v>0</v>
      </c>
      <c r="D21" s="51">
        <v>0</v>
      </c>
      <c r="E21" s="51">
        <v>0</v>
      </c>
      <c r="F21" s="23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0</v>
      </c>
      <c r="O21" s="51">
        <v>0</v>
      </c>
      <c r="P21" s="51">
        <v>0</v>
      </c>
    </row>
    <row r="22" spans="1:16" ht="19.95" customHeight="1" x14ac:dyDescent="0.3">
      <c r="A22" s="27" t="s">
        <v>84</v>
      </c>
      <c r="B22" s="51">
        <f>'Balance Sheet'!B20</f>
        <v>1.2</v>
      </c>
      <c r="C22" s="51">
        <f>'Balance Sheet'!C20</f>
        <v>1.5</v>
      </c>
      <c r="D22" s="51">
        <f>'Balance Sheet'!D20</f>
        <v>2</v>
      </c>
      <c r="E22" s="51">
        <f>'Balance Sheet'!E20</f>
        <v>3</v>
      </c>
      <c r="F22" s="231">
        <f>'Balance Sheet'!F20</f>
        <v>3.5</v>
      </c>
      <c r="G22" s="51">
        <f>'Balance Sheet'!G20</f>
        <v>3.5</v>
      </c>
      <c r="H22" s="51">
        <f>'Balance Sheet'!H20</f>
        <v>5</v>
      </c>
      <c r="I22" s="51">
        <f>'Balance Sheet'!I20</f>
        <v>5.5</v>
      </c>
      <c r="J22" s="51">
        <f>'Balance Sheet'!J20</f>
        <v>6</v>
      </c>
      <c r="K22" s="51">
        <f>'Balance Sheet'!K20</f>
        <v>6.5</v>
      </c>
      <c r="L22" s="51">
        <f>'Balance Sheet'!L20</f>
        <v>7</v>
      </c>
      <c r="M22" s="51">
        <f>'Balance Sheet'!M20</f>
        <v>7.5</v>
      </c>
      <c r="N22" s="51">
        <f>'Balance Sheet'!N20</f>
        <v>8</v>
      </c>
      <c r="O22" s="51">
        <f>'Balance Sheet'!O20</f>
        <v>8.5</v>
      </c>
      <c r="P22" s="51">
        <f>'Balance Sheet'!P20</f>
        <v>9</v>
      </c>
    </row>
    <row r="23" spans="1:16" ht="19.95" customHeight="1" x14ac:dyDescent="0.3">
      <c r="A23" s="27" t="s">
        <v>314</v>
      </c>
      <c r="B23" s="51">
        <f>'Balance Sheet'!B21+0</f>
        <v>5.2</v>
      </c>
      <c r="C23" s="51">
        <f>'Balance Sheet'!C21+0</f>
        <v>7.8</v>
      </c>
      <c r="D23" s="51">
        <f>'Balance Sheet'!D21+0</f>
        <v>10.5</v>
      </c>
      <c r="E23" s="51">
        <f>'Balance Sheet'!E21+0.8</f>
        <v>15.8</v>
      </c>
      <c r="F23" s="231">
        <f>'Balance Sheet'!F21+1.5</f>
        <v>20</v>
      </c>
      <c r="G23" s="51">
        <f>'Balance Sheet'!G21+2.5</f>
        <v>24.5</v>
      </c>
      <c r="H23" s="51">
        <f>'Balance Sheet'!H21+4</f>
        <v>39</v>
      </c>
      <c r="I23" s="51">
        <f>'Balance Sheet'!I21+5.5</f>
        <v>53.5</v>
      </c>
      <c r="J23" s="51">
        <f>'Balance Sheet'!J21+7</f>
        <v>65</v>
      </c>
      <c r="K23" s="51">
        <f>'Balance Sheet'!K21+8</f>
        <v>72</v>
      </c>
      <c r="L23" s="51">
        <f>'Balance Sheet'!L21+9</f>
        <v>79</v>
      </c>
      <c r="M23" s="51">
        <f>'Balance Sheet'!M21+10</f>
        <v>88</v>
      </c>
      <c r="N23" s="51">
        <f>'Balance Sheet'!N21+12</f>
        <v>100</v>
      </c>
      <c r="O23" s="51">
        <f>'Balance Sheet'!O21+14</f>
        <v>114</v>
      </c>
      <c r="P23" s="51">
        <f>'Balance Sheet'!P21+15</f>
        <v>123</v>
      </c>
    </row>
    <row r="24" spans="1:16" ht="19.95" customHeight="1" x14ac:dyDescent="0.3">
      <c r="A24" s="27" t="s">
        <v>315</v>
      </c>
      <c r="B24" s="51">
        <f>'Balance Sheet'!B22+0</f>
        <v>13.5</v>
      </c>
      <c r="C24" s="51">
        <f>'Balance Sheet'!C22+0</f>
        <v>18</v>
      </c>
      <c r="D24" s="51">
        <f>'Balance Sheet'!D22+0</f>
        <v>24</v>
      </c>
      <c r="E24" s="51">
        <f>'Balance Sheet'!E22+1.2</f>
        <v>35.200000000000003</v>
      </c>
      <c r="F24" s="231">
        <f>'Balance Sheet'!F22+2</f>
        <v>44</v>
      </c>
      <c r="G24" s="51">
        <f>'Balance Sheet'!G22+3.5</f>
        <v>51.5</v>
      </c>
      <c r="H24" s="51">
        <f>'Balance Sheet'!H22+5.5</f>
        <v>83.5</v>
      </c>
      <c r="I24" s="51">
        <f>'Balance Sheet'!I22+8</f>
        <v>108</v>
      </c>
      <c r="J24" s="51">
        <f>'Balance Sheet'!J22+10</f>
        <v>132</v>
      </c>
      <c r="K24" s="51">
        <f>'Balance Sheet'!K22+12</f>
        <v>147</v>
      </c>
      <c r="L24" s="51">
        <f>'Balance Sheet'!L22+13.5</f>
        <v>153.5</v>
      </c>
      <c r="M24" s="51">
        <f>'Balance Sheet'!M22+15</f>
        <v>165</v>
      </c>
      <c r="N24" s="51">
        <f>'Balance Sheet'!N22+17</f>
        <v>185</v>
      </c>
      <c r="O24" s="51">
        <f>'Balance Sheet'!O22+19</f>
        <v>209</v>
      </c>
      <c r="P24" s="51">
        <f>'Balance Sheet'!P22+20</f>
        <v>223</v>
      </c>
    </row>
    <row r="25" spans="1:16" ht="19.95" customHeight="1" x14ac:dyDescent="0.3">
      <c r="A25" s="27" t="s">
        <v>316</v>
      </c>
      <c r="B25" s="51">
        <f t="shared" ref="B25:P25" si="3">B16-B19-B20-B21-B22-B23-B24-B26</f>
        <v>1.4999999999999929</v>
      </c>
      <c r="C25" s="51">
        <f t="shared" si="3"/>
        <v>2.0000000000000107</v>
      </c>
      <c r="D25" s="51">
        <f t="shared" si="3"/>
        <v>3.0000000000000036</v>
      </c>
      <c r="E25" s="51">
        <f t="shared" si="3"/>
        <v>5.1999999999999957</v>
      </c>
      <c r="F25" s="231">
        <f t="shared" si="3"/>
        <v>8.3250000000000171</v>
      </c>
      <c r="G25" s="51">
        <f t="shared" si="3"/>
        <v>5.5778500000000122</v>
      </c>
      <c r="H25" s="51">
        <f t="shared" si="3"/>
        <v>19.97384999999997</v>
      </c>
      <c r="I25" s="51">
        <f t="shared" si="3"/>
        <v>58.692209999999989</v>
      </c>
      <c r="J25" s="51">
        <f t="shared" si="3"/>
        <v>114.48915999999991</v>
      </c>
      <c r="K25" s="51">
        <f t="shared" si="3"/>
        <v>188.39368999999988</v>
      </c>
      <c r="L25" s="51">
        <f t="shared" si="3"/>
        <v>261.98767999999995</v>
      </c>
      <c r="M25" s="51">
        <f t="shared" si="3"/>
        <v>352.96695499999987</v>
      </c>
      <c r="N25" s="51">
        <f t="shared" si="3"/>
        <v>474.06360839999991</v>
      </c>
      <c r="O25" s="51">
        <f t="shared" si="3"/>
        <v>608.09195479999994</v>
      </c>
      <c r="P25" s="51">
        <f t="shared" si="3"/>
        <v>765.78336119999972</v>
      </c>
    </row>
    <row r="26" spans="1:16" ht="19.95" customHeight="1" thickBot="1" x14ac:dyDescent="0.35">
      <c r="A26" s="27" t="s">
        <v>88</v>
      </c>
      <c r="B26" s="69">
        <f>'Balance Sheet'!B24+0</f>
        <v>17.600000000000001</v>
      </c>
      <c r="C26" s="69">
        <f>'Balance Sheet'!C24+0</f>
        <v>17.88</v>
      </c>
      <c r="D26" s="69">
        <f>'Balance Sheet'!D24+0</f>
        <v>18.34</v>
      </c>
      <c r="E26" s="69">
        <f>'Balance Sheet'!E24+0.3</f>
        <v>19.490000000000002</v>
      </c>
      <c r="F26" s="233">
        <f>'Balance Sheet'!F24+0.5</f>
        <v>2.5300000000000011</v>
      </c>
      <c r="G26" s="69">
        <f>'Balance Sheet'!G24+0.5</f>
        <v>10.5</v>
      </c>
      <c r="H26" s="69">
        <f>'Balance Sheet'!H24+1</f>
        <v>17</v>
      </c>
      <c r="I26" s="69">
        <f>'Balance Sheet'!I24+1</f>
        <v>23</v>
      </c>
      <c r="J26" s="69">
        <f>'Balance Sheet'!J24+1.5</f>
        <v>29.5</v>
      </c>
      <c r="K26" s="69">
        <f>'Balance Sheet'!K24+1.5</f>
        <v>35.5</v>
      </c>
      <c r="L26" s="69">
        <f>'Balance Sheet'!L24+2</f>
        <v>42</v>
      </c>
      <c r="M26" s="69">
        <f>'Balance Sheet'!M24+2</f>
        <v>47</v>
      </c>
      <c r="N26" s="69">
        <f>'Balance Sheet'!N24+2.5</f>
        <v>52.5</v>
      </c>
      <c r="O26" s="69">
        <f>'Balance Sheet'!O24+3</f>
        <v>58</v>
      </c>
      <c r="P26" s="69">
        <f>'Balance Sheet'!P24+3</f>
        <v>63</v>
      </c>
    </row>
    <row r="27" spans="1:16" ht="19.95" customHeight="1" x14ac:dyDescent="0.3">
      <c r="A27" s="78" t="s">
        <v>89</v>
      </c>
      <c r="B27" s="79">
        <f t="shared" ref="B27:P27" si="4">B19+B20+B21+B22+B23+B24+B25+B26</f>
        <v>48.999999999999993</v>
      </c>
      <c r="C27" s="79">
        <f t="shared" si="4"/>
        <v>58.38000000000001</v>
      </c>
      <c r="D27" s="79">
        <f t="shared" si="4"/>
        <v>72.84</v>
      </c>
      <c r="E27" s="79">
        <f t="shared" si="4"/>
        <v>114.49000000000001</v>
      </c>
      <c r="F27" s="240">
        <f t="shared" si="4"/>
        <v>155.35500000000002</v>
      </c>
      <c r="G27" s="79">
        <f t="shared" si="4"/>
        <v>198.57785000000001</v>
      </c>
      <c r="H27" s="79">
        <f t="shared" si="4"/>
        <v>268.97384999999997</v>
      </c>
      <c r="I27" s="79">
        <f t="shared" si="4"/>
        <v>353.69220999999999</v>
      </c>
      <c r="J27" s="79">
        <f t="shared" si="4"/>
        <v>451.98915999999991</v>
      </c>
      <c r="K27" s="79">
        <f t="shared" si="4"/>
        <v>553.89368999999988</v>
      </c>
      <c r="L27" s="79">
        <f t="shared" si="4"/>
        <v>686.98767999999995</v>
      </c>
      <c r="M27" s="79">
        <f t="shared" si="4"/>
        <v>842.46695499999987</v>
      </c>
      <c r="N27" s="79">
        <f t="shared" si="4"/>
        <v>998.56360839999991</v>
      </c>
      <c r="O27" s="79">
        <f t="shared" si="4"/>
        <v>1173.5919547999999</v>
      </c>
      <c r="P27" s="79">
        <f t="shared" si="4"/>
        <v>1355.7833611999997</v>
      </c>
    </row>
    <row r="28" spans="1:16" ht="7.95" customHeight="1" x14ac:dyDescent="0.3">
      <c r="A28" s="27"/>
      <c r="B28" s="204"/>
      <c r="C28" s="204"/>
      <c r="D28" s="204"/>
      <c r="E28" s="204"/>
      <c r="F28" s="278"/>
      <c r="G28" s="204"/>
      <c r="H28" s="204"/>
      <c r="I28" s="204"/>
      <c r="J28" s="204"/>
      <c r="K28" s="204"/>
      <c r="L28" s="204"/>
      <c r="M28" s="204"/>
      <c r="N28" s="204"/>
      <c r="O28" s="204"/>
      <c r="P28" s="204"/>
    </row>
    <row r="29" spans="1:16" ht="19.95" customHeight="1" x14ac:dyDescent="0.3">
      <c r="A29" s="87" t="s">
        <v>90</v>
      </c>
      <c r="B29" s="88">
        <f t="shared" ref="B29:P29" si="5">B27-B16</f>
        <v>0</v>
      </c>
      <c r="C29" s="88">
        <f t="shared" si="5"/>
        <v>0</v>
      </c>
      <c r="D29" s="88">
        <f t="shared" si="5"/>
        <v>0</v>
      </c>
      <c r="E29" s="88">
        <f t="shared" si="5"/>
        <v>0</v>
      </c>
      <c r="F29" s="245">
        <f t="shared" si="5"/>
        <v>0</v>
      </c>
      <c r="G29" s="88">
        <f t="shared" si="5"/>
        <v>0</v>
      </c>
      <c r="H29" s="88">
        <f t="shared" si="5"/>
        <v>0</v>
      </c>
      <c r="I29" s="88">
        <f t="shared" si="5"/>
        <v>0</v>
      </c>
      <c r="J29" s="88">
        <f t="shared" si="5"/>
        <v>0</v>
      </c>
      <c r="K29" s="88">
        <f t="shared" si="5"/>
        <v>0</v>
      </c>
      <c r="L29" s="88">
        <f t="shared" si="5"/>
        <v>0</v>
      </c>
      <c r="M29" s="88">
        <f t="shared" si="5"/>
        <v>0</v>
      </c>
      <c r="N29" s="88">
        <f t="shared" si="5"/>
        <v>0</v>
      </c>
      <c r="O29" s="88">
        <f t="shared" si="5"/>
        <v>0</v>
      </c>
      <c r="P29" s="88">
        <f t="shared" si="5"/>
        <v>0</v>
      </c>
    </row>
    <row r="30" spans="1:16" ht="7.95" customHeight="1" x14ac:dyDescent="0.3">
      <c r="A30" s="27"/>
      <c r="B30" s="204"/>
      <c r="C30" s="204"/>
      <c r="D30" s="204"/>
      <c r="E30" s="204"/>
      <c r="F30" s="278"/>
      <c r="G30" s="204"/>
      <c r="H30" s="204"/>
      <c r="I30" s="204"/>
      <c r="J30" s="204"/>
      <c r="K30" s="204"/>
      <c r="L30" s="204"/>
      <c r="M30" s="204"/>
      <c r="N30" s="204"/>
      <c r="O30" s="204"/>
      <c r="P30" s="204"/>
    </row>
    <row r="31" spans="1:16" ht="19.95" customHeight="1" x14ac:dyDescent="0.3">
      <c r="A31" s="90" t="s">
        <v>91</v>
      </c>
      <c r="B31" s="208">
        <f t="shared" ref="B31:P31" si="6">B13/B9</f>
        <v>0.52091254752851712</v>
      </c>
      <c r="C31" s="208">
        <f t="shared" si="6"/>
        <v>0.48732943469785572</v>
      </c>
      <c r="D31" s="208">
        <f t="shared" si="6"/>
        <v>0.42481977342945415</v>
      </c>
      <c r="E31" s="208">
        <f t="shared" si="6"/>
        <v>0.28931838300383594</v>
      </c>
      <c r="F31" s="279">
        <f t="shared" si="6"/>
        <v>0.27313746065057709</v>
      </c>
      <c r="G31" s="208">
        <f t="shared" si="6"/>
        <v>0.36692384430860109</v>
      </c>
      <c r="H31" s="208">
        <f t="shared" si="6"/>
        <v>0.27658762089183936</v>
      </c>
      <c r="I31" s="208">
        <f t="shared" si="6"/>
        <v>0.19422544271092468</v>
      </c>
      <c r="J31" s="208">
        <f t="shared" si="6"/>
        <v>0.12762232796477471</v>
      </c>
      <c r="K31" s="208">
        <f t="shared" si="6"/>
        <v>7.5890716273748937E-2</v>
      </c>
      <c r="L31" s="208">
        <f t="shared" si="6"/>
        <v>7.4380341291455668E-2</v>
      </c>
      <c r="M31" s="208">
        <f t="shared" si="6"/>
        <v>8.6919836071401663E-2</v>
      </c>
      <c r="N31" s="208">
        <f t="shared" si="6"/>
        <v>6.9000209630968937E-2</v>
      </c>
      <c r="O31" s="208">
        <f t="shared" si="6"/>
        <v>4.9009472523705681E-2</v>
      </c>
      <c r="P31" s="208">
        <f t="shared" si="6"/>
        <v>3.0755777240367575E-2</v>
      </c>
    </row>
    <row r="32" spans="1:16" ht="19.95" customHeight="1" x14ac:dyDescent="0.3">
      <c r="A32" s="209" t="s">
        <v>317</v>
      </c>
      <c r="B32" s="210">
        <v>0</v>
      </c>
      <c r="C32" s="210">
        <v>0</v>
      </c>
      <c r="D32" s="210">
        <v>0</v>
      </c>
      <c r="E32" s="210">
        <v>0.2</v>
      </c>
      <c r="F32" s="280">
        <v>0.35000000000000003</v>
      </c>
      <c r="G32" s="211">
        <v>0.5</v>
      </c>
      <c r="H32" s="211">
        <v>0.8</v>
      </c>
      <c r="I32" s="211">
        <v>1.2000000000000002</v>
      </c>
      <c r="J32" s="211">
        <v>1.6</v>
      </c>
      <c r="K32" s="211">
        <v>2</v>
      </c>
      <c r="L32" s="211">
        <v>2.4000000000000004</v>
      </c>
      <c r="M32" s="211">
        <v>2.8000000000000003</v>
      </c>
      <c r="N32" s="211">
        <v>3.3000000000000003</v>
      </c>
      <c r="O32" s="211">
        <v>3.8000000000000003</v>
      </c>
      <c r="P32" s="211">
        <v>4.2</v>
      </c>
    </row>
  </sheetData>
  <conditionalFormatting sqref="B29:P29">
    <cfRule type="cellIs" dxfId="1" priority="1" operator="equal">
      <formula>0</formula>
    </cfRule>
    <cfRule type="cellIs" dxfId="0" priority="2" operator="notEqual">
      <formula>0</formula>
    </cfRule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2C355-222E-4201-8478-6D0BC7A5B85C}">
  <sheetPr>
    <tabColor rgb="FF548235"/>
  </sheetPr>
  <dimension ref="A1:P22"/>
  <sheetViews>
    <sheetView workbookViewId="0">
      <pane xSplit="1" topLeftCell="B1" activePane="topRight" state="frozen"/>
      <selection pane="topRight" activeCell="G12" sqref="G12"/>
    </sheetView>
  </sheetViews>
  <sheetFormatPr defaultRowHeight="14.4" x14ac:dyDescent="0.3"/>
  <cols>
    <col min="1" max="1" width="40.77734375" customWidth="1"/>
    <col min="2" max="16" width="15.21875" customWidth="1"/>
  </cols>
  <sheetData>
    <row r="1" spans="1:16" ht="30" customHeight="1" x14ac:dyDescent="0.4">
      <c r="A1" s="117" t="s">
        <v>318</v>
      </c>
    </row>
    <row r="2" spans="1:16" ht="18" customHeight="1" x14ac:dyDescent="0.3">
      <c r="A2" s="184" t="s">
        <v>319</v>
      </c>
    </row>
    <row r="3" spans="1:16" ht="7.95" customHeight="1" x14ac:dyDescent="0.3"/>
    <row r="4" spans="1:16" ht="28.05" customHeight="1" thickBot="1" x14ac:dyDescent="0.35">
      <c r="A4" s="188" t="s">
        <v>2</v>
      </c>
      <c r="B4" s="96" t="s">
        <v>3</v>
      </c>
      <c r="C4" s="96" t="s">
        <v>4</v>
      </c>
      <c r="D4" s="96" t="s">
        <v>5</v>
      </c>
      <c r="E4" s="96" t="s">
        <v>6</v>
      </c>
      <c r="F4" s="253" t="s">
        <v>7</v>
      </c>
      <c r="G4" s="185" t="s">
        <v>8</v>
      </c>
      <c r="H4" s="185" t="s">
        <v>9</v>
      </c>
      <c r="I4" s="185" t="s">
        <v>10</v>
      </c>
      <c r="J4" s="185" t="s">
        <v>11</v>
      </c>
      <c r="K4" s="185" t="s">
        <v>12</v>
      </c>
      <c r="L4" s="185" t="s">
        <v>257</v>
      </c>
      <c r="M4" s="185" t="s">
        <v>258</v>
      </c>
      <c r="N4" s="185" t="s">
        <v>259</v>
      </c>
      <c r="O4" s="185" t="s">
        <v>260</v>
      </c>
      <c r="P4" s="185" t="s">
        <v>261</v>
      </c>
    </row>
    <row r="5" spans="1:16" ht="19.95" customHeight="1" x14ac:dyDescent="0.3">
      <c r="A5" s="190" t="s">
        <v>93</v>
      </c>
      <c r="B5" s="191"/>
      <c r="C5" s="191"/>
      <c r="D5" s="191"/>
      <c r="E5" s="191"/>
      <c r="F5" s="262"/>
      <c r="G5" s="191"/>
      <c r="H5" s="191"/>
      <c r="I5" s="191"/>
      <c r="J5" s="191"/>
      <c r="K5" s="191"/>
      <c r="L5" s="191"/>
      <c r="M5" s="191"/>
      <c r="N5" s="191"/>
      <c r="O5" s="191"/>
      <c r="P5" s="191"/>
    </row>
    <row r="6" spans="1:16" ht="19.95" customHeight="1" x14ac:dyDescent="0.3">
      <c r="A6" s="27" t="s">
        <v>320</v>
      </c>
      <c r="B6" s="212">
        <f>'Consolidated IS'!B38</f>
        <v>2.9989199999999965</v>
      </c>
      <c r="C6" s="212">
        <f>'Consolidated IS'!C38</f>
        <v>4.908680000000003</v>
      </c>
      <c r="D6" s="212">
        <f>'Consolidated IS'!D38</f>
        <v>8.6237600000000079</v>
      </c>
      <c r="E6" s="212">
        <f>'Consolidated IS'!E38</f>
        <v>13.823379999999997</v>
      </c>
      <c r="F6" s="281">
        <f>'Consolidated IS'!F38</f>
        <v>19.962960000000013</v>
      </c>
      <c r="G6" s="212">
        <f>'Consolidated IS'!G38</f>
        <v>19.37735</v>
      </c>
      <c r="H6" s="212">
        <f>'Consolidated IS'!H38</f>
        <v>39.030719999999953</v>
      </c>
      <c r="I6" s="212">
        <f>'Consolidated IS'!I38</f>
        <v>62.37679</v>
      </c>
      <c r="J6" s="212">
        <f>'Consolidated IS'!J38</f>
        <v>82.83211</v>
      </c>
      <c r="K6" s="212">
        <f>'Consolidated IS'!K38</f>
        <v>95.170949999999948</v>
      </c>
      <c r="L6" s="212">
        <f>'Consolidated IS'!L38</f>
        <v>108.14015999999998</v>
      </c>
      <c r="M6" s="212">
        <f>'Consolidated IS'!M38</f>
        <v>121.30519500000003</v>
      </c>
      <c r="N6" s="212">
        <f>'Consolidated IS'!N38</f>
        <v>134.39779339999993</v>
      </c>
      <c r="O6" s="212">
        <f>'Consolidated IS'!O38</f>
        <v>159.90017639999988</v>
      </c>
      <c r="P6" s="212">
        <f>'Consolidated IS'!P38</f>
        <v>177.93845639999986</v>
      </c>
    </row>
    <row r="7" spans="1:16" ht="19.95" customHeight="1" x14ac:dyDescent="0.3">
      <c r="A7" s="27" t="s">
        <v>94</v>
      </c>
      <c r="B7" s="63">
        <f>'Consolidated IS'!B31</f>
        <v>0.52</v>
      </c>
      <c r="C7" s="63">
        <f>'Consolidated IS'!C31</f>
        <v>0.6</v>
      </c>
      <c r="D7" s="63">
        <f>'Consolidated IS'!D31</f>
        <v>0.65</v>
      </c>
      <c r="E7" s="63">
        <f>'Consolidated IS'!E31</f>
        <v>0.95</v>
      </c>
      <c r="F7" s="282">
        <f>'Consolidated IS'!F31</f>
        <v>1.18</v>
      </c>
      <c r="G7" s="63">
        <f>'Consolidated IS'!G31</f>
        <v>2.4000000000000004</v>
      </c>
      <c r="H7" s="63">
        <f>'Consolidated IS'!H31</f>
        <v>7.86</v>
      </c>
      <c r="I7" s="63">
        <f>'Consolidated IS'!I31</f>
        <v>8.5399999999999991</v>
      </c>
      <c r="J7" s="63">
        <f>'Consolidated IS'!J31</f>
        <v>9.18</v>
      </c>
      <c r="K7" s="63">
        <f>'Consolidated IS'!K31</f>
        <v>9.26</v>
      </c>
      <c r="L7" s="63">
        <f>'Consolidated IS'!L31</f>
        <v>9.86</v>
      </c>
      <c r="M7" s="63">
        <f>'Consolidated IS'!M31</f>
        <v>10.46</v>
      </c>
      <c r="N7" s="63">
        <f>'Consolidated IS'!N31</f>
        <v>12.120000000000001</v>
      </c>
      <c r="O7" s="63">
        <f>'Consolidated IS'!O31</f>
        <v>13.34</v>
      </c>
      <c r="P7" s="63">
        <f>'Consolidated IS'!P31</f>
        <v>13.5</v>
      </c>
    </row>
    <row r="8" spans="1:16" ht="19.95" customHeight="1" x14ac:dyDescent="0.3">
      <c r="A8" s="27" t="s">
        <v>95</v>
      </c>
      <c r="B8" s="63">
        <f>'Cash Flow'!B8</f>
        <v>-2.5</v>
      </c>
      <c r="C8" s="63">
        <f>'Cash Flow'!C8</f>
        <v>-3.8</v>
      </c>
      <c r="D8" s="63">
        <f>'Cash Flow'!D8</f>
        <v>-4.2</v>
      </c>
      <c r="E8" s="63">
        <f>'Cash Flow'!E8</f>
        <v>-8.5</v>
      </c>
      <c r="F8" s="282">
        <f>'Cash Flow'!F8</f>
        <v>-5</v>
      </c>
      <c r="G8" s="63">
        <f>'Cash Flow'!G8</f>
        <v>-8</v>
      </c>
      <c r="H8" s="63">
        <f>'Cash Flow'!H8</f>
        <v>-18</v>
      </c>
      <c r="I8" s="63">
        <f>'Cash Flow'!I8</f>
        <v>-18</v>
      </c>
      <c r="J8" s="63">
        <f>'Cash Flow'!J8</f>
        <v>-16</v>
      </c>
      <c r="K8" s="63">
        <f>'Cash Flow'!K8</f>
        <v>-12</v>
      </c>
      <c r="L8" s="63">
        <f>'Cash Flow'!L8</f>
        <v>-15</v>
      </c>
      <c r="M8" s="63">
        <f>'Cash Flow'!M8</f>
        <v>-12</v>
      </c>
      <c r="N8" s="63">
        <f>'Cash Flow'!N8</f>
        <v>-18</v>
      </c>
      <c r="O8" s="63">
        <f>'Cash Flow'!O8</f>
        <v>-18</v>
      </c>
      <c r="P8" s="63">
        <f>'Cash Flow'!P8</f>
        <v>-15</v>
      </c>
    </row>
    <row r="9" spans="1:16" ht="19.95" customHeight="1" x14ac:dyDescent="0.3">
      <c r="A9" s="27" t="s">
        <v>321</v>
      </c>
      <c r="B9" s="91">
        <v>0</v>
      </c>
      <c r="C9" s="91">
        <v>0</v>
      </c>
      <c r="D9" s="91">
        <v>0</v>
      </c>
      <c r="E9" s="91">
        <v>-0.5</v>
      </c>
      <c r="F9" s="283">
        <v>-1</v>
      </c>
      <c r="G9" s="92">
        <v>-1.5</v>
      </c>
      <c r="H9" s="92">
        <v>-2</v>
      </c>
      <c r="I9" s="92">
        <v>-2.5</v>
      </c>
      <c r="J9" s="92">
        <v>-2</v>
      </c>
      <c r="K9" s="92">
        <v>-2</v>
      </c>
      <c r="L9" s="92">
        <v>-2</v>
      </c>
      <c r="M9" s="92">
        <v>-2</v>
      </c>
      <c r="N9" s="92">
        <v>-2.5</v>
      </c>
      <c r="O9" s="92">
        <v>-2.5</v>
      </c>
      <c r="P9" s="92">
        <v>-2</v>
      </c>
    </row>
    <row r="10" spans="1:16" ht="19.95" customHeight="1" x14ac:dyDescent="0.3">
      <c r="A10" s="71" t="s">
        <v>96</v>
      </c>
      <c r="B10" s="93">
        <f t="shared" ref="B10:P10" si="0">B6+B7+B8+B9</f>
        <v>1.0189199999999965</v>
      </c>
      <c r="C10" s="93">
        <f t="shared" si="0"/>
        <v>1.7086800000000029</v>
      </c>
      <c r="D10" s="93">
        <f t="shared" si="0"/>
        <v>5.073760000000008</v>
      </c>
      <c r="E10" s="93">
        <f t="shared" si="0"/>
        <v>5.773379999999996</v>
      </c>
      <c r="F10" s="284">
        <f t="shared" si="0"/>
        <v>15.142960000000013</v>
      </c>
      <c r="G10" s="93">
        <f t="shared" si="0"/>
        <v>12.277349999999998</v>
      </c>
      <c r="H10" s="93">
        <f t="shared" si="0"/>
        <v>26.890719999999952</v>
      </c>
      <c r="I10" s="93">
        <f t="shared" si="0"/>
        <v>50.416789999999992</v>
      </c>
      <c r="J10" s="93">
        <f t="shared" si="0"/>
        <v>74.012110000000007</v>
      </c>
      <c r="K10" s="93">
        <f t="shared" si="0"/>
        <v>90.430949999999953</v>
      </c>
      <c r="L10" s="93">
        <f t="shared" si="0"/>
        <v>101.00015999999998</v>
      </c>
      <c r="M10" s="93">
        <f t="shared" si="0"/>
        <v>117.76519500000003</v>
      </c>
      <c r="N10" s="93">
        <f t="shared" si="0"/>
        <v>126.01779339999993</v>
      </c>
      <c r="O10" s="93">
        <f t="shared" si="0"/>
        <v>152.74017639999988</v>
      </c>
      <c r="P10" s="93">
        <f t="shared" si="0"/>
        <v>174.43845639999986</v>
      </c>
    </row>
    <row r="11" spans="1:16" ht="7.95" customHeight="1" x14ac:dyDescent="0.3">
      <c r="A11" s="27"/>
      <c r="B11" s="62"/>
      <c r="C11" s="62"/>
      <c r="D11" s="62"/>
      <c r="E11" s="62"/>
      <c r="F11" s="285"/>
      <c r="G11" s="62"/>
      <c r="H11" s="62"/>
      <c r="I11" s="62"/>
      <c r="J11" s="62"/>
      <c r="K11" s="62"/>
      <c r="L11" s="62"/>
      <c r="M11" s="62"/>
      <c r="N11" s="62"/>
      <c r="O11" s="62"/>
      <c r="P11" s="62"/>
    </row>
    <row r="12" spans="1:16" ht="19.95" customHeight="1" x14ac:dyDescent="0.3">
      <c r="A12" s="194" t="s">
        <v>97</v>
      </c>
      <c r="B12" s="213"/>
      <c r="C12" s="213"/>
      <c r="D12" s="213"/>
      <c r="E12" s="213"/>
      <c r="F12" s="286"/>
      <c r="G12" s="213"/>
      <c r="H12" s="213"/>
      <c r="I12" s="213"/>
      <c r="J12" s="213"/>
      <c r="K12" s="213"/>
      <c r="L12" s="213"/>
      <c r="M12" s="213"/>
      <c r="N12" s="213"/>
      <c r="O12" s="213"/>
      <c r="P12" s="213"/>
    </row>
    <row r="13" spans="1:16" ht="19.95" customHeight="1" x14ac:dyDescent="0.3">
      <c r="A13" s="27" t="s">
        <v>322</v>
      </c>
      <c r="B13" s="212">
        <f>'Cash Flow'!B12</f>
        <v>-1.5</v>
      </c>
      <c r="C13" s="212">
        <f>'Cash Flow'!C12</f>
        <v>-2</v>
      </c>
      <c r="D13" s="212">
        <f>'Cash Flow'!D12</f>
        <v>-4.5</v>
      </c>
      <c r="E13" s="212">
        <f>'Cash Flow'!E12</f>
        <v>-20</v>
      </c>
      <c r="F13" s="281">
        <f>'Cash Flow'!F12</f>
        <v>-38</v>
      </c>
      <c r="G13" s="212">
        <f>'Cash Flow'!G12</f>
        <v>-15</v>
      </c>
      <c r="H13" s="212">
        <f>'Cash Flow'!H12</f>
        <v>-5</v>
      </c>
      <c r="I13" s="212">
        <f>'Cash Flow'!I12</f>
        <v>-5</v>
      </c>
      <c r="J13" s="212">
        <f>'Cash Flow'!J12</f>
        <v>-5</v>
      </c>
      <c r="K13" s="212">
        <f>'Cash Flow'!K12</f>
        <v>-5</v>
      </c>
      <c r="L13" s="212">
        <f>'Cash Flow'!L12</f>
        <v>-45</v>
      </c>
      <c r="M13" s="212">
        <f>'Cash Flow'!M12</f>
        <v>-45</v>
      </c>
      <c r="N13" s="212">
        <f>'Cash Flow'!N12</f>
        <v>-8</v>
      </c>
      <c r="O13" s="212">
        <f>'Cash Flow'!O12</f>
        <v>-8</v>
      </c>
      <c r="P13" s="212">
        <f>'Cash Flow'!P12</f>
        <v>-8</v>
      </c>
    </row>
    <row r="14" spans="1:16" ht="19.95" customHeight="1" x14ac:dyDescent="0.3">
      <c r="A14" s="27" t="s">
        <v>323</v>
      </c>
      <c r="B14" s="91">
        <v>0</v>
      </c>
      <c r="C14" s="91">
        <v>0</v>
      </c>
      <c r="D14" s="91">
        <v>0</v>
      </c>
      <c r="E14" s="91">
        <v>-0.5</v>
      </c>
      <c r="F14" s="283">
        <v>-1</v>
      </c>
      <c r="G14" s="92">
        <v>-1.5</v>
      </c>
      <c r="H14" s="92">
        <v>-2</v>
      </c>
      <c r="I14" s="92">
        <v>-2.5</v>
      </c>
      <c r="J14" s="92">
        <v>-2.5</v>
      </c>
      <c r="K14" s="92">
        <v>-2.5</v>
      </c>
      <c r="L14" s="92">
        <v>-3</v>
      </c>
      <c r="M14" s="92">
        <v>-3</v>
      </c>
      <c r="N14" s="92">
        <v>-3.5</v>
      </c>
      <c r="O14" s="92">
        <v>-3.5</v>
      </c>
      <c r="P14" s="92">
        <v>-4</v>
      </c>
    </row>
    <row r="15" spans="1:16" ht="19.95" customHeight="1" x14ac:dyDescent="0.3">
      <c r="A15" s="71" t="s">
        <v>99</v>
      </c>
      <c r="B15" s="93">
        <f t="shared" ref="B15:P15" si="1">B13+B14</f>
        <v>-1.5</v>
      </c>
      <c r="C15" s="93">
        <f t="shared" si="1"/>
        <v>-2</v>
      </c>
      <c r="D15" s="93">
        <f t="shared" si="1"/>
        <v>-4.5</v>
      </c>
      <c r="E15" s="93">
        <f t="shared" si="1"/>
        <v>-20.5</v>
      </c>
      <c r="F15" s="284">
        <f t="shared" si="1"/>
        <v>-39</v>
      </c>
      <c r="G15" s="93">
        <f t="shared" si="1"/>
        <v>-16.5</v>
      </c>
      <c r="H15" s="93">
        <f t="shared" si="1"/>
        <v>-7</v>
      </c>
      <c r="I15" s="93">
        <f t="shared" si="1"/>
        <v>-7.5</v>
      </c>
      <c r="J15" s="93">
        <f t="shared" si="1"/>
        <v>-7.5</v>
      </c>
      <c r="K15" s="93">
        <f t="shared" si="1"/>
        <v>-7.5</v>
      </c>
      <c r="L15" s="93">
        <f t="shared" si="1"/>
        <v>-48</v>
      </c>
      <c r="M15" s="93">
        <f t="shared" si="1"/>
        <v>-48</v>
      </c>
      <c r="N15" s="93">
        <f t="shared" si="1"/>
        <v>-11.5</v>
      </c>
      <c r="O15" s="93">
        <f t="shared" si="1"/>
        <v>-11.5</v>
      </c>
      <c r="P15" s="93">
        <f t="shared" si="1"/>
        <v>-12</v>
      </c>
    </row>
    <row r="16" spans="1:16" ht="7.95" customHeight="1" x14ac:dyDescent="0.3">
      <c r="A16" s="27"/>
      <c r="B16" s="62"/>
      <c r="C16" s="62"/>
      <c r="D16" s="62"/>
      <c r="E16" s="62"/>
      <c r="F16" s="285"/>
      <c r="G16" s="62"/>
      <c r="H16" s="62"/>
      <c r="I16" s="62"/>
      <c r="J16" s="62"/>
      <c r="K16" s="62"/>
      <c r="L16" s="62"/>
      <c r="M16" s="62"/>
      <c r="N16" s="62"/>
      <c r="O16" s="62"/>
      <c r="P16" s="62"/>
    </row>
    <row r="17" spans="1:16" ht="19.95" customHeight="1" x14ac:dyDescent="0.3">
      <c r="A17" s="194" t="s">
        <v>100</v>
      </c>
      <c r="B17" s="213"/>
      <c r="C17" s="213"/>
      <c r="D17" s="213"/>
      <c r="E17" s="213"/>
      <c r="F17" s="286"/>
      <c r="G17" s="213"/>
      <c r="H17" s="213"/>
      <c r="I17" s="213"/>
      <c r="J17" s="213"/>
      <c r="K17" s="213"/>
      <c r="L17" s="213"/>
      <c r="M17" s="213"/>
      <c r="N17" s="213"/>
      <c r="O17" s="213"/>
      <c r="P17" s="213"/>
    </row>
    <row r="18" spans="1:16" ht="19.95" customHeight="1" x14ac:dyDescent="0.3">
      <c r="A18" s="27" t="s">
        <v>101</v>
      </c>
      <c r="B18" s="212">
        <f>'Cash Flow'!B16</f>
        <v>1</v>
      </c>
      <c r="C18" s="212">
        <f>'Consolidated BS'!C13-'Consolidated BS'!B13</f>
        <v>1.3000000000000007</v>
      </c>
      <c r="D18" s="212">
        <f>'Consolidated BS'!D13-'Consolidated BS'!C13</f>
        <v>1.5</v>
      </c>
      <c r="E18" s="212">
        <f>'Consolidated BS'!E13-'Consolidated BS'!D13</f>
        <v>3.1099999999999994</v>
      </c>
      <c r="F18" s="281">
        <f>'Consolidated BS'!F13-'Consolidated BS'!E13</f>
        <v>6.4199999999999982</v>
      </c>
      <c r="G18" s="212">
        <f>'Consolidated BS'!G13-'Consolidated BS'!F13</f>
        <v>16.470000000000002</v>
      </c>
      <c r="H18" s="212">
        <f>'Consolidated BS'!H13-'Consolidated BS'!G13</f>
        <v>1</v>
      </c>
      <c r="I18" s="212">
        <f>'Consolidated BS'!I13-'Consolidated BS'!H13</f>
        <v>-0.5</v>
      </c>
      <c r="J18" s="212">
        <f>'Consolidated BS'!J13-'Consolidated BS'!I13</f>
        <v>-4</v>
      </c>
      <c r="K18" s="212">
        <f>'Consolidated BS'!K13-'Consolidated BS'!J13</f>
        <v>-8.5</v>
      </c>
      <c r="L18" s="212">
        <f>'Consolidated BS'!L13-'Consolidated BS'!K13</f>
        <v>7.4999999999999858</v>
      </c>
      <c r="M18" s="212">
        <f>'Consolidated BS'!M13-'Consolidated BS'!L13</f>
        <v>17</v>
      </c>
      <c r="N18" s="212">
        <f>'Consolidated BS'!N13-'Consolidated BS'!M13</f>
        <v>-2</v>
      </c>
      <c r="O18" s="212">
        <f>'Consolidated BS'!O13-'Consolidated BS'!N13</f>
        <v>-7.4999999999999858</v>
      </c>
      <c r="P18" s="212">
        <f>'Consolidated BS'!P13-'Consolidated BS'!O13</f>
        <v>-11.5</v>
      </c>
    </row>
    <row r="19" spans="1:16" ht="19.95" customHeight="1" x14ac:dyDescent="0.3">
      <c r="A19" s="27" t="s">
        <v>102</v>
      </c>
      <c r="B19" s="94">
        <f>'Cash Flow'!B17</f>
        <v>-1.5</v>
      </c>
      <c r="C19" s="94">
        <f>'Cash Flow'!C17</f>
        <v>-1.8</v>
      </c>
      <c r="D19" s="94">
        <f>'Cash Flow'!D17</f>
        <v>-2.2000000000000002</v>
      </c>
      <c r="E19" s="94">
        <f>'Cash Flow'!E17</f>
        <v>16.48</v>
      </c>
      <c r="F19" s="287">
        <f>'Cash Flow'!F17</f>
        <v>-2.4</v>
      </c>
      <c r="G19" s="94">
        <f>'Cash Flow'!G17</f>
        <v>-2.5</v>
      </c>
      <c r="H19" s="94">
        <f>'Cash Flow'!H17</f>
        <v>-4</v>
      </c>
      <c r="I19" s="94">
        <f>'Cash Flow'!I17</f>
        <v>-3.5</v>
      </c>
      <c r="J19" s="94">
        <f>'Cash Flow'!J17</f>
        <v>-2.8</v>
      </c>
      <c r="K19" s="94">
        <f>'Cash Flow'!K17</f>
        <v>-2</v>
      </c>
      <c r="L19" s="94">
        <f>'Cash Flow'!L17</f>
        <v>-2</v>
      </c>
      <c r="M19" s="94">
        <f>'Cash Flow'!M17</f>
        <v>-3</v>
      </c>
      <c r="N19" s="94">
        <f>'Cash Flow'!N17</f>
        <v>-3.5</v>
      </c>
      <c r="O19" s="94">
        <f>'Cash Flow'!O17</f>
        <v>-3</v>
      </c>
      <c r="P19" s="94">
        <f>'Cash Flow'!P17</f>
        <v>-2</v>
      </c>
    </row>
    <row r="20" spans="1:16" ht="19.95" customHeight="1" x14ac:dyDescent="0.3">
      <c r="A20" s="71" t="s">
        <v>103</v>
      </c>
      <c r="B20" s="93">
        <f t="shared" ref="B20:P20" si="2">B18+B19</f>
        <v>-0.5</v>
      </c>
      <c r="C20" s="93">
        <f t="shared" si="2"/>
        <v>-0.49999999999999933</v>
      </c>
      <c r="D20" s="93">
        <f t="shared" si="2"/>
        <v>-0.70000000000000018</v>
      </c>
      <c r="E20" s="93">
        <f t="shared" si="2"/>
        <v>19.59</v>
      </c>
      <c r="F20" s="284">
        <f t="shared" si="2"/>
        <v>4.0199999999999978</v>
      </c>
      <c r="G20" s="93">
        <f t="shared" si="2"/>
        <v>13.970000000000002</v>
      </c>
      <c r="H20" s="93">
        <f t="shared" si="2"/>
        <v>-3</v>
      </c>
      <c r="I20" s="93">
        <f t="shared" si="2"/>
        <v>-4</v>
      </c>
      <c r="J20" s="93">
        <f t="shared" si="2"/>
        <v>-6.8</v>
      </c>
      <c r="K20" s="93">
        <f t="shared" si="2"/>
        <v>-10.5</v>
      </c>
      <c r="L20" s="93">
        <f t="shared" si="2"/>
        <v>5.4999999999999858</v>
      </c>
      <c r="M20" s="93">
        <f t="shared" si="2"/>
        <v>14</v>
      </c>
      <c r="N20" s="93">
        <f t="shared" si="2"/>
        <v>-5.5</v>
      </c>
      <c r="O20" s="93">
        <f t="shared" si="2"/>
        <v>-10.499999999999986</v>
      </c>
      <c r="P20" s="93">
        <f t="shared" si="2"/>
        <v>-13.5</v>
      </c>
    </row>
    <row r="21" spans="1:16" ht="7.95" customHeight="1" thickBot="1" x14ac:dyDescent="0.35">
      <c r="A21" s="27"/>
      <c r="B21" s="91"/>
      <c r="C21" s="91"/>
      <c r="D21" s="91"/>
      <c r="E21" s="91"/>
      <c r="F21" s="283"/>
      <c r="G21" s="91"/>
      <c r="H21" s="91"/>
      <c r="I21" s="91"/>
      <c r="J21" s="91"/>
      <c r="K21" s="91"/>
      <c r="L21" s="91"/>
      <c r="M21" s="91"/>
      <c r="N21" s="91"/>
      <c r="O21" s="91"/>
      <c r="P21" s="91"/>
    </row>
    <row r="22" spans="1:16" ht="19.95" customHeight="1" x14ac:dyDescent="0.3">
      <c r="A22" s="78" t="s">
        <v>324</v>
      </c>
      <c r="B22" s="95">
        <f t="shared" ref="B22:P22" si="3">B10+B15+B20</f>
        <v>-0.9810800000000035</v>
      </c>
      <c r="C22" s="95">
        <f t="shared" si="3"/>
        <v>-0.79131999999999647</v>
      </c>
      <c r="D22" s="95">
        <f t="shared" si="3"/>
        <v>-0.12623999999999214</v>
      </c>
      <c r="E22" s="95">
        <f t="shared" si="3"/>
        <v>4.8633799999999958</v>
      </c>
      <c r="F22" s="288">
        <f t="shared" si="3"/>
        <v>-19.837039999999988</v>
      </c>
      <c r="G22" s="95">
        <f t="shared" si="3"/>
        <v>9.7473500000000008</v>
      </c>
      <c r="H22" s="95">
        <f t="shared" si="3"/>
        <v>16.890719999999952</v>
      </c>
      <c r="I22" s="95">
        <f t="shared" si="3"/>
        <v>38.916789999999992</v>
      </c>
      <c r="J22" s="95">
        <f t="shared" si="3"/>
        <v>59.71211000000001</v>
      </c>
      <c r="K22" s="95">
        <f t="shared" si="3"/>
        <v>72.430949999999953</v>
      </c>
      <c r="L22" s="95">
        <f t="shared" si="3"/>
        <v>58.500159999999966</v>
      </c>
      <c r="M22" s="95">
        <f t="shared" si="3"/>
        <v>83.765195000000034</v>
      </c>
      <c r="N22" s="95">
        <f t="shared" si="3"/>
        <v>109.01779339999993</v>
      </c>
      <c r="O22" s="95">
        <f t="shared" si="3"/>
        <v>130.74017639999988</v>
      </c>
      <c r="P22" s="95">
        <f t="shared" si="3"/>
        <v>148.93845639999986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5FA52-F60B-4352-B542-8D2D66AA4123}">
  <sheetPr>
    <tabColor rgb="FF2E75B6"/>
  </sheetPr>
  <dimension ref="A1:P28"/>
  <sheetViews>
    <sheetView workbookViewId="0">
      <pane xSplit="1" topLeftCell="B1" activePane="topRight" state="frozen"/>
      <selection pane="topRight" activeCell="D9" sqref="D9"/>
    </sheetView>
  </sheetViews>
  <sheetFormatPr defaultRowHeight="14.4" x14ac:dyDescent="0.3"/>
  <cols>
    <col min="1" max="1" width="37" customWidth="1"/>
    <col min="2" max="16" width="15.21875" customWidth="1"/>
  </cols>
  <sheetData>
    <row r="1" spans="1:16" ht="28.05" customHeight="1" x14ac:dyDescent="0.4">
      <c r="A1" s="32" t="s">
        <v>105</v>
      </c>
    </row>
    <row r="2" spans="1:16" ht="18" customHeight="1" x14ac:dyDescent="0.3">
      <c r="A2" s="1" t="s">
        <v>106</v>
      </c>
    </row>
    <row r="3" spans="1:16" ht="7.95" customHeight="1" x14ac:dyDescent="0.3"/>
    <row r="4" spans="1:16" ht="28.05" customHeight="1" thickBot="1" x14ac:dyDescent="0.35">
      <c r="A4" s="58" t="s">
        <v>2</v>
      </c>
      <c r="B4" s="96" t="s">
        <v>3</v>
      </c>
      <c r="C4" s="96" t="s">
        <v>4</v>
      </c>
      <c r="D4" s="96" t="s">
        <v>5</v>
      </c>
      <c r="E4" s="96" t="s">
        <v>6</v>
      </c>
      <c r="F4" s="253" t="s">
        <v>7</v>
      </c>
      <c r="G4" s="96" t="s">
        <v>8</v>
      </c>
      <c r="H4" s="96" t="s">
        <v>9</v>
      </c>
      <c r="I4" s="96" t="s">
        <v>10</v>
      </c>
      <c r="J4" s="96" t="s">
        <v>11</v>
      </c>
      <c r="K4" s="96" t="s">
        <v>12</v>
      </c>
      <c r="L4" s="96" t="s">
        <v>257</v>
      </c>
      <c r="M4" s="96" t="s">
        <v>258</v>
      </c>
      <c r="N4" s="96" t="s">
        <v>259</v>
      </c>
      <c r="O4" s="96" t="s">
        <v>260</v>
      </c>
      <c r="P4" s="96" t="s">
        <v>261</v>
      </c>
    </row>
    <row r="5" spans="1:16" ht="19.95" customHeight="1" x14ac:dyDescent="0.3">
      <c r="A5" s="66" t="s">
        <v>107</v>
      </c>
      <c r="B5" s="97"/>
      <c r="C5" s="97"/>
      <c r="D5" s="97"/>
      <c r="E5" s="97"/>
      <c r="F5" s="254"/>
      <c r="G5" s="97"/>
      <c r="H5" s="97"/>
      <c r="I5" s="97"/>
      <c r="J5" s="97"/>
      <c r="K5" s="97"/>
      <c r="L5" s="97"/>
      <c r="M5" s="97"/>
      <c r="N5" s="97"/>
      <c r="O5" s="97"/>
      <c r="P5" s="97"/>
    </row>
    <row r="6" spans="1:16" ht="19.95" customHeight="1" x14ac:dyDescent="0.3">
      <c r="A6" s="27" t="s">
        <v>108</v>
      </c>
      <c r="B6" s="99">
        <f>('Income Statement'!B9-'Income Statement'!B12)/'Income Statement'!B9*100</f>
        <v>33.786178381571169</v>
      </c>
      <c r="C6" s="99">
        <f>('Income Statement'!C9-'Income Statement'!C12)/'Income Statement'!C9*100</f>
        <v>31.259600614439325</v>
      </c>
      <c r="D6" s="99">
        <f>('Income Statement'!D9-'Income Statement'!D12)/'Income Statement'!D9*100</f>
        <v>31.806213796735133</v>
      </c>
      <c r="E6" s="99">
        <f>('Income Statement'!E9-'Income Statement'!E12)/'Income Statement'!E9*100</f>
        <v>33.610333303224635</v>
      </c>
      <c r="F6" s="255">
        <f>('Income Statement'!F9-'Income Statement'!F12)/'Income Statement'!F9*100</f>
        <v>32.539788685301588</v>
      </c>
      <c r="G6" s="106">
        <f>('Income Statement'!G9-'Income Statement'!G12)/'Income Statement'!G9*100</f>
        <v>31.498194945848372</v>
      </c>
      <c r="H6" s="106">
        <f>('Income Statement'!H9-'Income Statement'!H12)/'Income Statement'!H9*100</f>
        <v>32.450331125827802</v>
      </c>
      <c r="I6" s="106">
        <f>('Income Statement'!I9-'Income Statement'!I12)/'Income Statement'!I9*100</f>
        <v>33.396449704142007</v>
      </c>
      <c r="J6" s="106">
        <f>('Income Statement'!J9-'Income Statement'!J12)/'Income Statement'!J9*100</f>
        <v>33.877840909090914</v>
      </c>
      <c r="K6" s="106">
        <f>('Income Statement'!K9-'Income Statement'!K12)/'Income Statement'!K9*100</f>
        <v>34.397590361445779</v>
      </c>
      <c r="L6" s="107">
        <f>('Income Statement'!L9-'Income Statement'!L12)/'Income Statement'!L9*100</f>
        <v>34.910015649452269</v>
      </c>
      <c r="M6" s="107">
        <f>('Income Statement'!M9-'Income Statement'!M12)/'Income Statement'!M9*100</f>
        <v>35.41607396870554</v>
      </c>
      <c r="N6" s="107">
        <f>('Income Statement'!N9-'Income Statement'!N12)/'Income Statement'!N9*100</f>
        <v>35.412803251619458</v>
      </c>
      <c r="O6" s="107">
        <f>('Income Statement'!O9-'Income Statement'!O12)/'Income Statement'!O9*100</f>
        <v>35.891945641365588</v>
      </c>
      <c r="P6" s="107">
        <f>('Income Statement'!P9-'Income Statement'!P12)/'Income Statement'!P9*100</f>
        <v>35.888710325431902</v>
      </c>
    </row>
    <row r="7" spans="1:16" ht="19.95" customHeight="1" x14ac:dyDescent="0.3">
      <c r="A7" s="27" t="s">
        <v>109</v>
      </c>
      <c r="B7" s="99">
        <f>'Income Statement'!B18/'Income Statement'!B6*100</f>
        <v>18.735154394299272</v>
      </c>
      <c r="C7" s="99">
        <f>'Income Statement'!C18/'Income Statement'!C6*100</f>
        <v>17.855765522560752</v>
      </c>
      <c r="D7" s="99">
        <f>'Income Statement'!D18/'Income Statement'!D6*100</f>
        <v>19.369786839666361</v>
      </c>
      <c r="E7" s="99">
        <f>'Income Statement'!E18/'Income Statement'!E6*100</f>
        <v>20.352855583848669</v>
      </c>
      <c r="F7" s="255">
        <f>'Income Statement'!F18/'Income Statement'!F6*100</f>
        <v>19.595551061678467</v>
      </c>
      <c r="G7" s="106">
        <f>'Income Statement'!G18/'Income Statement'!G6*100</f>
        <v>17.409090909090903</v>
      </c>
      <c r="H7" s="106">
        <f>'Income Statement'!H18/'Income Statement'!H6*100</f>
        <v>20.166666666666657</v>
      </c>
      <c r="I7" s="106">
        <f>'Income Statement'!I18/'Income Statement'!I6*100</f>
        <v>21.585714285714278</v>
      </c>
      <c r="J7" s="106">
        <f>'Income Statement'!J18/'Income Statement'!J6*100</f>
        <v>22.261904761904759</v>
      </c>
      <c r="K7" s="106">
        <f>'Income Statement'!K18/'Income Statement'!K6*100</f>
        <v>22.823376623376614</v>
      </c>
      <c r="L7" s="107">
        <f>'Income Statement'!L18/'Income Statement'!L6*100</f>
        <v>23.435433070866139</v>
      </c>
      <c r="M7" s="107">
        <f>'Income Statement'!M18/'Income Statement'!M6*100</f>
        <v>23.920901932712955</v>
      </c>
      <c r="N7" s="107">
        <f>'Income Statement'!N18/'Income Statement'!N6*100</f>
        <v>23.720810430781032</v>
      </c>
      <c r="O7" s="107">
        <f>'Income Statement'!O18/'Income Statement'!O6*100</f>
        <v>24.342863494886611</v>
      </c>
      <c r="P7" s="107">
        <f>'Income Statement'!P18/'Income Statement'!P6*100</f>
        <v>24.363217461600641</v>
      </c>
    </row>
    <row r="8" spans="1:16" ht="19.95" customHeight="1" x14ac:dyDescent="0.3">
      <c r="A8" s="27" t="s">
        <v>110</v>
      </c>
      <c r="B8" s="99">
        <f>'Income Statement'!B21/'Income Statement'!B9*100</f>
        <v>17.099822799763722</v>
      </c>
      <c r="C8" s="99">
        <f>'Income Statement'!C21/'Income Statement'!C9*100</f>
        <v>16.628264208909382</v>
      </c>
      <c r="D8" s="99">
        <f>'Income Statement'!D21/'Income Statement'!D9*100</f>
        <v>18.404423380726701</v>
      </c>
      <c r="E8" s="99">
        <f>'Income Statement'!E21/'Income Statement'!E9*100</f>
        <v>19.356878330774091</v>
      </c>
      <c r="F8" s="255">
        <f>'Income Statement'!F21/'Income Statement'!F9*100</f>
        <v>18.650528286746027</v>
      </c>
      <c r="G8" s="106">
        <f>'Income Statement'!G21/'Income Statement'!G9*100</f>
        <v>15.959687123947051</v>
      </c>
      <c r="H8" s="106">
        <f>'Income Statement'!H21/'Income Statement'!H9*100</f>
        <v>17.549668874172177</v>
      </c>
      <c r="I8" s="106">
        <f>'Income Statement'!I21/'Income Statement'!I9*100</f>
        <v>19.564497041420111</v>
      </c>
      <c r="J8" s="106">
        <f>'Income Statement'!J21/'Income Statement'!J9*100</f>
        <v>20.525568181818183</v>
      </c>
      <c r="K8" s="106">
        <f>'Income Statement'!K21/'Income Statement'!K9*100</f>
        <v>21.222891566265051</v>
      </c>
      <c r="L8" s="107">
        <f>'Income Statement'!L21/'Income Statement'!L9*100</f>
        <v>21.880281690140848</v>
      </c>
      <c r="M8" s="107">
        <f>'Income Statement'!M21/'Income Statement'!M9*100</f>
        <v>22.416429587482213</v>
      </c>
      <c r="N8" s="107">
        <f>'Income Statement'!N21/'Income Statement'!N9*100</f>
        <v>22.172983614886324</v>
      </c>
      <c r="O8" s="107">
        <f>'Income Statement'!O21/'Income Statement'!O9*100</f>
        <v>22.869119434316644</v>
      </c>
      <c r="P8" s="107">
        <f>'Income Statement'!P21/'Income Statement'!P9*100</f>
        <v>23.011088790678986</v>
      </c>
    </row>
    <row r="9" spans="1:16" ht="19.95" customHeight="1" x14ac:dyDescent="0.3">
      <c r="A9" s="27" t="s">
        <v>111</v>
      </c>
      <c r="B9" s="99">
        <f>'Income Statement'!B27/'Income Statement'!B9*100</f>
        <v>8.1807442409923077</v>
      </c>
      <c r="C9" s="99">
        <f>'Income Statement'!C27/'Income Statement'!C9*100</f>
        <v>8.6021505376344205</v>
      </c>
      <c r="D9" s="99">
        <f>'Income Statement'!D27/'Income Statement'!D9*100</f>
        <v>10.610847814639286</v>
      </c>
      <c r="E9" s="99">
        <f>'Income Statement'!E27/'Income Statement'!E9*100</f>
        <v>12.085629121127267</v>
      </c>
      <c r="F9" s="255">
        <f>'Income Statement'!F27/'Income Statement'!F9*100</f>
        <v>13.441219740537655</v>
      </c>
      <c r="G9" s="106">
        <f>'Income Statement'!G27/'Income Statement'!G9*100</f>
        <v>11.322412755716003</v>
      </c>
      <c r="H9" s="106">
        <f>'Income Statement'!H27/'Income Statement'!H9*100</f>
        <v>12.598013245033105</v>
      </c>
      <c r="I9" s="106">
        <f>'Income Statement'!I27/'Income Statement'!I9*100</f>
        <v>14.418546745562125</v>
      </c>
      <c r="J9" s="106">
        <f>'Income Statement'!J27/'Income Statement'!J9*100</f>
        <v>15.340331439393939</v>
      </c>
      <c r="K9" s="106">
        <f>'Income Statement'!K27/'Income Statement'!K9*100</f>
        <v>16.024876075731491</v>
      </c>
      <c r="L9" s="107">
        <f>'Income Statement'!L27/'Income Statement'!L9*100</f>
        <v>16.556179968701095</v>
      </c>
      <c r="M9" s="107">
        <f>'Income Statement'!M27/'Income Statement'!M9*100</f>
        <v>16.881831436699855</v>
      </c>
      <c r="N9" s="107">
        <f>'Income Statement'!N27/'Income Statement'!N9*100</f>
        <v>16.683177111647403</v>
      </c>
      <c r="O9" s="107">
        <f>'Income Statement'!O27/'Income Statement'!O9*100</f>
        <v>17.266417677604682</v>
      </c>
      <c r="P9" s="107">
        <f>'Income Statement'!P27/'Income Statement'!P9*100</f>
        <v>17.465991000401768</v>
      </c>
    </row>
    <row r="10" spans="1:16" ht="7.95" customHeight="1" x14ac:dyDescent="0.3">
      <c r="A10" s="21"/>
      <c r="B10" s="100"/>
      <c r="C10" s="100"/>
      <c r="D10" s="100"/>
      <c r="E10" s="100"/>
      <c r="F10" s="256"/>
      <c r="G10" s="108"/>
      <c r="H10" s="108"/>
      <c r="I10" s="108"/>
      <c r="J10" s="108"/>
      <c r="K10" s="108"/>
      <c r="L10" s="108"/>
      <c r="M10" s="108"/>
      <c r="N10" s="108"/>
      <c r="O10" s="108"/>
      <c r="P10" s="108"/>
    </row>
    <row r="11" spans="1:16" ht="19.95" customHeight="1" x14ac:dyDescent="0.3">
      <c r="A11" s="66" t="s">
        <v>112</v>
      </c>
      <c r="B11" s="101"/>
      <c r="C11" s="101"/>
      <c r="D11" s="101"/>
      <c r="E11" s="101"/>
      <c r="F11" s="257"/>
      <c r="G11" s="109"/>
      <c r="H11" s="109"/>
      <c r="I11" s="109"/>
      <c r="J11" s="109"/>
      <c r="K11" s="109"/>
      <c r="L11" s="109"/>
      <c r="M11" s="109"/>
      <c r="N11" s="109"/>
      <c r="O11" s="109"/>
      <c r="P11" s="109"/>
    </row>
    <row r="12" spans="1:16" ht="19.95" customHeight="1" x14ac:dyDescent="0.3">
      <c r="A12" s="27" t="s">
        <v>113</v>
      </c>
      <c r="B12" s="99">
        <f>'Income Statement'!B27/'Balance Sheet'!B8*100</f>
        <v>10.532319391634962</v>
      </c>
      <c r="C12" s="99">
        <f>'Income Statement'!C27/'Balance Sheet'!C8*100</f>
        <v>14.554905782975977</v>
      </c>
      <c r="D12" s="99">
        <f>'Income Statement'!D27/'Balance Sheet'!D8*100</f>
        <v>20.751802265705464</v>
      </c>
      <c r="E12" s="99">
        <f>'Income Statement'!E27/'Balance Sheet'!E8*100</f>
        <v>20.217588395285581</v>
      </c>
      <c r="F12" s="255">
        <f>'Income Statement'!F27/'Balance Sheet'!F8*100</f>
        <v>21.729729729729737</v>
      </c>
      <c r="G12" s="106">
        <f>'Income Statement'!G27/'Balance Sheet'!G8*100</f>
        <v>16.827516580172112</v>
      </c>
      <c r="H12" s="106">
        <f>'Income Statement'!H27/'Balance Sheet'!H8*100</f>
        <v>25.217093618277776</v>
      </c>
      <c r="I12" s="106">
        <f>'Income Statement'!I27/'Balance Sheet'!I8*100</f>
        <v>28.7632675441651</v>
      </c>
      <c r="J12" s="106">
        <f>'Income Statement'!J27/'Balance Sheet'!J8*100</f>
        <v>27.663916929165005</v>
      </c>
      <c r="K12" s="106">
        <f>'Income Statement'!K27/'Balance Sheet'!K8*100</f>
        <v>24.126989482517835</v>
      </c>
      <c r="L12" s="107">
        <f>'Income Statement'!L27/'Balance Sheet'!L8*100</f>
        <v>21.516502101496631</v>
      </c>
      <c r="M12" s="107">
        <f>'Income Statement'!M27/'Balance Sheet'!M8*100</f>
        <v>19.443922058329651</v>
      </c>
      <c r="N12" s="107">
        <f>'Income Statement'!N27/'Balance Sheet'!N8*100</f>
        <v>17.708540319670913</v>
      </c>
      <c r="O12" s="107">
        <f>'Income Statement'!O27/'Balance Sheet'!O8*100</f>
        <v>17.403089812180578</v>
      </c>
      <c r="P12" s="107">
        <f>'Income Statement'!P27/'Balance Sheet'!P8*100</f>
        <v>16.222978422327994</v>
      </c>
    </row>
    <row r="13" spans="1:16" ht="19.95" customHeight="1" x14ac:dyDescent="0.3">
      <c r="A13" s="27" t="s">
        <v>114</v>
      </c>
      <c r="B13" s="99">
        <f>'Income Statement'!B27/'Balance Sheet'!B25*100</f>
        <v>5.653061224489786</v>
      </c>
      <c r="C13" s="99">
        <f>'Income Statement'!C27/'Balance Sheet'!C25*100</f>
        <v>7.6738609112709941</v>
      </c>
      <c r="D13" s="99">
        <f>'Income Statement'!D27/'Balance Sheet'!D25*100</f>
        <v>11.065348709500277</v>
      </c>
      <c r="E13" s="99">
        <f>'Income Statement'!E27/'Balance Sheet'!E25*100</f>
        <v>12.055140102711954</v>
      </c>
      <c r="F13" s="255">
        <f>'Income Statement'!F27/'Balance Sheet'!F25*100</f>
        <v>13.487217338790852</v>
      </c>
      <c r="G13" s="106">
        <f>'Income Statement'!G27/'Balance Sheet'!G25*100</f>
        <v>9.9656115345273459</v>
      </c>
      <c r="H13" s="106">
        <f>'Income Statement'!H27/'Balance Sheet'!H25*100</f>
        <v>14.986183098416786</v>
      </c>
      <c r="I13" s="106">
        <f>'Income Statement'!I27/'Balance Sheet'!I25*100</f>
        <v>18.305224151731192</v>
      </c>
      <c r="J13" s="106">
        <f>'Income Statement'!J27/'Balance Sheet'!J25*100</f>
        <v>19.022783482792285</v>
      </c>
      <c r="K13" s="106">
        <f>'Income Statement'!K27/'Balance Sheet'!K25*100</f>
        <v>17.805632728136377</v>
      </c>
      <c r="L13" s="107">
        <f>'Income Statement'!L27/'Balance Sheet'!L25*100</f>
        <v>16.233848398054729</v>
      </c>
      <c r="M13" s="107">
        <f>'Income Statement'!M27/'Balance Sheet'!M25*100</f>
        <v>14.791146901108359</v>
      </c>
      <c r="N13" s="107">
        <f>'Income Statement'!N27/'Balance Sheet'!N25*100</f>
        <v>13.8010691704637</v>
      </c>
      <c r="O13" s="107">
        <f>'Income Statement'!O27/'Balance Sheet'!O25*100</f>
        <v>13.941076537688637</v>
      </c>
      <c r="P13" s="107">
        <f>'Income Statement'!P27/'Balance Sheet'!P25*100</f>
        <v>13.38776148763249</v>
      </c>
    </row>
    <row r="14" spans="1:16" ht="19.95" customHeight="1" x14ac:dyDescent="0.3">
      <c r="A14" s="27" t="s">
        <v>115</v>
      </c>
      <c r="B14" s="99">
        <f>'Income Statement'!B21/('Balance Sheet'!B8+'Balance Sheet'!B12)*100</f>
        <v>14.474999999999987</v>
      </c>
      <c r="C14" s="99">
        <f>'Income Statement'!C21/('Balance Sheet'!C8+'Balance Sheet'!C12)*100</f>
        <v>18.91655744866755</v>
      </c>
      <c r="D14" s="99">
        <f>'Income Statement'!D21/('Balance Sheet'!D8+'Balance Sheet'!D12)*100</f>
        <v>25.262016624503076</v>
      </c>
      <c r="E14" s="99">
        <f>'Income Statement'!E21/('Balance Sheet'!E8+'Balance Sheet'!E12)*100</f>
        <v>25.214731144840563</v>
      </c>
      <c r="F14" s="255">
        <f>'Income Statement'!F21/('Balance Sheet'!F8+'Balance Sheet'!F12)*100</f>
        <v>23.831496197556188</v>
      </c>
      <c r="G14" s="106">
        <f>'Income Statement'!G21/('Balance Sheet'!G8+'Balance Sheet'!G12)*100</f>
        <v>17.470444322303184</v>
      </c>
      <c r="H14" s="106">
        <f>'Income Statement'!H21/('Balance Sheet'!H8+'Balance Sheet'!H12)*100</f>
        <v>27.767030423496976</v>
      </c>
      <c r="I14" s="106">
        <f>'Income Statement'!I21/('Balance Sheet'!I8+'Balance Sheet'!I12)*100</f>
        <v>32.959556439173284</v>
      </c>
      <c r="J14" s="106">
        <f>'Income Statement'!J21/('Balance Sheet'!J8+'Balance Sheet'!J12)*100</f>
        <v>33.062411215794938</v>
      </c>
      <c r="K14" s="106">
        <f>'Income Statement'!K21/('Balance Sheet'!K8+'Balance Sheet'!K12)*100</f>
        <v>29.863619373790861</v>
      </c>
      <c r="L14" s="107">
        <f>'Income Statement'!L21/('Balance Sheet'!L8+'Balance Sheet'!L12)*100</f>
        <v>26.546092743236375</v>
      </c>
      <c r="M14" s="107">
        <f>'Income Statement'!M21/('Balance Sheet'!M8+'Balance Sheet'!M12)*100</f>
        <v>23.791570338831292</v>
      </c>
      <c r="N14" s="107">
        <f>'Income Statement'!N21/('Balance Sheet'!N8+'Balance Sheet'!N12)*100</f>
        <v>22.049374691536507</v>
      </c>
      <c r="O14" s="107">
        <f>'Income Statement'!O21/('Balance Sheet'!O8+'Balance Sheet'!O12)*100</f>
        <v>21.99682993506503</v>
      </c>
      <c r="P14" s="107">
        <f>'Income Statement'!P21/('Balance Sheet'!P8+'Balance Sheet'!P12)*100</f>
        <v>20.753859334463893</v>
      </c>
    </row>
    <row r="15" spans="1:16" ht="7.95" customHeight="1" x14ac:dyDescent="0.3">
      <c r="A15" s="21"/>
      <c r="B15" s="100"/>
      <c r="C15" s="100"/>
      <c r="D15" s="100"/>
      <c r="E15" s="100"/>
      <c r="F15" s="256"/>
      <c r="G15" s="108"/>
      <c r="H15" s="108"/>
      <c r="I15" s="108"/>
      <c r="J15" s="108"/>
      <c r="K15" s="108"/>
      <c r="L15" s="108"/>
      <c r="M15" s="108"/>
      <c r="N15" s="108"/>
      <c r="O15" s="108"/>
      <c r="P15" s="108"/>
    </row>
    <row r="16" spans="1:16" ht="19.95" customHeight="1" x14ac:dyDescent="0.3">
      <c r="A16" s="66" t="s">
        <v>116</v>
      </c>
      <c r="B16" s="101"/>
      <c r="C16" s="101"/>
      <c r="D16" s="101"/>
      <c r="E16" s="101"/>
      <c r="F16" s="257"/>
      <c r="G16" s="109"/>
      <c r="H16" s="109"/>
      <c r="I16" s="109"/>
      <c r="J16" s="109"/>
      <c r="K16" s="109"/>
      <c r="L16" s="109"/>
      <c r="M16" s="109"/>
      <c r="N16" s="109"/>
      <c r="O16" s="109"/>
      <c r="P16" s="109"/>
    </row>
    <row r="17" spans="1:16" ht="19.95" customHeight="1" x14ac:dyDescent="0.3">
      <c r="A17" s="27" t="s">
        <v>117</v>
      </c>
      <c r="B17" s="102">
        <f>'Income Statement'!B6/'Balance Sheet'!B25</f>
        <v>0.68734693877551023</v>
      </c>
      <c r="C17" s="102">
        <f>'Income Statement'!C6/'Balance Sheet'!C25</f>
        <v>0.8883179170948956</v>
      </c>
      <c r="D17" s="102">
        <f>'Income Statement'!D6/'Balance Sheet'!D25</f>
        <v>1.0369302580999451</v>
      </c>
      <c r="E17" s="102">
        <f>'Income Statement'!E6/'Balance Sheet'!E25</f>
        <v>0.99071988467429495</v>
      </c>
      <c r="F17" s="258">
        <f>'Income Statement'!F6/'Balance Sheet'!F25</f>
        <v>0.99543716030329454</v>
      </c>
      <c r="G17" s="110">
        <f>'Income Statement'!G6/'Balance Sheet'!G25</f>
        <v>0.87381178147185379</v>
      </c>
      <c r="H17" s="110">
        <f>'Income Statement'!H6/'Balance Sheet'!H25</f>
        <v>1.1816892523589966</v>
      </c>
      <c r="I17" s="110">
        <f>'Income Statement'!I6/'Balance Sheet'!I25</f>
        <v>1.2620487721151887</v>
      </c>
      <c r="J17" s="110">
        <f>'Income Statement'!J6/'Balance Sheet'!J25</f>
        <v>1.2330046166511146</v>
      </c>
      <c r="K17" s="110">
        <f>'Income Statement'!K6/'Balance Sheet'!K25</f>
        <v>1.1044309982015659</v>
      </c>
      <c r="L17" s="111">
        <f>'Income Statement'!L6/'Balance Sheet'!L25</f>
        <v>0.97439313261223548</v>
      </c>
      <c r="M17" s="111">
        <f>'Income Statement'!M6/'Balance Sheet'!M25</f>
        <v>0.870549311193904</v>
      </c>
      <c r="N17" s="111">
        <f>'Income Statement'!N6/'Balance Sheet'!N25</f>
        <v>0.82199097826833178</v>
      </c>
      <c r="O17" s="111">
        <f>'Income Statement'!O6/'Balance Sheet'!O25</f>
        <v>0.80250352926083302</v>
      </c>
      <c r="P17" s="111">
        <f>'Income Statement'!P6/'Balance Sheet'!P25</f>
        <v>0.76188519274412592</v>
      </c>
    </row>
    <row r="18" spans="1:16" ht="19.95" customHeight="1" x14ac:dyDescent="0.3">
      <c r="A18" s="27" t="s">
        <v>118</v>
      </c>
      <c r="B18" s="103">
        <f>'Balance Sheet'!B21/'Income Statement'!B6*365</f>
        <v>56.353919239904997</v>
      </c>
      <c r="C18" s="103">
        <f>'Balance Sheet'!C21/'Income Statement'!C6*365</f>
        <v>54.897801774006943</v>
      </c>
      <c r="D18" s="103">
        <f>'Balance Sheet'!D21/'Income Statement'!D6*365</f>
        <v>50.741427247451341</v>
      </c>
      <c r="E18" s="103">
        <f>'Balance Sheet'!E21/'Income Statement'!E6*365</f>
        <v>49.790833030192807</v>
      </c>
      <c r="F18" s="259">
        <f>'Balance Sheet'!F21/'Income Statement'!F6*365</f>
        <v>45.517357600269634</v>
      </c>
      <c r="G18" s="112">
        <f>'Balance Sheet'!G21/'Income Statement'!G6*365</f>
        <v>48.666666666666664</v>
      </c>
      <c r="H18" s="112">
        <f>'Balance Sheet'!H21/'Income Statement'!H6*365</f>
        <v>42.583333333333336</v>
      </c>
      <c r="I18" s="112">
        <f>'Balance Sheet'!I21/'Income Statement'!I6*365</f>
        <v>41.714285714285715</v>
      </c>
      <c r="J18" s="112">
        <f>'Balance Sheet'!J21/'Income Statement'!J6*365</f>
        <v>40.323809523809523</v>
      </c>
      <c r="K18" s="112">
        <f>'Balance Sheet'!K21/'Income Statement'!K6*365</f>
        <v>40.450216450216452</v>
      </c>
      <c r="L18" s="113">
        <f>'Balance Sheet'!L21/'Income Statement'!L6*365</f>
        <v>40.236220472440941</v>
      </c>
      <c r="M18" s="113">
        <f>'Balance Sheet'!M21/'Income Statement'!M6*365</f>
        <v>40.758768790264853</v>
      </c>
      <c r="N18" s="113">
        <f>'Balance Sheet'!N21/'Income Statement'!N6*365</f>
        <v>41.058417486897611</v>
      </c>
      <c r="O18" s="113">
        <f>'Balance Sheet'!O21/'Income Statement'!O6*365</f>
        <v>40.57358826144953</v>
      </c>
      <c r="P18" s="113">
        <f>'Balance Sheet'!P21/'Income Statement'!P6*365</f>
        <v>39.834276475343572</v>
      </c>
    </row>
    <row r="19" spans="1:16" ht="19.95" customHeight="1" x14ac:dyDescent="0.3">
      <c r="A19" s="27" t="s">
        <v>119</v>
      </c>
      <c r="B19" s="103">
        <f>'Balance Sheet'!B22/'Income Statement'!B6*365</f>
        <v>146.30344418052258</v>
      </c>
      <c r="C19" s="103">
        <f>'Balance Sheet'!C22/'Income Statement'!C6*365</f>
        <v>126.68723486309295</v>
      </c>
      <c r="D19" s="103">
        <f>'Balance Sheet'!D22/'Income Statement'!D6*365</f>
        <v>115.98040513703164</v>
      </c>
      <c r="E19" s="103">
        <f>'Balance Sheet'!E22/'Income Statement'!E6*365</f>
        <v>112.85922153510369</v>
      </c>
      <c r="F19" s="259">
        <f>'Balance Sheet'!F22/'Income Statement'!F6*365</f>
        <v>103.33670374115269</v>
      </c>
      <c r="G19" s="112">
        <f>'Balance Sheet'!G22/'Income Statement'!G6*365</f>
        <v>106.18181818181817</v>
      </c>
      <c r="H19" s="112">
        <f>'Balance Sheet'!H22/'Income Statement'!H6*365</f>
        <v>94.9</v>
      </c>
      <c r="I19" s="112">
        <f>'Balance Sheet'!I22/'Income Statement'!I6*365</f>
        <v>86.904761904761898</v>
      </c>
      <c r="J19" s="112">
        <f>'Balance Sheet'!J22/'Income Statement'!J6*365</f>
        <v>84.819047619047623</v>
      </c>
      <c r="K19" s="112">
        <f>'Balance Sheet'!K22/'Income Statement'!K6*365</f>
        <v>85.324675324675326</v>
      </c>
      <c r="L19" s="113">
        <f>'Balance Sheet'!L22/'Income Statement'!L6*365</f>
        <v>80.472440944881882</v>
      </c>
      <c r="M19" s="113">
        <f>'Balance Sheet'!M22/'Income Statement'!M6*365</f>
        <v>78.382247673586249</v>
      </c>
      <c r="N19" s="113">
        <f>'Balance Sheet'!N22/'Income Statement'!N6*365</f>
        <v>78.38425156589544</v>
      </c>
      <c r="O19" s="113">
        <f>'Balance Sheet'!O22/'Income Statement'!O6*365</f>
        <v>77.08981769675411</v>
      </c>
      <c r="P19" s="113">
        <f>'Balance Sheet'!P22/'Income Statement'!P6*365</f>
        <v>74.873686337914307</v>
      </c>
    </row>
    <row r="20" spans="1:16" ht="19.95" customHeight="1" x14ac:dyDescent="0.3">
      <c r="A20" s="27" t="s">
        <v>120</v>
      </c>
      <c r="B20" s="103">
        <f>'Balance Sheet'!B13/'Income Statement'!B12*365</f>
        <v>94.424620874219428</v>
      </c>
      <c r="C20" s="103">
        <f>'Balance Sheet'!C13/'Income Statement'!C12*365</f>
        <v>86.662011173184368</v>
      </c>
      <c r="D20" s="103">
        <f>'Balance Sheet'!D13/'Income Statement'!D12*365</f>
        <v>84.555984555984566</v>
      </c>
      <c r="E20" s="103">
        <f>'Balance Sheet'!E13/'Income Statement'!E12*365</f>
        <v>89.387755102040813</v>
      </c>
      <c r="F20" s="259">
        <f>'Balance Sheet'!F13/'Income Statement'!F12*365</f>
        <v>79.599524187153051</v>
      </c>
      <c r="G20" s="112">
        <f>'Balance Sheet'!G13/'Income Statement'!G12*365</f>
        <v>80.149319279754067</v>
      </c>
      <c r="H20" s="112">
        <f>'Balance Sheet'!H13/'Income Statement'!H12*365</f>
        <v>80.514705882352928</v>
      </c>
      <c r="I20" s="112">
        <f>'Balance Sheet'!I13/'Income Statement'!I12*365</f>
        <v>77.825159914712145</v>
      </c>
      <c r="J20" s="112">
        <f>'Balance Sheet'!J13/'Income Statement'!J12*365</f>
        <v>75.273899033297539</v>
      </c>
      <c r="K20" s="112">
        <f>'Balance Sheet'!K13/'Income Statement'!K12*365</f>
        <v>76.610258428440247</v>
      </c>
      <c r="L20" s="113">
        <f>'Balance Sheet'!L13/'Income Statement'!L12*365</f>
        <v>78.98058544208692</v>
      </c>
      <c r="M20" s="113">
        <f>'Balance Sheet'!M13/'Income Statement'!M12*365</f>
        <v>80.392048895985909</v>
      </c>
      <c r="N20" s="113">
        <f>'Balance Sheet'!N13/'Income Statement'!N12*365</f>
        <v>82.547517674706725</v>
      </c>
      <c r="O20" s="113">
        <f>'Balance Sheet'!O13/'Income Statement'!O12*365</f>
        <v>81.776224402921528</v>
      </c>
      <c r="P20" s="113">
        <f>'Balance Sheet'!P13/'Income Statement'!P12*365</f>
        <v>80.057403194776057</v>
      </c>
    </row>
    <row r="21" spans="1:16" ht="19.95" customHeight="1" x14ac:dyDescent="0.3">
      <c r="A21" s="68" t="s">
        <v>121</v>
      </c>
      <c r="B21" s="104">
        <f t="shared" ref="B21:K21" si="0">B18+B19-B20</f>
        <v>108.23274254620814</v>
      </c>
      <c r="C21" s="104">
        <f t="shared" si="0"/>
        <v>94.923025463915536</v>
      </c>
      <c r="D21" s="104">
        <f t="shared" si="0"/>
        <v>82.165847828498414</v>
      </c>
      <c r="E21" s="104">
        <f t="shared" si="0"/>
        <v>73.262299463255687</v>
      </c>
      <c r="F21" s="260">
        <f t="shared" si="0"/>
        <v>69.254537154269272</v>
      </c>
      <c r="G21" s="114">
        <f t="shared" si="0"/>
        <v>74.699165568730777</v>
      </c>
      <c r="H21" s="114">
        <f t="shared" si="0"/>
        <v>56.968627450980421</v>
      </c>
      <c r="I21" s="114">
        <f t="shared" si="0"/>
        <v>50.793887704335475</v>
      </c>
      <c r="J21" s="114">
        <f t="shared" si="0"/>
        <v>49.8689581095596</v>
      </c>
      <c r="K21" s="114">
        <f t="shared" si="0"/>
        <v>49.164633346451538</v>
      </c>
      <c r="L21" s="114">
        <f>L18+L19-L20</f>
        <v>41.728075975235896</v>
      </c>
      <c r="M21" s="114">
        <f>M18+M19-M20</f>
        <v>38.748967567865193</v>
      </c>
      <c r="N21" s="114">
        <f>N18+N19-N20</f>
        <v>36.895151378086325</v>
      </c>
      <c r="O21" s="114">
        <f>O18+O19-O20</f>
        <v>35.887181555282112</v>
      </c>
      <c r="P21" s="114">
        <f>P18+P19-P20</f>
        <v>34.650559618481822</v>
      </c>
    </row>
    <row r="22" spans="1:16" ht="7.95" customHeight="1" x14ac:dyDescent="0.3">
      <c r="A22" s="21"/>
      <c r="B22" s="100"/>
      <c r="C22" s="100"/>
      <c r="D22" s="100"/>
      <c r="E22" s="100"/>
      <c r="F22" s="256"/>
      <c r="G22" s="108"/>
      <c r="H22" s="108"/>
      <c r="I22" s="108"/>
      <c r="J22" s="108"/>
      <c r="K22" s="108"/>
      <c r="L22" s="108"/>
      <c r="M22" s="108"/>
      <c r="N22" s="108"/>
      <c r="O22" s="108"/>
      <c r="P22" s="108"/>
    </row>
    <row r="23" spans="1:16" ht="19.95" customHeight="1" x14ac:dyDescent="0.3">
      <c r="A23" s="66" t="s">
        <v>122</v>
      </c>
      <c r="B23" s="101"/>
      <c r="C23" s="101"/>
      <c r="D23" s="101"/>
      <c r="E23" s="101"/>
      <c r="F23" s="257"/>
      <c r="G23" s="109"/>
      <c r="H23" s="109"/>
      <c r="I23" s="109"/>
      <c r="J23" s="109"/>
      <c r="K23" s="109"/>
      <c r="L23" s="109"/>
      <c r="M23" s="109"/>
      <c r="N23" s="109"/>
      <c r="O23" s="109"/>
      <c r="P23" s="109"/>
    </row>
    <row r="24" spans="1:16" ht="19.95" customHeight="1" x14ac:dyDescent="0.3">
      <c r="A24" s="27" t="s">
        <v>123</v>
      </c>
      <c r="B24" s="102">
        <f>('Balance Sheet'!B21+'Balance Sheet'!B22+'Balance Sheet'!B23+'Balance Sheet'!B24)/('Balance Sheet'!B11+'Balance Sheet'!B13+'Balance Sheet'!B14)</f>
        <v>2.1599999999999997</v>
      </c>
      <c r="C24" s="102">
        <f>('Balance Sheet'!C21+'Balance Sheet'!C22+'Balance Sheet'!C23+'Balance Sheet'!C24)/('Balance Sheet'!C11+'Balance Sheet'!C13+'Balance Sheet'!C14)</f>
        <v>2.003508771929825</v>
      </c>
      <c r="D24" s="102">
        <f>('Balance Sheet'!D21+'Balance Sheet'!D22+'Balance Sheet'!D23+'Balance Sheet'!D24)/('Balance Sheet'!D11+'Balance Sheet'!D13+'Balance Sheet'!D14)</f>
        <v>1.8613333333333335</v>
      </c>
      <c r="E24" s="102">
        <f>('Balance Sheet'!E21+'Balance Sheet'!E22+'Balance Sheet'!E23+'Balance Sheet'!E24)/('Balance Sheet'!E11+'Balance Sheet'!E13+'Balance Sheet'!E14)</f>
        <v>1.7851219512195122</v>
      </c>
      <c r="F24" s="258">
        <f>('Balance Sheet'!F21+'Balance Sheet'!F22+'Balance Sheet'!F23+'Balance Sheet'!F24)/('Balance Sheet'!F11+'Balance Sheet'!F13+'Balance Sheet'!F14)</f>
        <v>1.4867200674536258</v>
      </c>
      <c r="G24" s="110">
        <f>('Balance Sheet'!G21+'Balance Sheet'!G22+'Balance Sheet'!G23+'Balance Sheet'!G24)/('Balance Sheet'!G11+'Balance Sheet'!G13+'Balance Sheet'!G14)</f>
        <v>1.5514154545454548</v>
      </c>
      <c r="H24" s="110">
        <f>('Balance Sheet'!H21+'Balance Sheet'!H22+'Balance Sheet'!H23+'Balance Sheet'!H24)/('Balance Sheet'!H11+'Balance Sheet'!H13+'Balance Sheet'!H14)</f>
        <v>1.7514570588235292</v>
      </c>
      <c r="I24" s="110">
        <f>('Balance Sheet'!I21+'Balance Sheet'!I22+'Balance Sheet'!I23+'Balance Sheet'!I24)/('Balance Sheet'!I11+'Balance Sheet'!I13+'Balance Sheet'!I14)</f>
        <v>2.1335720560747657</v>
      </c>
      <c r="J24" s="110">
        <f>('Balance Sheet'!J21+'Balance Sheet'!J22+'Balance Sheet'!J23+'Balance Sheet'!J24)/('Balance Sheet'!J11+'Balance Sheet'!J13+'Balance Sheet'!J14)</f>
        <v>2.6202370731707312</v>
      </c>
      <c r="K24" s="110">
        <f>('Balance Sheet'!K21+'Balance Sheet'!K22+'Balance Sheet'!K23+'Balance Sheet'!K24)/('Balance Sheet'!K11+'Balance Sheet'!K13+'Balance Sheet'!K14)</f>
        <v>3.1885885606060596</v>
      </c>
      <c r="L24" s="111">
        <f>('Balance Sheet'!L21+'Balance Sheet'!L22+'Balance Sheet'!L23+'Balance Sheet'!L24)/('Balance Sheet'!L11+'Balance Sheet'!L13+'Balance Sheet'!L14)</f>
        <v>3.5288805517241371</v>
      </c>
      <c r="M24" s="111">
        <f>('Balance Sheet'!M21+'Balance Sheet'!M22+'Balance Sheet'!M23+'Balance Sheet'!M24)/('Balance Sheet'!M11+'Balance Sheet'!M13+'Balance Sheet'!M14)</f>
        <v>3.8572034259259249</v>
      </c>
      <c r="N24" s="111">
        <f>('Balance Sheet'!N21+'Balance Sheet'!N22+'Balance Sheet'!N23+'Balance Sheet'!N24)/('Balance Sheet'!N11+'Balance Sheet'!N13+'Balance Sheet'!N14)</f>
        <v>4.2092627481081077</v>
      </c>
      <c r="O24" s="111">
        <f>('Balance Sheet'!O21+'Balance Sheet'!O22+'Balance Sheet'!O23+'Balance Sheet'!O24)/('Balance Sheet'!O11+'Balance Sheet'!O13+'Balance Sheet'!O14)</f>
        <v>4.6463022185365848</v>
      </c>
      <c r="P24" s="111">
        <f>('Balance Sheet'!P21+'Balance Sheet'!P22+'Balance Sheet'!P23+'Balance Sheet'!P24)/('Balance Sheet'!P11+'Balance Sheet'!P13+'Balance Sheet'!P14)</f>
        <v>5.23448553548387</v>
      </c>
    </row>
    <row r="25" spans="1:16" ht="19.95" customHeight="1" x14ac:dyDescent="0.3">
      <c r="A25" s="27" t="s">
        <v>124</v>
      </c>
      <c r="B25" s="102">
        <f>'Balance Sheet'!B12/'Balance Sheet'!B8</f>
        <v>0.52091254752851712</v>
      </c>
      <c r="C25" s="102">
        <f>'Balance Sheet'!C12/'Balance Sheet'!C8</f>
        <v>0.48732943469785572</v>
      </c>
      <c r="D25" s="102">
        <f>'Balance Sheet'!D12/'Balance Sheet'!D8</f>
        <v>0.42481977342945415</v>
      </c>
      <c r="E25" s="102">
        <f>'Balance Sheet'!E12/'Balance Sheet'!E8</f>
        <v>0.28422484134179504</v>
      </c>
      <c r="F25" s="258">
        <f>'Balance Sheet'!F12/'Balance Sheet'!F8</f>
        <v>0.26518918918918921</v>
      </c>
      <c r="G25" s="110">
        <f>'Balance Sheet'!G12/'Balance Sheet'!G8</f>
        <v>0.35769264990787181</v>
      </c>
      <c r="H25" s="110">
        <f>'Balance Sheet'!H12/'Balance Sheet'!H8</f>
        <v>0.26512215337515421</v>
      </c>
      <c r="I25" s="110">
        <f>'Balance Sheet'!I12/'Balance Sheet'!I8</f>
        <v>0.18414275010398168</v>
      </c>
      <c r="J25" s="110">
        <f>'Balance Sheet'!J12/'Balance Sheet'!J8</f>
        <v>0.11953994471653256</v>
      </c>
      <c r="K25" s="110">
        <f>'Balance Sheet'!K12/'Balance Sheet'!K8</f>
        <v>6.9967456581111781E-2</v>
      </c>
      <c r="L25" s="111">
        <f>'Balance Sheet'!L12/'Balance Sheet'!L8</f>
        <v>7.1183398371909595E-2</v>
      </c>
      <c r="M25" s="111">
        <f>'Balance Sheet'!M12/'Balance Sheet'!M8</f>
        <v>8.5194651469950589E-2</v>
      </c>
      <c r="N25" s="111">
        <f>'Balance Sheet'!N12/'Balance Sheet'!N8</f>
        <v>6.741146371556854E-2</v>
      </c>
      <c r="O25" s="111">
        <f>'Balance Sheet'!O12/'Balance Sheet'!O8</f>
        <v>4.7884616081640657E-2</v>
      </c>
      <c r="P25" s="111">
        <f>'Balance Sheet'!P12/'Balance Sheet'!P8</f>
        <v>2.9853994528075526E-2</v>
      </c>
    </row>
    <row r="26" spans="1:16" ht="19.95" customHeight="1" x14ac:dyDescent="0.3">
      <c r="A26" s="27" t="s">
        <v>125</v>
      </c>
      <c r="B26" s="99">
        <f>'Income Statement'!B18/'Income Statement'!B22</f>
        <v>3.2358974358974333</v>
      </c>
      <c r="C26" s="99">
        <f>'Income Statement'!C18/'Income Statement'!C22</f>
        <v>4.0260869565217421</v>
      </c>
      <c r="D26" s="99">
        <f>'Income Statement'!D18/'Income Statement'!D22</f>
        <v>5.1333333333333337</v>
      </c>
      <c r="E26" s="99">
        <f>'Income Statement'!E18/'Income Statement'!E22</f>
        <v>6.0486486486486468</v>
      </c>
      <c r="F26" s="255">
        <f>'Income Statement'!F18/'Income Statement'!F22</f>
        <v>12.112500000000004</v>
      </c>
      <c r="G26" s="106">
        <f>'Income Statement'!G18/'Income Statement'!G22</f>
        <v>11.489999999999998</v>
      </c>
      <c r="H26" s="106">
        <f>'Income Statement'!H18/'Income Statement'!H22</f>
        <v>15.124999999999993</v>
      </c>
      <c r="I26" s="106">
        <f>'Income Statement'!I18/'Income Statement'!I22</f>
        <v>25.902857142857133</v>
      </c>
      <c r="J26" s="106">
        <f>'Income Statement'!J18/'Income Statement'!J22</f>
        <v>41.741071428571431</v>
      </c>
      <c r="K26" s="106">
        <f>'Income Statement'!K18/'Income Statement'!K22</f>
        <v>65.902499999999975</v>
      </c>
      <c r="L26" s="107">
        <f>'Income Statement'!L18/'Income Statement'!L22</f>
        <v>74.407499999999999</v>
      </c>
      <c r="M26" s="107">
        <f>'Income Statement'!M18/'Income Statement'!M22</f>
        <v>55.695833333333326</v>
      </c>
      <c r="N26" s="107">
        <f>'Income Statement'!N18/'Income Statement'!N22</f>
        <v>53.019400000000005</v>
      </c>
      <c r="O26" s="107">
        <f>'Income Statement'!O18/'Income Statement'!O22</f>
        <v>72.996133333333319</v>
      </c>
      <c r="P26" s="107">
        <f>'Income Statement'!P18/'Income Statement'!P22</f>
        <v>120.54919999999998</v>
      </c>
    </row>
    <row r="27" spans="1:16" ht="19.95" customHeight="1" x14ac:dyDescent="0.3">
      <c r="A27" s="27" t="s">
        <v>126</v>
      </c>
      <c r="B27" s="99">
        <f>('Balance Sheet'!B12-'Balance Sheet'!B23)/'Income Statement'!B18</f>
        <v>1.933438985736927</v>
      </c>
      <c r="C27" s="99">
        <f>('Balance Sheet'!C12-'Balance Sheet'!C23)/'Income Statement'!C18</f>
        <v>1.4038876889848804</v>
      </c>
      <c r="D27" s="99">
        <f>('Balance Sheet'!D12-'Balance Sheet'!D23)/'Income Statement'!D18</f>
        <v>0.92276144907723834</v>
      </c>
      <c r="E27" s="99">
        <f>('Balance Sheet'!E12-'Balance Sheet'!E23)/'Income Statement'!E18</f>
        <v>0.61706881143878467</v>
      </c>
      <c r="F27" s="255">
        <f>('Balance Sheet'!F12-'Balance Sheet'!F23)/'Income Statement'!F18</f>
        <v>0.56862745098039202</v>
      </c>
      <c r="G27" s="106">
        <f>('Balance Sheet'!G12-'Balance Sheet'!G23)/'Income Statement'!G18</f>
        <v>1.2070374238468231</v>
      </c>
      <c r="H27" s="106">
        <f>('Balance Sheet'!H12-'Balance Sheet'!H23)/'Income Statement'!H18</f>
        <v>0.33266363636363694</v>
      </c>
      <c r="I27" s="106">
        <f>('Balance Sheet'!I12-'Balance Sheet'!I23)/'Income Statement'!I18</f>
        <v>-0.21279737480697067</v>
      </c>
      <c r="J27" s="106">
        <f>('Balance Sheet'!J12-'Balance Sheet'!J23)/'Income Statement'!J18</f>
        <v>-0.67840992513368914</v>
      </c>
      <c r="K27" s="106">
        <f>('Balance Sheet'!K12-'Balance Sheet'!K23)/'Income Statement'!K18</f>
        <v>-1.2206948901786725</v>
      </c>
      <c r="L27" s="107">
        <f>('Balance Sheet'!L12-'Balance Sheet'!L23)/'Income Statement'!L18</f>
        <v>-1.5232851527063798</v>
      </c>
      <c r="M27" s="107">
        <f>('Balance Sheet'!M12-'Balance Sheet'!M23)/'Income Statement'!M18</f>
        <v>-1.7946701877758653</v>
      </c>
      <c r="N27" s="107">
        <f>('Balance Sheet'!N12-'Balance Sheet'!N23)/'Income Statement'!N18</f>
        <v>-2.2779457460045616</v>
      </c>
      <c r="O27" s="107">
        <f>('Balance Sheet'!O12-'Balance Sheet'!O23)/'Income Statement'!O18</f>
        <v>-2.5777253717548505</v>
      </c>
      <c r="P27" s="107">
        <f>('Balance Sheet'!P12-'Balance Sheet'!P23)/'Income Statement'!P18</f>
        <v>-3.0397686637489088</v>
      </c>
    </row>
    <row r="28" spans="1:16" ht="19.95" customHeight="1" x14ac:dyDescent="0.3">
      <c r="A28" s="27" t="s">
        <v>127</v>
      </c>
      <c r="B28" s="105" t="s">
        <v>128</v>
      </c>
      <c r="C28" s="105">
        <f>('Income Statement'!C6-'Income Statement'!B6)/'Income Statement'!B6*100</f>
        <v>53.978622327790973</v>
      </c>
      <c r="D28" s="105">
        <f>('Income Statement'!D6-'Income Statement'!C6)/'Income Statement'!C6*100</f>
        <v>45.642113382182799</v>
      </c>
      <c r="E28" s="105">
        <f>('Income Statement'!E6-'Income Statement'!D6)/'Income Statement'!D6*100</f>
        <v>45.58453594598172</v>
      </c>
      <c r="F28" s="261">
        <f>('Income Statement'!F6-'Income Statement'!E6)/'Income Statement'!E6*100</f>
        <v>34.912695525645695</v>
      </c>
      <c r="G28" s="115">
        <f>('Income Statement'!G6-'Income Statement'!F6)/'Income Statement'!F6*100</f>
        <v>11.223458038422654</v>
      </c>
      <c r="H28" s="115">
        <f>('Income Statement'!H6-'Income Statement'!G6)/'Income Statement'!G6*100</f>
        <v>81.818181818181827</v>
      </c>
      <c r="I28" s="115">
        <f>('Income Statement'!I6-'Income Statement'!H6)/'Income Statement'!H6*100</f>
        <v>40</v>
      </c>
      <c r="J28" s="115">
        <f>('Income Statement'!J6-'Income Statement'!I6)/'Income Statement'!I6*100</f>
        <v>25</v>
      </c>
      <c r="K28" s="115">
        <f>('Income Statement'!K6-'Income Statement'!J6)/'Income Statement'!J6*100</f>
        <v>10</v>
      </c>
      <c r="L28" s="116">
        <f>('Income Statement'!L6-'Income Statement'!K6)/'Income Statement'!K6*100</f>
        <v>9.9567099567099575</v>
      </c>
      <c r="M28" s="116">
        <f>('Income Statement'!M6-'Income Statement'!L6)/'Income Statement'!L6*100</f>
        <v>10</v>
      </c>
      <c r="N28" s="116">
        <f>('Income Statement'!N6-'Income Statement'!M6)/'Income Statement'!M6*100</f>
        <v>11.997136721546164</v>
      </c>
      <c r="O28" s="116">
        <f>('Income Statement'!O6-'Income Statement'!N6)/'Income Statement'!N6*100</f>
        <v>14.994247731049478</v>
      </c>
      <c r="P28" s="116">
        <f>('Income Statement'!P6-'Income Statement'!O6)/'Income Statement'!O6*100</f>
        <v>10.004446420631391</v>
      </c>
    </row>
  </sheetData>
  <conditionalFormatting sqref="B7:P7">
    <cfRule type="colorScale" priority="1">
      <colorScale>
        <cfvo type="min"/>
        <cfvo type="max"/>
        <color rgb="FFFCE4D6"/>
        <color rgb="FFC6EFCE"/>
      </colorScale>
    </cfRule>
  </conditionalFormatting>
  <conditionalFormatting sqref="B12:P12">
    <cfRule type="colorScale" priority="2">
      <colorScale>
        <cfvo type="min"/>
        <cfvo type="max"/>
        <color rgb="FFFCE4D6"/>
        <color rgb="FFC6EFCE"/>
      </colorScale>
    </cfRule>
  </conditionalFormatting>
  <conditionalFormatting sqref="B25:P25">
    <cfRule type="colorScale" priority="3">
      <colorScale>
        <cfvo type="min"/>
        <cfvo type="max"/>
        <color rgb="FFC6EFCE"/>
        <color rgb="FFFCE4D6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D2739-5398-4DE3-9891-EED396028683}">
  <sheetPr>
    <tabColor rgb="FFFFC000"/>
  </sheetPr>
  <dimension ref="A1:L66"/>
  <sheetViews>
    <sheetView workbookViewId="0">
      <pane ySplit="3" topLeftCell="A43" activePane="bottomLeft" state="frozen"/>
      <selection pane="bottomLeft"/>
    </sheetView>
  </sheetViews>
  <sheetFormatPr defaultRowHeight="14.4" x14ac:dyDescent="0.3"/>
  <cols>
    <col min="1" max="1" width="46.33203125" customWidth="1"/>
    <col min="2" max="12" width="17.5546875" customWidth="1"/>
  </cols>
  <sheetData>
    <row r="1" spans="1:12" ht="28.05" customHeight="1" x14ac:dyDescent="0.4">
      <c r="A1" s="117" t="s">
        <v>129</v>
      </c>
    </row>
    <row r="2" spans="1:12" ht="22.05" customHeight="1" x14ac:dyDescent="0.3">
      <c r="A2" s="118" t="s">
        <v>130</v>
      </c>
    </row>
    <row r="3" spans="1:12" ht="7.95" customHeight="1" x14ac:dyDescent="0.3"/>
    <row r="4" spans="1:12" x14ac:dyDescent="0.3">
      <c r="A4" s="12" t="s">
        <v>131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2" x14ac:dyDescent="0.3">
      <c r="A5" s="2" t="s">
        <v>132</v>
      </c>
      <c r="B5" s="3">
        <v>6.7000000000000004E-2</v>
      </c>
    </row>
    <row r="6" spans="1:12" x14ac:dyDescent="0.3">
      <c r="A6" s="2" t="s">
        <v>133</v>
      </c>
      <c r="B6" s="3">
        <v>7.0000000000000007E-2</v>
      </c>
    </row>
    <row r="7" spans="1:12" x14ac:dyDescent="0.3">
      <c r="A7" s="2" t="s">
        <v>134</v>
      </c>
      <c r="B7" s="4">
        <v>1.2</v>
      </c>
    </row>
    <row r="8" spans="1:12" x14ac:dyDescent="0.3">
      <c r="A8" s="5" t="s">
        <v>135</v>
      </c>
      <c r="B8" s="121">
        <f>B5+B7*B6</f>
        <v>0.15100000000000002</v>
      </c>
    </row>
    <row r="9" spans="1:12" x14ac:dyDescent="0.3">
      <c r="A9" s="2" t="s">
        <v>136</v>
      </c>
      <c r="B9" s="3">
        <v>0.1</v>
      </c>
    </row>
    <row r="10" spans="1:12" x14ac:dyDescent="0.3">
      <c r="A10" s="2" t="s">
        <v>137</v>
      </c>
      <c r="B10" s="3">
        <v>0.254</v>
      </c>
    </row>
    <row r="11" spans="1:12" x14ac:dyDescent="0.3">
      <c r="A11" s="5" t="s">
        <v>138</v>
      </c>
      <c r="B11" s="121">
        <f>B9*(1-B10)</f>
        <v>7.46E-2</v>
      </c>
    </row>
    <row r="12" spans="1:12" x14ac:dyDescent="0.3">
      <c r="A12" s="17" t="s">
        <v>245</v>
      </c>
      <c r="B12" s="122">
        <v>141</v>
      </c>
    </row>
    <row r="13" spans="1:12" x14ac:dyDescent="0.3">
      <c r="A13" s="17" t="s">
        <v>174</v>
      </c>
      <c r="B13" s="18">
        <f>B12*B19</f>
        <v>352.35900000000004</v>
      </c>
    </row>
    <row r="14" spans="1:12" x14ac:dyDescent="0.3">
      <c r="A14" s="17" t="s">
        <v>246</v>
      </c>
      <c r="B14" s="19">
        <f>'Balance Sheet'!F12</f>
        <v>24.53</v>
      </c>
    </row>
    <row r="15" spans="1:12" x14ac:dyDescent="0.3">
      <c r="A15" s="2" t="s">
        <v>139</v>
      </c>
      <c r="B15" s="20">
        <f>B13/(B13+B14)</f>
        <v>0.93491452390491636</v>
      </c>
    </row>
    <row r="16" spans="1:12" x14ac:dyDescent="0.3">
      <c r="A16" s="2" t="s">
        <v>140</v>
      </c>
      <c r="B16" s="123">
        <f>1-B15</f>
        <v>6.5085476095083639E-2</v>
      </c>
    </row>
    <row r="17" spans="1:12" x14ac:dyDescent="0.3">
      <c r="A17" s="119" t="s">
        <v>141</v>
      </c>
      <c r="B17" s="127">
        <f>B15*B8+B16*B11</f>
        <v>0.14602746962633564</v>
      </c>
    </row>
    <row r="18" spans="1:12" x14ac:dyDescent="0.3">
      <c r="A18" s="2" t="s">
        <v>142</v>
      </c>
      <c r="B18" s="3">
        <v>0.04</v>
      </c>
    </row>
    <row r="19" spans="1:12" x14ac:dyDescent="0.3">
      <c r="A19" s="2" t="s">
        <v>143</v>
      </c>
      <c r="B19" s="7">
        <v>2.4990000000000001</v>
      </c>
    </row>
    <row r="21" spans="1:12" x14ac:dyDescent="0.3">
      <c r="A21" s="12" t="s">
        <v>144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</row>
    <row r="22" spans="1:12" x14ac:dyDescent="0.3">
      <c r="A22" s="8" t="s">
        <v>145</v>
      </c>
      <c r="B22" s="289" t="s">
        <v>146</v>
      </c>
      <c r="C22" s="9" t="s">
        <v>8</v>
      </c>
      <c r="D22" s="9" t="s">
        <v>9</v>
      </c>
      <c r="E22" s="9" t="s">
        <v>10</v>
      </c>
      <c r="F22" s="9" t="s">
        <v>11</v>
      </c>
      <c r="G22" s="9" t="s">
        <v>12</v>
      </c>
      <c r="H22" s="128" t="s">
        <v>257</v>
      </c>
      <c r="I22" s="128" t="s">
        <v>258</v>
      </c>
      <c r="J22" s="128" t="s">
        <v>259</v>
      </c>
      <c r="K22" s="128" t="s">
        <v>260</v>
      </c>
      <c r="L22" s="128" t="s">
        <v>261</v>
      </c>
    </row>
    <row r="23" spans="1:12" x14ac:dyDescent="0.3">
      <c r="A23" t="s">
        <v>147</v>
      </c>
      <c r="B23" s="290">
        <f>'Income Statement'!F6</f>
        <v>148.35</v>
      </c>
      <c r="C23" s="22">
        <f>'Income Statement'!G6</f>
        <v>165</v>
      </c>
      <c r="D23" s="22">
        <f>'Income Statement'!H6</f>
        <v>300</v>
      </c>
      <c r="E23" s="22">
        <f>'Income Statement'!I6</f>
        <v>420</v>
      </c>
      <c r="F23" s="22">
        <f>'Income Statement'!J6</f>
        <v>525</v>
      </c>
      <c r="G23" s="22">
        <f>'Income Statement'!K6</f>
        <v>577.5</v>
      </c>
      <c r="H23" s="22">
        <f>'Income Statement'!L6</f>
        <v>635</v>
      </c>
      <c r="I23" s="22">
        <f>'Income Statement'!M6</f>
        <v>698.5</v>
      </c>
      <c r="J23" s="22">
        <f>'Income Statement'!N6</f>
        <v>782.3</v>
      </c>
      <c r="K23" s="22">
        <f>'Income Statement'!O6</f>
        <v>899.6</v>
      </c>
      <c r="L23" s="22">
        <f>'Income Statement'!P6</f>
        <v>989.6</v>
      </c>
    </row>
    <row r="24" spans="1:12" x14ac:dyDescent="0.3">
      <c r="A24" t="s">
        <v>26</v>
      </c>
      <c r="B24" s="290">
        <f>'Income Statement'!F21</f>
        <v>27.890000000000008</v>
      </c>
      <c r="C24" s="22">
        <f>'Income Statement'!G21</f>
        <v>26.524999999999995</v>
      </c>
      <c r="D24" s="22">
        <f>'Income Statement'!H21</f>
        <v>52.999999999999972</v>
      </c>
      <c r="E24" s="22">
        <f>'Income Statement'!I21</f>
        <v>82.659999999999968</v>
      </c>
      <c r="F24" s="22">
        <f>'Income Statement'!J21</f>
        <v>108.375</v>
      </c>
      <c r="G24" s="22">
        <f>'Income Statement'!K21</f>
        <v>123.30499999999995</v>
      </c>
      <c r="H24" s="22">
        <f>'Income Statement'!L21</f>
        <v>139.815</v>
      </c>
      <c r="I24" s="22">
        <f>'Income Statement'!M21</f>
        <v>157.58749999999998</v>
      </c>
      <c r="J24" s="22">
        <f>'Income Statement'!N21</f>
        <v>174.56790000000001</v>
      </c>
      <c r="K24" s="22">
        <f>'Income Statement'!O21</f>
        <v>206.98839999999996</v>
      </c>
      <c r="L24" s="22">
        <f>'Income Statement'!P21</f>
        <v>229.09839999999997</v>
      </c>
    </row>
    <row r="25" spans="1:12" x14ac:dyDescent="0.3">
      <c r="A25" t="s">
        <v>148</v>
      </c>
      <c r="B25" s="291">
        <f t="shared" ref="B25:G25" si="0">-B24*$B$10</f>
        <v>-7.0840600000000018</v>
      </c>
      <c r="C25" s="124">
        <f t="shared" si="0"/>
        <v>-6.7373499999999984</v>
      </c>
      <c r="D25" s="124">
        <f t="shared" si="0"/>
        <v>-13.461999999999993</v>
      </c>
      <c r="E25" s="124">
        <f t="shared" si="0"/>
        <v>-20.995639999999991</v>
      </c>
      <c r="F25" s="124">
        <f t="shared" si="0"/>
        <v>-27.527249999999999</v>
      </c>
      <c r="G25" s="124">
        <f t="shared" si="0"/>
        <v>-31.319469999999988</v>
      </c>
      <c r="H25" s="124">
        <f>-H24*$B$10</f>
        <v>-35.513010000000001</v>
      </c>
      <c r="I25" s="124">
        <f>-I24*$B$10</f>
        <v>-40.027224999999994</v>
      </c>
      <c r="J25" s="124">
        <f>-J24*$B$10</f>
        <v>-44.3402466</v>
      </c>
      <c r="K25" s="124">
        <f>-K24*$B$10</f>
        <v>-52.57505359999999</v>
      </c>
      <c r="L25" s="124">
        <f>-L24*$B$10</f>
        <v>-58.190993599999992</v>
      </c>
    </row>
    <row r="26" spans="1:12" x14ac:dyDescent="0.3">
      <c r="A26" s="2" t="s">
        <v>149</v>
      </c>
      <c r="B26" s="292">
        <f t="shared" ref="B26:G26" si="1">B24+B25</f>
        <v>20.805940000000007</v>
      </c>
      <c r="C26" s="10">
        <f t="shared" si="1"/>
        <v>19.787649999999996</v>
      </c>
      <c r="D26" s="10">
        <f t="shared" si="1"/>
        <v>39.537999999999982</v>
      </c>
      <c r="E26" s="10">
        <f t="shared" si="1"/>
        <v>61.664359999999974</v>
      </c>
      <c r="F26" s="10">
        <f t="shared" si="1"/>
        <v>80.847750000000005</v>
      </c>
      <c r="G26" s="10">
        <f t="shared" si="1"/>
        <v>91.985529999999954</v>
      </c>
      <c r="H26" s="124">
        <f>H24+H25</f>
        <v>104.30198999999999</v>
      </c>
      <c r="I26" s="124">
        <f>I24+I25</f>
        <v>117.56027499999999</v>
      </c>
      <c r="J26" s="124">
        <f>J24+J25</f>
        <v>130.22765340000001</v>
      </c>
      <c r="K26" s="124">
        <f>K24+K25</f>
        <v>154.41334639999997</v>
      </c>
      <c r="L26" s="124">
        <f>L24+L25</f>
        <v>170.90740639999999</v>
      </c>
    </row>
    <row r="27" spans="1:12" x14ac:dyDescent="0.3">
      <c r="A27" t="s">
        <v>94</v>
      </c>
      <c r="B27" s="290">
        <f>'Income Statement'!F20</f>
        <v>1.18</v>
      </c>
      <c r="C27" s="22">
        <f>'Income Statement'!G20</f>
        <v>2.2000000000000002</v>
      </c>
      <c r="D27" s="22">
        <f>'Income Statement'!H20</f>
        <v>7.5</v>
      </c>
      <c r="E27" s="22">
        <f>'Income Statement'!I20</f>
        <v>8</v>
      </c>
      <c r="F27" s="22">
        <f>'Income Statement'!J20</f>
        <v>8.5</v>
      </c>
      <c r="G27" s="22">
        <f>'Income Statement'!K20</f>
        <v>8.5</v>
      </c>
      <c r="H27" s="22">
        <f>'Income Statement'!L20</f>
        <v>9</v>
      </c>
      <c r="I27" s="22">
        <f>'Income Statement'!M20</f>
        <v>9.5</v>
      </c>
      <c r="J27" s="22">
        <f>'Income Statement'!N20</f>
        <v>11</v>
      </c>
      <c r="K27" s="22">
        <f>'Income Statement'!O20</f>
        <v>12</v>
      </c>
      <c r="L27" s="22">
        <f>'Income Statement'!P20</f>
        <v>12</v>
      </c>
    </row>
    <row r="28" spans="1:12" x14ac:dyDescent="0.3">
      <c r="A28" t="s">
        <v>150</v>
      </c>
      <c r="B28" s="290">
        <f>'Cash Flow'!F13</f>
        <v>-38</v>
      </c>
      <c r="C28" s="22">
        <f>'Cash Flow'!G13</f>
        <v>-15</v>
      </c>
      <c r="D28" s="22">
        <f>'Cash Flow'!H13</f>
        <v>-5</v>
      </c>
      <c r="E28" s="22">
        <f>'Cash Flow'!I13</f>
        <v>-5</v>
      </c>
      <c r="F28" s="22">
        <f>'Cash Flow'!J13</f>
        <v>-5</v>
      </c>
      <c r="G28" s="22">
        <f>'Cash Flow'!K13</f>
        <v>-5</v>
      </c>
      <c r="H28" s="22">
        <f>'Cash Flow'!L13</f>
        <v>-45</v>
      </c>
      <c r="I28" s="22">
        <f>'Cash Flow'!M13</f>
        <v>-45</v>
      </c>
      <c r="J28" s="22">
        <f>'Cash Flow'!N13</f>
        <v>-8</v>
      </c>
      <c r="K28" s="22">
        <f>'Cash Flow'!O13</f>
        <v>-8</v>
      </c>
      <c r="L28" s="22">
        <f>'Cash Flow'!P13</f>
        <v>-8</v>
      </c>
    </row>
    <row r="29" spans="1:12" x14ac:dyDescent="0.3">
      <c r="A29" t="s">
        <v>151</v>
      </c>
      <c r="B29" s="290">
        <f>'Cash Flow'!F8</f>
        <v>-5</v>
      </c>
      <c r="C29" s="22">
        <f>'Cash Flow'!G8</f>
        <v>-8</v>
      </c>
      <c r="D29" s="22">
        <f>'Cash Flow'!H8</f>
        <v>-18</v>
      </c>
      <c r="E29" s="22">
        <f>'Cash Flow'!I8</f>
        <v>-18</v>
      </c>
      <c r="F29" s="22">
        <f>'Cash Flow'!J8</f>
        <v>-16</v>
      </c>
      <c r="G29" s="22">
        <f>'Cash Flow'!K8</f>
        <v>-12</v>
      </c>
      <c r="H29" s="22">
        <f>'Cash Flow'!L8</f>
        <v>-15</v>
      </c>
      <c r="I29" s="22">
        <f>'Cash Flow'!M8</f>
        <v>-12</v>
      </c>
      <c r="J29" s="22">
        <f>'Cash Flow'!N8</f>
        <v>-18</v>
      </c>
      <c r="K29" s="22">
        <f>'Cash Flow'!O8</f>
        <v>-18</v>
      </c>
      <c r="L29" s="22">
        <f>'Cash Flow'!P8</f>
        <v>-15</v>
      </c>
    </row>
    <row r="30" spans="1:12" x14ac:dyDescent="0.3">
      <c r="B30" s="293"/>
    </row>
    <row r="31" spans="1:12" x14ac:dyDescent="0.3">
      <c r="A31" s="5" t="s">
        <v>152</v>
      </c>
      <c r="B31" s="294">
        <f t="shared" ref="B31:G31" si="2">B26+B27+B28+B29</f>
        <v>-21.014059999999994</v>
      </c>
      <c r="C31" s="11">
        <f t="shared" si="2"/>
        <v>-1.012350000000005</v>
      </c>
      <c r="D31" s="11">
        <f t="shared" si="2"/>
        <v>24.037999999999982</v>
      </c>
      <c r="E31" s="11">
        <f t="shared" si="2"/>
        <v>46.664359999999974</v>
      </c>
      <c r="F31" s="11">
        <f t="shared" si="2"/>
        <v>68.347750000000005</v>
      </c>
      <c r="G31" s="11">
        <f t="shared" si="2"/>
        <v>83.485529999999954</v>
      </c>
      <c r="H31" s="11">
        <f>H26+H27+H28+H29</f>
        <v>53.301989999999989</v>
      </c>
      <c r="I31" s="11">
        <f>I26+I27+I28+I29</f>
        <v>70.06027499999999</v>
      </c>
      <c r="J31" s="11">
        <f>J26+J27+J28+J29</f>
        <v>115.22765340000001</v>
      </c>
      <c r="K31" s="11">
        <f>K26+K27+K28+K29</f>
        <v>140.41334639999997</v>
      </c>
      <c r="L31" s="11">
        <f>L26+L27+L28+L29</f>
        <v>159.90740639999999</v>
      </c>
    </row>
    <row r="32" spans="1:12" x14ac:dyDescent="0.3">
      <c r="A32" t="s">
        <v>153</v>
      </c>
      <c r="B32" s="293"/>
      <c r="C32" s="123" t="str">
        <f t="shared" ref="C32:L32" si="3">IF(OR(B31&lt;=0,C31&lt;=0),"N/M",C31/B31-1)</f>
        <v>N/M</v>
      </c>
      <c r="D32" s="123" t="str">
        <f t="shared" si="3"/>
        <v>N/M</v>
      </c>
      <c r="E32" s="123">
        <f t="shared" si="3"/>
        <v>0.94127464847325104</v>
      </c>
      <c r="F32" s="123">
        <f t="shared" si="3"/>
        <v>0.46466703925651265</v>
      </c>
      <c r="G32" s="123">
        <f t="shared" si="3"/>
        <v>0.22148176055539426</v>
      </c>
      <c r="H32" s="123">
        <f t="shared" si="3"/>
        <v>-0.36154217383539378</v>
      </c>
      <c r="I32" s="123">
        <f t="shared" si="3"/>
        <v>0.31440261423635407</v>
      </c>
      <c r="J32" s="123">
        <f t="shared" si="3"/>
        <v>0.64469313601752232</v>
      </c>
      <c r="K32" s="123">
        <f t="shared" si="3"/>
        <v>0.21857333944457435</v>
      </c>
      <c r="L32" s="123">
        <f t="shared" si="3"/>
        <v>0.13883338371885734</v>
      </c>
    </row>
    <row r="34" spans="1:12" x14ac:dyDescent="0.3">
      <c r="A34" s="12" t="s">
        <v>154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</row>
    <row r="35" spans="1:12" x14ac:dyDescent="0.3">
      <c r="A35" s="8" t="s">
        <v>155</v>
      </c>
      <c r="B35" s="8"/>
      <c r="C35" s="9">
        <v>1</v>
      </c>
      <c r="D35" s="9">
        <v>2</v>
      </c>
      <c r="E35" s="9">
        <v>3</v>
      </c>
      <c r="F35" s="9">
        <v>4</v>
      </c>
      <c r="G35" s="9">
        <v>5</v>
      </c>
      <c r="H35" s="9">
        <v>6</v>
      </c>
      <c r="I35" s="9">
        <v>7</v>
      </c>
      <c r="J35" s="9">
        <v>8</v>
      </c>
      <c r="K35" s="9">
        <v>9</v>
      </c>
      <c r="L35" s="9">
        <v>10</v>
      </c>
    </row>
    <row r="36" spans="1:12" x14ac:dyDescent="0.3">
      <c r="A36" t="s">
        <v>156</v>
      </c>
      <c r="C36" s="125">
        <f t="shared" ref="C36:L36" si="4">1/(1+$B$17)^C35</f>
        <v>0.87257943330629917</v>
      </c>
      <c r="D36" s="125">
        <f t="shared" si="4"/>
        <v>0.7613948674291422</v>
      </c>
      <c r="E36" s="125">
        <f t="shared" si="4"/>
        <v>0.66437750194364564</v>
      </c>
      <c r="F36" s="125">
        <f t="shared" si="4"/>
        <v>0.57972214414744094</v>
      </c>
      <c r="G36" s="125">
        <f t="shared" si="4"/>
        <v>0.50585362001528678</v>
      </c>
      <c r="H36" s="125">
        <f t="shared" si="4"/>
        <v>0.44139746508887884</v>
      </c>
      <c r="I36" s="125">
        <f t="shared" si="4"/>
        <v>0.3851543499500909</v>
      </c>
      <c r="J36" s="125">
        <f t="shared" si="4"/>
        <v>0.33607776441490633</v>
      </c>
      <c r="K36" s="125">
        <f t="shared" si="4"/>
        <v>0.29325454522000688</v>
      </c>
      <c r="L36" s="125">
        <f t="shared" si="4"/>
        <v>0.25588788488257008</v>
      </c>
    </row>
    <row r="37" spans="1:12" x14ac:dyDescent="0.3">
      <c r="A37" s="2" t="s">
        <v>157</v>
      </c>
      <c r="C37" s="10">
        <f t="shared" ref="C37:L37" si="5">C31*C36</f>
        <v>-0.88335578930763625</v>
      </c>
      <c r="D37" s="10">
        <f t="shared" si="5"/>
        <v>18.302409823261709</v>
      </c>
      <c r="E37" s="10">
        <f t="shared" si="5"/>
        <v>31.002750926598964</v>
      </c>
      <c r="F37" s="10">
        <f t="shared" si="5"/>
        <v>39.622704177653262</v>
      </c>
      <c r="G37" s="10">
        <f t="shared" si="5"/>
        <v>42.231457569394799</v>
      </c>
      <c r="H37" s="10">
        <f t="shared" si="5"/>
        <v>23.527363270192765</v>
      </c>
      <c r="I37" s="10">
        <f t="shared" si="5"/>
        <v>26.9840196749496</v>
      </c>
      <c r="J37" s="10">
        <f t="shared" si="5"/>
        <v>38.725452153447684</v>
      </c>
      <c r="K37" s="10">
        <f t="shared" si="5"/>
        <v>41.176852041351282</v>
      </c>
      <c r="L37" s="10">
        <f t="shared" si="5"/>
        <v>40.918368000753546</v>
      </c>
    </row>
    <row r="39" spans="1:12" x14ac:dyDescent="0.3">
      <c r="A39" s="8" t="s">
        <v>158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</row>
    <row r="40" spans="1:12" x14ac:dyDescent="0.3">
      <c r="A40" t="s">
        <v>262</v>
      </c>
      <c r="B40" s="124">
        <f>L31*(1+$B$18)</f>
        <v>166.30370265599998</v>
      </c>
    </row>
    <row r="41" spans="1:12" x14ac:dyDescent="0.3">
      <c r="A41" t="s">
        <v>159</v>
      </c>
      <c r="B41" s="124">
        <f>B40/(B17-B18)</f>
        <v>1568.4963834569587</v>
      </c>
    </row>
    <row r="42" spans="1:12" x14ac:dyDescent="0.3">
      <c r="A42" t="s">
        <v>160</v>
      </c>
      <c r="B42" s="124">
        <f>B41*L36</f>
        <v>401.35922200876178</v>
      </c>
    </row>
    <row r="44" spans="1:12" x14ac:dyDescent="0.3">
      <c r="A44" s="12" t="s">
        <v>161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2" x14ac:dyDescent="0.3">
      <c r="A45" s="2" t="s">
        <v>263</v>
      </c>
      <c r="B45" s="10">
        <f>SUM(C37:L37)</f>
        <v>301.608021848296</v>
      </c>
    </row>
    <row r="46" spans="1:12" x14ac:dyDescent="0.3">
      <c r="A46" t="s">
        <v>162</v>
      </c>
      <c r="B46" s="124">
        <f>B42</f>
        <v>401.35922200876178</v>
      </c>
    </row>
    <row r="47" spans="1:12" x14ac:dyDescent="0.3">
      <c r="A47" s="119" t="s">
        <v>163</v>
      </c>
      <c r="B47" s="129">
        <f>B45+B46</f>
        <v>702.96724385705784</v>
      </c>
    </row>
    <row r="49" spans="1:12" x14ac:dyDescent="0.3">
      <c r="A49" t="s">
        <v>164</v>
      </c>
      <c r="B49" s="22">
        <f>'Balance Sheet'!F12</f>
        <v>24.53</v>
      </c>
    </row>
    <row r="50" spans="1:12" x14ac:dyDescent="0.3">
      <c r="A50" t="s">
        <v>165</v>
      </c>
      <c r="B50" s="22">
        <f>'Balance Sheet'!F23</f>
        <v>8</v>
      </c>
    </row>
    <row r="51" spans="1:12" x14ac:dyDescent="0.3">
      <c r="A51" t="s">
        <v>166</v>
      </c>
      <c r="B51" s="10">
        <f>B49-B50</f>
        <v>16.53</v>
      </c>
    </row>
    <row r="53" spans="1:12" x14ac:dyDescent="0.3">
      <c r="A53" s="5" t="s">
        <v>167</v>
      </c>
      <c r="B53" s="11">
        <f>B47-B51</f>
        <v>686.43724385705787</v>
      </c>
    </row>
    <row r="54" spans="1:12" x14ac:dyDescent="0.3">
      <c r="A54" t="s">
        <v>143</v>
      </c>
      <c r="B54" s="126">
        <f>B19</f>
        <v>2.4990000000000001</v>
      </c>
    </row>
    <row r="55" spans="1:12" x14ac:dyDescent="0.3">
      <c r="A55" s="119" t="s">
        <v>168</v>
      </c>
      <c r="B55" s="130">
        <f>B53/B54</f>
        <v>274.68477145140372</v>
      </c>
    </row>
    <row r="57" spans="1:12" x14ac:dyDescent="0.3">
      <c r="A57" s="119" t="s">
        <v>169</v>
      </c>
      <c r="B57" s="120">
        <f>B46/B47</f>
        <v>0.57095010545096558</v>
      </c>
    </row>
    <row r="59" spans="1:12" ht="15" thickBot="1" x14ac:dyDescent="0.35">
      <c r="A59" s="12" t="s">
        <v>170</v>
      </c>
      <c r="B59" s="12"/>
      <c r="C59" s="12"/>
      <c r="D59" s="296" t="s">
        <v>325</v>
      </c>
      <c r="E59" s="296"/>
      <c r="F59" s="12"/>
      <c r="G59" s="12"/>
      <c r="H59" s="12"/>
      <c r="I59" s="12"/>
      <c r="J59" s="12"/>
      <c r="K59" s="12"/>
      <c r="L59" s="12"/>
    </row>
    <row r="60" spans="1:12" x14ac:dyDescent="0.3">
      <c r="A60" s="295">
        <f>B55</f>
        <v>274.68477145140372</v>
      </c>
      <c r="B60" s="135">
        <v>2.5000000000000001E-2</v>
      </c>
      <c r="C60" s="135">
        <v>0.03</v>
      </c>
      <c r="D60" s="135">
        <v>3.5000000000000003E-2</v>
      </c>
      <c r="E60" s="136">
        <v>0.04</v>
      </c>
      <c r="F60" s="135">
        <v>4.4999999999999998E-2</v>
      </c>
      <c r="G60" s="141">
        <v>0.05</v>
      </c>
      <c r="H60" s="8"/>
      <c r="I60" s="8"/>
      <c r="J60" s="8"/>
      <c r="K60" s="8"/>
      <c r="L60" s="8"/>
    </row>
    <row r="61" spans="1:12" x14ac:dyDescent="0.3">
      <c r="A61" s="138">
        <v>0.115</v>
      </c>
      <c r="B61" s="132">
        <f t="dataTable" ref="B61:G66" dt2D="1" dtr="1" r1="B18" r2="B17"/>
        <v>382.81492279948429</v>
      </c>
      <c r="C61" s="132">
        <v>398.51627610198022</v>
      </c>
      <c r="D61" s="132">
        <v>416.18029856728805</v>
      </c>
      <c r="E61" s="132">
        <v>436.19952402797026</v>
      </c>
      <c r="F61" s="132">
        <v>459.07863884017854</v>
      </c>
      <c r="G61" s="142">
        <v>485.47761746964972</v>
      </c>
    </row>
    <row r="62" spans="1:12" x14ac:dyDescent="0.3">
      <c r="A62" s="138">
        <v>0.125</v>
      </c>
      <c r="B62" s="132">
        <v>331.28535458039835</v>
      </c>
      <c r="C62" s="132">
        <v>342.95280650972143</v>
      </c>
      <c r="D62" s="132">
        <v>355.91664198674709</v>
      </c>
      <c r="E62" s="132">
        <v>370.40563457871701</v>
      </c>
      <c r="F62" s="132">
        <v>386.70575124468303</v>
      </c>
      <c r="G62" s="142">
        <v>405.17921679944459</v>
      </c>
    </row>
    <row r="63" spans="1:12" x14ac:dyDescent="0.3">
      <c r="A63" s="138">
        <v>0.13500000000000001</v>
      </c>
      <c r="B63" s="132">
        <v>289.83297671606988</v>
      </c>
      <c r="C63" s="132">
        <v>298.69489190848674</v>
      </c>
      <c r="D63" s="132">
        <v>308.44299862014526</v>
      </c>
      <c r="E63" s="133">
        <v>319.21722182776784</v>
      </c>
      <c r="F63" s="132">
        <v>331.1885809473485</v>
      </c>
      <c r="G63" s="142">
        <v>344.56833525746805</v>
      </c>
    </row>
    <row r="64" spans="1:12" x14ac:dyDescent="0.3">
      <c r="A64" s="139">
        <v>0.14599999999999999</v>
      </c>
      <c r="B64" s="132">
        <v>252.83298651267916</v>
      </c>
      <c r="C64" s="132">
        <v>259.51900247850551</v>
      </c>
      <c r="D64" s="132">
        <v>266.80736222503685</v>
      </c>
      <c r="E64" s="134">
        <v>274.78330307973158</v>
      </c>
      <c r="F64" s="132">
        <v>283.54894104875251</v>
      </c>
      <c r="G64" s="142">
        <v>293.22766630621317</v>
      </c>
    </row>
    <row r="65" spans="1:7" x14ac:dyDescent="0.3">
      <c r="A65" s="138">
        <v>0.155</v>
      </c>
      <c r="B65" s="132">
        <v>227.67557382324156</v>
      </c>
      <c r="C65" s="132">
        <v>233.05803745651349</v>
      </c>
      <c r="D65" s="132">
        <v>238.88903972589137</v>
      </c>
      <c r="E65" s="132">
        <v>245.22708567086727</v>
      </c>
      <c r="F65" s="132">
        <v>252.14131761084104</v>
      </c>
      <c r="G65" s="142">
        <v>259.71404783081232</v>
      </c>
    </row>
    <row r="66" spans="1:7" ht="15" thickBot="1" x14ac:dyDescent="0.35">
      <c r="A66" s="140">
        <v>0.16500000000000001</v>
      </c>
      <c r="B66" s="137">
        <v>203.93127502331856</v>
      </c>
      <c r="C66" s="137">
        <v>208.21357607094325</v>
      </c>
      <c r="D66" s="137">
        <v>212.82528489146216</v>
      </c>
      <c r="E66" s="137">
        <v>217.80593041762262</v>
      </c>
      <c r="F66" s="137">
        <v>223.20162973762973</v>
      </c>
      <c r="G66" s="143">
        <v>229.06652030285491</v>
      </c>
    </row>
  </sheetData>
  <mergeCells count="1">
    <mergeCell ref="D59:E59"/>
  </mergeCells>
  <conditionalFormatting sqref="B61:G6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Assumptions</vt:lpstr>
      <vt:lpstr>Income Statement</vt:lpstr>
      <vt:lpstr>Balance Sheet</vt:lpstr>
      <vt:lpstr>Cash Flow</vt:lpstr>
      <vt:lpstr>Consolidated IS</vt:lpstr>
      <vt:lpstr>Consolidated BS</vt:lpstr>
      <vt:lpstr>Consolidated CF</vt:lpstr>
      <vt:lpstr>Key Ratios</vt:lpstr>
      <vt:lpstr>DCF Valuation</vt:lpstr>
      <vt:lpstr>Comparable Valuation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Harsh Vijay</dc:creator>
  <cp:lastModifiedBy>Harsh Vijay</cp:lastModifiedBy>
  <dcterms:created xsi:type="dcterms:W3CDTF">2026-02-18T12:07:45Z</dcterms:created>
  <dcterms:modified xsi:type="dcterms:W3CDTF">2026-03-18T07:24:42Z</dcterms:modified>
</cp:coreProperties>
</file>