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sh\Downloads\"/>
    </mc:Choice>
  </mc:AlternateContent>
  <xr:revisionPtr revIDLastSave="0" documentId="13_ncr:1_{B3E3242B-28FB-47FF-AB24-4748CAF76154}" xr6:coauthVersionLast="47" xr6:coauthVersionMax="47" xr10:uidLastSave="{00000000-0000-0000-0000-000000000000}"/>
  <bookViews>
    <workbookView xWindow="-108" yWindow="-108" windowWidth="23256" windowHeight="12456" activeTab="4" xr2:uid="{08CB94CC-0D31-4138-BF0C-81EB823D84C2}"/>
  </bookViews>
  <sheets>
    <sheet name="Assumptions" sheetId="2" r:id="rId1"/>
    <sheet name="Income Statement" sheetId="3" r:id="rId2"/>
    <sheet name="Balance Sheet" sheetId="4" r:id="rId3"/>
    <sheet name="Cash Flow" sheetId="5" r:id="rId4"/>
    <sheet name="DCF Valuation" sheetId="6" r:id="rId5"/>
    <sheet name="Comps &amp; Valuation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6" l="1"/>
  <c r="B11" i="6"/>
  <c r="B26" i="2"/>
  <c r="B24" i="2"/>
  <c r="D20" i="7" l="1"/>
  <c r="C20" i="7"/>
  <c r="B20" i="7"/>
  <c r="I11" i="7"/>
  <c r="I9" i="7"/>
  <c r="I8" i="7"/>
  <c r="I7" i="7"/>
  <c r="I6" i="7"/>
  <c r="I5" i="7"/>
  <c r="D22" i="7"/>
  <c r="B28" i="7" s="1"/>
  <c r="D28" i="7" s="1"/>
  <c r="D19" i="7"/>
  <c r="C19" i="7"/>
  <c r="D18" i="7"/>
  <c r="C18" i="7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D21" i="4"/>
  <c r="B21" i="4"/>
  <c r="B52" i="6"/>
  <c r="O12" i="4"/>
  <c r="O6" i="4"/>
  <c r="O5" i="4"/>
  <c r="N12" i="4"/>
  <c r="N6" i="4"/>
  <c r="N5" i="4"/>
  <c r="M12" i="4"/>
  <c r="M6" i="4"/>
  <c r="M5" i="4"/>
  <c r="L12" i="4"/>
  <c r="L6" i="4"/>
  <c r="L5" i="4"/>
  <c r="K12" i="4"/>
  <c r="K6" i="4"/>
  <c r="K5" i="4"/>
  <c r="J12" i="4"/>
  <c r="J6" i="4"/>
  <c r="J5" i="4"/>
  <c r="I12" i="4"/>
  <c r="I6" i="4"/>
  <c r="I5" i="4"/>
  <c r="H13" i="4"/>
  <c r="H12" i="4"/>
  <c r="H6" i="4"/>
  <c r="H5" i="4"/>
  <c r="G13" i="4"/>
  <c r="G12" i="4"/>
  <c r="G6" i="4"/>
  <c r="G5" i="4"/>
  <c r="F16" i="4"/>
  <c r="F19" i="4" s="1"/>
  <c r="F14" i="4"/>
  <c r="G14" i="4" s="1"/>
  <c r="F13" i="4"/>
  <c r="F12" i="4"/>
  <c r="F8" i="4"/>
  <c r="G8" i="4" s="1"/>
  <c r="H8" i="4" s="1"/>
  <c r="I8" i="4" s="1"/>
  <c r="J8" i="4" s="1"/>
  <c r="K8" i="4" s="1"/>
  <c r="L8" i="4" s="1"/>
  <c r="M8" i="4" s="1"/>
  <c r="N8" i="4" s="1"/>
  <c r="O8" i="4" s="1"/>
  <c r="F6" i="4"/>
  <c r="F5" i="4"/>
  <c r="G11" i="7"/>
  <c r="F11" i="7"/>
  <c r="E11" i="7"/>
  <c r="C11" i="7"/>
  <c r="D11" i="7"/>
  <c r="K38" i="6"/>
  <c r="K36" i="6"/>
  <c r="K33" i="6"/>
  <c r="K34" i="6" s="1"/>
  <c r="J38" i="6"/>
  <c r="J36" i="6"/>
  <c r="J33" i="6"/>
  <c r="I38" i="6"/>
  <c r="I36" i="6"/>
  <c r="I33" i="6"/>
  <c r="I34" i="6" s="1"/>
  <c r="H38" i="6"/>
  <c r="H36" i="6"/>
  <c r="H33" i="6"/>
  <c r="H34" i="6" s="1"/>
  <c r="H35" i="6" s="1"/>
  <c r="H39" i="6" s="1"/>
  <c r="G38" i="6"/>
  <c r="G36" i="6"/>
  <c r="G33" i="6"/>
  <c r="F38" i="6"/>
  <c r="F36" i="6"/>
  <c r="F33" i="6"/>
  <c r="E38" i="6"/>
  <c r="E36" i="6"/>
  <c r="E33" i="6"/>
  <c r="D38" i="6"/>
  <c r="D36" i="6"/>
  <c r="D33" i="6"/>
  <c r="C38" i="6"/>
  <c r="C36" i="6"/>
  <c r="C33" i="6"/>
  <c r="C34" i="6" s="1"/>
  <c r="B38" i="6"/>
  <c r="B36" i="6"/>
  <c r="B33" i="6"/>
  <c r="B37" i="2"/>
  <c r="B36" i="2"/>
  <c r="B33" i="2"/>
  <c r="B28" i="2"/>
  <c r="B30" i="2" s="1"/>
  <c r="E19" i="4"/>
  <c r="D19" i="4"/>
  <c r="C19" i="4"/>
  <c r="B19" i="4"/>
  <c r="E17" i="4"/>
  <c r="D17" i="4"/>
  <c r="C17" i="4"/>
  <c r="B17" i="4"/>
  <c r="E16" i="4"/>
  <c r="D16" i="4"/>
  <c r="C16" i="4"/>
  <c r="B16" i="4"/>
  <c r="E9" i="4"/>
  <c r="E21" i="4" s="1"/>
  <c r="D9" i="4"/>
  <c r="C9" i="4"/>
  <c r="C21" i="4" s="1"/>
  <c r="B9" i="4"/>
  <c r="K19" i="5"/>
  <c r="J19" i="5"/>
  <c r="I19" i="5"/>
  <c r="H19" i="5"/>
  <c r="G19" i="5"/>
  <c r="F19" i="5"/>
  <c r="E19" i="5"/>
  <c r="D19" i="5"/>
  <c r="B19" i="5"/>
  <c r="K17" i="5"/>
  <c r="J17" i="5"/>
  <c r="I17" i="5"/>
  <c r="H17" i="5"/>
  <c r="G17" i="5"/>
  <c r="F17" i="5"/>
  <c r="E17" i="5"/>
  <c r="D17" i="5"/>
  <c r="C17" i="5"/>
  <c r="C19" i="5" s="1"/>
  <c r="B17" i="5"/>
  <c r="K13" i="5"/>
  <c r="J13" i="5"/>
  <c r="I13" i="5"/>
  <c r="H13" i="5"/>
  <c r="G13" i="5"/>
  <c r="F13" i="5"/>
  <c r="E13" i="5"/>
  <c r="D13" i="5"/>
  <c r="C13" i="5"/>
  <c r="B13" i="5"/>
  <c r="K9" i="5"/>
  <c r="J9" i="5"/>
  <c r="I9" i="5"/>
  <c r="H9" i="5"/>
  <c r="G9" i="5"/>
  <c r="F9" i="5"/>
  <c r="E9" i="5"/>
  <c r="D9" i="5"/>
  <c r="C9" i="5"/>
  <c r="B9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G9" i="7"/>
  <c r="F9" i="7"/>
  <c r="E9" i="7"/>
  <c r="B26" i="6"/>
  <c r="B25" i="6"/>
  <c r="B22" i="6"/>
  <c r="B15" i="6"/>
  <c r="B17" i="6" s="1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O5" i="3"/>
  <c r="N5" i="3"/>
  <c r="M5" i="3"/>
  <c r="L5" i="3"/>
  <c r="K5" i="3"/>
  <c r="J5" i="3"/>
  <c r="I5" i="3"/>
  <c r="H5" i="3"/>
  <c r="G5" i="3"/>
  <c r="F5" i="3"/>
  <c r="E5" i="3"/>
  <c r="D5" i="3"/>
  <c r="C5" i="3"/>
  <c r="B28" i="6" l="1"/>
  <c r="E35" i="6"/>
  <c r="E39" i="6" s="1"/>
  <c r="A64" i="6"/>
  <c r="A61" i="6"/>
  <c r="C35" i="6"/>
  <c r="C39" i="6" s="1"/>
  <c r="F34" i="6"/>
  <c r="F35" i="6" s="1"/>
  <c r="F39" i="6" s="1"/>
  <c r="G34" i="6"/>
  <c r="G35" i="6" s="1"/>
  <c r="G39" i="6" s="1"/>
  <c r="K35" i="6"/>
  <c r="K39" i="6" s="1"/>
  <c r="B45" i="6" s="1"/>
  <c r="D34" i="6"/>
  <c r="D35" i="6" s="1"/>
  <c r="D39" i="6" s="1"/>
  <c r="I35" i="6"/>
  <c r="I39" i="6" s="1"/>
  <c r="B34" i="6"/>
  <c r="B35" i="6" s="1"/>
  <c r="B39" i="6" s="1"/>
  <c r="J34" i="6"/>
  <c r="J35" i="6" s="1"/>
  <c r="J39" i="6" s="1"/>
  <c r="E34" i="6"/>
  <c r="B38" i="2"/>
  <c r="A62" i="6"/>
  <c r="B43" i="6"/>
  <c r="A63" i="6"/>
  <c r="A65" i="6"/>
  <c r="A66" i="6"/>
  <c r="A67" i="6"/>
  <c r="H14" i="4"/>
  <c r="I14" i="4" s="1"/>
  <c r="J14" i="4" s="1"/>
  <c r="K14" i="4" s="1"/>
  <c r="L14" i="4" s="1"/>
  <c r="M14" i="4" s="1"/>
  <c r="N14" i="4" s="1"/>
  <c r="O14" i="4" s="1"/>
  <c r="G16" i="4"/>
  <c r="F7" i="4"/>
  <c r="F9" i="4" s="1"/>
  <c r="F21" i="4" s="1"/>
  <c r="I13" i="4"/>
  <c r="G7" i="4"/>
  <c r="G9" i="4" s="1"/>
  <c r="G21" i="4" s="1"/>
  <c r="E66" i="6" l="1"/>
  <c r="F66" i="6"/>
  <c r="H66" i="6"/>
  <c r="H61" i="6"/>
  <c r="G62" i="6"/>
  <c r="H63" i="6"/>
  <c r="G66" i="6"/>
  <c r="H65" i="6"/>
  <c r="H64" i="6"/>
  <c r="H67" i="6"/>
  <c r="E62" i="6"/>
  <c r="G61" i="6"/>
  <c r="C65" i="6"/>
  <c r="F64" i="6"/>
  <c r="B63" i="6"/>
  <c r="C64" i="6"/>
  <c r="F63" i="6"/>
  <c r="C66" i="6"/>
  <c r="C63" i="6"/>
  <c r="D64" i="6"/>
  <c r="E63" i="6"/>
  <c r="B67" i="6"/>
  <c r="B66" i="6"/>
  <c r="G67" i="6"/>
  <c r="E61" i="6"/>
  <c r="B48" i="6"/>
  <c r="B51" i="6" s="1"/>
  <c r="B53" i="6" s="1"/>
  <c r="B56" i="6" s="1"/>
  <c r="B27" i="7" s="1"/>
  <c r="D27" i="7" s="1"/>
  <c r="D30" i="7" s="1"/>
  <c r="D33" i="7" s="1"/>
  <c r="C67" i="6"/>
  <c r="F62" i="6"/>
  <c r="D65" i="6"/>
  <c r="D67" i="6"/>
  <c r="E65" i="6"/>
  <c r="E67" i="6"/>
  <c r="B61" i="6"/>
  <c r="B64" i="6"/>
  <c r="G65" i="6"/>
  <c r="D63" i="6"/>
  <c r="B65" i="6"/>
  <c r="D61" i="6"/>
  <c r="G64" i="6"/>
  <c r="H62" i="6"/>
  <c r="B62" i="6"/>
  <c r="G63" i="6"/>
  <c r="D66" i="6"/>
  <c r="E64" i="6"/>
  <c r="C62" i="6"/>
  <c r="F61" i="6"/>
  <c r="F65" i="6"/>
  <c r="F67" i="6"/>
  <c r="C61" i="6"/>
  <c r="D62" i="6"/>
  <c r="B46" i="6"/>
  <c r="B49" i="6" s="1"/>
  <c r="I16" i="4"/>
  <c r="J13" i="4"/>
  <c r="F17" i="4"/>
  <c r="G19" i="4"/>
  <c r="G17" i="4"/>
  <c r="H16" i="4"/>
  <c r="H19" i="4" l="1"/>
  <c r="H7" i="4"/>
  <c r="H9" i="4" s="1"/>
  <c r="H21" i="4" s="1"/>
  <c r="J16" i="4"/>
  <c r="K13" i="4"/>
  <c r="I19" i="4"/>
  <c r="I7" i="4"/>
  <c r="I9" i="4" s="1"/>
  <c r="I21" i="4" s="1"/>
  <c r="K16" i="4" l="1"/>
  <c r="L13" i="4"/>
  <c r="J19" i="4"/>
  <c r="J7" i="4"/>
  <c r="J9" i="4" s="1"/>
  <c r="J21" i="4" s="1"/>
  <c r="I17" i="4"/>
  <c r="H17" i="4"/>
  <c r="J17" i="4" l="1"/>
  <c r="K19" i="4"/>
  <c r="K7" i="4"/>
  <c r="K9" i="4" s="1"/>
  <c r="K21" i="4" s="1"/>
  <c r="L16" i="4"/>
  <c r="M13" i="4"/>
  <c r="N13" i="4" l="1"/>
  <c r="M16" i="4"/>
  <c r="L19" i="4"/>
  <c r="L7" i="4"/>
  <c r="L9" i="4" s="1"/>
  <c r="L21" i="4" s="1"/>
  <c r="K17" i="4"/>
  <c r="N16" i="4" l="1"/>
  <c r="O13" i="4"/>
  <c r="O16" i="4" s="1"/>
  <c r="L17" i="4"/>
  <c r="M19" i="4"/>
  <c r="M7" i="4"/>
  <c r="M9" i="4" s="1"/>
  <c r="M21" i="4" s="1"/>
  <c r="N19" i="4" l="1"/>
  <c r="N7" i="4"/>
  <c r="N9" i="4" s="1"/>
  <c r="N21" i="4" s="1"/>
  <c r="M17" i="4"/>
  <c r="O19" i="4"/>
  <c r="O7" i="4"/>
  <c r="O9" i="4" s="1"/>
  <c r="O21" i="4" s="1"/>
  <c r="O17" i="4" l="1"/>
  <c r="N17" i="4"/>
</calcChain>
</file>

<file path=xl/sharedStrings.xml><?xml version="1.0" encoding="utf-8"?>
<sst xmlns="http://schemas.openxmlformats.org/spreadsheetml/2006/main" count="291" uniqueCount="225">
  <si>
    <t>INSOLATION ENERGY LIMITED — KEY ASSUMPTIONS</t>
  </si>
  <si>
    <t>MANAGEMENT GUIDANCE TRACKER</t>
  </si>
  <si>
    <t>Guidance Given</t>
  </si>
  <si>
    <t>Metric</t>
  </si>
  <si>
    <t>Target</t>
  </si>
  <si>
    <t>Actual</t>
  </si>
  <si>
    <t>Verdict</t>
  </si>
  <si>
    <t>FY24 Concall</t>
  </si>
  <si>
    <t>Double rev by FY25</t>
  </si>
  <si>
    <t>~560 Cr</t>
  </si>
  <si>
    <t>741 Cr</t>
  </si>
  <si>
    <t>OVER-DELIVERED</t>
  </si>
  <si>
    <t>FY25 Concall</t>
  </si>
  <si>
    <t>PAT margin FY25</t>
  </si>
  <si>
    <t>~9.5%</t>
  </si>
  <si>
    <t>MET</t>
  </si>
  <si>
    <t>FY25 Revenue</t>
  </si>
  <si>
    <t>1,334 Cr</t>
  </si>
  <si>
    <t>3GW module line</t>
  </si>
  <si>
    <t>Q1 FY26</t>
  </si>
  <si>
    <t>ON TIME</t>
  </si>
  <si>
    <t>FY26E Revenue</t>
  </si>
  <si>
    <t>3,000-3,300 Cr</t>
  </si>
  <si>
    <t>9M: 1,352 Cr</t>
  </si>
  <si>
    <t>LIKELY MISS (~1,950)</t>
  </si>
  <si>
    <t>FY26E PAT</t>
  </si>
  <si>
    <t>350-366 Cr</t>
  </si>
  <si>
    <t>9M: 131 Cr</t>
  </si>
  <si>
    <t>LIKELY MISS</t>
  </si>
  <si>
    <t>Cell mfg start</t>
  </si>
  <si>
    <t>H1 FY27</t>
  </si>
  <si>
    <t>Now Q3 FY27</t>
  </si>
  <si>
    <t>SLIGHT DELAY</t>
  </si>
  <si>
    <t>Q3 FY26</t>
  </si>
  <si>
    <t>40-45% rev CAGR</t>
  </si>
  <si>
    <t>Medium-term</t>
  </si>
  <si>
    <t>Ongoing</t>
  </si>
  <si>
    <t>TRACKING</t>
  </si>
  <si>
    <t>EBITDA +400-500bps</t>
  </si>
  <si>
    <t>Post cell integ</t>
  </si>
  <si>
    <t>Pending</t>
  </si>
  <si>
    <t>FUTURE</t>
  </si>
  <si>
    <t>VERDICT: Strong ops/margin track record. Revenue guidance aspirational (apply 15-20% haircut). Cell integration = key upcoming catalyst.</t>
  </si>
  <si>
    <t>INSOLATION ENERGY LIMITED — CONSOLIDATED INCOME STATEMENT (Rs Cr)</t>
  </si>
  <si>
    <t>FY22A</t>
  </si>
  <si>
    <t>FY23A</t>
  </si>
  <si>
    <t>FY24A</t>
  </si>
  <si>
    <t>FY25A</t>
  </si>
  <si>
    <t>FY26E</t>
  </si>
  <si>
    <t>FY27E</t>
  </si>
  <si>
    <t>FY28E</t>
  </si>
  <si>
    <t>FY29E</t>
  </si>
  <si>
    <t>FY30E</t>
  </si>
  <si>
    <t>FY31E</t>
  </si>
  <si>
    <t>FY32E</t>
  </si>
  <si>
    <t>FY33E</t>
  </si>
  <si>
    <t>FY34E</t>
  </si>
  <si>
    <t>FY35E</t>
  </si>
  <si>
    <t>Revenue from Operations</t>
  </si>
  <si>
    <t>YoY Revenue Growth %</t>
  </si>
  <si>
    <t>EBITDA Margin %</t>
  </si>
  <si>
    <t>EBITDA</t>
  </si>
  <si>
    <t>(-) Depreciation &amp; Amortization</t>
  </si>
  <si>
    <t>D&amp;A Amount</t>
  </si>
  <si>
    <t>EBIT</t>
  </si>
  <si>
    <t>(+) Other Income</t>
  </si>
  <si>
    <t>Other Income Amount</t>
  </si>
  <si>
    <t>(-) Interest Cost % Rev</t>
  </si>
  <si>
    <t>Interest Cost Amount</t>
  </si>
  <si>
    <t>Profit Before Tax (PBT)</t>
  </si>
  <si>
    <t>Tax Rate %</t>
  </si>
  <si>
    <t>(-) Tax</t>
  </si>
  <si>
    <t>Profit After Tax (PAT)</t>
  </si>
  <si>
    <t>PAT Margin %</t>
  </si>
  <si>
    <t>Shares Outstanding (Cr)</t>
  </si>
  <si>
    <t>EPS (Rs)</t>
  </si>
  <si>
    <t>INSOLATION ENERGY — DCF VALUATION (Rs Cr)</t>
  </si>
  <si>
    <t>WACC DERIVATION</t>
  </si>
  <si>
    <t>COST OF EQUITY (Ke) via CAPM</t>
  </si>
  <si>
    <t>Risk-Free Rate (India 10Y G-Sec)</t>
  </si>
  <si>
    <t>Trading Economics, Mar 2026</t>
  </si>
  <si>
    <t>India Equity Risk Premium (ERP)</t>
  </si>
  <si>
    <t>Damodaran Jul 2025 India ERP</t>
  </si>
  <si>
    <t>Unlevered Beta (Renewable Energy)</t>
  </si>
  <si>
    <t>Damodaran Green/Renewable sector</t>
  </si>
  <si>
    <t>Tax Rate</t>
  </si>
  <si>
    <t>Standard Indian corporate tax</t>
  </si>
  <si>
    <t>Levered Beta (BL)</t>
  </si>
  <si>
    <t>Small-Cap / Illiquidity Premium</t>
  </si>
  <si>
    <t>Cost of Equity (Ke)</t>
  </si>
  <si>
    <t>COST OF DEBT (Kd)</t>
  </si>
  <si>
    <t>CARE Rating</t>
  </si>
  <si>
    <t>BBB+</t>
  </si>
  <si>
    <t>Assigned Feb 2026</t>
  </si>
  <si>
    <t>Pre-Tax Cost of Debt (Kd)</t>
  </si>
  <si>
    <t>BBB+ India = ~10-11% borrowing cost</t>
  </si>
  <si>
    <t>After-Tax Cost of Debt (Kd×(1-t))</t>
  </si>
  <si>
    <t>CAPITAL STRUCTURE WEIGHTS</t>
  </si>
  <si>
    <t>Weight of Equity (We)</t>
  </si>
  <si>
    <t>Weight of Debt (Wd)</t>
  </si>
  <si>
    <t>WACC</t>
  </si>
  <si>
    <t>FREE CASH FLOW TO FIRM (FCFF) PROJECTIONS</t>
  </si>
  <si>
    <t>(-) Tax on EBIT</t>
  </si>
  <si>
    <t>NOPAT</t>
  </si>
  <si>
    <t>(+) D&amp;A</t>
  </si>
  <si>
    <t>(-) Capex</t>
  </si>
  <si>
    <t>(-) Change in NWC</t>
  </si>
  <si>
    <t>FCFF</t>
  </si>
  <si>
    <t>TERMINAL VALUE &amp; ENTERPRISE VALUE</t>
  </si>
  <si>
    <t>Terminal Growth Rate (g)</t>
  </si>
  <si>
    <t>India nominal GDP proxy</t>
  </si>
  <si>
    <t>Terminal Year FCFF (FY35E)</t>
  </si>
  <si>
    <t>Terminal Value</t>
  </si>
  <si>
    <t>PV of FCFF (Year 1-10)</t>
  </si>
  <si>
    <t>PV of Terminal Value</t>
  </si>
  <si>
    <t>Enterprise Value (EV)</t>
  </si>
  <si>
    <t>(-) Net Debt (FY25)</t>
  </si>
  <si>
    <t>Equity Value</t>
  </si>
  <si>
    <t>Post stock split + ESOP</t>
  </si>
  <si>
    <t>DCF Fair Value per Share (Rs)</t>
  </si>
  <si>
    <t>SENSITIVITY TABLE: DCF Fair Value (Rs/share)</t>
  </si>
  <si>
    <t>WACC \ Terminal g</t>
  </si>
  <si>
    <t>COMPARABLE COMPANY ANALYSIS &amp; BLENDED VALUATION</t>
  </si>
  <si>
    <t>PEER COMPARISON — Indian Solar PV Module Manufacturers</t>
  </si>
  <si>
    <t>Company</t>
  </si>
  <si>
    <t>Mkt Cap (Rs Cr)</t>
  </si>
  <si>
    <t>Rev TTM (Rs Cr)</t>
  </si>
  <si>
    <t>PAT TTM (Rs Cr)</t>
  </si>
  <si>
    <t>P/E (x)</t>
  </si>
  <si>
    <t>EV/EBITDA (x)</t>
  </si>
  <si>
    <t>EBITDA Margin</t>
  </si>
  <si>
    <t>Module Cap (GW)</t>
  </si>
  <si>
    <t>Waaree Energies</t>
  </si>
  <si>
    <t>Premier Energies</t>
  </si>
  <si>
    <t>Vikram Solar</t>
  </si>
  <si>
    <t>Saatvik Green Energy</t>
  </si>
  <si>
    <t>MEDIAN</t>
  </si>
  <si>
    <t>Insolation Energy (FY26E)</t>
  </si>
  <si>
    <t>COMPARABLE COMPANY VALUATION</t>
  </si>
  <si>
    <t>Method</t>
  </si>
  <si>
    <t>Multiple Applied</t>
  </si>
  <si>
    <t>Base Metric</t>
  </si>
  <si>
    <t>Implied Value/Share (Rs)</t>
  </si>
  <si>
    <t>Comps Avg Fair Value (Rs/share)</t>
  </si>
  <si>
    <t>BLENDED FAIR VALUE</t>
  </si>
  <si>
    <t>Value (Rs/share)</t>
  </si>
  <si>
    <t>Weight</t>
  </si>
  <si>
    <t>Weighted Value</t>
  </si>
  <si>
    <t>DCF Valuation</t>
  </si>
  <si>
    <t>Comparable Companies</t>
  </si>
  <si>
    <t>BLENDED FAIR VALUE PER SHARE (Rs)</t>
  </si>
  <si>
    <t>Current Market Price (Rs)</t>
  </si>
  <si>
    <t>Implied Upside / (Downside)</t>
  </si>
  <si>
    <t>INSOLATION ENERGY — CASH FLOW STATEMENT (Rs Cr)</t>
  </si>
  <si>
    <t>CASH FROM OPERATIONS</t>
  </si>
  <si>
    <t>PAT</t>
  </si>
  <si>
    <t>(+) Depreciation &amp; Amort</t>
  </si>
  <si>
    <t>(-) Change in Working Capital</t>
  </si>
  <si>
    <t>Cash from Operations (CFO)</t>
  </si>
  <si>
    <t>CASH FROM INVESTING</t>
  </si>
  <si>
    <t>Cash from Investing (CFI)</t>
  </si>
  <si>
    <t>CASH FROM FINANCING</t>
  </si>
  <si>
    <t>Net Debt Raised / (Repaid)</t>
  </si>
  <si>
    <t>Cash from Financing (CFF)</t>
  </si>
  <si>
    <t>Net Change in Cash</t>
  </si>
  <si>
    <t>INSOLATION ENERGY — BALANCE SHEET SUMMARY (Rs Cr)</t>
  </si>
  <si>
    <t>ASSETS</t>
  </si>
  <si>
    <t>Net Fixed Assets (PP&amp;E)</t>
  </si>
  <si>
    <t>Cash &amp; Equivalents</t>
  </si>
  <si>
    <t>Other Assets</t>
  </si>
  <si>
    <t>Total Assets</t>
  </si>
  <si>
    <t>LIABILITIES &amp; EQUITY</t>
  </si>
  <si>
    <t>Shareholders Equity</t>
  </si>
  <si>
    <t>Long-term Debt</t>
  </si>
  <si>
    <t>Short-term Borrowings</t>
  </si>
  <si>
    <t>Total Debt</t>
  </si>
  <si>
    <t>Net Debt</t>
  </si>
  <si>
    <t>D/E Ratio</t>
  </si>
  <si>
    <t>ROCE %</t>
  </si>
  <si>
    <t>WACC CALCULATION (CAPM)</t>
  </si>
  <si>
    <t>COST OF EQUITY</t>
  </si>
  <si>
    <t>India Equity Risk Premium</t>
  </si>
  <si>
    <t>Damodaran Jul 2025</t>
  </si>
  <si>
    <t>Damodaran sector</t>
  </si>
  <si>
    <t>Levered Beta</t>
  </si>
  <si>
    <t>Bu*(1+(1-t)*D/E)</t>
  </si>
  <si>
    <t>Small-Cap Premium</t>
  </si>
  <si>
    <t>Rf + BL*ERP + SCP</t>
  </si>
  <si>
    <t>COST OF DEBT</t>
  </si>
  <si>
    <t>Pre-Tax Kd (CARE BBB+)</t>
  </si>
  <si>
    <t>BBB+ India ~10-11%</t>
  </si>
  <si>
    <t>After-Tax Kd</t>
  </si>
  <si>
    <t>Kd*(1-t)</t>
  </si>
  <si>
    <t>CAPITAL WEIGHTS</t>
  </si>
  <si>
    <t>E/(D+E)</t>
  </si>
  <si>
    <t>D/(D+E)</t>
  </si>
  <si>
    <t>We*Ke + Wd*Kd(1-t)</t>
  </si>
  <si>
    <t>Bu × (1 + (1-t) × D/E)</t>
  </si>
  <si>
    <t>Rf + BL × ERP + Small-Cap Premium</t>
  </si>
  <si>
    <t>Kd × (1 - Tax Rate)</t>
  </si>
  <si>
    <t>E / (D+E)</t>
  </si>
  <si>
    <t>D / (D+E)</t>
  </si>
  <si>
    <t>We × Ke + Wd × (Kd×(1-t))</t>
  </si>
  <si>
    <t>Net Working Capital</t>
  </si>
  <si>
    <t>Current Liabilities (netted in NWC)</t>
  </si>
  <si>
    <t>From BS: FY25A Net Debt</t>
  </si>
  <si>
    <t>Note: Historical rows 6-7 show gross CA + Cash; projected columns show Net Working Capital (ex-cash) with Cash derived as balancing plug. All BS balance: Assets = Equity + Debt.</t>
  </si>
  <si>
    <t>Balance Check (A=L+E)</t>
  </si>
  <si>
    <t>Mainboard-listed (migrated Mar 2026); limited analyst coverage</t>
  </si>
  <si>
    <t>Mainboard (migrated Mar 9, 2026)</t>
  </si>
  <si>
    <t>Note: Insolation trades at a discount to peers on P/E and EV/EBITDA. Key reasons: recently migrated to mainboard (Mar 9, 2026), smaller scale, limited analyst coverage. As company scales to 8GW+ with cell integration, discount should narrow significantly.</t>
  </si>
  <si>
    <t>P/E (on FY26E PAT)</t>
  </si>
  <si>
    <t>EV/EBITDA (on FY26E EBITDA)</t>
  </si>
  <si>
    <t>Mkt Cap/Rev (x)</t>
  </si>
  <si>
    <t>Mkt Cap/Rev (on FY26E Revenue)</t>
  </si>
  <si>
    <t>Current Market Price (CMP)</t>
  </si>
  <si>
    <t>As of Mar 2026</t>
  </si>
  <si>
    <t>Diluted Shares Outstanding (Cr)</t>
  </si>
  <si>
    <t>Market Cap (₹ Cr)</t>
  </si>
  <si>
    <t>CMP × Diluted Shares</t>
  </si>
  <si>
    <t>Total Debt — Book Value (₹ Cr)</t>
  </si>
  <si>
    <t>FY25; book ≈ market for BBB+ debt</t>
  </si>
  <si>
    <t>D/E Ratio (Market Value)</t>
  </si>
  <si>
    <t>Total Debt / Market Cap</t>
  </si>
  <si>
    <t>Debt/Equity Ratio (D/E) — Market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</si>
</sst>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\x"/>
    <numFmt numFmtId="166" formatCode="0.00\x"/>
    <numFmt numFmtId="167" formatCode="0.00&quot;x&quot;"/>
    <numFmt numFmtId="168" formatCode="\₹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1F4E79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8C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1F4E79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1F4E79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rgb="FF80808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2" borderId="0" xfId="0" applyFont="1" applyFill="1"/>
    <xf numFmtId="0" fontId="1" fillId="0" borderId="0" xfId="0" applyFont="1"/>
    <xf numFmtId="0" fontId="1" fillId="3" borderId="0" xfId="0" applyFont="1" applyFill="1"/>
    <xf numFmtId="0" fontId="4" fillId="0" borderId="0" xfId="0" applyFont="1"/>
    <xf numFmtId="10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3" fillId="2" borderId="0" xfId="0" applyFont="1" applyFill="1" applyAlignment="1">
      <alignment horizontal="center"/>
    </xf>
    <xf numFmtId="164" fontId="0" fillId="0" borderId="0" xfId="0" applyNumberFormat="1"/>
    <xf numFmtId="164" fontId="7" fillId="0" borderId="0" xfId="0" applyNumberFormat="1" applyFont="1"/>
    <xf numFmtId="3" fontId="0" fillId="0" borderId="0" xfId="0" applyNumberFormat="1"/>
    <xf numFmtId="0" fontId="1" fillId="4" borderId="0" xfId="0" applyFont="1" applyFill="1"/>
    <xf numFmtId="3" fontId="0" fillId="4" borderId="0" xfId="0" applyNumberFormat="1" applyFill="1"/>
    <xf numFmtId="3" fontId="1" fillId="4" borderId="0" xfId="0" applyNumberFormat="1" applyFont="1" applyFill="1"/>
    <xf numFmtId="2" fontId="0" fillId="0" borderId="0" xfId="0" applyNumberFormat="1"/>
    <xf numFmtId="4" fontId="0" fillId="0" borderId="0" xfId="0" applyNumberFormat="1"/>
    <xf numFmtId="3" fontId="12" fillId="0" borderId="0" xfId="0" applyNumberFormat="1" applyFont="1"/>
    <xf numFmtId="3" fontId="7" fillId="0" borderId="0" xfId="0" applyNumberFormat="1" applyFont="1"/>
    <xf numFmtId="0" fontId="0" fillId="2" borderId="0" xfId="0" applyFill="1"/>
    <xf numFmtId="0" fontId="0" fillId="3" borderId="0" xfId="0" applyFill="1"/>
    <xf numFmtId="10" fontId="7" fillId="0" borderId="0" xfId="0" applyNumberFormat="1" applyFont="1"/>
    <xf numFmtId="0" fontId="13" fillId="0" borderId="0" xfId="0" applyFont="1"/>
    <xf numFmtId="2" fontId="7" fillId="0" borderId="0" xfId="0" applyNumberFormat="1" applyFont="1"/>
    <xf numFmtId="10" fontId="1" fillId="4" borderId="0" xfId="0" applyNumberFormat="1" applyFont="1" applyFill="1"/>
    <xf numFmtId="0" fontId="14" fillId="5" borderId="0" xfId="0" applyFont="1" applyFill="1"/>
    <xf numFmtId="0" fontId="0" fillId="5" borderId="0" xfId="0" applyFill="1"/>
    <xf numFmtId="10" fontId="1" fillId="5" borderId="0" xfId="0" applyNumberFormat="1" applyFont="1" applyFill="1"/>
    <xf numFmtId="10" fontId="14" fillId="5" borderId="0" xfId="0" applyNumberFormat="1" applyFont="1" applyFill="1"/>
    <xf numFmtId="3" fontId="0" fillId="5" borderId="0" xfId="0" applyNumberFormat="1" applyFill="1"/>
    <xf numFmtId="3" fontId="1" fillId="5" borderId="0" xfId="0" applyNumberFormat="1" applyFont="1" applyFill="1"/>
    <xf numFmtId="3" fontId="1" fillId="0" borderId="0" xfId="0" applyNumberFormat="1" applyFont="1"/>
    <xf numFmtId="0" fontId="10" fillId="6" borderId="0" xfId="0" applyFont="1" applyFill="1"/>
    <xf numFmtId="0" fontId="0" fillId="6" borderId="0" xfId="0" applyFill="1"/>
    <xf numFmtId="4" fontId="1" fillId="6" borderId="0" xfId="0" applyNumberFormat="1" applyFont="1" applyFill="1"/>
    <xf numFmtId="4" fontId="10" fillId="6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10" fontId="1" fillId="0" borderId="0" xfId="0" applyNumberFormat="1" applyFont="1"/>
    <xf numFmtId="3" fontId="1" fillId="7" borderId="0" xfId="0" applyNumberFormat="1" applyFont="1" applyFill="1"/>
    <xf numFmtId="165" fontId="0" fillId="0" borderId="0" xfId="0" applyNumberFormat="1"/>
    <xf numFmtId="165" fontId="1" fillId="4" borderId="0" xfId="0" applyNumberFormat="1" applyFont="1" applyFill="1"/>
    <xf numFmtId="164" fontId="1" fillId="4" borderId="0" xfId="0" applyNumberFormat="1" applyFont="1" applyFill="1"/>
    <xf numFmtId="0" fontId="1" fillId="5" borderId="0" xfId="0" applyFont="1" applyFill="1"/>
    <xf numFmtId="165" fontId="1" fillId="5" borderId="0" xfId="0" applyNumberFormat="1" applyFont="1" applyFill="1"/>
    <xf numFmtId="164" fontId="1" fillId="5" borderId="0" xfId="0" applyNumberFormat="1" applyFont="1" applyFill="1"/>
    <xf numFmtId="165" fontId="7" fillId="0" borderId="0" xfId="0" applyNumberFormat="1" applyFont="1"/>
    <xf numFmtId="0" fontId="1" fillId="6" borderId="0" xfId="0" applyFont="1" applyFill="1"/>
    <xf numFmtId="0" fontId="15" fillId="2" borderId="0" xfId="0" applyFont="1" applyFill="1"/>
    <xf numFmtId="9" fontId="7" fillId="0" borderId="0" xfId="0" applyNumberFormat="1" applyFont="1"/>
    <xf numFmtId="0" fontId="16" fillId="6" borderId="0" xfId="0" applyFont="1" applyFill="1"/>
    <xf numFmtId="4" fontId="16" fillId="6" borderId="0" xfId="0" applyNumberFormat="1" applyFont="1" applyFill="1"/>
    <xf numFmtId="4" fontId="7" fillId="0" borderId="0" xfId="0" applyNumberFormat="1" applyFont="1"/>
    <xf numFmtId="164" fontId="10" fillId="0" borderId="0" xfId="0" applyNumberFormat="1" applyFont="1"/>
    <xf numFmtId="3" fontId="0" fillId="3" borderId="0" xfId="0" applyNumberFormat="1" applyFill="1"/>
    <xf numFmtId="166" fontId="0" fillId="0" borderId="0" xfId="0" applyNumberFormat="1"/>
    <xf numFmtId="2" fontId="1" fillId="0" borderId="0" xfId="0" applyNumberFormat="1" applyFont="1"/>
    <xf numFmtId="0" fontId="13" fillId="4" borderId="0" xfId="0" applyFont="1" applyFill="1"/>
    <xf numFmtId="0" fontId="13" fillId="5" borderId="0" xfId="0" applyFont="1" applyFill="1"/>
    <xf numFmtId="167" fontId="0" fillId="0" borderId="0" xfId="0" applyNumberFormat="1"/>
    <xf numFmtId="0" fontId="0" fillId="8" borderId="0" xfId="0" applyFill="1"/>
    <xf numFmtId="165" fontId="17" fillId="3" borderId="0" xfId="0" applyNumberFormat="1" applyFont="1" applyFill="1"/>
    <xf numFmtId="165" fontId="17" fillId="4" borderId="0" xfId="0" applyNumberFormat="1" applyFont="1" applyFill="1"/>
    <xf numFmtId="165" fontId="17" fillId="5" borderId="0" xfId="0" applyNumberFormat="1" applyFont="1" applyFill="1"/>
    <xf numFmtId="0" fontId="0" fillId="9" borderId="0" xfId="0" applyFill="1"/>
    <xf numFmtId="165" fontId="12" fillId="0" borderId="0" xfId="0" applyNumberFormat="1" applyFont="1"/>
    <xf numFmtId="168" fontId="7" fillId="0" borderId="0" xfId="0" applyNumberFormat="1" applyFont="1"/>
    <xf numFmtId="2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428EB17-F187-4CE0-8734-DB84131F66C6}">
  <we:reference id="wa200009404" version="1.0.0.8" store="en-US" storeType="OMEX"/>
  <we:alternateReferences>
    <we:reference id="wa200009404" version="1.0.0.8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67A1-1BAA-480E-9731-96FEF942A60B}">
  <dimension ref="A1:E38"/>
  <sheetViews>
    <sheetView workbookViewId="0">
      <selection activeCell="B11" sqref="B11"/>
    </sheetView>
  </sheetViews>
  <sheetFormatPr defaultRowHeight="14.4" x14ac:dyDescent="0.3"/>
  <cols>
    <col min="1" max="1" width="38.88671875" customWidth="1"/>
    <col min="2" max="5" width="18.5546875" customWidth="1"/>
  </cols>
  <sheetData>
    <row r="1" spans="1:5" ht="18" x14ac:dyDescent="0.35">
      <c r="A1" s="1" t="s">
        <v>0</v>
      </c>
    </row>
    <row r="3" spans="1:5" x14ac:dyDescent="0.3">
      <c r="A3" s="2" t="s">
        <v>1</v>
      </c>
    </row>
    <row r="4" spans="1:5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x14ac:dyDescent="0.3">
      <c r="A5" t="s">
        <v>7</v>
      </c>
      <c r="B5" t="s">
        <v>8</v>
      </c>
      <c r="C5" t="s">
        <v>9</v>
      </c>
      <c r="D5" t="s">
        <v>10</v>
      </c>
      <c r="E5" s="5" t="s">
        <v>11</v>
      </c>
    </row>
    <row r="6" spans="1:5" x14ac:dyDescent="0.3">
      <c r="A6" t="s">
        <v>12</v>
      </c>
      <c r="B6" t="s">
        <v>13</v>
      </c>
      <c r="C6" t="s">
        <v>14</v>
      </c>
      <c r="D6" s="6">
        <v>9.5000000000000001E-2</v>
      </c>
      <c r="E6" s="5" t="s">
        <v>15</v>
      </c>
    </row>
    <row r="7" spans="1:5" x14ac:dyDescent="0.3">
      <c r="A7" t="s">
        <v>12</v>
      </c>
      <c r="B7" t="s">
        <v>16</v>
      </c>
      <c r="C7" t="s">
        <v>17</v>
      </c>
      <c r="D7" t="s">
        <v>17</v>
      </c>
      <c r="E7" s="5" t="s">
        <v>15</v>
      </c>
    </row>
    <row r="8" spans="1:5" x14ac:dyDescent="0.3">
      <c r="A8" t="s">
        <v>12</v>
      </c>
      <c r="B8" t="s">
        <v>18</v>
      </c>
      <c r="C8" t="s">
        <v>19</v>
      </c>
      <c r="D8" t="s">
        <v>19</v>
      </c>
      <c r="E8" s="5" t="s">
        <v>20</v>
      </c>
    </row>
    <row r="9" spans="1:5" x14ac:dyDescent="0.3">
      <c r="A9" t="s">
        <v>12</v>
      </c>
      <c r="B9" t="s">
        <v>21</v>
      </c>
      <c r="C9" t="s">
        <v>22</v>
      </c>
      <c r="D9" t="s">
        <v>23</v>
      </c>
      <c r="E9" s="7" t="s">
        <v>24</v>
      </c>
    </row>
    <row r="10" spans="1:5" x14ac:dyDescent="0.3">
      <c r="A10" t="s">
        <v>12</v>
      </c>
      <c r="B10" t="s">
        <v>25</v>
      </c>
      <c r="C10" t="s">
        <v>26</v>
      </c>
      <c r="D10" t="s">
        <v>27</v>
      </c>
      <c r="E10" s="7" t="s">
        <v>28</v>
      </c>
    </row>
    <row r="11" spans="1:5" x14ac:dyDescent="0.3">
      <c r="A11" t="s">
        <v>12</v>
      </c>
      <c r="B11" t="s">
        <v>29</v>
      </c>
      <c r="C11" t="s">
        <v>30</v>
      </c>
      <c r="D11" t="s">
        <v>31</v>
      </c>
      <c r="E11" s="8" t="s">
        <v>32</v>
      </c>
    </row>
    <row r="12" spans="1:5" x14ac:dyDescent="0.3">
      <c r="A12" t="s">
        <v>33</v>
      </c>
      <c r="B12" t="s">
        <v>34</v>
      </c>
      <c r="C12" t="s">
        <v>35</v>
      </c>
      <c r="D12" t="s">
        <v>36</v>
      </c>
      <c r="E12" s="10" t="s">
        <v>37</v>
      </c>
    </row>
    <row r="13" spans="1:5" x14ac:dyDescent="0.3">
      <c r="A13" t="s">
        <v>33</v>
      </c>
      <c r="B13" t="s">
        <v>38</v>
      </c>
      <c r="C13" t="s">
        <v>39</v>
      </c>
      <c r="D13" t="s">
        <v>40</v>
      </c>
      <c r="E13" s="10" t="s">
        <v>41</v>
      </c>
    </row>
    <row r="14" spans="1:5" x14ac:dyDescent="0.3">
      <c r="A14" s="11" t="s">
        <v>42</v>
      </c>
    </row>
    <row r="17" spans="1:3" x14ac:dyDescent="0.3">
      <c r="A17" s="2" t="s">
        <v>179</v>
      </c>
    </row>
    <row r="18" spans="1:3" x14ac:dyDescent="0.3">
      <c r="A18" s="4" t="s">
        <v>180</v>
      </c>
    </row>
    <row r="19" spans="1:3" x14ac:dyDescent="0.3">
      <c r="A19" t="s">
        <v>79</v>
      </c>
      <c r="B19" s="26">
        <v>6.6799999999999998E-2</v>
      </c>
      <c r="C19" s="27" t="s">
        <v>80</v>
      </c>
    </row>
    <row r="20" spans="1:3" x14ac:dyDescent="0.3">
      <c r="A20" t="s">
        <v>181</v>
      </c>
      <c r="B20" s="26">
        <v>7.46E-2</v>
      </c>
      <c r="C20" s="27" t="s">
        <v>182</v>
      </c>
    </row>
    <row r="21" spans="1:3" x14ac:dyDescent="0.3">
      <c r="A21" t="s">
        <v>83</v>
      </c>
      <c r="B21" s="9">
        <v>1.05</v>
      </c>
      <c r="C21" s="27" t="s">
        <v>183</v>
      </c>
    </row>
    <row r="22" spans="1:3" x14ac:dyDescent="0.3">
      <c r="A22" t="s">
        <v>215</v>
      </c>
      <c r="B22" s="70">
        <v>95</v>
      </c>
      <c r="C22" s="27" t="s">
        <v>216</v>
      </c>
    </row>
    <row r="23" spans="1:3" x14ac:dyDescent="0.3">
      <c r="A23" t="s">
        <v>217</v>
      </c>
      <c r="B23" s="28">
        <v>22.04</v>
      </c>
      <c r="C23" s="27" t="s">
        <v>118</v>
      </c>
    </row>
    <row r="24" spans="1:3" x14ac:dyDescent="0.3">
      <c r="A24" t="s">
        <v>218</v>
      </c>
      <c r="B24" s="22">
        <f>B22*B23</f>
        <v>2093.7999999999997</v>
      </c>
      <c r="C24" s="27" t="s">
        <v>219</v>
      </c>
    </row>
    <row r="25" spans="1:3" x14ac:dyDescent="0.3">
      <c r="A25" t="s">
        <v>220</v>
      </c>
      <c r="B25" s="23">
        <v>380</v>
      </c>
      <c r="C25" s="27" t="s">
        <v>221</v>
      </c>
    </row>
    <row r="26" spans="1:3" x14ac:dyDescent="0.3">
      <c r="A26" t="s">
        <v>222</v>
      </c>
      <c r="B26" s="71">
        <f>B25/B24</f>
        <v>0.18148820326678769</v>
      </c>
      <c r="C26" s="27" t="s">
        <v>223</v>
      </c>
    </row>
    <row r="27" spans="1:3" x14ac:dyDescent="0.3">
      <c r="A27" t="s">
        <v>85</v>
      </c>
      <c r="B27" s="14">
        <v>0.25</v>
      </c>
    </row>
    <row r="28" spans="1:3" x14ac:dyDescent="0.3">
      <c r="A28" t="s">
        <v>184</v>
      </c>
      <c r="B28" s="60">
        <f>B21*(1+(1-B27)*B26)</f>
        <v>1.1929219600725953</v>
      </c>
      <c r="C28" s="27" t="s">
        <v>185</v>
      </c>
    </row>
    <row r="29" spans="1:3" x14ac:dyDescent="0.3">
      <c r="A29" t="s">
        <v>186</v>
      </c>
      <c r="B29" s="26">
        <v>0.01</v>
      </c>
      <c r="C29" s="27" t="s">
        <v>209</v>
      </c>
    </row>
    <row r="30" spans="1:3" x14ac:dyDescent="0.3">
      <c r="A30" s="17" t="s">
        <v>89</v>
      </c>
      <c r="B30" s="29">
        <f>B19+B28*B20+B29</f>
        <v>0.16579197822141561</v>
      </c>
      <c r="C30" s="61" t="s">
        <v>187</v>
      </c>
    </row>
    <row r="31" spans="1:3" x14ac:dyDescent="0.3">
      <c r="A31" s="4" t="s">
        <v>188</v>
      </c>
    </row>
    <row r="32" spans="1:3" x14ac:dyDescent="0.3">
      <c r="A32" t="s">
        <v>189</v>
      </c>
      <c r="B32" s="26">
        <v>0.105</v>
      </c>
      <c r="C32" s="27" t="s">
        <v>190</v>
      </c>
    </row>
    <row r="33" spans="1:3" x14ac:dyDescent="0.3">
      <c r="A33" s="17" t="s">
        <v>191</v>
      </c>
      <c r="B33" s="29">
        <f>B32*(1-B27)</f>
        <v>7.8750000000000001E-2</v>
      </c>
      <c r="C33" s="61" t="s">
        <v>192</v>
      </c>
    </row>
    <row r="35" spans="1:3" x14ac:dyDescent="0.3">
      <c r="A35" s="4" t="s">
        <v>193</v>
      </c>
    </row>
    <row r="36" spans="1:3" x14ac:dyDescent="0.3">
      <c r="A36" t="s">
        <v>98</v>
      </c>
      <c r="B36" s="6">
        <f>1/(1+B26)</f>
        <v>0.84639016897081409</v>
      </c>
      <c r="C36" s="27" t="s">
        <v>194</v>
      </c>
    </row>
    <row r="37" spans="1:3" x14ac:dyDescent="0.3">
      <c r="A37" t="s">
        <v>99</v>
      </c>
      <c r="B37" s="6">
        <f>B26/(1+B26)</f>
        <v>0.15360983102918588</v>
      </c>
      <c r="C37" s="27" t="s">
        <v>195</v>
      </c>
    </row>
    <row r="38" spans="1:3" ht="15.6" x14ac:dyDescent="0.3">
      <c r="A38" s="30" t="s">
        <v>100</v>
      </c>
      <c r="B38" s="33">
        <f>B36*B30+B37*B33</f>
        <v>0.15242147465437786</v>
      </c>
      <c r="C38" s="62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8B638-6100-4E9D-BF76-FBBA50C18AC8}">
  <dimension ref="A1:O25"/>
  <sheetViews>
    <sheetView workbookViewId="0"/>
  </sheetViews>
  <sheetFormatPr defaultRowHeight="14.4" x14ac:dyDescent="0.3"/>
  <cols>
    <col min="1" max="1" width="37" customWidth="1"/>
    <col min="2" max="15" width="15.77734375" customWidth="1"/>
  </cols>
  <sheetData>
    <row r="1" spans="1:15" ht="17.399999999999999" x14ac:dyDescent="0.35">
      <c r="A1" s="12" t="s">
        <v>43</v>
      </c>
    </row>
    <row r="3" spans="1:15" x14ac:dyDescent="0.3">
      <c r="A3" s="2"/>
      <c r="B3" s="13" t="s">
        <v>44</v>
      </c>
      <c r="C3" s="13" t="s">
        <v>45</v>
      </c>
      <c r="D3" s="13" t="s">
        <v>46</v>
      </c>
      <c r="E3" s="13" t="s">
        <v>47</v>
      </c>
      <c r="F3" s="13" t="s">
        <v>48</v>
      </c>
      <c r="G3" s="13" t="s">
        <v>49</v>
      </c>
      <c r="H3" s="13" t="s">
        <v>50</v>
      </c>
      <c r="I3" s="13" t="s">
        <v>51</v>
      </c>
      <c r="J3" s="13" t="s">
        <v>52</v>
      </c>
      <c r="K3" s="13" t="s">
        <v>53</v>
      </c>
      <c r="L3" s="13" t="s">
        <v>54</v>
      </c>
      <c r="M3" s="13" t="s">
        <v>55</v>
      </c>
      <c r="N3" s="13" t="s">
        <v>56</v>
      </c>
      <c r="O3" s="13" t="s">
        <v>57</v>
      </c>
    </row>
    <row r="4" spans="1:15" x14ac:dyDescent="0.3">
      <c r="A4" s="3" t="s">
        <v>58</v>
      </c>
      <c r="B4" s="22">
        <v>215</v>
      </c>
      <c r="C4" s="22">
        <v>280</v>
      </c>
      <c r="D4" s="22">
        <v>741</v>
      </c>
      <c r="E4" s="22">
        <v>1334</v>
      </c>
      <c r="F4" s="23">
        <v>1950</v>
      </c>
      <c r="G4" s="23">
        <v>3500</v>
      </c>
      <c r="H4" s="23">
        <v>5800</v>
      </c>
      <c r="I4" s="23">
        <v>7500</v>
      </c>
      <c r="J4" s="23">
        <v>9000</v>
      </c>
      <c r="K4" s="23">
        <v>10350</v>
      </c>
      <c r="L4" s="23">
        <v>11800</v>
      </c>
      <c r="M4" s="23">
        <v>13100</v>
      </c>
      <c r="N4" s="23">
        <v>14200</v>
      </c>
      <c r="O4" s="23">
        <v>15200</v>
      </c>
    </row>
    <row r="5" spans="1:15" x14ac:dyDescent="0.3">
      <c r="A5" t="s">
        <v>59</v>
      </c>
      <c r="B5" s="14"/>
      <c r="C5" s="14">
        <f t="shared" ref="C5:O5" si="0">(C4/B4)-1</f>
        <v>0.30232558139534893</v>
      </c>
      <c r="D5" s="14">
        <f t="shared" si="0"/>
        <v>1.6464285714285714</v>
      </c>
      <c r="E5" s="14">
        <f t="shared" si="0"/>
        <v>0.80026990553306332</v>
      </c>
      <c r="F5" s="14">
        <f t="shared" si="0"/>
        <v>0.46176911544227894</v>
      </c>
      <c r="G5" s="14">
        <f t="shared" si="0"/>
        <v>0.79487179487179493</v>
      </c>
      <c r="H5" s="14">
        <f t="shared" si="0"/>
        <v>0.65714285714285725</v>
      </c>
      <c r="I5" s="14">
        <f t="shared" si="0"/>
        <v>0.2931034482758621</v>
      </c>
      <c r="J5" s="14">
        <f t="shared" si="0"/>
        <v>0.19999999999999996</v>
      </c>
      <c r="K5" s="14">
        <f t="shared" si="0"/>
        <v>0.14999999999999991</v>
      </c>
      <c r="L5" s="14">
        <f t="shared" si="0"/>
        <v>0.14009661835748788</v>
      </c>
      <c r="M5" s="14">
        <f t="shared" si="0"/>
        <v>0.11016949152542366</v>
      </c>
      <c r="N5" s="14">
        <f t="shared" si="0"/>
        <v>8.3969465648854991E-2</v>
      </c>
      <c r="O5" s="14">
        <f t="shared" si="0"/>
        <v>7.0422535211267512E-2</v>
      </c>
    </row>
    <row r="7" spans="1:15" x14ac:dyDescent="0.3">
      <c r="A7" t="s">
        <v>60</v>
      </c>
      <c r="B7" s="14">
        <v>0.06</v>
      </c>
      <c r="C7" s="14">
        <v>6.7000000000000004E-2</v>
      </c>
      <c r="D7" s="14">
        <v>0.114</v>
      </c>
      <c r="E7" s="14">
        <v>0.128</v>
      </c>
      <c r="F7" s="15">
        <v>0.14000000000000001</v>
      </c>
      <c r="G7" s="15">
        <v>0.155</v>
      </c>
      <c r="H7" s="15">
        <v>0.18</v>
      </c>
      <c r="I7" s="15">
        <v>0.185</v>
      </c>
      <c r="J7" s="15">
        <v>0.18</v>
      </c>
      <c r="K7" s="15">
        <v>0.17499999999999999</v>
      </c>
      <c r="L7" s="15">
        <v>0.17</v>
      </c>
      <c r="M7" s="15">
        <v>0.17</v>
      </c>
      <c r="N7" s="15">
        <v>0.16500000000000001</v>
      </c>
      <c r="O7" s="15">
        <v>0.16500000000000001</v>
      </c>
    </row>
    <row r="8" spans="1:15" x14ac:dyDescent="0.3">
      <c r="A8" s="3" t="s">
        <v>61</v>
      </c>
      <c r="B8" s="16">
        <f t="shared" ref="B8:O8" si="1">B4*B7</f>
        <v>12.9</v>
      </c>
      <c r="C8" s="16">
        <f t="shared" si="1"/>
        <v>18.760000000000002</v>
      </c>
      <c r="D8" s="16">
        <f t="shared" si="1"/>
        <v>84.474000000000004</v>
      </c>
      <c r="E8" s="16">
        <f t="shared" si="1"/>
        <v>170.75200000000001</v>
      </c>
      <c r="F8" s="16">
        <f t="shared" si="1"/>
        <v>273</v>
      </c>
      <c r="G8" s="16">
        <f t="shared" si="1"/>
        <v>542.5</v>
      </c>
      <c r="H8" s="16">
        <f t="shared" si="1"/>
        <v>1044</v>
      </c>
      <c r="I8" s="16">
        <f t="shared" si="1"/>
        <v>1387.5</v>
      </c>
      <c r="J8" s="16">
        <f t="shared" si="1"/>
        <v>1620</v>
      </c>
      <c r="K8" s="16">
        <f t="shared" si="1"/>
        <v>1811.2499999999998</v>
      </c>
      <c r="L8" s="16">
        <f t="shared" si="1"/>
        <v>2006.0000000000002</v>
      </c>
      <c r="M8" s="16">
        <f t="shared" si="1"/>
        <v>2227</v>
      </c>
      <c r="N8" s="16">
        <f t="shared" si="1"/>
        <v>2343</v>
      </c>
      <c r="O8" s="16">
        <f t="shared" si="1"/>
        <v>2508</v>
      </c>
    </row>
    <row r="9" spans="1:15" x14ac:dyDescent="0.3">
      <c r="A9" t="s">
        <v>62</v>
      </c>
      <c r="B9" s="14">
        <v>5.0000000000000001E-3</v>
      </c>
      <c r="C9" s="14">
        <v>6.0000000000000001E-3</v>
      </c>
      <c r="D9" s="14">
        <v>8.0000000000000002E-3</v>
      </c>
      <c r="E9" s="14">
        <v>1.4999999999999999E-2</v>
      </c>
      <c r="F9" s="14">
        <v>0.02</v>
      </c>
      <c r="G9" s="14">
        <v>2.5000000000000001E-2</v>
      </c>
      <c r="H9" s="14">
        <v>0.03</v>
      </c>
      <c r="I9" s="14">
        <v>0.03</v>
      </c>
      <c r="J9" s="14">
        <v>2.8000000000000001E-2</v>
      </c>
      <c r="K9" s="14">
        <v>2.5000000000000001E-2</v>
      </c>
      <c r="L9" s="14">
        <v>2.3E-2</v>
      </c>
      <c r="M9" s="14">
        <v>2.1999999999999999E-2</v>
      </c>
      <c r="N9" s="14">
        <v>0.02</v>
      </c>
      <c r="O9" s="14">
        <v>0.02</v>
      </c>
    </row>
    <row r="10" spans="1:15" x14ac:dyDescent="0.3">
      <c r="A10" t="s">
        <v>63</v>
      </c>
      <c r="B10" s="16">
        <f t="shared" ref="B10:O10" si="2">B4*B9</f>
        <v>1.075</v>
      </c>
      <c r="C10" s="16">
        <f t="shared" si="2"/>
        <v>1.68</v>
      </c>
      <c r="D10" s="16">
        <f t="shared" si="2"/>
        <v>5.9279999999999999</v>
      </c>
      <c r="E10" s="16">
        <f t="shared" si="2"/>
        <v>20.009999999999998</v>
      </c>
      <c r="F10" s="16">
        <f t="shared" si="2"/>
        <v>39</v>
      </c>
      <c r="G10" s="16">
        <f t="shared" si="2"/>
        <v>87.5</v>
      </c>
      <c r="H10" s="16">
        <f t="shared" si="2"/>
        <v>174</v>
      </c>
      <c r="I10" s="16">
        <f t="shared" si="2"/>
        <v>225</v>
      </c>
      <c r="J10" s="16">
        <f t="shared" si="2"/>
        <v>252</v>
      </c>
      <c r="K10" s="16">
        <f t="shared" si="2"/>
        <v>258.75</v>
      </c>
      <c r="L10" s="16">
        <f t="shared" si="2"/>
        <v>271.39999999999998</v>
      </c>
      <c r="M10" s="16">
        <f t="shared" si="2"/>
        <v>288.2</v>
      </c>
      <c r="N10" s="16">
        <f t="shared" si="2"/>
        <v>284</v>
      </c>
      <c r="O10" s="16">
        <f t="shared" si="2"/>
        <v>304</v>
      </c>
    </row>
    <row r="11" spans="1:15" x14ac:dyDescent="0.3">
      <c r="A11" s="3" t="s">
        <v>64</v>
      </c>
      <c r="B11" s="16">
        <f t="shared" ref="B11:O11" si="3">B8-B10</f>
        <v>11.825000000000001</v>
      </c>
      <c r="C11" s="16">
        <f t="shared" si="3"/>
        <v>17.080000000000002</v>
      </c>
      <c r="D11" s="16">
        <f t="shared" si="3"/>
        <v>78.546000000000006</v>
      </c>
      <c r="E11" s="16">
        <f t="shared" si="3"/>
        <v>150.74200000000002</v>
      </c>
      <c r="F11" s="16">
        <f t="shared" si="3"/>
        <v>234</v>
      </c>
      <c r="G11" s="16">
        <f t="shared" si="3"/>
        <v>455</v>
      </c>
      <c r="H11" s="16">
        <f t="shared" si="3"/>
        <v>870</v>
      </c>
      <c r="I11" s="16">
        <f t="shared" si="3"/>
        <v>1162.5</v>
      </c>
      <c r="J11" s="16">
        <f t="shared" si="3"/>
        <v>1368</v>
      </c>
      <c r="K11" s="16">
        <f t="shared" si="3"/>
        <v>1552.4999999999998</v>
      </c>
      <c r="L11" s="16">
        <f t="shared" si="3"/>
        <v>1734.6000000000004</v>
      </c>
      <c r="M11" s="16">
        <f t="shared" si="3"/>
        <v>1938.8</v>
      </c>
      <c r="N11" s="16">
        <f t="shared" si="3"/>
        <v>2059</v>
      </c>
      <c r="O11" s="16">
        <f t="shared" si="3"/>
        <v>2204</v>
      </c>
    </row>
    <row r="12" spans="1:15" x14ac:dyDescent="0.3">
      <c r="A12" t="s">
        <v>65</v>
      </c>
      <c r="B12" s="14">
        <v>5.0000000000000001E-3</v>
      </c>
      <c r="C12" s="14">
        <v>3.0000000000000001E-3</v>
      </c>
      <c r="D12" s="14">
        <v>5.0000000000000001E-3</v>
      </c>
      <c r="E12" s="14">
        <v>5.0000000000000001E-3</v>
      </c>
      <c r="F12" s="14">
        <v>4.0000000000000001E-3</v>
      </c>
      <c r="G12" s="14">
        <v>4.0000000000000001E-3</v>
      </c>
      <c r="H12" s="14">
        <v>3.0000000000000001E-3</v>
      </c>
      <c r="I12" s="14">
        <v>3.0000000000000001E-3</v>
      </c>
      <c r="J12" s="14">
        <v>3.0000000000000001E-3</v>
      </c>
      <c r="K12" s="14">
        <v>3.0000000000000001E-3</v>
      </c>
      <c r="L12" s="14">
        <v>3.0000000000000001E-3</v>
      </c>
      <c r="M12" s="14">
        <v>3.0000000000000001E-3</v>
      </c>
      <c r="N12" s="14">
        <v>3.0000000000000001E-3</v>
      </c>
      <c r="O12" s="14">
        <v>3.0000000000000001E-3</v>
      </c>
    </row>
    <row r="13" spans="1:15" x14ac:dyDescent="0.3">
      <c r="A13" t="s">
        <v>66</v>
      </c>
      <c r="B13" s="16">
        <f t="shared" ref="B13:O13" si="4">B4*B12</f>
        <v>1.075</v>
      </c>
      <c r="C13" s="16">
        <f t="shared" si="4"/>
        <v>0.84</v>
      </c>
      <c r="D13" s="16">
        <f t="shared" si="4"/>
        <v>3.7050000000000001</v>
      </c>
      <c r="E13" s="16">
        <f t="shared" si="4"/>
        <v>6.67</v>
      </c>
      <c r="F13" s="16">
        <f t="shared" si="4"/>
        <v>7.8</v>
      </c>
      <c r="G13" s="16">
        <f t="shared" si="4"/>
        <v>14</v>
      </c>
      <c r="H13" s="16">
        <f t="shared" si="4"/>
        <v>17.400000000000002</v>
      </c>
      <c r="I13" s="16">
        <f t="shared" si="4"/>
        <v>22.5</v>
      </c>
      <c r="J13" s="16">
        <f t="shared" si="4"/>
        <v>27</v>
      </c>
      <c r="K13" s="16">
        <f t="shared" si="4"/>
        <v>31.05</v>
      </c>
      <c r="L13" s="16">
        <f t="shared" si="4"/>
        <v>35.4</v>
      </c>
      <c r="M13" s="16">
        <f t="shared" si="4"/>
        <v>39.300000000000004</v>
      </c>
      <c r="N13" s="16">
        <f t="shared" si="4"/>
        <v>42.6</v>
      </c>
      <c r="O13" s="16">
        <f t="shared" si="4"/>
        <v>45.6</v>
      </c>
    </row>
    <row r="14" spans="1:15" x14ac:dyDescent="0.3">
      <c r="A14" t="s">
        <v>67</v>
      </c>
      <c r="B14" s="14">
        <v>1.4999999999999999E-2</v>
      </c>
      <c r="C14" s="14">
        <v>1.2E-2</v>
      </c>
      <c r="D14" s="14">
        <v>1.2E-2</v>
      </c>
      <c r="E14" s="14">
        <v>1.7999999999999999E-2</v>
      </c>
      <c r="F14" s="14">
        <v>2.5000000000000001E-2</v>
      </c>
      <c r="G14" s="14">
        <v>2.1999999999999999E-2</v>
      </c>
      <c r="H14" s="14">
        <v>0.02</v>
      </c>
      <c r="I14" s="14">
        <v>1.7999999999999999E-2</v>
      </c>
      <c r="J14" s="14">
        <v>1.6E-2</v>
      </c>
      <c r="K14" s="14">
        <v>1.4E-2</v>
      </c>
      <c r="L14" s="14">
        <v>1.2999999999999999E-2</v>
      </c>
      <c r="M14" s="14">
        <v>1.2E-2</v>
      </c>
      <c r="N14" s="14">
        <v>1.2E-2</v>
      </c>
      <c r="O14" s="14">
        <v>1.2E-2</v>
      </c>
    </row>
    <row r="15" spans="1:15" x14ac:dyDescent="0.3">
      <c r="A15" t="s">
        <v>68</v>
      </c>
      <c r="B15" s="16">
        <f t="shared" ref="B15:O15" si="5">B4*B14</f>
        <v>3.2250000000000001</v>
      </c>
      <c r="C15" s="16">
        <f t="shared" si="5"/>
        <v>3.36</v>
      </c>
      <c r="D15" s="16">
        <f t="shared" si="5"/>
        <v>8.8919999999999995</v>
      </c>
      <c r="E15" s="16">
        <f t="shared" si="5"/>
        <v>24.011999999999997</v>
      </c>
      <c r="F15" s="16">
        <f t="shared" si="5"/>
        <v>48.75</v>
      </c>
      <c r="G15" s="16">
        <f t="shared" si="5"/>
        <v>77</v>
      </c>
      <c r="H15" s="16">
        <f t="shared" si="5"/>
        <v>116</v>
      </c>
      <c r="I15" s="16">
        <f t="shared" si="5"/>
        <v>135</v>
      </c>
      <c r="J15" s="16">
        <f t="shared" si="5"/>
        <v>144</v>
      </c>
      <c r="K15" s="16">
        <f t="shared" si="5"/>
        <v>144.9</v>
      </c>
      <c r="L15" s="16">
        <f t="shared" si="5"/>
        <v>153.4</v>
      </c>
      <c r="M15" s="16">
        <f t="shared" si="5"/>
        <v>157.20000000000002</v>
      </c>
      <c r="N15" s="16">
        <f t="shared" si="5"/>
        <v>170.4</v>
      </c>
      <c r="O15" s="16">
        <f t="shared" si="5"/>
        <v>182.4</v>
      </c>
    </row>
    <row r="17" spans="1:15" x14ac:dyDescent="0.3">
      <c r="A17" s="3" t="s">
        <v>69</v>
      </c>
      <c r="B17" s="16">
        <f t="shared" ref="B17:O17" si="6">B11+B13-B15</f>
        <v>9.6750000000000007</v>
      </c>
      <c r="C17" s="16">
        <f t="shared" si="6"/>
        <v>14.560000000000002</v>
      </c>
      <c r="D17" s="16">
        <f t="shared" si="6"/>
        <v>73.359000000000009</v>
      </c>
      <c r="E17" s="16">
        <f t="shared" si="6"/>
        <v>133.4</v>
      </c>
      <c r="F17" s="16">
        <f t="shared" si="6"/>
        <v>193.05</v>
      </c>
      <c r="G17" s="16">
        <f t="shared" si="6"/>
        <v>392</v>
      </c>
      <c r="H17" s="16">
        <f t="shared" si="6"/>
        <v>771.4</v>
      </c>
      <c r="I17" s="16">
        <f t="shared" si="6"/>
        <v>1050</v>
      </c>
      <c r="J17" s="16">
        <f t="shared" si="6"/>
        <v>1251</v>
      </c>
      <c r="K17" s="16">
        <f t="shared" si="6"/>
        <v>1438.6499999999996</v>
      </c>
      <c r="L17" s="16">
        <f t="shared" si="6"/>
        <v>1616.6000000000004</v>
      </c>
      <c r="M17" s="16">
        <f t="shared" si="6"/>
        <v>1820.8999999999999</v>
      </c>
      <c r="N17" s="16">
        <f t="shared" si="6"/>
        <v>1931.1999999999998</v>
      </c>
      <c r="O17" s="16">
        <f t="shared" si="6"/>
        <v>2067.1999999999998</v>
      </c>
    </row>
    <row r="18" spans="1:15" x14ac:dyDescent="0.3">
      <c r="A18" t="s">
        <v>70</v>
      </c>
      <c r="B18" s="14">
        <v>0.25</v>
      </c>
      <c r="C18" s="14">
        <v>0.25</v>
      </c>
      <c r="D18" s="14">
        <v>0.25</v>
      </c>
      <c r="E18" s="14">
        <v>0.25</v>
      </c>
      <c r="F18" s="14">
        <v>0.25</v>
      </c>
      <c r="G18" s="14">
        <v>0.25</v>
      </c>
      <c r="H18" s="14">
        <v>0.25</v>
      </c>
      <c r="I18" s="14">
        <v>0.25</v>
      </c>
      <c r="J18" s="14">
        <v>0.25</v>
      </c>
      <c r="K18" s="14">
        <v>0.25</v>
      </c>
      <c r="L18" s="14">
        <v>0.25</v>
      </c>
      <c r="M18" s="14">
        <v>0.25</v>
      </c>
      <c r="N18" s="14">
        <v>0.25</v>
      </c>
      <c r="O18" s="14">
        <v>0.25</v>
      </c>
    </row>
    <row r="19" spans="1:15" x14ac:dyDescent="0.3">
      <c r="A19" t="s">
        <v>71</v>
      </c>
      <c r="B19" s="16">
        <f t="shared" ref="B19:O19" si="7">B17*B18</f>
        <v>2.4187500000000002</v>
      </c>
      <c r="C19" s="16">
        <f t="shared" si="7"/>
        <v>3.6400000000000006</v>
      </c>
      <c r="D19" s="16">
        <f t="shared" si="7"/>
        <v>18.339750000000002</v>
      </c>
      <c r="E19" s="16">
        <f t="shared" si="7"/>
        <v>33.35</v>
      </c>
      <c r="F19" s="16">
        <f t="shared" si="7"/>
        <v>48.262500000000003</v>
      </c>
      <c r="G19" s="16">
        <f t="shared" si="7"/>
        <v>98</v>
      </c>
      <c r="H19" s="16">
        <f t="shared" si="7"/>
        <v>192.85</v>
      </c>
      <c r="I19" s="16">
        <f t="shared" si="7"/>
        <v>262.5</v>
      </c>
      <c r="J19" s="16">
        <f t="shared" si="7"/>
        <v>312.75</v>
      </c>
      <c r="K19" s="16">
        <f t="shared" si="7"/>
        <v>359.66249999999991</v>
      </c>
      <c r="L19" s="16">
        <f t="shared" si="7"/>
        <v>404.15000000000009</v>
      </c>
      <c r="M19" s="16">
        <f t="shared" si="7"/>
        <v>455.22499999999997</v>
      </c>
      <c r="N19" s="16">
        <f t="shared" si="7"/>
        <v>482.79999999999995</v>
      </c>
      <c r="O19" s="16">
        <f t="shared" si="7"/>
        <v>516.79999999999995</v>
      </c>
    </row>
    <row r="21" spans="1:15" x14ac:dyDescent="0.3">
      <c r="A21" s="17" t="s">
        <v>72</v>
      </c>
      <c r="B21" s="19">
        <f t="shared" ref="B21:O21" si="8">B17-B19</f>
        <v>7.2562500000000005</v>
      </c>
      <c r="C21" s="19">
        <f t="shared" si="8"/>
        <v>10.920000000000002</v>
      </c>
      <c r="D21" s="19">
        <f t="shared" si="8"/>
        <v>55.019250000000007</v>
      </c>
      <c r="E21" s="19">
        <f t="shared" si="8"/>
        <v>100.05000000000001</v>
      </c>
      <c r="F21" s="19">
        <f t="shared" si="8"/>
        <v>144.78750000000002</v>
      </c>
      <c r="G21" s="19">
        <f t="shared" si="8"/>
        <v>294</v>
      </c>
      <c r="H21" s="19">
        <f t="shared" si="8"/>
        <v>578.54999999999995</v>
      </c>
      <c r="I21" s="19">
        <f t="shared" si="8"/>
        <v>787.5</v>
      </c>
      <c r="J21" s="19">
        <f t="shared" si="8"/>
        <v>938.25</v>
      </c>
      <c r="K21" s="19">
        <f t="shared" si="8"/>
        <v>1078.9874999999997</v>
      </c>
      <c r="L21" s="19">
        <f t="shared" si="8"/>
        <v>1212.4500000000003</v>
      </c>
      <c r="M21" s="19">
        <f t="shared" si="8"/>
        <v>1365.675</v>
      </c>
      <c r="N21" s="19">
        <f t="shared" si="8"/>
        <v>1448.3999999999999</v>
      </c>
      <c r="O21" s="19">
        <f t="shared" si="8"/>
        <v>1550.3999999999999</v>
      </c>
    </row>
    <row r="22" spans="1:15" x14ac:dyDescent="0.3">
      <c r="A22" t="s">
        <v>73</v>
      </c>
      <c r="B22" s="14">
        <f t="shared" ref="B22:O22" si="9">B21/B4</f>
        <v>3.3750000000000002E-2</v>
      </c>
      <c r="C22" s="14">
        <f t="shared" si="9"/>
        <v>3.9000000000000007E-2</v>
      </c>
      <c r="D22" s="14">
        <f t="shared" si="9"/>
        <v>7.425000000000001E-2</v>
      </c>
      <c r="E22" s="14">
        <f t="shared" si="9"/>
        <v>7.5000000000000011E-2</v>
      </c>
      <c r="F22" s="14">
        <f t="shared" si="9"/>
        <v>7.425000000000001E-2</v>
      </c>
      <c r="G22" s="14">
        <f t="shared" si="9"/>
        <v>8.4000000000000005E-2</v>
      </c>
      <c r="H22" s="14">
        <f t="shared" si="9"/>
        <v>9.9749999999999991E-2</v>
      </c>
      <c r="I22" s="14">
        <f t="shared" si="9"/>
        <v>0.105</v>
      </c>
      <c r="J22" s="14">
        <f t="shared" si="9"/>
        <v>0.10425</v>
      </c>
      <c r="K22" s="14">
        <f t="shared" si="9"/>
        <v>0.10424999999999997</v>
      </c>
      <c r="L22" s="14">
        <f t="shared" si="9"/>
        <v>0.10275000000000002</v>
      </c>
      <c r="M22" s="14">
        <f t="shared" si="9"/>
        <v>0.10425</v>
      </c>
      <c r="N22" s="14">
        <f t="shared" si="9"/>
        <v>0.10199999999999999</v>
      </c>
      <c r="O22" s="14">
        <f t="shared" si="9"/>
        <v>0.10199999999999999</v>
      </c>
    </row>
    <row r="24" spans="1:15" x14ac:dyDescent="0.3">
      <c r="A24" t="s">
        <v>74</v>
      </c>
      <c r="B24" s="20">
        <v>2.08</v>
      </c>
      <c r="C24" s="20">
        <v>2.08</v>
      </c>
      <c r="D24" s="20">
        <v>2.08</v>
      </c>
      <c r="E24" s="20">
        <v>2.08</v>
      </c>
      <c r="F24" s="20">
        <v>22.04</v>
      </c>
      <c r="G24" s="20">
        <v>22.04</v>
      </c>
      <c r="H24" s="20">
        <v>22.04</v>
      </c>
      <c r="I24" s="20">
        <v>22.04</v>
      </c>
      <c r="J24" s="20">
        <v>22.04</v>
      </c>
      <c r="K24" s="20">
        <v>22.04</v>
      </c>
      <c r="L24" s="20">
        <v>22.04</v>
      </c>
      <c r="M24" s="20">
        <v>22.04</v>
      </c>
      <c r="N24" s="20">
        <v>22.04</v>
      </c>
      <c r="O24" s="20">
        <v>22.04</v>
      </c>
    </row>
    <row r="25" spans="1:15" x14ac:dyDescent="0.3">
      <c r="A25" s="3" t="s">
        <v>75</v>
      </c>
      <c r="B25" s="21">
        <f t="shared" ref="B25:O25" si="10">B21/B24</f>
        <v>3.4885817307692308</v>
      </c>
      <c r="C25" s="21">
        <f t="shared" si="10"/>
        <v>5.2500000000000009</v>
      </c>
      <c r="D25" s="21">
        <f t="shared" si="10"/>
        <v>26.451562500000001</v>
      </c>
      <c r="E25" s="21">
        <f t="shared" si="10"/>
        <v>48.10096153846154</v>
      </c>
      <c r="F25" s="21">
        <f t="shared" si="10"/>
        <v>6.5693058076225057</v>
      </c>
      <c r="G25" s="21">
        <f t="shared" si="10"/>
        <v>13.339382940108893</v>
      </c>
      <c r="H25" s="21">
        <f t="shared" si="10"/>
        <v>26.25</v>
      </c>
      <c r="I25" s="21">
        <f t="shared" si="10"/>
        <v>35.730490018148821</v>
      </c>
      <c r="J25" s="21">
        <f t="shared" si="10"/>
        <v>42.570326678765881</v>
      </c>
      <c r="K25" s="21">
        <f t="shared" si="10"/>
        <v>48.955875680580753</v>
      </c>
      <c r="L25" s="21">
        <f t="shared" si="10"/>
        <v>55.011343012704188</v>
      </c>
      <c r="M25" s="21">
        <f t="shared" si="10"/>
        <v>61.96347549909256</v>
      </c>
      <c r="N25" s="21">
        <f t="shared" si="10"/>
        <v>65.716878402903802</v>
      </c>
      <c r="O25" s="21">
        <f t="shared" si="10"/>
        <v>70.34482758620689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A5FD-AA5D-4C8F-AD6C-F1BDF46CC0B0}">
  <dimension ref="A1:O22"/>
  <sheetViews>
    <sheetView workbookViewId="0"/>
  </sheetViews>
  <sheetFormatPr defaultRowHeight="14.4" x14ac:dyDescent="0.3"/>
  <cols>
    <col min="1" max="1" width="37" customWidth="1"/>
    <col min="2" max="15" width="15.77734375" customWidth="1"/>
  </cols>
  <sheetData>
    <row r="1" spans="1:15" ht="17.399999999999999" x14ac:dyDescent="0.35">
      <c r="A1" s="12" t="s">
        <v>165</v>
      </c>
    </row>
    <row r="3" spans="1:15" x14ac:dyDescent="0.3">
      <c r="A3" s="2"/>
      <c r="B3" s="2" t="s">
        <v>44</v>
      </c>
      <c r="C3" s="2" t="s">
        <v>45</v>
      </c>
      <c r="D3" s="2" t="s">
        <v>46</v>
      </c>
      <c r="E3" s="2" t="s">
        <v>47</v>
      </c>
      <c r="F3" s="13" t="s">
        <v>48</v>
      </c>
      <c r="G3" s="13" t="s">
        <v>49</v>
      </c>
      <c r="H3" s="13" t="s">
        <v>50</v>
      </c>
      <c r="I3" s="13" t="s">
        <v>51</v>
      </c>
      <c r="J3" s="13" t="s">
        <v>52</v>
      </c>
      <c r="K3" s="13" t="s">
        <v>53</v>
      </c>
      <c r="L3" s="13" t="s">
        <v>54</v>
      </c>
      <c r="M3" s="13" t="s">
        <v>55</v>
      </c>
      <c r="N3" s="13" t="s">
        <v>56</v>
      </c>
      <c r="O3" s="13" t="s">
        <v>57</v>
      </c>
    </row>
    <row r="4" spans="1:15" x14ac:dyDescent="0.3">
      <c r="A4" s="4" t="s">
        <v>166</v>
      </c>
      <c r="B4" s="25"/>
      <c r="C4" s="25"/>
      <c r="D4" s="25"/>
      <c r="E4" s="25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x14ac:dyDescent="0.3">
      <c r="A5" t="s">
        <v>167</v>
      </c>
      <c r="B5" s="16">
        <v>45</v>
      </c>
      <c r="C5" s="16">
        <v>68</v>
      </c>
      <c r="D5" s="16">
        <v>60</v>
      </c>
      <c r="E5" s="16">
        <v>400</v>
      </c>
      <c r="F5" s="16">
        <f>E5+'Cash Flow'!B12-'Income Statement'!F10</f>
        <v>861</v>
      </c>
      <c r="G5" s="16">
        <f>F5+'Cash Flow'!C12-'Income Statement'!G10</f>
        <v>1373.5</v>
      </c>
      <c r="H5" s="16">
        <f>G5+'Cash Flow'!D12-'Income Statement'!H10</f>
        <v>1399.5</v>
      </c>
      <c r="I5" s="16">
        <f>H5+'Cash Flow'!E12-'Income Statement'!I10</f>
        <v>1324.5</v>
      </c>
      <c r="J5" s="16">
        <f>I5+'Cash Flow'!F12-'Income Statement'!J10</f>
        <v>1272.5</v>
      </c>
      <c r="K5" s="16">
        <f>J5+'Cash Flow'!G12-'Income Statement'!K10</f>
        <v>1213.75</v>
      </c>
      <c r="L5" s="16">
        <f>K5+'Cash Flow'!H12-'Income Statement'!L10</f>
        <v>1192.3499999999999</v>
      </c>
      <c r="M5" s="16">
        <f>L5+'Cash Flow'!I12-'Income Statement'!M10</f>
        <v>1154.1499999999999</v>
      </c>
      <c r="N5" s="16">
        <f>M5+'Cash Flow'!J12-'Income Statement'!N10</f>
        <v>1070.1499999999999</v>
      </c>
      <c r="O5" s="16">
        <f>N5+'Cash Flow'!K12-'Income Statement'!O10</f>
        <v>966.14999999999986</v>
      </c>
    </row>
    <row r="6" spans="1:15" x14ac:dyDescent="0.3">
      <c r="A6" t="s">
        <v>203</v>
      </c>
      <c r="B6" s="16">
        <v>100</v>
      </c>
      <c r="C6" s="16">
        <v>112</v>
      </c>
      <c r="D6" s="16">
        <v>165</v>
      </c>
      <c r="E6" s="16">
        <v>720</v>
      </c>
      <c r="F6" s="16">
        <f>'Income Statement'!F4*55/365</f>
        <v>293.83561643835617</v>
      </c>
      <c r="G6" s="16">
        <f>'Income Statement'!G4*50/365</f>
        <v>479.45205479452056</v>
      </c>
      <c r="H6" s="16">
        <f>'Income Statement'!H4*50/365</f>
        <v>794.52054794520552</v>
      </c>
      <c r="I6" s="16">
        <f>'Income Statement'!I4*48/365</f>
        <v>986.30136986301375</v>
      </c>
      <c r="J6" s="16">
        <f>'Income Statement'!J4*45/365</f>
        <v>1109.5890410958905</v>
      </c>
      <c r="K6" s="16">
        <f>'Income Statement'!K4*45/365</f>
        <v>1276.027397260274</v>
      </c>
      <c r="L6" s="16">
        <f>'Income Statement'!L4*45/365</f>
        <v>1454.7945205479452</v>
      </c>
      <c r="M6" s="16">
        <f>'Income Statement'!M4*45/365</f>
        <v>1615.0684931506848</v>
      </c>
      <c r="N6" s="16">
        <f>'Income Statement'!N4*45/365</f>
        <v>1750.6849315068494</v>
      </c>
      <c r="O6" s="16">
        <f>'Income Statement'!O4*45/365</f>
        <v>1873.972602739726</v>
      </c>
    </row>
    <row r="7" spans="1:15" x14ac:dyDescent="0.3">
      <c r="A7" t="s">
        <v>168</v>
      </c>
      <c r="B7" s="16">
        <v>20</v>
      </c>
      <c r="C7" s="16">
        <v>35</v>
      </c>
      <c r="D7" s="16">
        <v>70</v>
      </c>
      <c r="E7" s="16">
        <v>120</v>
      </c>
      <c r="F7" s="16">
        <f t="shared" ref="F7:O7" si="0">F12+F16-F5-F6-F8</f>
        <v>326.95188356164374</v>
      </c>
      <c r="G7" s="16">
        <f t="shared" si="0"/>
        <v>169.53544520547933</v>
      </c>
      <c r="H7" s="16">
        <f t="shared" si="0"/>
        <v>353.38695205479411</v>
      </c>
      <c r="I7" s="16">
        <f t="shared" si="0"/>
        <v>920.11313013698589</v>
      </c>
      <c r="J7" s="16">
        <f t="shared" si="0"/>
        <v>1732.6831589041092</v>
      </c>
      <c r="K7" s="16">
        <f t="shared" si="0"/>
        <v>2649.1507727397247</v>
      </c>
      <c r="L7" s="16">
        <f t="shared" si="0"/>
        <v>3698.9189664520536</v>
      </c>
      <c r="M7" s="16">
        <f t="shared" si="0"/>
        <v>4936.6738425493149</v>
      </c>
      <c r="N7" s="16">
        <f t="shared" si="0"/>
        <v>6277.0266377631515</v>
      </c>
      <c r="O7" s="16">
        <f t="shared" si="0"/>
        <v>7751.0651234572742</v>
      </c>
    </row>
    <row r="8" spans="1:15" x14ac:dyDescent="0.3">
      <c r="A8" t="s">
        <v>169</v>
      </c>
      <c r="B8" s="16">
        <v>10</v>
      </c>
      <c r="C8" s="16">
        <v>15</v>
      </c>
      <c r="D8" s="16">
        <v>20</v>
      </c>
      <c r="E8" s="16">
        <v>30</v>
      </c>
      <c r="F8" s="16">
        <f t="shared" ref="F8:O8" si="1">E8*1.1</f>
        <v>33</v>
      </c>
      <c r="G8" s="16">
        <f t="shared" si="1"/>
        <v>36.300000000000004</v>
      </c>
      <c r="H8" s="16">
        <f t="shared" si="1"/>
        <v>39.930000000000007</v>
      </c>
      <c r="I8" s="16">
        <f t="shared" si="1"/>
        <v>43.923000000000009</v>
      </c>
      <c r="J8" s="16">
        <f t="shared" si="1"/>
        <v>48.315300000000015</v>
      </c>
      <c r="K8" s="16">
        <f t="shared" si="1"/>
        <v>53.146830000000023</v>
      </c>
      <c r="L8" s="16">
        <f t="shared" si="1"/>
        <v>58.461513000000032</v>
      </c>
      <c r="M8" s="16">
        <f t="shared" si="1"/>
        <v>64.307664300000042</v>
      </c>
      <c r="N8" s="16">
        <f t="shared" si="1"/>
        <v>70.738430730000047</v>
      </c>
      <c r="O8" s="16">
        <f t="shared" si="1"/>
        <v>77.812273803000053</v>
      </c>
    </row>
    <row r="9" spans="1:15" x14ac:dyDescent="0.3">
      <c r="A9" s="17" t="s">
        <v>170</v>
      </c>
      <c r="B9" s="18">
        <f t="shared" ref="B9:O9" si="2">SUM(B5:B8)</f>
        <v>175</v>
      </c>
      <c r="C9" s="18">
        <f t="shared" si="2"/>
        <v>230</v>
      </c>
      <c r="D9" s="18">
        <f t="shared" si="2"/>
        <v>315</v>
      </c>
      <c r="E9" s="18">
        <f t="shared" si="2"/>
        <v>1270</v>
      </c>
      <c r="F9" s="19">
        <f t="shared" si="2"/>
        <v>1514.7874999999999</v>
      </c>
      <c r="G9" s="19">
        <f t="shared" si="2"/>
        <v>2058.7874999999999</v>
      </c>
      <c r="H9" s="19">
        <f t="shared" si="2"/>
        <v>2587.3374999999996</v>
      </c>
      <c r="I9" s="19">
        <f t="shared" si="2"/>
        <v>3274.8375000000001</v>
      </c>
      <c r="J9" s="19">
        <f t="shared" si="2"/>
        <v>4163.0874999999996</v>
      </c>
      <c r="K9" s="19">
        <f t="shared" si="2"/>
        <v>5192.0749999999989</v>
      </c>
      <c r="L9" s="19">
        <f t="shared" si="2"/>
        <v>6404.5249999999987</v>
      </c>
      <c r="M9" s="19">
        <f t="shared" si="2"/>
        <v>7770.2</v>
      </c>
      <c r="N9" s="19">
        <f t="shared" si="2"/>
        <v>9168.6</v>
      </c>
      <c r="O9" s="19">
        <f t="shared" si="2"/>
        <v>10669</v>
      </c>
    </row>
    <row r="10" spans="1:15" x14ac:dyDescent="0.3">
      <c r="B10" s="16"/>
      <c r="C10" s="16"/>
      <c r="D10" s="16"/>
      <c r="E10" s="16"/>
    </row>
    <row r="11" spans="1:15" x14ac:dyDescent="0.3">
      <c r="A11" s="4" t="s">
        <v>171</v>
      </c>
      <c r="B11" s="58"/>
      <c r="C11" s="58"/>
      <c r="D11" s="58"/>
      <c r="E11" s="58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spans="1:15" x14ac:dyDescent="0.3">
      <c r="A12" t="s">
        <v>172</v>
      </c>
      <c r="B12" s="16">
        <v>75</v>
      </c>
      <c r="C12" s="16">
        <v>85</v>
      </c>
      <c r="D12" s="16">
        <v>135</v>
      </c>
      <c r="E12" s="16">
        <v>690</v>
      </c>
      <c r="F12" s="16">
        <f>E12+'Income Statement'!F21</f>
        <v>834.78750000000002</v>
      </c>
      <c r="G12" s="16">
        <f>F12+'Income Statement'!G21</f>
        <v>1128.7874999999999</v>
      </c>
      <c r="H12" s="16">
        <f>G12+'Income Statement'!H21</f>
        <v>1707.3374999999999</v>
      </c>
      <c r="I12" s="16">
        <f>H12+'Income Statement'!I21</f>
        <v>2494.8374999999996</v>
      </c>
      <c r="J12" s="16">
        <f>I12+'Income Statement'!J21</f>
        <v>3433.0874999999996</v>
      </c>
      <c r="K12" s="16">
        <f>J12+'Income Statement'!K21</f>
        <v>4512.0749999999989</v>
      </c>
      <c r="L12" s="16">
        <f>K12+'Income Statement'!L21</f>
        <v>5724.5249999999996</v>
      </c>
      <c r="M12" s="16">
        <f>L12+'Income Statement'!M21</f>
        <v>7090.2</v>
      </c>
      <c r="N12" s="16">
        <f>M12+'Income Statement'!N21</f>
        <v>8538.6</v>
      </c>
      <c r="O12" s="16">
        <f>N12+'Income Statement'!O21</f>
        <v>10089</v>
      </c>
    </row>
    <row r="13" spans="1:15" x14ac:dyDescent="0.3">
      <c r="A13" t="s">
        <v>173</v>
      </c>
      <c r="B13" s="16">
        <v>30</v>
      </c>
      <c r="C13" s="16">
        <v>33</v>
      </c>
      <c r="D13" s="16">
        <v>30</v>
      </c>
      <c r="E13" s="16">
        <v>150</v>
      </c>
      <c r="F13" s="16">
        <f>E13+'Cash Flow'!B16*0.6</f>
        <v>330</v>
      </c>
      <c r="G13" s="16">
        <f>F13+'Cash Flow'!C16*0.6</f>
        <v>480</v>
      </c>
      <c r="H13" s="16">
        <f>G13+'Cash Flow'!D16*0.6</f>
        <v>450</v>
      </c>
      <c r="I13" s="16">
        <f>H13+'Cash Flow'!E16*0.6</f>
        <v>390</v>
      </c>
      <c r="J13" s="16">
        <f>I13+'Cash Flow'!F16*0.6</f>
        <v>360</v>
      </c>
      <c r="K13" s="16">
        <f>J13+'Cash Flow'!G16*0.6</f>
        <v>330</v>
      </c>
      <c r="L13" s="16">
        <f>K13+'Cash Flow'!H16*0.6</f>
        <v>330</v>
      </c>
      <c r="M13" s="16">
        <f>L13+'Cash Flow'!I16*0.6</f>
        <v>330</v>
      </c>
      <c r="N13" s="16">
        <f>M13+'Cash Flow'!J16*0.6</f>
        <v>300</v>
      </c>
      <c r="O13" s="16">
        <f>N13+'Cash Flow'!K16*0.6</f>
        <v>270</v>
      </c>
    </row>
    <row r="14" spans="1:15" x14ac:dyDescent="0.3">
      <c r="A14" t="s">
        <v>174</v>
      </c>
      <c r="B14" s="16">
        <v>20</v>
      </c>
      <c r="C14" s="16">
        <v>40</v>
      </c>
      <c r="D14" s="16">
        <v>50</v>
      </c>
      <c r="E14" s="16">
        <v>230</v>
      </c>
      <c r="F14" s="16">
        <f>E14+'Cash Flow'!B16*0.4</f>
        <v>350</v>
      </c>
      <c r="G14" s="16">
        <f>F14+'Cash Flow'!C16*0.4</f>
        <v>450</v>
      </c>
      <c r="H14" s="16">
        <f>G14+'Cash Flow'!D16*0.4</f>
        <v>430</v>
      </c>
      <c r="I14" s="16">
        <f>H14+'Cash Flow'!E16*0.4</f>
        <v>390</v>
      </c>
      <c r="J14" s="16">
        <f>I14+'Cash Flow'!F16*0.4</f>
        <v>370</v>
      </c>
      <c r="K14" s="16">
        <f>J14+'Cash Flow'!G16*0.4</f>
        <v>350</v>
      </c>
      <c r="L14" s="16">
        <f>K14+'Cash Flow'!H16*0.4</f>
        <v>350</v>
      </c>
      <c r="M14" s="16">
        <f>L14+'Cash Flow'!I16*0.4</f>
        <v>350</v>
      </c>
      <c r="N14" s="16">
        <f>M14+'Cash Flow'!J16*0.4</f>
        <v>330</v>
      </c>
      <c r="O14" s="16">
        <f>N14+'Cash Flow'!K16*0.4</f>
        <v>310</v>
      </c>
    </row>
    <row r="15" spans="1:15" x14ac:dyDescent="0.3">
      <c r="A15" t="s">
        <v>204</v>
      </c>
      <c r="B15" s="16">
        <v>50</v>
      </c>
      <c r="C15" s="16">
        <v>72</v>
      </c>
      <c r="D15" s="16">
        <v>100</v>
      </c>
      <c r="E15" s="16">
        <v>200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</row>
    <row r="16" spans="1:15" x14ac:dyDescent="0.3">
      <c r="A16" s="3" t="s">
        <v>175</v>
      </c>
      <c r="B16" s="16">
        <f t="shared" ref="B16:O16" si="3">B13+B14</f>
        <v>50</v>
      </c>
      <c r="C16" s="16">
        <f t="shared" si="3"/>
        <v>73</v>
      </c>
      <c r="D16" s="16">
        <f t="shared" si="3"/>
        <v>80</v>
      </c>
      <c r="E16" s="16">
        <f t="shared" si="3"/>
        <v>380</v>
      </c>
      <c r="F16" s="36">
        <f t="shared" si="3"/>
        <v>680</v>
      </c>
      <c r="G16" s="36">
        <f t="shared" si="3"/>
        <v>930</v>
      </c>
      <c r="H16" s="36">
        <f t="shared" si="3"/>
        <v>880</v>
      </c>
      <c r="I16" s="36">
        <f t="shared" si="3"/>
        <v>780</v>
      </c>
      <c r="J16" s="36">
        <f t="shared" si="3"/>
        <v>730</v>
      </c>
      <c r="K16" s="36">
        <f t="shared" si="3"/>
        <v>680</v>
      </c>
      <c r="L16" s="36">
        <f t="shared" si="3"/>
        <v>680</v>
      </c>
      <c r="M16" s="36">
        <f t="shared" si="3"/>
        <v>680</v>
      </c>
      <c r="N16" s="36">
        <f t="shared" si="3"/>
        <v>630</v>
      </c>
      <c r="O16" s="36">
        <f t="shared" si="3"/>
        <v>580</v>
      </c>
    </row>
    <row r="17" spans="1:15" x14ac:dyDescent="0.3">
      <c r="A17" s="3" t="s">
        <v>176</v>
      </c>
      <c r="B17" s="16">
        <f t="shared" ref="B17:O17" si="4">B16-B7</f>
        <v>30</v>
      </c>
      <c r="C17" s="16">
        <f t="shared" si="4"/>
        <v>38</v>
      </c>
      <c r="D17" s="16">
        <f t="shared" si="4"/>
        <v>10</v>
      </c>
      <c r="E17" s="16">
        <f t="shared" si="4"/>
        <v>260</v>
      </c>
      <c r="F17" s="36">
        <f t="shared" si="4"/>
        <v>353.04811643835626</v>
      </c>
      <c r="G17" s="36">
        <f t="shared" si="4"/>
        <v>760.46455479452061</v>
      </c>
      <c r="H17" s="36">
        <f t="shared" si="4"/>
        <v>526.61304794520584</v>
      </c>
      <c r="I17" s="36">
        <f t="shared" si="4"/>
        <v>-140.11313013698589</v>
      </c>
      <c r="J17" s="36">
        <f t="shared" si="4"/>
        <v>-1002.6831589041092</v>
      </c>
      <c r="K17" s="36">
        <f t="shared" si="4"/>
        <v>-1969.1507727397247</v>
      </c>
      <c r="L17" s="36">
        <f t="shared" si="4"/>
        <v>-3018.9189664520536</v>
      </c>
      <c r="M17" s="36">
        <f t="shared" si="4"/>
        <v>-4256.6738425493149</v>
      </c>
      <c r="N17" s="36">
        <f t="shared" si="4"/>
        <v>-5647.0266377631515</v>
      </c>
      <c r="O17" s="36">
        <f t="shared" si="4"/>
        <v>-7171.0651234572742</v>
      </c>
    </row>
    <row r="19" spans="1:15" x14ac:dyDescent="0.3">
      <c r="A19" t="s">
        <v>177</v>
      </c>
      <c r="B19" s="59">
        <f>B16/B12</f>
        <v>0.66666666666666663</v>
      </c>
      <c r="C19" s="59">
        <f>C16/C12</f>
        <v>0.85882352941176465</v>
      </c>
      <c r="D19" s="59">
        <f>D16/D12</f>
        <v>0.59259259259259256</v>
      </c>
      <c r="E19" s="59">
        <f>E16/E12</f>
        <v>0.55072463768115942</v>
      </c>
      <c r="F19" s="63">
        <f t="shared" ref="F19:O19" si="5">IF(F12&gt;0,F16/F12,0)</f>
        <v>0.81457856041208088</v>
      </c>
      <c r="G19" s="63">
        <f t="shared" si="5"/>
        <v>0.82389289392378995</v>
      </c>
      <c r="H19" s="63">
        <f t="shared" si="5"/>
        <v>0.51542240476765733</v>
      </c>
      <c r="I19" s="63">
        <f t="shared" si="5"/>
        <v>0.31264561319123996</v>
      </c>
      <c r="J19" s="63">
        <f t="shared" si="5"/>
        <v>0.21263658441563171</v>
      </c>
      <c r="K19" s="63">
        <f t="shared" si="5"/>
        <v>0.15070671475983891</v>
      </c>
      <c r="L19" s="63">
        <f t="shared" si="5"/>
        <v>0.11878714827867815</v>
      </c>
      <c r="M19" s="63">
        <f t="shared" si="5"/>
        <v>9.590702660009591E-2</v>
      </c>
      <c r="N19" s="63">
        <f t="shared" si="5"/>
        <v>7.3782587309394979E-2</v>
      </c>
      <c r="O19" s="63">
        <f t="shared" si="5"/>
        <v>5.7488353652492816E-2</v>
      </c>
    </row>
    <row r="20" spans="1:15" x14ac:dyDescent="0.3">
      <c r="A20" t="s">
        <v>178</v>
      </c>
      <c r="B20" s="14">
        <f>'Income Statement'!B11/(B12+B13)</f>
        <v>0.11261904761904763</v>
      </c>
      <c r="C20" s="14">
        <f>'Income Statement'!C11/((B12+B13+C12+C13)/2)</f>
        <v>0.15318385650224217</v>
      </c>
      <c r="D20" s="14">
        <f>'Income Statement'!D11/((C12+C13+D12+D13)/2)</f>
        <v>0.55509540636042409</v>
      </c>
      <c r="E20" s="14">
        <f>'Income Statement'!E11/((D12+D13+E12+E13)/2)</f>
        <v>0.29998407960199008</v>
      </c>
      <c r="F20" s="14">
        <f>'Income Statement'!F11/((E12+E13+F12+F13)/2)</f>
        <v>0.23344120012719555</v>
      </c>
      <c r="G20" s="14">
        <f>'Income Statement'!G11/((F12+F13+G12+G13)/2)</f>
        <v>0.32809640986813049</v>
      </c>
      <c r="H20" s="14">
        <f>'Income Statement'!H11/((G12+G13+H12+H13)/2)</f>
        <v>0.46201334262670518</v>
      </c>
      <c r="I20" s="14">
        <f>'Income Statement'!I11/((H12+H13+I12+I13)/2)</f>
        <v>0.46111053265703794</v>
      </c>
      <c r="J20" s="14">
        <f>'Income Statement'!J11/((I12+I13+J12+J13)/2)</f>
        <v>0.40970810543694341</v>
      </c>
      <c r="K20" s="14">
        <f>'Income Statement'!K11/((J12+J13+K12+K13)/2)</f>
        <v>0.35957632528629313</v>
      </c>
      <c r="L20" s="14">
        <f>'Income Statement'!L11/((K12+K13+L12+L13)/2)</f>
        <v>0.31837453884697992</v>
      </c>
      <c r="M20" s="14">
        <f>'Income Statement'!M11/((L12+L13+M12+M13)/2)</f>
        <v>0.28776839601550314</v>
      </c>
      <c r="N20" s="14">
        <f>'Income Statement'!N11/((M12+M13+N12+N13)/2)</f>
        <v>0.25327822471523115</v>
      </c>
      <c r="O20" s="14">
        <f>'Income Statement'!O11/((N12+N13+O12+O13)/2)</f>
        <v>0.22961203483768805</v>
      </c>
    </row>
    <row r="21" spans="1:15" x14ac:dyDescent="0.3">
      <c r="A21" s="3" t="s">
        <v>207</v>
      </c>
      <c r="B21" s="16">
        <f>B9-(B12+B16+B15)</f>
        <v>0</v>
      </c>
      <c r="C21" s="16">
        <f>C9-(C12+C16+C15)</f>
        <v>0</v>
      </c>
      <c r="D21" s="16">
        <f>D9-(D12+D16+D15)</f>
        <v>0</v>
      </c>
      <c r="E21" s="16">
        <f>E9-(E12+E16+E15)</f>
        <v>0</v>
      </c>
      <c r="F21" s="16">
        <f t="shared" ref="F21:O21" si="6">F9-(F12+F16)</f>
        <v>0</v>
      </c>
      <c r="G21" s="16">
        <f t="shared" si="6"/>
        <v>0</v>
      </c>
      <c r="H21" s="16">
        <f t="shared" si="6"/>
        <v>0</v>
      </c>
      <c r="I21" s="16">
        <f t="shared" si="6"/>
        <v>0</v>
      </c>
      <c r="J21" s="16">
        <f t="shared" si="6"/>
        <v>0</v>
      </c>
      <c r="K21" s="16">
        <f t="shared" si="6"/>
        <v>0</v>
      </c>
      <c r="L21" s="16">
        <f t="shared" si="6"/>
        <v>0</v>
      </c>
      <c r="M21" s="16">
        <f t="shared" si="6"/>
        <v>0</v>
      </c>
      <c r="N21" s="16">
        <f t="shared" si="6"/>
        <v>0</v>
      </c>
      <c r="O21" s="16">
        <f t="shared" si="6"/>
        <v>0</v>
      </c>
    </row>
    <row r="22" spans="1:15" x14ac:dyDescent="0.3">
      <c r="A22" s="27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123A6-5D9D-42A8-8A82-090A32AE8F61}">
  <dimension ref="A1:K19"/>
  <sheetViews>
    <sheetView workbookViewId="0"/>
  </sheetViews>
  <sheetFormatPr defaultRowHeight="14.4" x14ac:dyDescent="0.3"/>
  <cols>
    <col min="1" max="1" width="37" customWidth="1"/>
    <col min="2" max="11" width="15.77734375" customWidth="1"/>
  </cols>
  <sheetData>
    <row r="1" spans="1:11" ht="17.399999999999999" x14ac:dyDescent="0.35">
      <c r="A1" s="12" t="s">
        <v>153</v>
      </c>
    </row>
    <row r="3" spans="1:11" x14ac:dyDescent="0.3">
      <c r="A3" s="2"/>
      <c r="B3" s="2" t="s">
        <v>48</v>
      </c>
      <c r="C3" s="2" t="s">
        <v>49</v>
      </c>
      <c r="D3" s="2" t="s">
        <v>50</v>
      </c>
      <c r="E3" s="2" t="s">
        <v>51</v>
      </c>
      <c r="F3" s="2" t="s">
        <v>52</v>
      </c>
      <c r="G3" s="2" t="s">
        <v>53</v>
      </c>
      <c r="H3" s="2" t="s">
        <v>54</v>
      </c>
      <c r="I3" s="2" t="s">
        <v>55</v>
      </c>
      <c r="J3" s="2" t="s">
        <v>56</v>
      </c>
      <c r="K3" s="2" t="s">
        <v>57</v>
      </c>
    </row>
    <row r="4" spans="1:11" x14ac:dyDescent="0.3">
      <c r="A4" s="4" t="s">
        <v>154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3">
      <c r="A5" t="s">
        <v>155</v>
      </c>
      <c r="B5" s="16">
        <f>'Income Statement'!F21</f>
        <v>144.78750000000002</v>
      </c>
      <c r="C5" s="16">
        <f>'Income Statement'!G21</f>
        <v>294</v>
      </c>
      <c r="D5" s="16">
        <f>'Income Statement'!H21</f>
        <v>578.54999999999995</v>
      </c>
      <c r="E5" s="16">
        <f>'Income Statement'!I21</f>
        <v>787.5</v>
      </c>
      <c r="F5" s="16">
        <f>'Income Statement'!J21</f>
        <v>938.25</v>
      </c>
      <c r="G5" s="16">
        <f>'Income Statement'!K21</f>
        <v>1078.9874999999997</v>
      </c>
      <c r="H5" s="16">
        <f>'Income Statement'!L21</f>
        <v>1212.4500000000003</v>
      </c>
      <c r="I5" s="16">
        <f>'Income Statement'!M21</f>
        <v>1365.675</v>
      </c>
      <c r="J5" s="16">
        <f>'Income Statement'!N21</f>
        <v>1448.3999999999999</v>
      </c>
      <c r="K5" s="16">
        <f>'Income Statement'!O21</f>
        <v>1550.3999999999999</v>
      </c>
    </row>
    <row r="6" spans="1:11" x14ac:dyDescent="0.3">
      <c r="A6" t="s">
        <v>156</v>
      </c>
      <c r="B6" s="16">
        <f>'Income Statement'!F10</f>
        <v>39</v>
      </c>
      <c r="C6" s="16">
        <f>'Income Statement'!G10</f>
        <v>87.5</v>
      </c>
      <c r="D6" s="16">
        <f>'Income Statement'!H10</f>
        <v>174</v>
      </c>
      <c r="E6" s="16">
        <f>'Income Statement'!I10</f>
        <v>225</v>
      </c>
      <c r="F6" s="16">
        <f>'Income Statement'!J10</f>
        <v>252</v>
      </c>
      <c r="G6" s="16">
        <f>'Income Statement'!K10</f>
        <v>258.75</v>
      </c>
      <c r="H6" s="16">
        <f>'Income Statement'!L10</f>
        <v>271.39999999999998</v>
      </c>
      <c r="I6" s="16">
        <f>'Income Statement'!M10</f>
        <v>288.2</v>
      </c>
      <c r="J6" s="16">
        <f>'Income Statement'!N10</f>
        <v>284</v>
      </c>
      <c r="K6" s="16">
        <f>'Income Statement'!O10</f>
        <v>304</v>
      </c>
    </row>
    <row r="7" spans="1:11" x14ac:dyDescent="0.3">
      <c r="A7" t="s">
        <v>157</v>
      </c>
      <c r="B7" s="16">
        <v>93</v>
      </c>
      <c r="C7" s="16">
        <v>186</v>
      </c>
      <c r="D7" s="16">
        <v>315</v>
      </c>
      <c r="E7" s="16">
        <v>192</v>
      </c>
      <c r="F7" s="16">
        <v>123</v>
      </c>
      <c r="G7" s="16">
        <v>166</v>
      </c>
      <c r="H7" s="16">
        <v>179</v>
      </c>
      <c r="I7" s="16">
        <v>160</v>
      </c>
      <c r="J7" s="16">
        <v>136</v>
      </c>
      <c r="K7" s="16">
        <v>123</v>
      </c>
    </row>
    <row r="8" spans="1:11" x14ac:dyDescent="0.3"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3">
      <c r="A9" s="17" t="s">
        <v>158</v>
      </c>
      <c r="B9" s="18">
        <f t="shared" ref="B9:K9" si="0">B5+B6-B7</f>
        <v>90.787500000000023</v>
      </c>
      <c r="C9" s="18">
        <f t="shared" si="0"/>
        <v>195.5</v>
      </c>
      <c r="D9" s="18">
        <f t="shared" si="0"/>
        <v>437.54999999999995</v>
      </c>
      <c r="E9" s="18">
        <f t="shared" si="0"/>
        <v>820.5</v>
      </c>
      <c r="F9" s="18">
        <f t="shared" si="0"/>
        <v>1067.25</v>
      </c>
      <c r="G9" s="18">
        <f t="shared" si="0"/>
        <v>1171.7374999999997</v>
      </c>
      <c r="H9" s="18">
        <f t="shared" si="0"/>
        <v>1304.8500000000004</v>
      </c>
      <c r="I9" s="18">
        <f t="shared" si="0"/>
        <v>1493.875</v>
      </c>
      <c r="J9" s="18">
        <f t="shared" si="0"/>
        <v>1596.3999999999999</v>
      </c>
      <c r="K9" s="18">
        <f t="shared" si="0"/>
        <v>1731.3999999999999</v>
      </c>
    </row>
    <row r="10" spans="1:11" x14ac:dyDescent="0.3"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3">
      <c r="A11" s="4" t="s">
        <v>159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3">
      <c r="A12" t="s">
        <v>105</v>
      </c>
      <c r="B12" s="16">
        <v>500</v>
      </c>
      <c r="C12" s="16">
        <v>600</v>
      </c>
      <c r="D12" s="16">
        <v>200</v>
      </c>
      <c r="E12" s="16">
        <v>150</v>
      </c>
      <c r="F12" s="16">
        <v>200</v>
      </c>
      <c r="G12" s="16">
        <v>200</v>
      </c>
      <c r="H12" s="16">
        <v>250</v>
      </c>
      <c r="I12" s="16">
        <v>250</v>
      </c>
      <c r="J12" s="16">
        <v>200</v>
      </c>
      <c r="K12" s="16">
        <v>200</v>
      </c>
    </row>
    <row r="13" spans="1:11" x14ac:dyDescent="0.3">
      <c r="A13" s="3" t="s">
        <v>160</v>
      </c>
      <c r="B13" s="16">
        <f t="shared" ref="B13:K13" si="1">-B12</f>
        <v>-500</v>
      </c>
      <c r="C13" s="16">
        <f t="shared" si="1"/>
        <v>-600</v>
      </c>
      <c r="D13" s="16">
        <f t="shared" si="1"/>
        <v>-200</v>
      </c>
      <c r="E13" s="16">
        <f t="shared" si="1"/>
        <v>-150</v>
      </c>
      <c r="F13" s="16">
        <f t="shared" si="1"/>
        <v>-200</v>
      </c>
      <c r="G13" s="16">
        <f t="shared" si="1"/>
        <v>-200</v>
      </c>
      <c r="H13" s="16">
        <f t="shared" si="1"/>
        <v>-250</v>
      </c>
      <c r="I13" s="16">
        <f t="shared" si="1"/>
        <v>-250</v>
      </c>
      <c r="J13" s="16">
        <f t="shared" si="1"/>
        <v>-200</v>
      </c>
      <c r="K13" s="16">
        <f t="shared" si="1"/>
        <v>-200</v>
      </c>
    </row>
    <row r="14" spans="1:11" x14ac:dyDescent="0.3"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3">
      <c r="A15" s="4" t="s">
        <v>161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3">
      <c r="A16" t="s">
        <v>162</v>
      </c>
      <c r="B16" s="23">
        <v>300</v>
      </c>
      <c r="C16" s="23">
        <v>250</v>
      </c>
      <c r="D16" s="16">
        <v>-50</v>
      </c>
      <c r="E16" s="16">
        <v>-100</v>
      </c>
      <c r="F16" s="16">
        <v>-50</v>
      </c>
      <c r="G16" s="16">
        <v>-50</v>
      </c>
      <c r="H16" s="16">
        <v>0</v>
      </c>
      <c r="I16" s="16">
        <v>0</v>
      </c>
      <c r="J16" s="16">
        <v>-50</v>
      </c>
      <c r="K16" s="16">
        <v>-50</v>
      </c>
    </row>
    <row r="17" spans="1:11" x14ac:dyDescent="0.3">
      <c r="A17" s="3" t="s">
        <v>163</v>
      </c>
      <c r="B17" s="16">
        <f t="shared" ref="B17:K17" si="2">B16</f>
        <v>300</v>
      </c>
      <c r="C17" s="16">
        <f t="shared" si="2"/>
        <v>250</v>
      </c>
      <c r="D17" s="16">
        <f t="shared" si="2"/>
        <v>-50</v>
      </c>
      <c r="E17" s="16">
        <f t="shared" si="2"/>
        <v>-100</v>
      </c>
      <c r="F17" s="16">
        <f t="shared" si="2"/>
        <v>-50</v>
      </c>
      <c r="G17" s="16">
        <f t="shared" si="2"/>
        <v>-50</v>
      </c>
      <c r="H17" s="16">
        <f t="shared" si="2"/>
        <v>0</v>
      </c>
      <c r="I17" s="16">
        <f t="shared" si="2"/>
        <v>0</v>
      </c>
      <c r="J17" s="16">
        <f t="shared" si="2"/>
        <v>-50</v>
      </c>
      <c r="K17" s="16">
        <f t="shared" si="2"/>
        <v>-50</v>
      </c>
    </row>
    <row r="18" spans="1:11" x14ac:dyDescent="0.3"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3">
      <c r="A19" s="47" t="s">
        <v>164</v>
      </c>
      <c r="B19" s="34">
        <f t="shared" ref="B19:K19" si="3">B9+B13+B17</f>
        <v>-109.21249999999998</v>
      </c>
      <c r="C19" s="34">
        <f t="shared" si="3"/>
        <v>-154.5</v>
      </c>
      <c r="D19" s="34">
        <f t="shared" si="3"/>
        <v>187.54999999999995</v>
      </c>
      <c r="E19" s="34">
        <f t="shared" si="3"/>
        <v>570.5</v>
      </c>
      <c r="F19" s="34">
        <f t="shared" si="3"/>
        <v>817.25</v>
      </c>
      <c r="G19" s="34">
        <f t="shared" si="3"/>
        <v>921.73749999999973</v>
      </c>
      <c r="H19" s="34">
        <f t="shared" si="3"/>
        <v>1054.8500000000004</v>
      </c>
      <c r="I19" s="34">
        <f t="shared" si="3"/>
        <v>1243.875</v>
      </c>
      <c r="J19" s="34">
        <f t="shared" si="3"/>
        <v>1346.3999999999999</v>
      </c>
      <c r="K19" s="34">
        <f t="shared" si="3"/>
        <v>1481.3999999999999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31E9-9D80-44A1-A7A9-EAD8246A9BC5}">
  <dimension ref="A1:O67"/>
  <sheetViews>
    <sheetView tabSelected="1" workbookViewId="0">
      <selection activeCell="D11" sqref="D11"/>
    </sheetView>
  </sheetViews>
  <sheetFormatPr defaultRowHeight="14.4" x14ac:dyDescent="0.3"/>
  <cols>
    <col min="1" max="1" width="46.33203125" customWidth="1"/>
    <col min="2" max="2" width="18.5546875" customWidth="1"/>
    <col min="3" max="3" width="37" customWidth="1"/>
  </cols>
  <sheetData>
    <row r="1" spans="1:4" ht="17.399999999999999" x14ac:dyDescent="0.35">
      <c r="A1" s="12" t="s">
        <v>76</v>
      </c>
    </row>
    <row r="3" spans="1:4" x14ac:dyDescent="0.3">
      <c r="A3" s="2" t="s">
        <v>77</v>
      </c>
      <c r="B3" s="24"/>
      <c r="C3" s="24"/>
      <c r="D3" s="24"/>
    </row>
    <row r="5" spans="1:4" x14ac:dyDescent="0.3">
      <c r="A5" s="4" t="s">
        <v>78</v>
      </c>
      <c r="B5" s="25"/>
      <c r="C5" s="25"/>
    </row>
    <row r="6" spans="1:4" x14ac:dyDescent="0.3">
      <c r="A6" t="s">
        <v>79</v>
      </c>
      <c r="B6" s="26">
        <v>6.6799999999999998E-2</v>
      </c>
      <c r="C6" s="27" t="s">
        <v>80</v>
      </c>
    </row>
    <row r="7" spans="1:4" x14ac:dyDescent="0.3">
      <c r="A7" t="s">
        <v>81</v>
      </c>
      <c r="B7" s="26">
        <v>7.46E-2</v>
      </c>
      <c r="C7" s="27" t="s">
        <v>82</v>
      </c>
    </row>
    <row r="8" spans="1:4" x14ac:dyDescent="0.3">
      <c r="A8" t="s">
        <v>83</v>
      </c>
      <c r="B8" s="28">
        <v>1.05</v>
      </c>
      <c r="C8" s="27" t="s">
        <v>84</v>
      </c>
    </row>
    <row r="9" spans="1:4" x14ac:dyDescent="0.3">
      <c r="A9" t="s">
        <v>215</v>
      </c>
      <c r="B9" s="70">
        <v>95</v>
      </c>
      <c r="C9" s="27" t="s">
        <v>216</v>
      </c>
    </row>
    <row r="10" spans="1:4" x14ac:dyDescent="0.3">
      <c r="A10" t="s">
        <v>217</v>
      </c>
      <c r="B10" s="28">
        <v>22.04</v>
      </c>
      <c r="C10" s="27" t="s">
        <v>118</v>
      </c>
    </row>
    <row r="11" spans="1:4" x14ac:dyDescent="0.3">
      <c r="A11" t="s">
        <v>218</v>
      </c>
      <c r="B11" s="22">
        <f>B9*B10</f>
        <v>2093.7999999999997</v>
      </c>
      <c r="C11" s="27" t="s">
        <v>219</v>
      </c>
    </row>
    <row r="12" spans="1:4" x14ac:dyDescent="0.3">
      <c r="A12" t="s">
        <v>220</v>
      </c>
      <c r="B12" s="23">
        <v>380</v>
      </c>
      <c r="C12" s="27" t="s">
        <v>221</v>
      </c>
    </row>
    <row r="13" spans="1:4" x14ac:dyDescent="0.3">
      <c r="A13" t="s">
        <v>224</v>
      </c>
      <c r="B13" s="71">
        <f>B12/B11</f>
        <v>0.18148820326678769</v>
      </c>
      <c r="C13" s="27" t="s">
        <v>223</v>
      </c>
    </row>
    <row r="14" spans="1:4" x14ac:dyDescent="0.3">
      <c r="A14" t="s">
        <v>85</v>
      </c>
      <c r="B14" s="6">
        <v>0.25</v>
      </c>
      <c r="C14" s="27" t="s">
        <v>86</v>
      </c>
    </row>
    <row r="15" spans="1:4" x14ac:dyDescent="0.3">
      <c r="A15" s="3" t="s">
        <v>87</v>
      </c>
      <c r="B15" s="20">
        <f>B8*(1+(1-B14)*B13)</f>
        <v>1.1929219600725953</v>
      </c>
      <c r="C15" s="27" t="s">
        <v>197</v>
      </c>
    </row>
    <row r="16" spans="1:4" x14ac:dyDescent="0.3">
      <c r="A16" t="s">
        <v>88</v>
      </c>
      <c r="B16" s="26">
        <v>0.01</v>
      </c>
      <c r="C16" s="27" t="s">
        <v>208</v>
      </c>
    </row>
    <row r="17" spans="1:15" x14ac:dyDescent="0.3">
      <c r="A17" s="17" t="s">
        <v>89</v>
      </c>
      <c r="B17" s="29">
        <f>B6+B15*B7+B16</f>
        <v>0.16579197822141561</v>
      </c>
      <c r="C17" s="61" t="s">
        <v>198</v>
      </c>
    </row>
    <row r="19" spans="1:15" x14ac:dyDescent="0.3">
      <c r="A19" s="4" t="s">
        <v>90</v>
      </c>
      <c r="B19" s="25"/>
      <c r="C19" s="25"/>
    </row>
    <row r="20" spans="1:15" x14ac:dyDescent="0.3">
      <c r="A20" t="s">
        <v>91</v>
      </c>
      <c r="B20" t="s">
        <v>92</v>
      </c>
      <c r="C20" s="27" t="s">
        <v>93</v>
      </c>
    </row>
    <row r="21" spans="1:15" x14ac:dyDescent="0.3">
      <c r="A21" t="s">
        <v>94</v>
      </c>
      <c r="B21" s="26">
        <v>0.105</v>
      </c>
      <c r="C21" s="27" t="s">
        <v>95</v>
      </c>
    </row>
    <row r="22" spans="1:15" x14ac:dyDescent="0.3">
      <c r="A22" s="17" t="s">
        <v>96</v>
      </c>
      <c r="B22" s="29">
        <f>B21*(1-B14)</f>
        <v>7.8750000000000001E-2</v>
      </c>
      <c r="C22" s="61" t="s">
        <v>199</v>
      </c>
    </row>
    <row r="24" spans="1:15" x14ac:dyDescent="0.3">
      <c r="A24" s="4" t="s">
        <v>97</v>
      </c>
      <c r="B24" s="25"/>
      <c r="C24" s="25"/>
    </row>
    <row r="25" spans="1:15" x14ac:dyDescent="0.3">
      <c r="A25" t="s">
        <v>98</v>
      </c>
      <c r="B25" s="6">
        <f>1/(1+B13)</f>
        <v>0.84639016897081409</v>
      </c>
      <c r="C25" s="27" t="s">
        <v>200</v>
      </c>
    </row>
    <row r="26" spans="1:15" x14ac:dyDescent="0.3">
      <c r="A26" t="s">
        <v>99</v>
      </c>
      <c r="B26" s="6">
        <f>B13/(1+B13)</f>
        <v>0.15360983102918588</v>
      </c>
      <c r="C26" s="27" t="s">
        <v>201</v>
      </c>
    </row>
    <row r="28" spans="1:15" ht="15.6" x14ac:dyDescent="0.3">
      <c r="A28" s="30" t="s">
        <v>100</v>
      </c>
      <c r="B28" s="33">
        <f>B25*B17+B26*B22</f>
        <v>0.15242147465437786</v>
      </c>
      <c r="C28" s="62" t="s">
        <v>202</v>
      </c>
    </row>
    <row r="31" spans="1:15" x14ac:dyDescent="0.3">
      <c r="A31" s="2" t="s">
        <v>101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x14ac:dyDescent="0.3">
      <c r="A32" s="4"/>
      <c r="B32" s="4" t="s">
        <v>48</v>
      </c>
      <c r="C32" s="4" t="s">
        <v>49</v>
      </c>
      <c r="D32" s="4" t="s">
        <v>50</v>
      </c>
      <c r="E32" s="4" t="s">
        <v>51</v>
      </c>
      <c r="F32" s="4" t="s">
        <v>52</v>
      </c>
      <c r="G32" s="4" t="s">
        <v>53</v>
      </c>
      <c r="H32" s="4" t="s">
        <v>54</v>
      </c>
      <c r="I32" s="4" t="s">
        <v>55</v>
      </c>
      <c r="J32" s="4" t="s">
        <v>56</v>
      </c>
      <c r="K32" s="4" t="s">
        <v>57</v>
      </c>
    </row>
    <row r="33" spans="1:11" x14ac:dyDescent="0.3">
      <c r="A33" t="s">
        <v>64</v>
      </c>
      <c r="B33" s="16">
        <f>'Income Statement'!F11</f>
        <v>234</v>
      </c>
      <c r="C33" s="16">
        <f>'Income Statement'!G11</f>
        <v>455</v>
      </c>
      <c r="D33" s="16">
        <f>'Income Statement'!H11</f>
        <v>870</v>
      </c>
      <c r="E33" s="16">
        <f>'Income Statement'!I11</f>
        <v>1162.5</v>
      </c>
      <c r="F33" s="16">
        <f>'Income Statement'!J11</f>
        <v>1368</v>
      </c>
      <c r="G33" s="16">
        <f>'Income Statement'!K11</f>
        <v>1552.4999999999998</v>
      </c>
      <c r="H33" s="16">
        <f>'Income Statement'!L11</f>
        <v>1734.6000000000004</v>
      </c>
      <c r="I33" s="16">
        <f>'Income Statement'!M11</f>
        <v>1938.8</v>
      </c>
      <c r="J33" s="16">
        <f>'Income Statement'!N11</f>
        <v>2059</v>
      </c>
      <c r="K33" s="16">
        <f>'Income Statement'!O11</f>
        <v>2204</v>
      </c>
    </row>
    <row r="34" spans="1:11" x14ac:dyDescent="0.3">
      <c r="A34" t="s">
        <v>102</v>
      </c>
      <c r="B34" s="16">
        <f>B33*'Income Statement'!F18</f>
        <v>58.5</v>
      </c>
      <c r="C34" s="16">
        <f>C33*'Income Statement'!G18</f>
        <v>113.75</v>
      </c>
      <c r="D34" s="16">
        <f>D33*'Income Statement'!H18</f>
        <v>217.5</v>
      </c>
      <c r="E34" s="16">
        <f>E33*'Income Statement'!I18</f>
        <v>290.625</v>
      </c>
      <c r="F34" s="16">
        <f>F33*'Income Statement'!J18</f>
        <v>342</v>
      </c>
      <c r="G34" s="16">
        <f>G33*'Income Statement'!K18</f>
        <v>388.12499999999994</v>
      </c>
      <c r="H34" s="16">
        <f>H33*'Income Statement'!L18</f>
        <v>433.65000000000009</v>
      </c>
      <c r="I34" s="16">
        <f>I33*'Income Statement'!M18</f>
        <v>484.7</v>
      </c>
      <c r="J34" s="16">
        <f>J33*'Income Statement'!N18</f>
        <v>514.75</v>
      </c>
      <c r="K34" s="16">
        <f>K33*'Income Statement'!O18</f>
        <v>551</v>
      </c>
    </row>
    <row r="35" spans="1:11" x14ac:dyDescent="0.3">
      <c r="A35" s="3" t="s">
        <v>103</v>
      </c>
      <c r="B35" s="16">
        <f t="shared" ref="B35:K35" si="0">B33-B34</f>
        <v>175.5</v>
      </c>
      <c r="C35" s="16">
        <f t="shared" si="0"/>
        <v>341.25</v>
      </c>
      <c r="D35" s="16">
        <f t="shared" si="0"/>
        <v>652.5</v>
      </c>
      <c r="E35" s="16">
        <f t="shared" si="0"/>
        <v>871.875</v>
      </c>
      <c r="F35" s="16">
        <f t="shared" si="0"/>
        <v>1026</v>
      </c>
      <c r="G35" s="16">
        <f t="shared" si="0"/>
        <v>1164.3749999999998</v>
      </c>
      <c r="H35" s="16">
        <f t="shared" si="0"/>
        <v>1300.9500000000003</v>
      </c>
      <c r="I35" s="16">
        <f t="shared" si="0"/>
        <v>1454.1</v>
      </c>
      <c r="J35" s="16">
        <f t="shared" si="0"/>
        <v>1544.25</v>
      </c>
      <c r="K35" s="16">
        <f t="shared" si="0"/>
        <v>1653</v>
      </c>
    </row>
    <row r="36" spans="1:11" x14ac:dyDescent="0.3">
      <c r="A36" t="s">
        <v>104</v>
      </c>
      <c r="B36" s="16">
        <f>'Income Statement'!F10</f>
        <v>39</v>
      </c>
      <c r="C36" s="16">
        <f>'Income Statement'!G10</f>
        <v>87.5</v>
      </c>
      <c r="D36" s="16">
        <f>'Income Statement'!H10</f>
        <v>174</v>
      </c>
      <c r="E36" s="16">
        <f>'Income Statement'!I10</f>
        <v>225</v>
      </c>
      <c r="F36" s="16">
        <f>'Income Statement'!J10</f>
        <v>252</v>
      </c>
      <c r="G36" s="16">
        <f>'Income Statement'!K10</f>
        <v>258.75</v>
      </c>
      <c r="H36" s="16">
        <f>'Income Statement'!L10</f>
        <v>271.39999999999998</v>
      </c>
      <c r="I36" s="16">
        <f>'Income Statement'!M10</f>
        <v>288.2</v>
      </c>
      <c r="J36" s="16">
        <f>'Income Statement'!N10</f>
        <v>284</v>
      </c>
      <c r="K36" s="16">
        <f>'Income Statement'!O10</f>
        <v>304</v>
      </c>
    </row>
    <row r="37" spans="1:11" x14ac:dyDescent="0.3">
      <c r="A37" t="s">
        <v>105</v>
      </c>
      <c r="B37" s="16">
        <v>500</v>
      </c>
      <c r="C37" s="16">
        <v>600</v>
      </c>
      <c r="D37" s="16">
        <v>200</v>
      </c>
      <c r="E37" s="16">
        <v>150</v>
      </c>
      <c r="F37" s="16">
        <v>200</v>
      </c>
      <c r="G37" s="16">
        <v>200</v>
      </c>
      <c r="H37" s="16">
        <v>250</v>
      </c>
      <c r="I37" s="16">
        <v>250</v>
      </c>
      <c r="J37" s="16">
        <v>200</v>
      </c>
      <c r="K37" s="16">
        <v>200</v>
      </c>
    </row>
    <row r="38" spans="1:11" x14ac:dyDescent="0.3">
      <c r="A38" t="s">
        <v>106</v>
      </c>
      <c r="B38" s="16">
        <f>'Income Statement'!F4*55/365-'Income Statement'!E4*55/365</f>
        <v>92.821917808219183</v>
      </c>
      <c r="C38" s="16">
        <f>'Income Statement'!G4*50/365-'Income Statement'!F4*55/365</f>
        <v>185.61643835616439</v>
      </c>
      <c r="D38" s="16">
        <f>'Income Statement'!H4*50/365-'Income Statement'!G4*50/365</f>
        <v>315.06849315068496</v>
      </c>
      <c r="E38" s="16">
        <f>'Income Statement'!I4*48/365-'Income Statement'!H4*50/365</f>
        <v>191.78082191780823</v>
      </c>
      <c r="F38" s="16">
        <f>'Income Statement'!J4*45/365-'Income Statement'!I4*48/365</f>
        <v>123.28767123287673</v>
      </c>
      <c r="G38" s="16">
        <f>'Income Statement'!K4*45/365-'Income Statement'!J4*45/365</f>
        <v>166.43835616438355</v>
      </c>
      <c r="H38" s="16">
        <f>'Income Statement'!L4*45/365-'Income Statement'!K4*45/365</f>
        <v>178.76712328767121</v>
      </c>
      <c r="I38" s="16">
        <f>'Income Statement'!M4*45/365-'Income Statement'!L4*45/365</f>
        <v>160.2739726027396</v>
      </c>
      <c r="J38" s="16">
        <f>'Income Statement'!N4*45/365-'Income Statement'!M4*45/365</f>
        <v>135.61643835616451</v>
      </c>
      <c r="K38" s="16">
        <f>'Income Statement'!O4*45/365-'Income Statement'!N4*45/365</f>
        <v>123.28767123287662</v>
      </c>
    </row>
    <row r="39" spans="1:11" x14ac:dyDescent="0.3">
      <c r="A39" s="17" t="s">
        <v>107</v>
      </c>
      <c r="B39" s="18">
        <f t="shared" ref="B39:K39" si="1">B35+B36-B37-B38</f>
        <v>-378.32191780821915</v>
      </c>
      <c r="C39" s="18">
        <f t="shared" si="1"/>
        <v>-356.86643835616439</v>
      </c>
      <c r="D39" s="18">
        <f t="shared" si="1"/>
        <v>311.43150684931504</v>
      </c>
      <c r="E39" s="18">
        <f t="shared" si="1"/>
        <v>755.09417808219177</v>
      </c>
      <c r="F39" s="18">
        <f t="shared" si="1"/>
        <v>954.71232876712327</v>
      </c>
      <c r="G39" s="18">
        <f t="shared" si="1"/>
        <v>1056.6866438356162</v>
      </c>
      <c r="H39" s="18">
        <f t="shared" si="1"/>
        <v>1143.5828767123292</v>
      </c>
      <c r="I39" s="18">
        <f t="shared" si="1"/>
        <v>1332.0260273972603</v>
      </c>
      <c r="J39" s="18">
        <f t="shared" si="1"/>
        <v>1492.6335616438355</v>
      </c>
      <c r="K39" s="18">
        <f t="shared" si="1"/>
        <v>1633.7123287671234</v>
      </c>
    </row>
    <row r="41" spans="1:11" x14ac:dyDescent="0.3">
      <c r="A41" s="2" t="s">
        <v>108</v>
      </c>
      <c r="B41" s="24"/>
      <c r="C41" s="24"/>
      <c r="D41" s="24"/>
    </row>
    <row r="43" spans="1:11" x14ac:dyDescent="0.3">
      <c r="A43" s="3" t="s">
        <v>100</v>
      </c>
      <c r="B43" s="6">
        <f>B28</f>
        <v>0.15242147465437786</v>
      </c>
    </row>
    <row r="44" spans="1:11" x14ac:dyDescent="0.3">
      <c r="A44" t="s">
        <v>109</v>
      </c>
      <c r="B44" s="26">
        <v>0.05</v>
      </c>
      <c r="C44" s="27" t="s">
        <v>110</v>
      </c>
    </row>
    <row r="45" spans="1:11" x14ac:dyDescent="0.3">
      <c r="A45" t="s">
        <v>111</v>
      </c>
      <c r="B45" s="16">
        <f>K39</f>
        <v>1633.7123287671234</v>
      </c>
    </row>
    <row r="46" spans="1:11" x14ac:dyDescent="0.3">
      <c r="A46" s="3" t="s">
        <v>112</v>
      </c>
      <c r="B46" s="16">
        <f>B45*(1+B44)/(B43-B44)</f>
        <v>16748.420690036975</v>
      </c>
    </row>
    <row r="48" spans="1:11" x14ac:dyDescent="0.3">
      <c r="A48" s="3" t="s">
        <v>113</v>
      </c>
      <c r="B48" s="16">
        <f>B39/(1+B43)^1+C39/(1+B43)^2+D39/(1+B43)^3+E39/(1+B43)^4+F39/(1+B43)^5+G39/(1+B43)^6+H39/(1+B43)^7+I39/(1+B43)^8+J39/(1+B43)^9+K39/(1+B43)^10</f>
        <v>2618.9733631208633</v>
      </c>
    </row>
    <row r="49" spans="1:8" x14ac:dyDescent="0.3">
      <c r="A49" s="3" t="s">
        <v>114</v>
      </c>
      <c r="B49" s="16">
        <f>B46/(1+B43)^10</f>
        <v>4053.7824311505115</v>
      </c>
    </row>
    <row r="51" spans="1:8" ht="15.6" x14ac:dyDescent="0.3">
      <c r="A51" s="30" t="s">
        <v>115</v>
      </c>
      <c r="B51" s="35">
        <f>B48+B49</f>
        <v>6672.7557942713747</v>
      </c>
      <c r="C51" s="31"/>
    </row>
    <row r="52" spans="1:8" x14ac:dyDescent="0.3">
      <c r="A52" t="s">
        <v>116</v>
      </c>
      <c r="B52" s="23">
        <f>'Balance Sheet'!E17</f>
        <v>260</v>
      </c>
      <c r="C52" s="27" t="s">
        <v>205</v>
      </c>
    </row>
    <row r="53" spans="1:8" x14ac:dyDescent="0.3">
      <c r="A53" s="3" t="s">
        <v>117</v>
      </c>
      <c r="B53" s="36">
        <f>B51-B52</f>
        <v>6412.7557942713747</v>
      </c>
    </row>
    <row r="54" spans="1:8" x14ac:dyDescent="0.3">
      <c r="A54" t="s">
        <v>74</v>
      </c>
      <c r="B54" s="20">
        <v>22.04</v>
      </c>
      <c r="C54" s="27" t="s">
        <v>118</v>
      </c>
    </row>
    <row r="56" spans="1:8" ht="17.399999999999999" x14ac:dyDescent="0.35">
      <c r="A56" s="37" t="s">
        <v>119</v>
      </c>
      <c r="B56" s="40">
        <f>B53/B54</f>
        <v>290.95988177274842</v>
      </c>
      <c r="C56" s="38"/>
    </row>
    <row r="59" spans="1:8" x14ac:dyDescent="0.3">
      <c r="A59" s="2" t="s">
        <v>120</v>
      </c>
      <c r="B59" s="24"/>
      <c r="C59" s="24"/>
      <c r="D59" s="24"/>
      <c r="E59" s="24"/>
      <c r="F59" s="24"/>
      <c r="G59" s="24"/>
      <c r="H59" s="24"/>
    </row>
    <row r="60" spans="1:8" x14ac:dyDescent="0.3">
      <c r="A60" s="4" t="s">
        <v>121</v>
      </c>
      <c r="B60" s="41">
        <v>0.03</v>
      </c>
      <c r="C60" s="41">
        <v>0.04</v>
      </c>
      <c r="D60" s="41">
        <v>4.4999999999999998E-2</v>
      </c>
      <c r="E60" s="41">
        <v>0.05</v>
      </c>
      <c r="F60" s="41">
        <v>5.5E-2</v>
      </c>
      <c r="G60" s="41">
        <v>0.06</v>
      </c>
      <c r="H60" s="41">
        <v>7.0000000000000007E-2</v>
      </c>
    </row>
    <row r="61" spans="1:8" x14ac:dyDescent="0.3">
      <c r="A61" s="42">
        <f>B28+-0.02</f>
        <v>0.13242147465437787</v>
      </c>
      <c r="B61" s="16">
        <f>(B39/(1+($B$28+-0.02))^1+C39/(1+($B$28+-0.02))^2+D39/(1+($B$28+-0.02))^3+E39/(1+($B$28+-0.02))^4+F39/(1+($B$28+-0.02))^5+G39/(1+($B$28+-0.02))^6+H39/(1+($B$28+-0.02))^7+I39/(1+($B$28+-0.02))^8+J39/(1+($B$28+-0.02))^9+K39/(1+($B$28+-0.02))^10+K39*(1+0.03)/(($B$28+-0.02)-0.03)/(1+($B$28+-0.02))^10-$B$52)/$B$54</f>
        <v>339.48632264824988</v>
      </c>
      <c r="C61" s="16">
        <f>(B39/(1+($B$28+-0.02))^1+C39/(1+($B$28+-0.02))^2+D39/(1+($B$28+-0.02))^3+E39/(1+($B$28+-0.02))^4+F39/(1+($B$28+-0.02))^5+G39/(1+($B$28+-0.02))^6+H39/(1+($B$28+-0.02))^7+I39/(1+($B$28+-0.02))^8+J39/(1+($B$28+-0.02))^9+K39/(1+($B$28+-0.02))^10+K39*(1+0.04)/(($B$28+-0.02)-0.04)/(1+($B$28+-0.02))^10-$B$52)/$B$54</f>
        <v>365.05611548864226</v>
      </c>
      <c r="D61" s="16">
        <f>(B39/(1+($B$28+-0.02))^1+C39/(1+($B$28+-0.02))^2+D39/(1+($B$28+-0.02))^3+E39/(1+($B$28+-0.02))^4+F39/(1+($B$28+-0.02))^5+G39/(1+($B$28+-0.02))^6+H39/(1+($B$28+-0.02))^7+I39/(1+($B$28+-0.02))^8+J39/(1+($B$28+-0.02))^9+K39/(1+($B$28+-0.02))^10+K39*(1+0.045)/(($B$28+-0.02)-0.045)/(1+($B$28+-0.02))^10-$B$52)/$B$54</f>
        <v>380.03467710450241</v>
      </c>
      <c r="E61" s="16">
        <f>(B39/(1+($B$28+-0.02))^1+C39/(1+($B$28+-0.02))^2+D39/(1+($B$28+-0.02))^3+E39/(1+($B$28+-0.02))^4+F39/(1+($B$28+-0.02))^5+G39/(1+($B$28+-0.02))^6+H39/(1+($B$28+-0.02))^7+I39/(1+($B$28+-0.02))^8+J39/(1+($B$28+-0.02))^9+K39/(1+($B$28+-0.02))^10+K39*(1+0.05)/(($B$28+-0.02)-0.05)/(1+($B$28+-0.02))^10-$B$52)/$B$54</f>
        <v>396.83055170568258</v>
      </c>
      <c r="F61" s="16">
        <f>(B39/(1+($B$28+-0.02))^1+C39/(1+($B$28+-0.02))^2+D39/(1+($B$28+-0.02))^3+E39/(1+($B$28+-0.02))^4+F39/(1+($B$28+-0.02))^5+G39/(1+($B$28+-0.02))^6+H39/(1+($B$28+-0.02))^7+I39/(1+($B$28+-0.02))^8+J39/(1+($B$28+-0.02))^9+K39/(1+($B$28+-0.02))^10+K39*(1+0.055)/(($B$28+-0.02)-0.055)/(1+($B$28+-0.02))^10-$B$52)/$B$54</f>
        <v>415.79583404239844</v>
      </c>
      <c r="G61" s="16">
        <f>(B39/(1+($B$28+-0.02))^1+C39/(1+($B$28+-0.02))^2+D39/(1+($B$28+-0.02))^3+E39/(1+($B$28+-0.02))^4+F39/(1+($B$28+-0.02))^5+G39/(1+($B$28+-0.02))^6+H39/(1+($B$28+-0.02))^7+I39/(1+($B$28+-0.02))^8+J39/(1+($B$28+-0.02))^9+K39/(1+($B$28+-0.02))^10+K39*(1+0.06)/(($B$28+-0.02)-0.06)/(1+($B$28+-0.02))^10-$B$52)/$B$54</f>
        <v>437.37985376705416</v>
      </c>
      <c r="H61" s="16">
        <f>(B39/(1+($B$28+-0.02))^1+C39/(1+($B$28+-0.02))^2+D39/(1+($B$28+-0.02))^3+E39/(1+($B$28+-0.02))^4+F39/(1+($B$28+-0.02))^5+G39/(1+($B$28+-0.02))^6+H39/(1+($B$28+-0.02))^7+I39/(1+($B$28+-0.02))^8+J39/(1+($B$28+-0.02))^9+K39/(1+($B$28+-0.02))^10+K39*(1+0.07)/(($B$28+-0.02)-0.07)/(1+($B$28+-0.02))^10-$B$52)/$B$54</f>
        <v>490.92125583435796</v>
      </c>
    </row>
    <row r="62" spans="1:8" x14ac:dyDescent="0.3">
      <c r="A62" s="42">
        <f>B28+-0.01</f>
        <v>0.14242147465437785</v>
      </c>
      <c r="B62" s="16">
        <f>(B39/(1+($B$28+-0.01))^1+C39/(1+($B$28+-0.01))^2+D39/(1+($B$28+-0.01))^3+E39/(1+($B$28+-0.01))^4+F39/(1+($B$28+-0.01))^5+G39/(1+($B$28+-0.01))^6+H39/(1+($B$28+-0.01))^7+I39/(1+($B$28+-0.01))^8+J39/(1+($B$28+-0.01))^9+K39/(1+($B$28+-0.01))^10+K39*(1+0.03)/(($B$28+-0.01)-0.03)/(1+($B$28+-0.01))^10-$B$52)/$B$54</f>
        <v>294.80003533395865</v>
      </c>
      <c r="C62" s="16">
        <f>(B39/(1+($B$28+-0.01))^1+C39/(1+($B$28+-0.01))^2+D39/(1+($B$28+-0.01))^3+E39/(1+($B$28+-0.01))^4+F39/(1+($B$28+-0.01))^5+G39/(1+($B$28+-0.01))^6+H39/(1+($B$28+-0.01))^7+I39/(1+($B$28+-0.01))^8+J39/(1+($B$28+-0.01))^9+K39/(1+($B$28+-0.01))^10+K39*(1+0.04)/(($B$28+-0.01)-0.04)/(1+($B$28+-0.01))^10-$B$52)/$B$54</f>
        <v>314.22170086562284</v>
      </c>
      <c r="D62" s="16">
        <f>(B39/(1+($B$28+-0.01))^1+C39/(1+($B$28+-0.01))^2+D39/(1+($B$28+-0.01))^3+E39/(1+($B$28+-0.01))^4+F39/(1+($B$28+-0.01))^5+G39/(1+($B$28+-0.01))^6+H39/(1+($B$28+-0.01))^7+I39/(1+($B$28+-0.01))^8+J39/(1+($B$28+-0.01))^9+K39/(1+($B$28+-0.01))^10+K39*(1+0.045)/(($B$28+-0.01)-0.045)/(1+($B$28+-0.01))^10-$B$52)/$B$54</f>
        <v>325.42771210215915</v>
      </c>
      <c r="E62" s="16">
        <f>(B39/(1+($B$28+-0.01))^1+C39/(1+($B$28+-0.01))^2+D39/(1+($B$28+-0.01))^3+E39/(1+($B$28+-0.01))^4+F39/(1+($B$28+-0.01))^5+G39/(1+($B$28+-0.01))^6+H39/(1+($B$28+-0.01))^7+I39/(1+($B$28+-0.01))^8+J39/(1+($B$28+-0.01))^9+K39/(1+($B$28+-0.01))^10+K39*(1+0.05)/(($B$28+-0.01)-0.05)/(1+($B$28+-0.01))^10-$B$52)/$B$54</f>
        <v>337.84621332313282</v>
      </c>
      <c r="F62" s="16">
        <f>(B39/(1+($B$28+-0.01))^1+C39/(1+($B$28+-0.01))^2+D39/(1+($B$28+-0.01))^3+E39/(1+($B$28+-0.01))^4+F39/(1+($B$28+-0.01))^5+G39/(1+($B$28+-0.01))^6+H39/(1+($B$28+-0.01))^7+I39/(1+($B$28+-0.01))^8+J39/(1+($B$28+-0.01))^9+K39/(1+($B$28+-0.01))^10+K39*(1+0.055)/(($B$28+-0.01)-0.055)/(1+($B$28+-0.01))^10-$B$52)/$B$54</f>
        <v>351.68524665822036</v>
      </c>
      <c r="G62" s="16">
        <f>(B39/(1+($B$28+-0.01))^1+C39/(1+($B$28+-0.01))^2+D39/(1+($B$28+-0.01))^3+E39/(1+($B$28+-0.01))^4+F39/(1+($B$28+-0.01))^5+G39/(1+($B$28+-0.01))^6+H39/(1+($B$28+-0.01))^7+I39/(1+($B$28+-0.01))^8+J39/(1+($B$28+-0.01))^9+K39/(1+($B$28+-0.01))^10+K39*(1+0.06)/(($B$28+-0.01)-0.06)/(1+($B$28+-0.01))^10-$B$52)/$B$54</f>
        <v>367.20333674315617</v>
      </c>
      <c r="H62" s="16">
        <f>(B39/(1+($B$28+-0.01))^1+C39/(1+($B$28+-0.01))^2+D39/(1+($B$28+-0.01))^3+E39/(1+($B$28+-0.01))^4+F39/(1+($B$28+-0.01))^5+G39/(1+($B$28+-0.01))^6+H39/(1+($B$28+-0.01))^7+I39/(1+($B$28+-0.01))^8+J39/(1+($B$28+-0.01))^9+K39/(1+($B$28+-0.01))^10+K39*(1+0.07)/(($B$28+-0.01)-0.07)/(1+($B$28+-0.01))^10-$B$52)/$B$54</f>
        <v>404.66775804964936</v>
      </c>
    </row>
    <row r="63" spans="1:8" x14ac:dyDescent="0.3">
      <c r="A63" s="42">
        <f>B28+-0.005</f>
        <v>0.14742147465437785</v>
      </c>
      <c r="B63" s="16">
        <f>(B39/(1+($B$28+-0.005))^1+C39/(1+($B$28+-0.005))^2+D39/(1+($B$28+-0.005))^3+E39/(1+($B$28+-0.005))^4+F39/(1+($B$28+-0.005))^5+G39/(1+($B$28+-0.005))^6+H39/(1+($B$28+-0.005))^7+I39/(1+($B$28+-0.005))^8+J39/(1+($B$28+-0.005))^9+K39/(1+($B$28+-0.005))^10+K39*(1+0.03)/(($B$28+-0.005)-0.03)/(1+($B$28+-0.005))^10-$B$52)/$B$54</f>
        <v>275.53489448289724</v>
      </c>
      <c r="C63" s="16">
        <f>(B39/(1+($B$28+-0.005))^1+C39/(1+($B$28+-0.005))^2+D39/(1+($B$28+-0.005))^3+E39/(1+($B$28+-0.005))^4+F39/(1+($B$28+-0.005))^5+G39/(1+($B$28+-0.005))^6+H39/(1+($B$28+-0.005))^7+I39/(1+($B$28+-0.005))^8+J39/(1+($B$28+-0.005))^9+K39/(1+($B$28+-0.005))^10+K39*(1+0.04)/(($B$28+-0.005)-0.04)/(1+($B$28+-0.005))^10-$B$52)/$B$54</f>
        <v>292.58074175173488</v>
      </c>
      <c r="D63" s="16">
        <f>(B39/(1+($B$28+-0.005))^1+C39/(1+($B$28+-0.005))^2+D39/(1+($B$28+-0.005))^3+E39/(1+($B$28+-0.005))^4+F39/(1+($B$28+-0.005))^5+G39/(1+($B$28+-0.005))^6+H39/(1+($B$28+-0.005))^7+I39/(1+($B$28+-0.005))^8+J39/(1+($B$28+-0.005))^9+K39/(1+($B$28+-0.005))^10+K39*(1+0.045)/(($B$28+-0.005)-0.045)/(1+($B$28+-0.005))^10-$B$52)/$B$54</f>
        <v>302.35187876081642</v>
      </c>
      <c r="E63" s="16">
        <f>(B39/(1+($B$28+-0.005))^1+C39/(1+($B$28+-0.005))^2+D39/(1+($B$28+-0.005))^3+E39/(1+($B$28+-0.005))^4+F39/(1+($B$28+-0.005))^5+G39/(1+($B$28+-0.005))^6+H39/(1+($B$28+-0.005))^7+I39/(1+($B$28+-0.005))^8+J39/(1+($B$28+-0.005))^9+K39/(1+($B$28+-0.005))^10+K39*(1+0.05)/(($B$28+-0.005)-0.05)/(1+($B$28+-0.005))^10-$B$52)/$B$54</f>
        <v>313.1259914530055</v>
      </c>
      <c r="F63" s="16">
        <f>(B39/(1+($B$28+-0.005))^1+C39/(1+($B$28+-0.005))^2+D39/(1+($B$28+-0.005))^3+E39/(1+($B$28+-0.005))^4+F39/(1+($B$28+-0.005))^5+G39/(1+($B$28+-0.005))^6+H39/(1+($B$28+-0.005))^7+I39/(1+($B$28+-0.005))^8+J39/(1+($B$28+-0.005))^9+K39/(1+($B$28+-0.005))^10+K39*(1+0.055)/(($B$28+-0.005)-0.055)/(1+($B$28+-0.005))^10-$B$52)/$B$54</f>
        <v>325.06586272375876</v>
      </c>
      <c r="G63" s="16">
        <f>(B39/(1+($B$28+-0.005))^1+C39/(1+($B$28+-0.005))^2+D39/(1+($B$28+-0.005))^3+E39/(1+($B$28+-0.005))^4+F39/(1+($B$28+-0.005))^5+G39/(1+($B$28+-0.005))^6+H39/(1+($B$28+-0.005))^7+I39/(1+($B$28+-0.005))^8+J39/(1+($B$28+-0.005))^9+K39/(1+($B$28+-0.005))^10+K39*(1+0.06)/(($B$28+-0.005)-0.06)/(1+($B$28+-0.005))^10-$B$52)/$B$54</f>
        <v>338.3715164087252</v>
      </c>
      <c r="H63" s="16">
        <f>(B39/(1+($B$28+-0.005))^1+C39/(1+($B$28+-0.005))^2+D39/(1+($B$28+-0.005))^3+E39/(1+($B$28+-0.005))^4+F39/(1+($B$28+-0.005))^5+G39/(1+($B$28+-0.005))^6+H39/(1+($B$28+-0.005))^7+I39/(1+($B$28+-0.005))^8+J39/(1+($B$28+-0.005))^9+K39/(1+($B$28+-0.005))^10+K39*(1+0.07)/(($B$28+-0.005)-0.07)/(1+($B$28+-0.005))^10-$B$52)/$B$54</f>
        <v>370.13862341087827</v>
      </c>
    </row>
    <row r="64" spans="1:8" x14ac:dyDescent="0.3">
      <c r="A64" s="32">
        <f>B28</f>
        <v>0.15242147465437786</v>
      </c>
      <c r="B64" s="34">
        <f>(B39/(1+$B$28)^1+C39/(1+$B$28)^2+D39/(1+$B$28)^3+E39/(1+$B$28)^4+F39/(1+$B$28)^5+G39/(1+$B$28)^6+H39/(1+$B$28)^7+I39/(1+$B$28)^8+J39/(1+$B$28)^9+K39/(1+$B$28)^10+K39*(1+0.03)/($B$28-0.03)/(1+$B$28)^10-$B$52)/$B$54</f>
        <v>257.98044165603267</v>
      </c>
      <c r="C64" s="34">
        <f>(B39/(1+$B$28)^1+C39/(1+$B$28)^2+D39/(1+$B$28)^3+E39/(1+$B$28)^4+F39/(1+$B$28)^5+G39/(1+$B$28)^6+H39/(1+$B$28)^7+I39/(1+$B$28)^8+J39/(1+$B$28)^9+K39/(1+$B$28)^10+K39*(1+0.04)/($B$28-0.04)/(1+$B$28)^10-$B$52)/$B$54</f>
        <v>273.00338500566539</v>
      </c>
      <c r="D64" s="34">
        <f>(B39/(1+$B$28)^1+C39/(1+$B$28)^2+D39/(1+$B$28)^3+E39/(1+$B$28)^4+F39/(1+$B$28)^5+G39/(1+$B$28)^6+H39/(1+$B$28)^7+I39/(1+$B$28)^8+J39/(1+$B$28)^9+K39/(1+$B$28)^10+K39*(1+0.045)/($B$28-0.045)/(1+$B$28)^10-$B$52)/$B$54</f>
        <v>281.56373517972736</v>
      </c>
      <c r="E64" s="43">
        <f>(B39/(1+$B$28)^1+C39/(1+$B$28)^2+D39/(1+$B$28)^3+E39/(1+$B$28)^4+F39/(1+$B$28)^5+G39/(1+$B$28)^6+H39/(1+$B$28)^7+I39/(1+$B$28)^8+J39/(1+$B$28)^9+K39/(1+$B$28)^10+K39*(1+0.05)/($B$28-0.05)/(1+$B$28)^10-$B$52)/$B$54</f>
        <v>290.95988177274842</v>
      </c>
      <c r="F64" s="34">
        <f>(B39/(1+$B$28)^1+C39/(1+$B$28)^2+D39/(1+$B$28)^3+E39/(1+$B$28)^4+F39/(1+$B$28)^5+G39/(1+$B$28)^6+H39/(1+$B$28)^7+I39/(1+$B$28)^8+J39/(1+$B$28)^9+K39/(1+$B$28)^10+K39*(1+0.055)/($B$28-0.055)/(1+$B$28)^10-$B$52)/$B$54</f>
        <v>301.32051249273985</v>
      </c>
      <c r="G64" s="34">
        <f>(B39/(1+$B$28)^1+C39/(1+$B$28)^2+D39/(1+$B$28)^3+E39/(1+$B$28)^4+F39/(1+$B$28)^5+G39/(1+$B$28)^6+H39/(1+$B$28)^7+I39/(1+$B$28)^8+J39/(1+$B$28)^9+K39/(1+$B$28)^10+K39*(1+0.06)/($B$28-0.06)/(1+$B$28)^10-$B$52)/$B$54</f>
        <v>312.80216305782</v>
      </c>
      <c r="H64" s="34">
        <f>(B39/(1+$B$28)^1+C39/(1+$B$28)^2+D39/(1+$B$28)^3+E39/(1+$B$28)^4+F39/(1+$B$28)^5+G39/(1+$B$28)^6+H39/(1+$B$28)^7+I39/(1+$B$28)^8+J39/(1+$B$28)^9+K39/(1+$B$28)^10+K39*(1+0.07)/($B$28-0.07)/(1+$B$28)^10-$B$52)/$B$54</f>
        <v>339.94458763119462</v>
      </c>
    </row>
    <row r="65" spans="1:8" x14ac:dyDescent="0.3">
      <c r="A65" s="42">
        <f>B28+0.005</f>
        <v>0.15742147465437786</v>
      </c>
      <c r="B65" s="16">
        <f>(B39/(1+($B$28+0.005))^1+C39/(1+($B$28+0.005))^2+D39/(1+($B$28+0.005))^3+E39/(1+($B$28+0.005))^4+F39/(1+($B$28+0.005))^5+G39/(1+($B$28+0.005))^6+H39/(1+($B$28+0.005))^7+I39/(1+($B$28+0.005))^8+J39/(1+($B$28+0.005))^9+K39/(1+($B$28+0.005))^10+K39*(1+0.03)/(($B$28+0.005)-0.03)/(1+($B$28+0.005))^10-$B$52)/$B$54</f>
        <v>241.93113178705704</v>
      </c>
      <c r="C65" s="16">
        <f>(B39/(1+($B$28+0.005))^1+C39/(1+($B$28+0.005))^2+D39/(1+($B$28+0.005))^3+E39/(1+($B$28+0.005))^4+F39/(1+($B$28+0.005))^5+G39/(1+($B$28+0.005))^6+H39/(1+($B$28+0.005))^7+I39/(1+($B$28+0.005))^8+J39/(1+($B$28+0.005))^9+K39/(1+($B$28+0.005))^10+K39*(1+0.04)/(($B$28+0.005)-0.04)/(1+($B$28+0.005))^10-$B$52)/$B$54</f>
        <v>255.2218979044498</v>
      </c>
      <c r="D65" s="16">
        <f>(B39/(1+($B$28+0.005))^1+C39/(1+($B$28+0.005))^2+D39/(1+($B$28+0.005))^3+E39/(1+($B$28+0.005))^4+F39/(1+($B$28+0.005))^5+G39/(1+($B$28+0.005))^6+H39/(1+($B$28+0.005))^7+I39/(1+($B$28+0.005))^8+J39/(1+($B$28+0.005))^9+K39/(1+($B$28+0.005))^10+K39*(1+0.045)/(($B$28+0.005)-0.045)/(1+($B$28+0.005))^10-$B$52)/$B$54</f>
        <v>262.75395093600406</v>
      </c>
      <c r="E65" s="16">
        <f>(B39/(1+($B$28+0.005))^1+C39/(1+($B$28+0.005))^2+D39/(1+($B$28+0.005))^3+E39/(1+($B$28+0.005))^4+F39/(1+($B$28+0.005))^5+G39/(1+($B$28+0.005))^6+H39/(1+($B$28+0.005))^7+I39/(1+($B$28+0.005))^8+J39/(1+($B$28+0.005))^9+K39/(1+($B$28+0.005))^10+K39*(1+0.05)/(($B$28+0.005)-0.05)/(1+($B$28+0.005))^10-$B$52)/$B$54</f>
        <v>270.98717224473842</v>
      </c>
      <c r="F65" s="16">
        <f>(B39/(1+($B$28+0.005))^1+C39/(1+($B$28+0.005))^2+D39/(1+($B$28+0.005))^3+E39/(1+($B$28+0.005))^4+F39/(1+($B$28+0.005))^5+G39/(1+($B$28+0.005))^6+H39/(1+($B$28+0.005))^7+I39/(1+($B$28+0.005))^8+J39/(1+($B$28+0.005))^9+K39/(1+($B$28+0.005))^10+K39*(1+0.055)/(($B$28+0.005)-0.055)/(1+($B$28+0.005))^10-$B$52)/$B$54</f>
        <v>280.02425049231454</v>
      </c>
      <c r="G65" s="16">
        <f>(B39/(1+($B$28+0.005))^1+C39/(1+($B$28+0.005))^2+D39/(1+($B$28+0.005))^3+E39/(1+($B$28+0.005))^4+F39/(1+($B$28+0.005))^5+G39/(1+($B$28+0.005))^6+H39/(1+($B$28+0.005))^7+I39/(1+($B$28+0.005))^8+J39/(1+($B$28+0.005))^9+K39/(1+($B$28+0.005))^10+K39*(1+0.06)/(($B$28+0.005)-0.06)/(1+($B$28+0.005))^10-$B$52)/$B$54</f>
        <v>289.98895565989352</v>
      </c>
      <c r="H65" s="16">
        <f>(B39/(1+($B$28+0.005))^1+C39/(1+($B$28+0.005))^2+D39/(1+($B$28+0.005))^3+E39/(1+($B$28+0.005))^4+F39/(1+($B$28+0.005))^5+G39/(1+($B$28+0.005))^6+H39/(1+($B$28+0.005))^7+I39/(1+($B$28+0.005))^8+J39/(1+($B$28+0.005))^9+K39/(1+($B$28+0.005))^10+K39*(1+0.07)/(($B$28+0.005)-0.07)/(1+($B$28+0.005))^10-$B$52)/$B$54</f>
        <v>313.33790514386158</v>
      </c>
    </row>
    <row r="66" spans="1:8" x14ac:dyDescent="0.3">
      <c r="A66" s="42">
        <f>B28+0.01</f>
        <v>0.16242147465437787</v>
      </c>
      <c r="B66" s="16">
        <f>(B39/(1+($B$28+0.01))^1+C39/(1+($B$28+0.01))^2+D39/(1+($B$28+0.01))^3+E39/(1+($B$28+0.01))^4+F39/(1+($B$28+0.01))^5+G39/(1+($B$28+0.01))^6+H39/(1+($B$28+0.01))^7+I39/(1+($B$28+0.01))^8+J39/(1+($B$28+0.01))^9+K39/(1+($B$28+0.01))^10+K39*(1+0.03)/(($B$28+0.01)-0.03)/(1+($B$28+0.01))^10-$B$52)/$B$54</f>
        <v>227.21262109738231</v>
      </c>
      <c r="C66" s="16">
        <f>(B39/(1+($B$28+0.01))^1+C39/(1+($B$28+0.01))^2+D39/(1+($B$28+0.01))^3+E39/(1+($B$28+0.01))^4+F39/(1+($B$28+0.01))^5+G39/(1+($B$28+0.01))^6+H39/(1+($B$28+0.01))^7+I39/(1+($B$28+0.01))^8+J39/(1+($B$28+0.01))^9+K39/(1+($B$28+0.01))^10+K39*(1+0.04)/(($B$28+0.01)-0.04)/(1+($B$28+0.01))^10-$B$52)/$B$54</f>
        <v>239.01244018466195</v>
      </c>
      <c r="D66" s="16">
        <f>(B39/(1+($B$28+0.01))^1+C39/(1+($B$28+0.01))^2+D39/(1+($B$28+0.01))^3+E39/(1+($B$28+0.01))^4+F39/(1+($B$28+0.01))^5+G39/(1+($B$28+0.01))^6+H39/(1+($B$28+0.01))^7+I39/(1+($B$28+0.01))^8+J39/(1+($B$28+0.01))^9+K39/(1+($B$28+0.01))^10+K39*(1+0.045)/(($B$28+0.01)-0.045)/(1+($B$28+0.01))^10-$B$52)/$B$54</f>
        <v>245.66603335742565</v>
      </c>
      <c r="E66" s="16">
        <f>(B39/(1+($B$28+0.01))^1+C39/(1+($B$28+0.01))^2+D39/(1+($B$28+0.01))^3+E39/(1+($B$28+0.01))^4+F39/(1+($B$28+0.01))^5+G39/(1+($B$28+0.01))^6+H39/(1+($B$28+0.01))^7+I39/(1+($B$28+0.01))^8+J39/(1+($B$28+0.01))^9+K39/(1+($B$28+0.01))^10+K39*(1+0.05)/(($B$28+0.01)-0.05)/(1+($B$28+0.01))^10-$B$52)/$B$54</f>
        <v>252.91147014309519</v>
      </c>
      <c r="F66" s="16">
        <f>(B39/(1+($B$28+0.01))^1+C39/(1+($B$28+0.01))^2+D39/(1+($B$28+0.01))^3+E39/(1+($B$28+0.01))^4+F39/(1+($B$28+0.01))^5+G39/(1+($B$28+0.01))^6+H39/(1+($B$28+0.01))^7+I39/(1+($B$28+0.01))^8+J39/(1+($B$28+0.01))^9+K39/(1+($B$28+0.01))^10+K39*(1+0.055)/(($B$28+0.01)-0.055)/(1+($B$28+0.01))^10-$B$52)/$B$54</f>
        <v>260.83139373961706</v>
      </c>
      <c r="G66" s="16">
        <f>(B39/(1+($B$28+0.01))^1+C39/(1+($B$28+0.01))^2+D39/(1+($B$28+0.01))^3+E39/(1+($B$28+0.01))^4+F39/(1+($B$28+0.01))^5+G39/(1+($B$28+0.01))^6+H39/(1+($B$28+0.01))^7+I39/(1+($B$28+0.01))^8+J39/(1+($B$28+0.01))^9+K39/(1+($B$28+0.01))^10+K39*(1+0.06)/(($B$28+0.01)-0.06)/(1+($B$28+0.01))^10-$B$52)/$B$54</f>
        <v>269.52458521021009</v>
      </c>
      <c r="H66" s="16">
        <f>(B39/(1+($B$28+0.01))^1+C39/(1+($B$28+0.01))^2+D39/(1+($B$28+0.01))^3+E39/(1+($B$28+0.01))^4+F39/(1+($B$28+0.01))^5+G39/(1+($B$28+0.01))^6+H39/(1+($B$28+0.01))^7+I39/(1+($B$28+0.01))^8+J39/(1+($B$28+0.01))^9+K39/(1+($B$28+0.01))^10+K39*(1+0.07)/(($B$28+0.01)-0.07)/(1+($B$28+0.01))^10-$B$52)/$B$54</f>
        <v>289.73277709886287</v>
      </c>
    </row>
    <row r="67" spans="1:8" x14ac:dyDescent="0.3">
      <c r="A67" s="42">
        <f>B28+0.02</f>
        <v>0.17242147465437785</v>
      </c>
      <c r="B67" s="16">
        <f>(B39/(1+($B$28+0.02))^1+C39/(1+($B$28+0.02))^2+D39/(1+($B$28+0.02))^3+E39/(1+($B$28+0.02))^4+F39/(1+($B$28+0.02))^5+G39/(1+($B$28+0.02))^6+H39/(1+($B$28+0.02))^7+I39/(1+($B$28+0.02))^8+J39/(1+($B$28+0.02))^9+K39/(1+($B$28+0.02))^10+K39*(1+0.03)/(($B$28+0.02)-0.03)/(1+($B$28+0.02))^10-$B$52)/$B$54</f>
        <v>201.19372721083738</v>
      </c>
      <c r="C67" s="16">
        <f>(B39/(1+($B$28+0.02))^1+C39/(1+($B$28+0.02))^2+D39/(1+($B$28+0.02))^3+E39/(1+($B$28+0.02))^4+F39/(1+($B$28+0.02))^5+G39/(1+($B$28+0.02))^6+H39/(1+($B$28+0.02))^7+I39/(1+($B$28+0.02))^8+J39/(1+($B$28+0.02))^9+K39/(1+($B$28+0.02))^10+K39*(1+0.04)/(($B$28+0.02)-0.04)/(1+($B$28+0.02))^10-$B$52)/$B$54</f>
        <v>210.58395693005926</v>
      </c>
      <c r="D67" s="16">
        <f>(B39/(1+($B$28+0.02))^1+C39/(1+($B$28+0.02))^2+D39/(1+($B$28+0.02))^3+E39/(1+($B$28+0.02))^4+F39/(1+($B$28+0.02))^5+G39/(1+($B$28+0.02))^6+H39/(1+($B$28+0.02))^7+I39/(1+($B$28+0.02))^8+J39/(1+($B$28+0.02))^9+K39/(1+($B$28+0.02))^10+K39*(1+0.045)/(($B$28+0.02)-0.045)/(1+($B$28+0.02))^10-$B$52)/$B$54</f>
        <v>215.83177864764048</v>
      </c>
      <c r="E67" s="16">
        <f>(B39/(1+($B$28+0.02))^1+C39/(1+($B$28+0.02))^2+D39/(1+($B$28+0.02))^3+E39/(1+($B$28+0.02))^4+F39/(1+($B$28+0.02))^5+G39/(1+($B$28+0.02))^6+H39/(1+($B$28+0.02))^7+I39/(1+($B$28+0.02))^8+J39/(1+($B$28+0.02))^9+K39/(1+($B$28+0.02))^10+K39*(1+0.05)/(($B$28+0.02)-0.05)/(1+($B$28+0.02))^10-$B$52)/$B$54</f>
        <v>221.50826876121985</v>
      </c>
      <c r="F67" s="16">
        <f>(B39/(1+($B$28+0.02))^1+C39/(1+($B$28+0.02))^2+D39/(1+($B$28+0.02))^3+E39/(1+($B$28+0.02))^4+F39/(1+($B$28+0.02))^5+G39/(1+($B$28+0.02))^6+H39/(1+($B$28+0.02))^7+I39/(1+($B$28+0.02))^8+J39/(1+($B$28+0.02))^9+K39/(1+($B$28+0.02))^10+K39*(1+0.055)/(($B$28+0.02)-0.055)/(1+($B$28+0.02))^10-$B$52)/$B$54</f>
        <v>227.66818749211876</v>
      </c>
      <c r="G67" s="16">
        <f>(B39/(1+($B$28+0.02))^1+C39/(1+($B$28+0.02))^2+D39/(1+($B$28+0.02))^3+E39/(1+($B$28+0.02))^4+F39/(1+($B$28+0.02))^5+G39/(1+($B$28+0.02))^6+H39/(1+($B$28+0.02))^7+I39/(1+($B$28+0.02))^8+J39/(1+($B$28+0.02))^9+K39/(1+($B$28+0.02))^10+K39*(1+0.06)/(($B$28+0.02)-0.06)/(1+($B$28+0.02))^10-$B$52)/$B$54</f>
        <v>234.37603701202718</v>
      </c>
      <c r="H67" s="16">
        <f>(B39/(1+($B$28+0.02))^1+C39/(1+($B$28+0.02))^2+D39/(1+($B$28+0.02))^3+E39/(1+($B$28+0.02))^4+F39/(1+($B$28+0.02))^5+G39/(1+($B$28+0.02))^6+H39/(1+($B$28+0.02))^7+I39/(1+($B$28+0.02))^8+J39/(1+($B$28+0.02))^9+K39/(1+($B$28+0.02))^10+K39*(1+0.07)/(($B$28+0.02)-0.07)/(1+($B$28+0.02))^10-$B$52)/$B$54</f>
        <v>249.7565143005105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69D6-2BA2-464D-B7F8-8B7AB092C8E8}">
  <dimension ref="A1:I35"/>
  <sheetViews>
    <sheetView workbookViewId="0"/>
  </sheetViews>
  <sheetFormatPr defaultRowHeight="14.4" x14ac:dyDescent="0.3"/>
  <cols>
    <col min="1" max="1" width="46.33203125" customWidth="1"/>
    <col min="2" max="3" width="22.21875" customWidth="1"/>
    <col min="4" max="4" width="25.88671875" customWidth="1"/>
    <col min="5" max="8" width="18.5546875" customWidth="1"/>
    <col min="9" max="9" width="14.88671875" bestFit="1" customWidth="1"/>
  </cols>
  <sheetData>
    <row r="1" spans="1:9" ht="17.399999999999999" x14ac:dyDescent="0.35">
      <c r="A1" s="12" t="s">
        <v>122</v>
      </c>
    </row>
    <row r="3" spans="1:9" x14ac:dyDescent="0.3">
      <c r="A3" s="2" t="s">
        <v>123</v>
      </c>
      <c r="B3" s="24"/>
      <c r="C3" s="24"/>
      <c r="D3" s="24"/>
      <c r="E3" s="24"/>
      <c r="F3" s="24"/>
      <c r="G3" s="24"/>
      <c r="H3" s="24"/>
      <c r="I3" s="68"/>
    </row>
    <row r="4" spans="1:9" x14ac:dyDescent="0.3">
      <c r="A4" s="4" t="s">
        <v>124</v>
      </c>
      <c r="B4" s="4" t="s">
        <v>125</v>
      </c>
      <c r="C4" s="4" t="s">
        <v>126</v>
      </c>
      <c r="D4" s="4" t="s">
        <v>127</v>
      </c>
      <c r="E4" s="4" t="s">
        <v>128</v>
      </c>
      <c r="F4" s="4" t="s">
        <v>129</v>
      </c>
      <c r="G4" s="4" t="s">
        <v>130</v>
      </c>
      <c r="H4" s="4" t="s">
        <v>131</v>
      </c>
      <c r="I4" s="65" t="s">
        <v>213</v>
      </c>
    </row>
    <row r="5" spans="1:9" x14ac:dyDescent="0.3">
      <c r="A5" t="s">
        <v>132</v>
      </c>
      <c r="B5" s="16">
        <v>76409</v>
      </c>
      <c r="C5" s="16">
        <v>21000</v>
      </c>
      <c r="D5" s="16">
        <v>2700</v>
      </c>
      <c r="E5" s="44">
        <v>40</v>
      </c>
      <c r="F5" s="44">
        <v>16.8</v>
      </c>
      <c r="G5" s="14">
        <v>0.13</v>
      </c>
      <c r="H5">
        <v>15</v>
      </c>
      <c r="I5" s="69">
        <f>B5/C5</f>
        <v>3.6385238095238095</v>
      </c>
    </row>
    <row r="6" spans="1:9" x14ac:dyDescent="0.3">
      <c r="A6" t="s">
        <v>133</v>
      </c>
      <c r="B6" s="16">
        <v>40494</v>
      </c>
      <c r="C6" s="16">
        <v>6992</v>
      </c>
      <c r="D6" s="16">
        <v>1194</v>
      </c>
      <c r="E6" s="44">
        <v>33.9</v>
      </c>
      <c r="F6" s="44">
        <v>18.5</v>
      </c>
      <c r="G6" s="14">
        <v>0.17</v>
      </c>
      <c r="H6">
        <v>5.0999999999999996</v>
      </c>
      <c r="I6" s="69">
        <f>B6/C6</f>
        <v>5.791475972540046</v>
      </c>
    </row>
    <row r="7" spans="1:9" x14ac:dyDescent="0.3">
      <c r="A7" t="s">
        <v>134</v>
      </c>
      <c r="B7" s="16">
        <v>6824</v>
      </c>
      <c r="C7" s="16">
        <v>4543</v>
      </c>
      <c r="D7" s="16">
        <v>451</v>
      </c>
      <c r="E7" s="44">
        <v>45.1</v>
      </c>
      <c r="F7" s="44">
        <v>14</v>
      </c>
      <c r="G7" s="14">
        <v>0.14000000000000001</v>
      </c>
      <c r="H7">
        <v>4.2</v>
      </c>
      <c r="I7" s="69">
        <f>B7/C7</f>
        <v>1.5020911292097732</v>
      </c>
    </row>
    <row r="8" spans="1:9" x14ac:dyDescent="0.3">
      <c r="A8" t="s">
        <v>135</v>
      </c>
      <c r="B8" s="16">
        <v>4829</v>
      </c>
      <c r="C8" s="16">
        <v>3500</v>
      </c>
      <c r="D8" s="16">
        <v>280</v>
      </c>
      <c r="E8" s="44">
        <v>17.2</v>
      </c>
      <c r="F8" s="44">
        <v>12</v>
      </c>
      <c r="G8" s="14">
        <v>0.12</v>
      </c>
      <c r="H8">
        <v>3.5</v>
      </c>
      <c r="I8" s="69">
        <f>B8/C8</f>
        <v>1.3797142857142857</v>
      </c>
    </row>
    <row r="9" spans="1:9" x14ac:dyDescent="0.3">
      <c r="A9" s="17" t="s">
        <v>136</v>
      </c>
      <c r="B9" s="17"/>
      <c r="C9" s="17"/>
      <c r="D9" s="17"/>
      <c r="E9" s="45">
        <f>MEDIAN(E5:E8)</f>
        <v>36.950000000000003</v>
      </c>
      <c r="F9" s="45">
        <f>MEDIAN(F5:F8)</f>
        <v>15.4</v>
      </c>
      <c r="G9" s="46">
        <f>MEDIAN(G5:G8)</f>
        <v>0.13500000000000001</v>
      </c>
      <c r="H9" s="17"/>
      <c r="I9" s="66">
        <f>MEDIAN(I5:I8)</f>
        <v>2.5703074693667913</v>
      </c>
    </row>
    <row r="11" spans="1:9" x14ac:dyDescent="0.3">
      <c r="A11" s="47" t="s">
        <v>137</v>
      </c>
      <c r="B11" s="35">
        <v>2119</v>
      </c>
      <c r="C11" s="35">
        <f>'Income Statement'!F4</f>
        <v>1950</v>
      </c>
      <c r="D11" s="35">
        <f>'Income Statement'!F21</f>
        <v>144.78750000000002</v>
      </c>
      <c r="E11" s="48">
        <f>B11/D11</f>
        <v>14.635241301907966</v>
      </c>
      <c r="F11" s="48">
        <f>(B11+'Balance Sheet'!E17)/'Income Statement'!F8</f>
        <v>8.7142857142857135</v>
      </c>
      <c r="G11" s="49">
        <f>'Income Statement'!F7</f>
        <v>0.14000000000000001</v>
      </c>
      <c r="H11" s="47">
        <v>5.5</v>
      </c>
      <c r="I11" s="67">
        <f>B11/C11</f>
        <v>1.0866666666666667</v>
      </c>
    </row>
    <row r="13" spans="1:9" x14ac:dyDescent="0.3">
      <c r="A13" s="11" t="s">
        <v>210</v>
      </c>
    </row>
    <row r="16" spans="1:9" x14ac:dyDescent="0.3">
      <c r="A16" s="2" t="s">
        <v>138</v>
      </c>
      <c r="B16" s="24"/>
      <c r="C16" s="24"/>
      <c r="D16" s="24"/>
    </row>
    <row r="17" spans="1:4" x14ac:dyDescent="0.3">
      <c r="A17" s="4" t="s">
        <v>139</v>
      </c>
      <c r="B17" s="4" t="s">
        <v>140</v>
      </c>
      <c r="C17" s="4" t="s">
        <v>141</v>
      </c>
      <c r="D17" s="4" t="s">
        <v>142</v>
      </c>
    </row>
    <row r="18" spans="1:4" x14ac:dyDescent="0.3">
      <c r="A18" t="s">
        <v>211</v>
      </c>
      <c r="B18" s="50">
        <v>25</v>
      </c>
      <c r="C18" s="16">
        <f>'Income Statement'!F21</f>
        <v>144.78750000000002</v>
      </c>
      <c r="D18" s="21">
        <f>B18*C18/'Income Statement'!F24</f>
        <v>164.23264519056264</v>
      </c>
    </row>
    <row r="19" spans="1:4" x14ac:dyDescent="0.3">
      <c r="A19" t="s">
        <v>212</v>
      </c>
      <c r="B19" s="50">
        <v>14</v>
      </c>
      <c r="C19" s="16">
        <f>'Income Statement'!F8</f>
        <v>273</v>
      </c>
      <c r="D19" s="21">
        <f>(B19*C19-'Balance Sheet'!E17)/'Income Statement'!F24</f>
        <v>161.61524500907441</v>
      </c>
    </row>
    <row r="20" spans="1:4" x14ac:dyDescent="0.3">
      <c r="A20" t="s">
        <v>214</v>
      </c>
      <c r="B20" s="50">
        <f>I9</f>
        <v>2.5703074693667913</v>
      </c>
      <c r="C20" s="16">
        <f>'Income Statement'!F4</f>
        <v>1950</v>
      </c>
      <c r="D20" s="21">
        <f>B20*C20/'Income Statement'!F24</f>
        <v>227.40923617355912</v>
      </c>
    </row>
    <row r="22" spans="1:4" x14ac:dyDescent="0.3">
      <c r="A22" s="51" t="s">
        <v>143</v>
      </c>
      <c r="B22" s="38"/>
      <c r="C22" s="38"/>
      <c r="D22" s="39">
        <f>AVERAGE(D18:D20)</f>
        <v>184.41904212439871</v>
      </c>
    </row>
    <row r="25" spans="1:4" ht="15.6" x14ac:dyDescent="0.3">
      <c r="A25" s="52" t="s">
        <v>144</v>
      </c>
      <c r="B25" s="24"/>
      <c r="C25" s="24"/>
      <c r="D25" s="24"/>
    </row>
    <row r="26" spans="1:4" x14ac:dyDescent="0.3">
      <c r="A26" s="4" t="s">
        <v>139</v>
      </c>
      <c r="B26" s="4" t="s">
        <v>145</v>
      </c>
      <c r="C26" s="4" t="s">
        <v>146</v>
      </c>
      <c r="D26" s="4" t="s">
        <v>147</v>
      </c>
    </row>
    <row r="27" spans="1:4" x14ac:dyDescent="0.3">
      <c r="A27" t="s">
        <v>148</v>
      </c>
      <c r="B27" s="21">
        <f>'DCF Valuation'!B56</f>
        <v>290.95988177274842</v>
      </c>
      <c r="C27" s="53">
        <v>0.6</v>
      </c>
      <c r="D27" s="21">
        <f>B27*C27</f>
        <v>174.57592906364906</v>
      </c>
    </row>
    <row r="28" spans="1:4" x14ac:dyDescent="0.3">
      <c r="A28" t="s">
        <v>149</v>
      </c>
      <c r="B28" s="21">
        <f>D22</f>
        <v>184.41904212439871</v>
      </c>
      <c r="C28" s="53">
        <v>0.4</v>
      </c>
      <c r="D28" s="21">
        <f>B28*C28</f>
        <v>73.767616849759492</v>
      </c>
    </row>
    <row r="30" spans="1:4" ht="18" x14ac:dyDescent="0.35">
      <c r="A30" s="54" t="s">
        <v>150</v>
      </c>
      <c r="B30" s="38"/>
      <c r="C30" s="38"/>
      <c r="D30" s="55">
        <f>SUM(D27:D28)</f>
        <v>248.34354591340855</v>
      </c>
    </row>
    <row r="32" spans="1:4" x14ac:dyDescent="0.3">
      <c r="A32" t="s">
        <v>151</v>
      </c>
      <c r="B32" s="56">
        <v>96</v>
      </c>
    </row>
    <row r="33" spans="1:4" ht="17.399999999999999" x14ac:dyDescent="0.35">
      <c r="A33" s="3" t="s">
        <v>152</v>
      </c>
      <c r="D33" s="57">
        <f>D30/B32-1</f>
        <v>1.5869119365980056</v>
      </c>
    </row>
    <row r="35" spans="1:4" x14ac:dyDescent="0.3">
      <c r="A35" s="27"/>
    </row>
  </sheetData>
  <pageMargins left="0.7" right="0.7" top="0.75" bottom="0.75" header="0.3" footer="0.3"/>
  <ignoredErrors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Assumptions</vt:lpstr>
      <vt:lpstr>Income Statement</vt:lpstr>
      <vt:lpstr>Balance Sheet</vt:lpstr>
      <vt:lpstr>Cash Flow</vt:lpstr>
      <vt:lpstr>DCF Valuation</vt:lpstr>
      <vt:lpstr>Comps &amp; 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 Vijay</dc:creator>
  <cp:lastModifiedBy>Harsh Vijay</cp:lastModifiedBy>
  <dcterms:created xsi:type="dcterms:W3CDTF">2026-03-11T05:18:12Z</dcterms:created>
  <dcterms:modified xsi:type="dcterms:W3CDTF">2026-03-14T17:31:01Z</dcterms:modified>
</cp:coreProperties>
</file>