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289417ac25ddae0/Nickunj OneDrive/Nickunj OneDrive/Portfolio/"/>
    </mc:Choice>
  </mc:AlternateContent>
  <xr:revisionPtr revIDLastSave="292" documentId="8_{FA76AFCC-B3B3-4A6F-8A98-110C48D04549}" xr6:coauthVersionLast="47" xr6:coauthVersionMax="47" xr10:uidLastSave="{9B8AD314-2A43-4B44-B166-4B2DBA54C362}"/>
  <bookViews>
    <workbookView xWindow="-120" yWindow="-120" windowWidth="20730" windowHeight="11160" activeTab="1" xr2:uid="{00000000-000D-0000-FFFF-FFFF00000000}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</sheets>
  <definedNames>
    <definedName name="UPDATE">'Data Sheet'!$E$1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3" l="1"/>
  <c r="M45" i="3" s="1"/>
  <c r="L23" i="3"/>
  <c r="M23" i="3" s="1"/>
  <c r="N23" i="3" s="1"/>
  <c r="O23" i="3" s="1"/>
  <c r="P23" i="3" s="1"/>
  <c r="Q23" i="3" s="1"/>
  <c r="R23" i="3" s="1"/>
  <c r="M14" i="3"/>
  <c r="N14" i="3" s="1"/>
  <c r="O14" i="3" s="1"/>
  <c r="P14" i="3" s="1"/>
  <c r="Q14" i="3" s="1"/>
  <c r="R14" i="3" s="1"/>
  <c r="L41" i="3"/>
  <c r="M41" i="3" s="1"/>
  <c r="L37" i="3"/>
  <c r="M37" i="3" s="1"/>
  <c r="L33" i="3"/>
  <c r="M33" i="3" s="1"/>
  <c r="K20" i="3"/>
  <c r="L4" i="3" s="1"/>
  <c r="L12" i="3" s="1"/>
  <c r="L29" i="3"/>
  <c r="L22" i="3"/>
  <c r="M22" i="3" s="1"/>
  <c r="N22" i="3" s="1"/>
  <c r="O22" i="3" s="1"/>
  <c r="P22" i="3" s="1"/>
  <c r="Q22" i="3" s="1"/>
  <c r="R22" i="3" s="1"/>
  <c r="L19" i="3"/>
  <c r="M19" i="3" s="1"/>
  <c r="N19" i="3" s="1"/>
  <c r="O19" i="3" s="1"/>
  <c r="P19" i="3" s="1"/>
  <c r="Q19" i="3" s="1"/>
  <c r="R19" i="3" s="1"/>
  <c r="L18" i="3"/>
  <c r="M18" i="3" s="1"/>
  <c r="N18" i="3" s="1"/>
  <c r="O18" i="3" s="1"/>
  <c r="P18" i="3" s="1"/>
  <c r="Q18" i="3" s="1"/>
  <c r="R18" i="3" s="1"/>
  <c r="L16" i="3"/>
  <c r="N18" i="1"/>
  <c r="M18" i="1"/>
  <c r="L18" i="1"/>
  <c r="C6" i="3"/>
  <c r="D6" i="3"/>
  <c r="E6" i="3"/>
  <c r="F6" i="3"/>
  <c r="G6" i="3"/>
  <c r="H6" i="3"/>
  <c r="I6" i="3"/>
  <c r="J6" i="3"/>
  <c r="K6" i="3"/>
  <c r="B6" i="3"/>
  <c r="C5" i="1"/>
  <c r="D5" i="1"/>
  <c r="E5" i="1"/>
  <c r="F5" i="1"/>
  <c r="G5" i="1"/>
  <c r="H5" i="1"/>
  <c r="I5" i="1"/>
  <c r="J5" i="1"/>
  <c r="K5" i="1"/>
  <c r="B5" i="1"/>
  <c r="C13" i="1"/>
  <c r="B6" i="6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B17" i="2"/>
  <c r="C4" i="2"/>
  <c r="D4" i="2"/>
  <c r="E4" i="2"/>
  <c r="E5" i="2"/>
  <c r="E23" i="2" s="1"/>
  <c r="F4" i="2"/>
  <c r="G4" i="2"/>
  <c r="H4" i="2"/>
  <c r="H23" i="2" s="1"/>
  <c r="I4" i="2"/>
  <c r="I5" i="2"/>
  <c r="J4" i="2"/>
  <c r="J5" i="2"/>
  <c r="K4" i="2"/>
  <c r="C5" i="2"/>
  <c r="D5" i="2"/>
  <c r="D23" i="2" s="1"/>
  <c r="F5" i="2"/>
  <c r="G5" i="2"/>
  <c r="H5" i="2"/>
  <c r="K5" i="2"/>
  <c r="K23" i="2" s="1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I16" i="2" s="1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D16" i="2" s="1"/>
  <c r="E13" i="2"/>
  <c r="F13" i="2"/>
  <c r="G13" i="2"/>
  <c r="H13" i="2"/>
  <c r="H16" i="2" s="1"/>
  <c r="I13" i="2"/>
  <c r="J13" i="2"/>
  <c r="J16" i="2" s="1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H25" i="3" s="1"/>
  <c r="H27" i="3" s="1"/>
  <c r="I12" i="3"/>
  <c r="J12" i="3"/>
  <c r="K12" i="3"/>
  <c r="B5" i="3"/>
  <c r="C18" i="1"/>
  <c r="D18" i="1"/>
  <c r="E18" i="1"/>
  <c r="F18" i="1"/>
  <c r="G18" i="1"/>
  <c r="H18" i="1"/>
  <c r="I18" i="1"/>
  <c r="J18" i="1"/>
  <c r="K18" i="1"/>
  <c r="B18" i="1"/>
  <c r="C4" i="1"/>
  <c r="D4" i="1"/>
  <c r="D6" i="1" s="1"/>
  <c r="D19" i="1" s="1"/>
  <c r="E4" i="1"/>
  <c r="F4" i="1"/>
  <c r="F20" i="2" s="1"/>
  <c r="G4" i="1"/>
  <c r="H4" i="1"/>
  <c r="H21" i="2" s="1"/>
  <c r="I4" i="1"/>
  <c r="J4" i="1"/>
  <c r="K4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F13" i="1" s="1"/>
  <c r="G12" i="1"/>
  <c r="G13" i="1" s="1"/>
  <c r="H12" i="1"/>
  <c r="I12" i="1"/>
  <c r="J12" i="1"/>
  <c r="J13" i="1" s="1"/>
  <c r="K12" i="1"/>
  <c r="K13" i="1" s="1"/>
  <c r="C15" i="1"/>
  <c r="C14" i="1" s="1"/>
  <c r="D15" i="1"/>
  <c r="D14" i="1" s="1"/>
  <c r="E15" i="1"/>
  <c r="E14" i="1" s="1"/>
  <c r="F15" i="1"/>
  <c r="F14" i="1" s="1"/>
  <c r="G15" i="1"/>
  <c r="H15" i="1"/>
  <c r="I15" i="1"/>
  <c r="J15" i="1"/>
  <c r="J14" i="1" s="1"/>
  <c r="K15" i="1"/>
  <c r="B15" i="1"/>
  <c r="B14" i="1" s="1"/>
  <c r="H13" i="1"/>
  <c r="I13" i="1"/>
  <c r="B7" i="1"/>
  <c r="B4" i="1"/>
  <c r="B20" i="2" s="1"/>
  <c r="A1" i="1"/>
  <c r="E1" i="6"/>
  <c r="H1" i="1" s="1"/>
  <c r="E1" i="3"/>
  <c r="F23" i="2"/>
  <c r="C23" i="2"/>
  <c r="K16" i="2"/>
  <c r="C16" i="2"/>
  <c r="G23" i="2"/>
  <c r="F16" i="2"/>
  <c r="E6" i="1"/>
  <c r="E19" i="1"/>
  <c r="I6" i="1"/>
  <c r="I19" i="1" s="1"/>
  <c r="J6" i="1"/>
  <c r="J19" i="1" s="1"/>
  <c r="K6" i="1"/>
  <c r="K19" i="1" s="1"/>
  <c r="G6" i="1"/>
  <c r="G19" i="1" s="1"/>
  <c r="C6" i="1"/>
  <c r="C19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L3" i="3" s="1"/>
  <c r="M3" i="3" s="1"/>
  <c r="N3" i="3" s="1"/>
  <c r="O3" i="3" s="1"/>
  <c r="P3" i="3" s="1"/>
  <c r="Q3" i="3" s="1"/>
  <c r="R3" i="3" s="1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K21" i="2"/>
  <c r="J21" i="2"/>
  <c r="I21" i="2"/>
  <c r="G21" i="2"/>
  <c r="F21" i="2"/>
  <c r="E21" i="2"/>
  <c r="C21" i="2"/>
  <c r="B18" i="2"/>
  <c r="B21" i="2" s="1"/>
  <c r="B13" i="2"/>
  <c r="B16" i="2" s="1"/>
  <c r="B12" i="2"/>
  <c r="B11" i="2"/>
  <c r="B10" i="2"/>
  <c r="B8" i="2"/>
  <c r="B7" i="2"/>
  <c r="B6" i="2"/>
  <c r="B3" i="2"/>
  <c r="B12" i="3"/>
  <c r="B11" i="3"/>
  <c r="B10" i="3"/>
  <c r="B9" i="3"/>
  <c r="B8" i="3"/>
  <c r="B7" i="3"/>
  <c r="B4" i="3"/>
  <c r="B3" i="3"/>
  <c r="L15" i="1"/>
  <c r="B12" i="1"/>
  <c r="B13" i="1" s="1"/>
  <c r="B11" i="1"/>
  <c r="B10" i="1"/>
  <c r="B9" i="1"/>
  <c r="B8" i="1"/>
  <c r="B3" i="1"/>
  <c r="G20" i="2"/>
  <c r="K20" i="2"/>
  <c r="D20" i="2"/>
  <c r="J20" i="2"/>
  <c r="C20" i="2"/>
  <c r="E20" i="2"/>
  <c r="A1" i="3"/>
  <c r="A1" i="2"/>
  <c r="A1" i="4"/>
  <c r="H23" i="1"/>
  <c r="J23" i="1"/>
  <c r="K13" i="3" l="1"/>
  <c r="N45" i="3"/>
  <c r="L13" i="3"/>
  <c r="N41" i="3"/>
  <c r="N37" i="3"/>
  <c r="N33" i="3"/>
  <c r="L17" i="3"/>
  <c r="L20" i="3" s="1"/>
  <c r="M17" i="3" s="1"/>
  <c r="M20" i="3" s="1"/>
  <c r="M29" i="3"/>
  <c r="N29" i="3" s="1"/>
  <c r="O29" i="3" s="1"/>
  <c r="M16" i="3"/>
  <c r="N16" i="3" s="1"/>
  <c r="O16" i="3" s="1"/>
  <c r="P16" i="3" s="1"/>
  <c r="Q16" i="3" s="1"/>
  <c r="R16" i="3" s="1"/>
  <c r="J14" i="3"/>
  <c r="I25" i="3"/>
  <c r="I15" i="3"/>
  <c r="L6" i="1"/>
  <c r="F15" i="3"/>
  <c r="L11" i="1"/>
  <c r="L5" i="1"/>
  <c r="K15" i="3"/>
  <c r="G15" i="3"/>
  <c r="C15" i="3"/>
  <c r="E15" i="3"/>
  <c r="I14" i="3"/>
  <c r="L12" i="1"/>
  <c r="L13" i="1" s="1"/>
  <c r="L14" i="1" s="1"/>
  <c r="L25" i="1" s="1"/>
  <c r="L10" i="1"/>
  <c r="N11" i="1" s="1"/>
  <c r="J15" i="3"/>
  <c r="G14" i="3"/>
  <c r="H15" i="3"/>
  <c r="H14" i="3"/>
  <c r="K14" i="1"/>
  <c r="G14" i="1"/>
  <c r="D21" i="2"/>
  <c r="B23" i="2"/>
  <c r="H14" i="1"/>
  <c r="G16" i="2"/>
  <c r="G24" i="2"/>
  <c r="E24" i="2"/>
  <c r="D13" i="1"/>
  <c r="E13" i="1" s="1"/>
  <c r="I23" i="1"/>
  <c r="B6" i="1"/>
  <c r="B19" i="1" s="1"/>
  <c r="K24" i="1"/>
  <c r="L9" i="1"/>
  <c r="M9" i="1" s="1"/>
  <c r="L8" i="1"/>
  <c r="M8" i="1" s="1"/>
  <c r="L7" i="1"/>
  <c r="D15" i="3"/>
  <c r="E16" i="2"/>
  <c r="J23" i="2"/>
  <c r="J24" i="2"/>
  <c r="D24" i="2"/>
  <c r="I24" i="1"/>
  <c r="K24" i="2"/>
  <c r="I24" i="2"/>
  <c r="H24" i="1"/>
  <c r="L4" i="1"/>
  <c r="L23" i="1" s="1"/>
  <c r="B15" i="3"/>
  <c r="E1" i="2"/>
  <c r="I14" i="1"/>
  <c r="C24" i="2"/>
  <c r="I23" i="2"/>
  <c r="H24" i="2"/>
  <c r="F24" i="2"/>
  <c r="I20" i="2"/>
  <c r="H20" i="2"/>
  <c r="K23" i="1"/>
  <c r="H6" i="1"/>
  <c r="H19" i="1" s="1"/>
  <c r="J24" i="1" s="1"/>
  <c r="F6" i="1"/>
  <c r="F19" i="1" s="1"/>
  <c r="E1" i="4"/>
  <c r="O45" i="3" l="1"/>
  <c r="O41" i="3"/>
  <c r="O37" i="3"/>
  <c r="O33" i="3"/>
  <c r="N4" i="3"/>
  <c r="N15" i="3" s="1"/>
  <c r="M21" i="3"/>
  <c r="M4" i="3"/>
  <c r="L21" i="3"/>
  <c r="P29" i="3"/>
  <c r="N17" i="3"/>
  <c r="N20" i="3" s="1"/>
  <c r="N21" i="3" s="1"/>
  <c r="N8" i="1"/>
  <c r="L15" i="3"/>
  <c r="J25" i="1"/>
  <c r="I27" i="3"/>
  <c r="J25" i="3"/>
  <c r="K25" i="3" s="1"/>
  <c r="M11" i="1"/>
  <c r="H25" i="1"/>
  <c r="I25" i="1"/>
  <c r="K25" i="1"/>
  <c r="M25" i="1" s="1"/>
  <c r="M14" i="1" s="1"/>
  <c r="M23" i="1"/>
  <c r="M4" i="1" s="1"/>
  <c r="N9" i="1"/>
  <c r="N23" i="1"/>
  <c r="N4" i="1" s="1"/>
  <c r="L19" i="1"/>
  <c r="L24" i="1" s="1"/>
  <c r="N24" i="1" s="1"/>
  <c r="K30" i="3" l="1"/>
  <c r="K46" i="3"/>
  <c r="K34" i="3"/>
  <c r="K42" i="3"/>
  <c r="K38" i="3"/>
  <c r="L25" i="3"/>
  <c r="P45" i="3"/>
  <c r="P41" i="3"/>
  <c r="P37" i="3"/>
  <c r="P33" i="3"/>
  <c r="O17" i="3"/>
  <c r="O20" i="3" s="1"/>
  <c r="P17" i="3" s="1"/>
  <c r="P20" i="3" s="1"/>
  <c r="O4" i="3"/>
  <c r="O15" i="3" s="1"/>
  <c r="M15" i="3"/>
  <c r="Q29" i="3"/>
  <c r="N6" i="1"/>
  <c r="N19" i="1" s="1"/>
  <c r="J27" i="3"/>
  <c r="N25" i="1"/>
  <c r="N14" i="1" s="1"/>
  <c r="M24" i="1"/>
  <c r="M6" i="1" s="1"/>
  <c r="L28" i="3" l="1"/>
  <c r="L46" i="3"/>
  <c r="L47" i="3" s="1"/>
  <c r="Q45" i="3"/>
  <c r="Q41" i="3"/>
  <c r="Q37" i="3"/>
  <c r="Q33" i="3"/>
  <c r="Q4" i="3"/>
  <c r="P21" i="3"/>
  <c r="P4" i="3"/>
  <c r="P15" i="3" s="1"/>
  <c r="O21" i="3"/>
  <c r="R29" i="3"/>
  <c r="N10" i="1"/>
  <c r="N12" i="1" s="1"/>
  <c r="N13" i="1" s="1"/>
  <c r="N15" i="1" s="1"/>
  <c r="N5" i="1"/>
  <c r="Q17" i="3"/>
  <c r="Q20" i="3" s="1"/>
  <c r="M10" i="1"/>
  <c r="M12" i="1" s="1"/>
  <c r="M13" i="1" s="1"/>
  <c r="M15" i="1" s="1"/>
  <c r="M19" i="1"/>
  <c r="M5" i="1"/>
  <c r="R45" i="3" l="1"/>
  <c r="R41" i="3"/>
  <c r="R37" i="3"/>
  <c r="R33" i="3"/>
  <c r="R4" i="3"/>
  <c r="Q21" i="3"/>
  <c r="Q15" i="3"/>
  <c r="R17" i="3"/>
  <c r="R20" i="3" s="1"/>
  <c r="R21" i="3" s="1"/>
  <c r="R15" i="3" l="1"/>
  <c r="M12" i="3"/>
  <c r="P12" i="3"/>
  <c r="R12" i="3"/>
  <c r="N12" i="3"/>
  <c r="Q12" i="3"/>
  <c r="O12" i="3"/>
  <c r="M13" i="3" l="1"/>
  <c r="N13" i="3"/>
  <c r="O13" i="3"/>
  <c r="R13" i="3"/>
  <c r="P13" i="3"/>
  <c r="Q13" i="3"/>
  <c r="L27" i="3" l="1"/>
  <c r="L30" i="3"/>
  <c r="L31" i="3" s="1"/>
  <c r="L34" i="3"/>
  <c r="L35" i="3" s="1"/>
  <c r="L38" i="3"/>
  <c r="L39" i="3" s="1"/>
  <c r="L42" i="3"/>
  <c r="L43" i="3" s="1"/>
  <c r="M25" i="3"/>
  <c r="L26" i="3"/>
  <c r="M28" i="3" l="1"/>
  <c r="M46" i="3"/>
  <c r="M47" i="3" s="1"/>
  <c r="M30" i="3"/>
  <c r="M31" i="3" s="1"/>
  <c r="M42" i="3"/>
  <c r="M43" i="3" s="1"/>
  <c r="M38" i="3"/>
  <c r="M39" i="3" s="1"/>
  <c r="M34" i="3"/>
  <c r="M35" i="3" s="1"/>
  <c r="N25" i="3"/>
  <c r="M26" i="3"/>
  <c r="M27" i="3"/>
  <c r="N28" i="3" l="1"/>
  <c r="N46" i="3"/>
  <c r="N47" i="3" s="1"/>
  <c r="N30" i="3"/>
  <c r="N31" i="3" s="1"/>
  <c r="N34" i="3"/>
  <c r="N35" i="3" s="1"/>
  <c r="N42" i="3"/>
  <c r="N43" i="3" s="1"/>
  <c r="N38" i="3"/>
  <c r="N39" i="3" s="1"/>
  <c r="O25" i="3"/>
  <c r="N26" i="3"/>
  <c r="N27" i="3"/>
  <c r="O28" i="3" l="1"/>
  <c r="O46" i="3"/>
  <c r="O47" i="3" s="1"/>
  <c r="O30" i="3"/>
  <c r="O31" i="3" s="1"/>
  <c r="O34" i="3"/>
  <c r="O35" i="3" s="1"/>
  <c r="O42" i="3"/>
  <c r="O43" i="3" s="1"/>
  <c r="O38" i="3"/>
  <c r="O39" i="3" s="1"/>
  <c r="P25" i="3"/>
  <c r="O26" i="3"/>
  <c r="O27" i="3"/>
  <c r="P28" i="3" l="1"/>
  <c r="P46" i="3"/>
  <c r="P47" i="3" s="1"/>
  <c r="P30" i="3"/>
  <c r="P31" i="3" s="1"/>
  <c r="P34" i="3"/>
  <c r="P35" i="3" s="1"/>
  <c r="P38" i="3"/>
  <c r="P39" i="3" s="1"/>
  <c r="P42" i="3"/>
  <c r="P43" i="3" s="1"/>
  <c r="Q25" i="3"/>
  <c r="P26" i="3"/>
  <c r="P27" i="3"/>
  <c r="Q28" i="3" l="1"/>
  <c r="Q46" i="3"/>
  <c r="Q47" i="3" s="1"/>
  <c r="Q30" i="3"/>
  <c r="Q31" i="3" s="1"/>
  <c r="Q42" i="3"/>
  <c r="Q43" i="3" s="1"/>
  <c r="Q34" i="3"/>
  <c r="Q35" i="3" s="1"/>
  <c r="Q38" i="3"/>
  <c r="Q39" i="3" s="1"/>
  <c r="R25" i="3"/>
  <c r="Q26" i="3"/>
  <c r="Q27" i="3"/>
  <c r="R28" i="3" l="1"/>
  <c r="R46" i="3"/>
  <c r="R47" i="3" s="1"/>
  <c r="R26" i="3"/>
  <c r="R30" i="3"/>
  <c r="R31" i="3" s="1"/>
  <c r="R38" i="3"/>
  <c r="R39" i="3" s="1"/>
  <c r="R42" i="3"/>
  <c r="R43" i="3" s="1"/>
  <c r="R34" i="3"/>
  <c r="R35" i="3" s="1"/>
  <c r="R27" i="3"/>
</calcChain>
</file>

<file path=xl/sharedStrings.xml><?xml version="1.0" encoding="utf-8"?>
<sst xmlns="http://schemas.openxmlformats.org/spreadsheetml/2006/main" count="177" uniqueCount="112">
  <si>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</si>
  <si>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</si>
  <si>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</si>
  <si>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</si>
  <si>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</si>
  <si>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</si>
  <si>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</si>
  <si>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</si>
  <si>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</si>
  <si>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</si>
  <si>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</si>
  <si>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</si>
  <si>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</si>
  <si>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</si>
  <si>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</si>
  <si>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</si>
  <si>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</si>
  <si>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</si>
  <si>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</si>
  <si>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</si>
  <si>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</si>
  <si>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</si>
  <si>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</si>
  <si>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</si>
  <si>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</si>
  <si>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</si>
  <si>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</si>
  <si>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</si>
  <si>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</si>
  <si>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</si>
  <si>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</si>
  <si>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</si>
  <si>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</si>
  <si>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</si>
  <si>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</si>
  <si>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</si>
  <si>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</si>
  <si>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</si>
  <si>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</si>
  <si>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</si>
  <si>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</si>
  <si>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</si>
  <si>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</si>
  <si>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</si>
  <si>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</si>
  <si>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</si>
  <si>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</si>
  <si>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</si>
  <si>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You can customize this workbook as you want.</t>
  </si>
  <si>
    <t>Please don't edit the "Data Sheet" only.</t>
  </si>
  <si>
    <t>After customization, you can upload this back on Screener.</t>
  </si>
  <si>
    <t>Upload on:</t>
  </si>
  <si>
    <t>Download your customized workbooks now onwards.</t>
  </si>
  <si>
    <t>Now whenever you will "Export to excel" from Screener, it will export your customized file.</t>
  </si>
  <si>
    <t>TESTING:</t>
  </si>
  <si>
    <t>This is a testing feature currently.</t>
  </si>
  <si>
    <t>How to use it?</t>
  </si>
  <si>
    <t>EPS</t>
  </si>
  <si>
    <t>Price</t>
  </si>
  <si>
    <t>Return on Equity</t>
  </si>
  <si>
    <t>Return on Capital Emp</t>
  </si>
  <si>
    <t>LATEST VERSION</t>
  </si>
  <si>
    <t>CURRENT VERSION</t>
  </si>
  <si>
    <t>AVENUE SUPERMARTS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</si>
  <si>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</si>
  <si>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</si>
  <si>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</si>
  <si>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</si>
  <si>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</si>
  <si>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</si>
  <si>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</si>
  <si>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</si>
  <si>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</si>
  <si>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</si>
  <si>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</si>
  <si>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</si>
  <si>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</si>
  <si>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</si>
  <si>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</si>
  <si>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</si>
  <si>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</si>
  <si>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</si>
  <si>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</si>
  <si>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</si>
  <si>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</si>
  <si>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</si>
  <si>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</si>
  <si>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</si>
  <si>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</si>
  <si>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</si>
  <si>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You can add custom formating, add conditional formating, add your own formulas… do ANYTHING.</t>
  </si>
  <si>
    <t xml:space="preserve"> https://www.screener.in/excel/</t>
  </si>
  <si>
    <r>
      <t xml:space="preserve">You can report any formula errors on the worksheet at: </t>
    </r>
    <r>
      <rPr>
        <b/>
        <sz val="11"/>
        <color theme="1"/>
        <rFont val="Calibri"/>
        <family val="2"/>
        <scheme val="minor"/>
      </rPr>
      <t>support@screener.in</t>
    </r>
  </si>
  <si>
    <t>Market Price</t>
  </si>
  <si>
    <t>PE</t>
  </si>
  <si>
    <t>NPM</t>
  </si>
  <si>
    <t>Projected Store Addition</t>
  </si>
  <si>
    <t>Average Area Per Store</t>
  </si>
  <si>
    <t>Projected Sales Per SqFt</t>
  </si>
  <si>
    <t xml:space="preserve">Total Stores </t>
  </si>
  <si>
    <t>Current Area Managed
(in million)</t>
  </si>
  <si>
    <t>Outstanding Equity</t>
  </si>
  <si>
    <t>Assume Correct PE Is</t>
  </si>
  <si>
    <t>Then Price Should be</t>
  </si>
  <si>
    <t>Stock Price Apperception</t>
  </si>
  <si>
    <t>Q/Q Net Profit</t>
  </si>
  <si>
    <t>Area Growth Q on Q</t>
  </si>
  <si>
    <t xml:space="preserve">Q on Q EPS </t>
  </si>
  <si>
    <t>Assuming Current PE is Correct</t>
  </si>
  <si>
    <t>Acutal</t>
  </si>
  <si>
    <t>Projection's</t>
  </si>
  <si>
    <t>Projected Area in coming Qtr's
Existing + New Store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</si>
</sst>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%"/>
    <numFmt numFmtId="167" formatCode="0.0"/>
    <numFmt numFmtId="168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9" fillId="0" borderId="0" xfId="1" applyNumberFormat="1" applyFont="1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0" fontId="0" fillId="0" borderId="0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167" fontId="1" fillId="0" borderId="0" xfId="0" applyNumberFormat="1" applyFont="1" applyBorder="1"/>
    <xf numFmtId="0" fontId="2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0" fontId="1" fillId="0" borderId="1" xfId="0" applyFont="1" applyBorder="1"/>
    <xf numFmtId="43" fontId="1" fillId="0" borderId="1" xfId="1" applyNumberFormat="1" applyFont="1" applyBorder="1"/>
    <xf numFmtId="0" fontId="0" fillId="0" borderId="1" xfId="0" applyFont="1" applyBorder="1"/>
    <xf numFmtId="43" fontId="0" fillId="0" borderId="1" xfId="1" applyNumberFormat="1" applyFont="1" applyBorder="1"/>
    <xf numFmtId="167" fontId="1" fillId="7" borderId="1" xfId="0" applyNumberFormat="1" applyFont="1" applyFill="1" applyBorder="1"/>
    <xf numFmtId="167" fontId="1" fillId="7" borderId="1" xfId="1" applyNumberFormat="1" applyFont="1" applyFill="1" applyBorder="1"/>
    <xf numFmtId="167" fontId="1" fillId="6" borderId="1" xfId="0" applyNumberFormat="1" applyFont="1" applyFill="1" applyBorder="1"/>
    <xf numFmtId="0" fontId="5" fillId="8" borderId="1" xfId="0" applyFont="1" applyFill="1" applyBorder="1"/>
    <xf numFmtId="43" fontId="5" fillId="8" borderId="1" xfId="0" applyNumberFormat="1" applyFont="1" applyFill="1" applyBorder="1"/>
    <xf numFmtId="43" fontId="9" fillId="6" borderId="1" xfId="0" applyNumberFormat="1" applyFont="1" applyFill="1" applyBorder="1"/>
    <xf numFmtId="43" fontId="0" fillId="6" borderId="1" xfId="0" applyNumberFormat="1" applyFont="1" applyFill="1" applyBorder="1"/>
    <xf numFmtId="1" fontId="0" fillId="0" borderId="0" xfId="0" applyNumberFormat="1" applyFont="1" applyBorder="1"/>
    <xf numFmtId="10" fontId="1" fillId="0" borderId="0" xfId="6" applyNumberFormat="1" applyFont="1" applyBorder="1"/>
    <xf numFmtId="2" fontId="1" fillId="0" borderId="0" xfId="0" applyNumberFormat="1" applyFont="1" applyBorder="1"/>
    <xf numFmtId="168" fontId="1" fillId="0" borderId="0" xfId="0" applyNumberFormat="1" applyFont="1" applyBorder="1"/>
    <xf numFmtId="9" fontId="1" fillId="7" borderId="1" xfId="6" applyFont="1" applyFill="1" applyBorder="1"/>
    <xf numFmtId="9" fontId="1" fillId="6" borderId="1" xfId="6" applyFont="1" applyFill="1" applyBorder="1"/>
    <xf numFmtId="0" fontId="0" fillId="9" borderId="1" xfId="0" applyFont="1" applyFill="1" applyBorder="1"/>
    <xf numFmtId="166" fontId="0" fillId="9" borderId="1" xfId="6" applyNumberFormat="1" applyFont="1" applyFill="1" applyBorder="1"/>
    <xf numFmtId="0" fontId="1" fillId="9" borderId="1" xfId="0" applyFont="1" applyFill="1" applyBorder="1"/>
    <xf numFmtId="9" fontId="1" fillId="9" borderId="1" xfId="6" applyNumberFormat="1" applyFont="1" applyFill="1" applyBorder="1"/>
    <xf numFmtId="2" fontId="1" fillId="9" borderId="1" xfId="0" applyNumberFormat="1" applyFont="1" applyFill="1" applyBorder="1" applyAlignment="1">
      <alignment wrapText="1"/>
    </xf>
    <xf numFmtId="2" fontId="1" fillId="9" borderId="1" xfId="6" applyNumberFormat="1" applyFont="1" applyFill="1" applyBorder="1"/>
    <xf numFmtId="2" fontId="0" fillId="9" borderId="1" xfId="0" applyNumberFormat="1" applyFont="1" applyFill="1" applyBorder="1"/>
    <xf numFmtId="2" fontId="1" fillId="9" borderId="1" xfId="0" applyNumberFormat="1" applyFont="1" applyFill="1" applyBorder="1"/>
    <xf numFmtId="167" fontId="1" fillId="9" borderId="1" xfId="6" applyNumberFormat="1" applyFont="1" applyFill="1" applyBorder="1"/>
    <xf numFmtId="167" fontId="0" fillId="9" borderId="1" xfId="0" applyNumberFormat="1" applyFont="1" applyFill="1" applyBorder="1"/>
    <xf numFmtId="166" fontId="1" fillId="9" borderId="1" xfId="6" applyNumberFormat="1" applyFont="1" applyFill="1" applyBorder="1"/>
    <xf numFmtId="166" fontId="9" fillId="9" borderId="1" xfId="6" applyNumberFormat="1" applyFont="1" applyFill="1" applyBorder="1"/>
    <xf numFmtId="9" fontId="9" fillId="6" borderId="1" xfId="6" applyFont="1" applyFill="1" applyBorder="1"/>
    <xf numFmtId="0" fontId="0" fillId="10" borderId="1" xfId="0" applyFont="1" applyFill="1" applyBorder="1"/>
    <xf numFmtId="1" fontId="0" fillId="10" borderId="1" xfId="0" applyNumberFormat="1" applyFont="1" applyFill="1" applyBorder="1"/>
    <xf numFmtId="9" fontId="0" fillId="10" borderId="1" xfId="6" applyFont="1" applyFill="1" applyBorder="1"/>
    <xf numFmtId="0" fontId="0" fillId="6" borderId="1" xfId="0" applyFont="1" applyFill="1" applyBorder="1"/>
    <xf numFmtId="1" fontId="0" fillId="6" borderId="1" xfId="0" applyNumberFormat="1" applyFont="1" applyFill="1" applyBorder="1"/>
    <xf numFmtId="9" fontId="0" fillId="6" borderId="1" xfId="6" applyFont="1" applyFill="1" applyBorder="1"/>
    <xf numFmtId="17" fontId="2" fillId="11" borderId="1" xfId="0" applyNumberFormat="1" applyFont="1" applyFill="1" applyBorder="1"/>
    <xf numFmtId="166" fontId="0" fillId="10" borderId="1" xfId="6" applyNumberFormat="1" applyFont="1" applyFill="1" applyBorder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" fillId="10" borderId="1" xfId="0" applyFont="1" applyFill="1" applyBorder="1"/>
    <xf numFmtId="9" fontId="1" fillId="10" borderId="1" xfId="6" applyNumberFormat="1" applyFont="1" applyFill="1" applyBorder="1"/>
    <xf numFmtId="2" fontId="0" fillId="10" borderId="1" xfId="0" applyNumberFormat="1" applyFont="1" applyFill="1" applyBorder="1"/>
    <xf numFmtId="9" fontId="3" fillId="10" borderId="1" xfId="6" applyNumberFormat="1" applyFont="1" applyFill="1" applyBorder="1"/>
    <xf numFmtId="167" fontId="1" fillId="9" borderId="1" xfId="0" applyNumberFormat="1" applyFont="1" applyFill="1" applyBorder="1" applyAlignment="1">
      <alignment wrapText="1"/>
    </xf>
    <xf numFmtId="0" fontId="0" fillId="10" borderId="1" xfId="0" applyNumberFormat="1" applyFont="1" applyFill="1" applyBorder="1"/>
    <xf numFmtId="0" fontId="9" fillId="12" borderId="1" xfId="0" applyFont="1" applyFill="1" applyBorder="1"/>
    <xf numFmtId="43" fontId="9" fillId="12" borderId="1" xfId="0" applyNumberFormat="1" applyFont="1" applyFill="1" applyBorder="1"/>
    <xf numFmtId="43" fontId="2" fillId="12" borderId="1" xfId="0" applyNumberFormat="1" applyFont="1" applyFill="1" applyBorder="1"/>
    <xf numFmtId="1" fontId="9" fillId="10" borderId="1" xfId="0" applyNumberFormat="1" applyFont="1" applyFill="1" applyBorder="1"/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19"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nual" displayName="Annual" ref="A3:N19" headerRowCount="0" totalsRowShown="0" headerRowDxfId="18">
  <tableColumns count="14">
    <tableColumn id="1" xr3:uid="{00000000-0010-0000-0000-000001000000}" name="Column1" headerRowDxfId="17" dataDxfId="16"/>
    <tableColumn id="2" xr3:uid="{00000000-0010-0000-0000-000002000000}" name="Column2" headerRowDxfId="15"/>
    <tableColumn id="3" xr3:uid="{00000000-0010-0000-0000-000003000000}" name="Column3" headerRowDxfId="14"/>
    <tableColumn id="4" xr3:uid="{00000000-0010-0000-0000-000004000000}" name="Column4" headerRowDxfId="13"/>
    <tableColumn id="5" xr3:uid="{00000000-0010-0000-0000-000005000000}" name="Column5" headerRowDxfId="12"/>
    <tableColumn id="6" xr3:uid="{00000000-0010-0000-0000-000006000000}" name="Column6" headerRowDxfId="11"/>
    <tableColumn id="7" xr3:uid="{00000000-0010-0000-0000-000007000000}" name="Column7" headerRowDxfId="10"/>
    <tableColumn id="8" xr3:uid="{00000000-0010-0000-0000-000008000000}" name="Column8" headerRowDxfId="9"/>
    <tableColumn id="9" xr3:uid="{00000000-0010-0000-0000-000009000000}" name="Column9" headerRowDxfId="8"/>
    <tableColumn id="10" xr3:uid="{00000000-0010-0000-0000-00000A000000}" name="Column10" headerRowDxfId="7"/>
    <tableColumn id="11" xr3:uid="{00000000-0010-0000-0000-00000B000000}" name="Column11" headerRowDxfId="6"/>
    <tableColumn id="12" xr3:uid="{00000000-0010-0000-0000-00000C000000}" name="Column12" headerRowDxfId="5"/>
    <tableColumn id="13" xr3:uid="{00000000-0010-0000-0000-00000D000000}" name="Column13" headerRowDxfId="4" dataDxfId="3"/>
    <tableColumn id="14" xr3:uid="{00000000-0010-0000-0000-00000E000000}" name="Column14" headerRowDxfId="2" dataDxfId="1"/>
  </tableColumns>
  <tableStyleInfo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exce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F5" activePane="bottomRight" state="frozen"/>
      <selection activeCell="I2" sqref="I2"/>
      <selection pane="topRight" activeCell="I2" sqref="I2"/>
      <selection pane="bottomLeft" activeCell="I2" sqref="I2"/>
      <selection pane="bottomRight" activeCell="I20" sqref="I20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AVENUE SUPERMARTS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40999</v>
      </c>
      <c r="C3" s="16">
        <f>'Data Sheet'!C16</f>
        <v>41364</v>
      </c>
      <c r="D3" s="16">
        <f>'Data Sheet'!D16</f>
        <v>41729</v>
      </c>
      <c r="E3" s="16">
        <f>'Data Sheet'!E16</f>
        <v>42094</v>
      </c>
      <c r="F3" s="16">
        <f>'Data Sheet'!F16</f>
        <v>42460</v>
      </c>
      <c r="G3" s="16">
        <f>'Data Sheet'!G16</f>
        <v>42825</v>
      </c>
      <c r="H3" s="16">
        <f>'Data Sheet'!H16</f>
        <v>43190</v>
      </c>
      <c r="I3" s="16">
        <f>'Data Sheet'!I16</f>
        <v>43555</v>
      </c>
      <c r="J3" s="16">
        <f>'Data Sheet'!J16</f>
        <v>43921</v>
      </c>
      <c r="K3" s="16">
        <f>'Data Sheet'!K16</f>
        <v>44286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2208.56</v>
      </c>
      <c r="C4" s="1">
        <f>'Data Sheet'!C17</f>
        <v>3340.85</v>
      </c>
      <c r="D4" s="1">
        <f>'Data Sheet'!D17</f>
        <v>4686.4799999999996</v>
      </c>
      <c r="E4" s="1">
        <f>'Data Sheet'!E17</f>
        <v>6439.43</v>
      </c>
      <c r="F4" s="1">
        <f>'Data Sheet'!F17</f>
        <v>8583.76</v>
      </c>
      <c r="G4" s="1">
        <f>'Data Sheet'!G17</f>
        <v>11897.7</v>
      </c>
      <c r="H4" s="1">
        <f>'Data Sheet'!H17</f>
        <v>15033.2</v>
      </c>
      <c r="I4" s="1">
        <f>'Data Sheet'!I17</f>
        <v>20004.52</v>
      </c>
      <c r="J4" s="1">
        <f>'Data Sheet'!J17</f>
        <v>24870.2</v>
      </c>
      <c r="K4" s="1">
        <f>'Data Sheet'!K17</f>
        <v>24143.06</v>
      </c>
      <c r="L4" s="1">
        <f>SUM(Quarters!H4:K4)</f>
        <v>29601.5</v>
      </c>
      <c r="M4" s="1">
        <f>$K4+M23*K4</f>
        <v>29601.5</v>
      </c>
      <c r="N4" s="1">
        <f>$K4+N23*L4</f>
        <v>29206.784047084489</v>
      </c>
    </row>
    <row r="5" spans="1:14" x14ac:dyDescent="0.25">
      <c r="A5" s="6" t="s">
        <v>7</v>
      </c>
      <c r="B5" s="9">
        <f>SUM('Data Sheet'!B18,'Data Sheet'!B20:B24, -1*'Data Sheet'!B19)</f>
        <v>2070.8399999999997</v>
      </c>
      <c r="C5" s="9">
        <f>SUM('Data Sheet'!C18,'Data Sheet'!C20:C24, -1*'Data Sheet'!C19)</f>
        <v>3126.2000000000003</v>
      </c>
      <c r="D5" s="9">
        <f>SUM('Data Sheet'!D18,'Data Sheet'!D20:D24, -1*'Data Sheet'!D19)</f>
        <v>4345.1999999999989</v>
      </c>
      <c r="E5" s="9">
        <f>SUM('Data Sheet'!E18,'Data Sheet'!E20:E24, -1*'Data Sheet'!E19)</f>
        <v>5983.170000000001</v>
      </c>
      <c r="F5" s="9">
        <f>SUM('Data Sheet'!F18,'Data Sheet'!F20:F24, -1*'Data Sheet'!F19)</f>
        <v>7919.2999999999993</v>
      </c>
      <c r="G5" s="9">
        <f>SUM('Data Sheet'!G18,'Data Sheet'!G20:G24, -1*'Data Sheet'!G19)</f>
        <v>10928.52</v>
      </c>
      <c r="H5" s="9">
        <f>SUM('Data Sheet'!H18,'Data Sheet'!H20:H24, -1*'Data Sheet'!H19)</f>
        <v>13680.34</v>
      </c>
      <c r="I5" s="9">
        <f>SUM('Data Sheet'!I18,'Data Sheet'!I20:I24, -1*'Data Sheet'!I19)</f>
        <v>18371.21</v>
      </c>
      <c r="J5" s="9">
        <f>SUM('Data Sheet'!J18,'Data Sheet'!J20:J24, -1*'Data Sheet'!J19)</f>
        <v>22741.89</v>
      </c>
      <c r="K5" s="9">
        <f>SUM('Data Sheet'!K18,'Data Sheet'!K20:K24, -1*'Data Sheet'!K19)</f>
        <v>22398.230000000003</v>
      </c>
      <c r="L5" s="9">
        <f>SUM(Quarters!H5:K5)</f>
        <v>27229.62</v>
      </c>
      <c r="M5" s="9">
        <f t="shared" ref="M5:N5" si="0">M4-M6</f>
        <v>27229.62</v>
      </c>
      <c r="N5" s="9">
        <f t="shared" si="0"/>
        <v>26883.195775044242</v>
      </c>
    </row>
    <row r="6" spans="1:14" s="8" customFormat="1" x14ac:dyDescent="0.25">
      <c r="A6" s="8" t="s">
        <v>8</v>
      </c>
      <c r="B6" s="1">
        <f>B4-B5</f>
        <v>137.72000000000025</v>
      </c>
      <c r="C6" s="1">
        <f t="shared" ref="C6:K6" si="1">C4-C5</f>
        <v>214.64999999999964</v>
      </c>
      <c r="D6" s="1">
        <f t="shared" si="1"/>
        <v>341.28000000000065</v>
      </c>
      <c r="E6" s="1">
        <f t="shared" si="1"/>
        <v>456.25999999999931</v>
      </c>
      <c r="F6" s="1">
        <f t="shared" si="1"/>
        <v>664.46000000000095</v>
      </c>
      <c r="G6" s="1">
        <f t="shared" si="1"/>
        <v>969.18000000000029</v>
      </c>
      <c r="H6" s="1">
        <f t="shared" si="1"/>
        <v>1352.8600000000006</v>
      </c>
      <c r="I6" s="1">
        <f t="shared" si="1"/>
        <v>1633.3100000000013</v>
      </c>
      <c r="J6" s="1">
        <f t="shared" si="1"/>
        <v>2128.3100000000013</v>
      </c>
      <c r="K6" s="1">
        <f t="shared" si="1"/>
        <v>1744.8299999999981</v>
      </c>
      <c r="L6" s="1">
        <f>SUM(Quarters!H6:K6)</f>
        <v>2371.88</v>
      </c>
      <c r="M6" s="1">
        <f>M4*M24</f>
        <v>2371.88</v>
      </c>
      <c r="N6" s="1">
        <f>N4*N24</f>
        <v>2323.5882720402492</v>
      </c>
    </row>
    <row r="7" spans="1:14" x14ac:dyDescent="0.25">
      <c r="A7" s="6" t="s">
        <v>9</v>
      </c>
      <c r="B7" s="9">
        <f>'Data Sheet'!B25</f>
        <v>14.5</v>
      </c>
      <c r="C7" s="9">
        <f>'Data Sheet'!C25</f>
        <v>14.86</v>
      </c>
      <c r="D7" s="9">
        <f>'Data Sheet'!D25</f>
        <v>16.27</v>
      </c>
      <c r="E7" s="9">
        <f>'Data Sheet'!E25</f>
        <v>20.27</v>
      </c>
      <c r="F7" s="9">
        <f>'Data Sheet'!F25</f>
        <v>17.02</v>
      </c>
      <c r="G7" s="9">
        <f>'Data Sheet'!G25</f>
        <v>27.7</v>
      </c>
      <c r="H7" s="9">
        <f>'Data Sheet'!H25</f>
        <v>87.75</v>
      </c>
      <c r="I7" s="9">
        <f>'Data Sheet'!I25</f>
        <v>48.33</v>
      </c>
      <c r="J7" s="9">
        <f>'Data Sheet'!J25</f>
        <v>59.99</v>
      </c>
      <c r="K7" s="9">
        <f>'Data Sheet'!K25</f>
        <v>194.43</v>
      </c>
      <c r="L7" s="9">
        <f>SUM(Quarters!H7:K7)</f>
        <v>133.04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37.47</v>
      </c>
      <c r="C8" s="9">
        <f>'Data Sheet'!C26</f>
        <v>45.79</v>
      </c>
      <c r="D8" s="9">
        <f>'Data Sheet'!D26</f>
        <v>57.01</v>
      </c>
      <c r="E8" s="9">
        <f>'Data Sheet'!E26</f>
        <v>81.540000000000006</v>
      </c>
      <c r="F8" s="9">
        <f>'Data Sheet'!F26</f>
        <v>98.43</v>
      </c>
      <c r="G8" s="9">
        <f>'Data Sheet'!G26</f>
        <v>127.82</v>
      </c>
      <c r="H8" s="9">
        <f>'Data Sheet'!H26</f>
        <v>159</v>
      </c>
      <c r="I8" s="9">
        <f>'Data Sheet'!I26</f>
        <v>212.49</v>
      </c>
      <c r="J8" s="9">
        <f>'Data Sheet'!J26</f>
        <v>374.41</v>
      </c>
      <c r="K8" s="9">
        <f>'Data Sheet'!K26</f>
        <v>414.16</v>
      </c>
      <c r="L8" s="9">
        <f>SUM(Quarters!H8:K8)</f>
        <v>456.71</v>
      </c>
      <c r="M8" s="9">
        <f>+$L8</f>
        <v>456.71</v>
      </c>
      <c r="N8" s="9">
        <f>+$L8</f>
        <v>456.71</v>
      </c>
    </row>
    <row r="9" spans="1:14" x14ac:dyDescent="0.25">
      <c r="A9" s="6" t="s">
        <v>11</v>
      </c>
      <c r="B9" s="9">
        <f>'Data Sheet'!B27</f>
        <v>26.02</v>
      </c>
      <c r="C9" s="9">
        <f>'Data Sheet'!C27</f>
        <v>42.59</v>
      </c>
      <c r="D9" s="9">
        <f>'Data Sheet'!D27</f>
        <v>55.68</v>
      </c>
      <c r="E9" s="9">
        <f>'Data Sheet'!E27</f>
        <v>72.36</v>
      </c>
      <c r="F9" s="9">
        <f>'Data Sheet'!F27</f>
        <v>91.34</v>
      </c>
      <c r="G9" s="9">
        <f>'Data Sheet'!G27</f>
        <v>121.98</v>
      </c>
      <c r="H9" s="9">
        <f>'Data Sheet'!H27</f>
        <v>59.54</v>
      </c>
      <c r="I9" s="9">
        <f>'Data Sheet'!I27</f>
        <v>47.21</v>
      </c>
      <c r="J9" s="9">
        <f>'Data Sheet'!J27</f>
        <v>69.12</v>
      </c>
      <c r="K9" s="9">
        <f>'Data Sheet'!K27</f>
        <v>41.65</v>
      </c>
      <c r="L9" s="9">
        <f>SUM(Quarters!H9:K9)</f>
        <v>49.42</v>
      </c>
      <c r="M9" s="9">
        <f>+$L9</f>
        <v>49.42</v>
      </c>
      <c r="N9" s="9">
        <f>+$L9</f>
        <v>49.42</v>
      </c>
    </row>
    <row r="10" spans="1:14" x14ac:dyDescent="0.25">
      <c r="A10" s="6" t="s">
        <v>12</v>
      </c>
      <c r="B10" s="9">
        <f>'Data Sheet'!B28</f>
        <v>88.73</v>
      </c>
      <c r="C10" s="9">
        <f>'Data Sheet'!C28</f>
        <v>141.13</v>
      </c>
      <c r="D10" s="9">
        <f>'Data Sheet'!D28</f>
        <v>244.86</v>
      </c>
      <c r="E10" s="9">
        <f>'Data Sheet'!E28</f>
        <v>322.63</v>
      </c>
      <c r="F10" s="9">
        <f>'Data Sheet'!F28</f>
        <v>491.71</v>
      </c>
      <c r="G10" s="9">
        <f>'Data Sheet'!G28</f>
        <v>747.08</v>
      </c>
      <c r="H10" s="9">
        <f>'Data Sheet'!H28</f>
        <v>1222.07</v>
      </c>
      <c r="I10" s="9">
        <f>'Data Sheet'!I28</f>
        <v>1421.94</v>
      </c>
      <c r="J10" s="9">
        <f>'Data Sheet'!J28</f>
        <v>1744.77</v>
      </c>
      <c r="K10" s="9">
        <f>'Data Sheet'!K28</f>
        <v>1483.45</v>
      </c>
      <c r="L10" s="9">
        <f>SUM(Quarters!H10:K10)</f>
        <v>1998.79</v>
      </c>
      <c r="M10" s="9">
        <f>M6+M7-SUM(M8:M9)</f>
        <v>1865.75</v>
      </c>
      <c r="N10" s="9">
        <f>N6+N7-SUM(N8:N9)</f>
        <v>1817.4582720402491</v>
      </c>
    </row>
    <row r="11" spans="1:14" x14ac:dyDescent="0.25">
      <c r="A11" s="6" t="s">
        <v>13</v>
      </c>
      <c r="B11" s="9">
        <f>'Data Sheet'!B29</f>
        <v>28.33</v>
      </c>
      <c r="C11" s="9">
        <f>'Data Sheet'!C29</f>
        <v>47.28</v>
      </c>
      <c r="D11" s="9">
        <f>'Data Sheet'!D29</f>
        <v>83.48</v>
      </c>
      <c r="E11" s="9">
        <f>'Data Sheet'!E29</f>
        <v>110.92</v>
      </c>
      <c r="F11" s="9">
        <f>'Data Sheet'!F29</f>
        <v>171.47</v>
      </c>
      <c r="G11" s="9">
        <f>'Data Sheet'!G29</f>
        <v>268.27999999999997</v>
      </c>
      <c r="H11" s="9">
        <f>'Data Sheet'!H29</f>
        <v>415.79</v>
      </c>
      <c r="I11" s="9">
        <f>'Data Sheet'!I29</f>
        <v>519.48</v>
      </c>
      <c r="J11" s="9">
        <f>'Data Sheet'!J29</f>
        <v>443.79</v>
      </c>
      <c r="K11" s="9">
        <f>'Data Sheet'!K29</f>
        <v>384.02</v>
      </c>
      <c r="L11" s="9">
        <f>SUM(Quarters!H11:K11)</f>
        <v>519.27</v>
      </c>
      <c r="M11" s="10">
        <f>IF($L10&gt;0,$L11/$L10,0)</f>
        <v>0.25979217426543061</v>
      </c>
      <c r="N11" s="10">
        <f>IF($L10&gt;0,$L11/$L10,0)</f>
        <v>0.25979217426543061</v>
      </c>
    </row>
    <row r="12" spans="1:14" s="8" customFormat="1" x14ac:dyDescent="0.25">
      <c r="A12" s="8" t="s">
        <v>14</v>
      </c>
      <c r="B12" s="1">
        <f>'Data Sheet'!B30</f>
        <v>60.41</v>
      </c>
      <c r="C12" s="1">
        <f>'Data Sheet'!C30</f>
        <v>93.86</v>
      </c>
      <c r="D12" s="1">
        <f>'Data Sheet'!D30</f>
        <v>161.37</v>
      </c>
      <c r="E12" s="1">
        <f>'Data Sheet'!E30</f>
        <v>211.67</v>
      </c>
      <c r="F12" s="1">
        <f>'Data Sheet'!F30</f>
        <v>320.24</v>
      </c>
      <c r="G12" s="1">
        <f>'Data Sheet'!G30</f>
        <v>478.75</v>
      </c>
      <c r="H12" s="1">
        <f>'Data Sheet'!H30</f>
        <v>806.26</v>
      </c>
      <c r="I12" s="1">
        <f>'Data Sheet'!I30</f>
        <v>902.54</v>
      </c>
      <c r="J12" s="1">
        <f>'Data Sheet'!J30</f>
        <v>1301.08</v>
      </c>
      <c r="K12" s="1">
        <f>'Data Sheet'!K30</f>
        <v>1099.49</v>
      </c>
      <c r="L12" s="1">
        <f>SUM(Quarters!H12:K12)</f>
        <v>1479.6</v>
      </c>
      <c r="M12" s="1">
        <f>M10-M11*M10</f>
        <v>1381.0427508642729</v>
      </c>
      <c r="N12" s="1">
        <f>N10-N11*N10</f>
        <v>1345.2968359102204</v>
      </c>
    </row>
    <row r="13" spans="1:14" x14ac:dyDescent="0.25">
      <c r="A13" s="11" t="s">
        <v>57</v>
      </c>
      <c r="B13" s="9">
        <f>IF('Data Sheet'!B93&gt;0,B12/'Data Sheet'!B93,0)</f>
        <v>1.1323336457357076</v>
      </c>
      <c r="C13" s="9">
        <f>IF('Data Sheet'!C93&gt;0,C12/'Data Sheet'!C93,0)</f>
        <v>1.7250505421797464</v>
      </c>
      <c r="D13" s="9">
        <f>IF('Data Sheet'!D93&gt;0,D12/'Data Sheet'!D93,0)</f>
        <v>2.9511704462326263</v>
      </c>
      <c r="E13" s="9">
        <f>IF('Data Sheet'!E93&gt;0,E12/'Data Sheet'!E93,0)</f>
        <v>3.7697239536954585</v>
      </c>
      <c r="F13" s="9">
        <f>IF('Data Sheet'!F93&gt;0,F12/'Data Sheet'!F93,0)</f>
        <v>5.7032947462154944</v>
      </c>
      <c r="G13" s="9">
        <f>IF('Data Sheet'!G93&gt;0,G12/'Data Sheet'!G93,0)</f>
        <v>7.6710463066816219</v>
      </c>
      <c r="H13" s="9">
        <f>IF('Data Sheet'!H93&gt;0,H12/'Data Sheet'!H93,0)</f>
        <v>12.918763018746997</v>
      </c>
      <c r="I13" s="9">
        <f>IF('Data Sheet'!I93&gt;0,I12/'Data Sheet'!I93,0)</f>
        <v>14.461464508892806</v>
      </c>
      <c r="J13" s="9">
        <f>IF('Data Sheet'!J93&gt;0,J12/'Data Sheet'!J93,0)</f>
        <v>20.084594010497067</v>
      </c>
      <c r="K13" s="9">
        <f>IF('Data Sheet'!K93&gt;0,K12/'Data Sheet'!K93,0)</f>
        <v>16.972676752083977</v>
      </c>
      <c r="L13" s="9">
        <f>IF('Data Sheet'!$B6&gt;0,'Profit &amp; Loss'!L12/'Data Sheet'!$B6,0)</f>
        <v>22.841274871071423</v>
      </c>
      <c r="M13" s="9">
        <f>IF('Data Sheet'!$B6&gt;0,'Profit &amp; Loss'!M12/'Data Sheet'!$B6,0)</f>
        <v>21.319800676663604</v>
      </c>
      <c r="N13" s="9">
        <f>IF('Data Sheet'!$B6&gt;0,'Profit &amp; Loss'!N12/'Data Sheet'!$B6,0)</f>
        <v>20.767974325633965</v>
      </c>
    </row>
    <row r="14" spans="1:14" x14ac:dyDescent="0.25">
      <c r="A14" s="6" t="s">
        <v>16</v>
      </c>
      <c r="B14" s="9" t="str">
        <f>IF(B15&gt;0,B15/B13,"")</f>
        <v/>
      </c>
      <c r="C14" s="9" t="str">
        <f t="shared" ref="C14:K14" si="2">IF(C15&gt;0,C15/C13,"")</f>
        <v/>
      </c>
      <c r="D14" s="9" t="str">
        <f t="shared" si="2"/>
        <v/>
      </c>
      <c r="E14" s="9" t="str">
        <f t="shared" si="2"/>
        <v/>
      </c>
      <c r="F14" s="9" t="str">
        <f t="shared" si="2"/>
        <v/>
      </c>
      <c r="G14" s="9">
        <f t="shared" si="2"/>
        <v>83.150325848563966</v>
      </c>
      <c r="H14" s="9">
        <f t="shared" si="2"/>
        <v>102.54851784784063</v>
      </c>
      <c r="I14" s="9">
        <f t="shared" si="2"/>
        <v>101.72552019855074</v>
      </c>
      <c r="J14" s="9">
        <f t="shared" si="2"/>
        <v>108.91432502228918</v>
      </c>
      <c r="K14" s="9">
        <f t="shared" si="2"/>
        <v>168.45015325287179</v>
      </c>
      <c r="L14" s="9">
        <f t="shared" ref="L14" si="3">IF(L13&gt;0,L15/L13,0)</f>
        <v>189.24950662341175</v>
      </c>
      <c r="M14" s="9">
        <f>M25</f>
        <v>189.24950662341175</v>
      </c>
      <c r="N14" s="9">
        <f>N25</f>
        <v>125.67305813225467</v>
      </c>
    </row>
    <row r="15" spans="1:14" s="8" customFormat="1" x14ac:dyDescent="0.25">
      <c r="A15" s="8" t="s">
        <v>58</v>
      </c>
      <c r="B15" s="1">
        <f>'Data Sheet'!B90</f>
        <v>0</v>
      </c>
      <c r="C15" s="1">
        <f>'Data Sheet'!C90</f>
        <v>0</v>
      </c>
      <c r="D15" s="1">
        <f>'Data Sheet'!D90</f>
        <v>0</v>
      </c>
      <c r="E15" s="1">
        <f>'Data Sheet'!E90</f>
        <v>0</v>
      </c>
      <c r="F15" s="1">
        <f>'Data Sheet'!F90</f>
        <v>0</v>
      </c>
      <c r="G15" s="1">
        <f>'Data Sheet'!G90</f>
        <v>637.85</v>
      </c>
      <c r="H15" s="1">
        <f>'Data Sheet'!H90</f>
        <v>1324.8</v>
      </c>
      <c r="I15" s="1">
        <f>'Data Sheet'!I90</f>
        <v>1471.1</v>
      </c>
      <c r="J15" s="1">
        <f>'Data Sheet'!J90</f>
        <v>2187.5</v>
      </c>
      <c r="K15" s="1">
        <f>'Data Sheet'!K90</f>
        <v>2859.05</v>
      </c>
      <c r="L15" s="1">
        <f>'Data Sheet'!B8</f>
        <v>4322.7</v>
      </c>
      <c r="M15" s="12">
        <f>M13*M14</f>
        <v>4034.761759368067</v>
      </c>
      <c r="N15" s="13">
        <f>N13*N14</f>
        <v>2609.9748447145698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0</v>
      </c>
      <c r="C18" s="7">
        <f>IF('Data Sheet'!C30&gt;0, 'Data Sheet'!C31/'Data Sheet'!C30, 0)</f>
        <v>0</v>
      </c>
      <c r="D18" s="7">
        <f>IF('Data Sheet'!D30&gt;0, 'Data Sheet'!D31/'Data Sheet'!D30, 0)</f>
        <v>0</v>
      </c>
      <c r="E18" s="7">
        <f>IF('Data Sheet'!E30&gt;0, 'Data Sheet'!E31/'Data Sheet'!E30, 0)</f>
        <v>0</v>
      </c>
      <c r="F18" s="7">
        <f>IF('Data Sheet'!F30&gt;0, 'Data Sheet'!F31/'Data Sheet'!F30, 0)</f>
        <v>0</v>
      </c>
      <c r="G18" s="7">
        <f>IF('Data Sheet'!G30&gt;0, 'Data Sheet'!G31/'Data Sheet'!G30, 0)</f>
        <v>0</v>
      </c>
      <c r="H18" s="7">
        <f>IF('Data Sheet'!H30&gt;0, 'Data Sheet'!H31/'Data Sheet'!H30, 0)</f>
        <v>0</v>
      </c>
      <c r="I18" s="7">
        <f>IF('Data Sheet'!I30&gt;0, 'Data Sheet'!I31/'Data Sheet'!I30, 0)</f>
        <v>0</v>
      </c>
      <c r="J18" s="7">
        <f>IF('Data Sheet'!J30&gt;0, 'Data Sheet'!J31/'Data Sheet'!J30, 0)</f>
        <v>0</v>
      </c>
      <c r="K18" s="7">
        <f>IF('Data Sheet'!K30&gt;0, 'Data Sheet'!K31/'Data Sheet'!K30, 0)</f>
        <v>0</v>
      </c>
      <c r="L18" s="7">
        <f>IF('Data Sheet'!L30&gt;0, 'Data Sheet'!L31/'Data Sheet'!L30, 0)</f>
        <v>0</v>
      </c>
      <c r="M18" s="7">
        <f>IF('Data Sheet'!M30&gt;0, 'Data Sheet'!M31/'Data Sheet'!M30, 0)</f>
        <v>0</v>
      </c>
      <c r="N18" s="7">
        <f>IF('Data Sheet'!N30&gt;0, 'Data Sheet'!N31/'Data Sheet'!N30, 0)</f>
        <v>0</v>
      </c>
    </row>
    <row r="19" spans="1:14" x14ac:dyDescent="0.25">
      <c r="A19" s="6" t="s">
        <v>18</v>
      </c>
      <c r="B19" s="7">
        <f t="shared" ref="B19:L19" si="4">IF(B6&gt;0,B6/B4,0)</f>
        <v>6.2357373130003377E-2</v>
      </c>
      <c r="C19" s="7">
        <f t="shared" ref="C19:K19" si="5">IF(C6&gt;0,C6/C4,0)</f>
        <v>6.4250115988445947E-2</v>
      </c>
      <c r="D19" s="7">
        <f t="shared" si="5"/>
        <v>7.2822246120756023E-2</v>
      </c>
      <c r="E19" s="7">
        <f t="shared" si="5"/>
        <v>7.0854097334701868E-2</v>
      </c>
      <c r="F19" s="7">
        <f t="shared" si="5"/>
        <v>7.7408967631900347E-2</v>
      </c>
      <c r="G19" s="7">
        <f t="shared" si="5"/>
        <v>8.1459441740840688E-2</v>
      </c>
      <c r="H19" s="7">
        <f t="shared" si="5"/>
        <v>8.9991485512066663E-2</v>
      </c>
      <c r="I19" s="7">
        <f t="shared" si="5"/>
        <v>8.1647047767204675E-2</v>
      </c>
      <c r="J19" s="7">
        <f t="shared" si="5"/>
        <v>8.5576714300649018E-2</v>
      </c>
      <c r="K19" s="7">
        <f t="shared" si="5"/>
        <v>7.2270457845857075E-2</v>
      </c>
      <c r="L19" s="7">
        <f t="shared" si="4"/>
        <v>8.0127020590172793E-2</v>
      </c>
      <c r="M19" s="7">
        <f t="shared" ref="M19:N19" si="6">IF(M6&gt;0,M6/M4,0)</f>
        <v>8.0127020590172793E-2</v>
      </c>
      <c r="N19" s="7">
        <f t="shared" si="6"/>
        <v>7.9556457441338768E-2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65</v>
      </c>
      <c r="I22" s="16" t="s">
        <v>66</v>
      </c>
      <c r="J22" s="16" t="s">
        <v>67</v>
      </c>
      <c r="K22" s="16" t="s">
        <v>68</v>
      </c>
      <c r="L22" s="17" t="s">
        <v>69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0.30439532798899371</v>
      </c>
      <c r="I23" s="7">
        <f>IF(D4=0,"",POWER($K4/D4,1/7)-1)</f>
        <v>0.26388193536610194</v>
      </c>
      <c r="J23" s="7">
        <f>IF(F4=0,"",POWER($K4/F4,1/5)-1)</f>
        <v>0.22976732454211302</v>
      </c>
      <c r="K23" s="7">
        <f>IF(H4=0,"",POWER($K4/H4, 1/3)-1)</f>
        <v>0.17106308960979977</v>
      </c>
      <c r="L23" s="7">
        <f>IF(ISERROR(MAX(IF(J4=0,"",(K4-J4)/J4),IF(K4=0,"",(L4-K4)/K4))),"",MAX(IF(J4=0,"",(K4-J4)/J4),IF(K4=0,"",(L4-K4)/K4)))</f>
        <v>0.2260873311005315</v>
      </c>
      <c r="M23" s="22">
        <f>MAX(K23:L23)</f>
        <v>0.2260873311005315</v>
      </c>
      <c r="N23" s="22">
        <f>MIN(H23:L23)</f>
        <v>0.17106308960979977</v>
      </c>
    </row>
    <row r="24" spans="1:14" x14ac:dyDescent="0.25">
      <c r="G24" s="6" t="s">
        <v>18</v>
      </c>
      <c r="H24" s="7">
        <f>IF(SUM(B4:$K$4)=0,"",SUMPRODUCT(B19:$K$19,B4:$K$4)/SUM(B4:$K$4))</f>
        <v>7.9556457441338768E-2</v>
      </c>
      <c r="I24" s="7">
        <f>IF(SUM(E4:$K$4)=0,"",SUMPRODUCT(E19:$K$19,E4:$K$4)/SUM(E4:$K$4))</f>
        <v>8.0643950579547805E-2</v>
      </c>
      <c r="J24" s="7">
        <f>IF(SUM(G4:$K$4)=0,"",SUMPRODUCT(G19:$K$19,G4:$K$4)/SUM(G4:$K$4))</f>
        <v>8.159038769475517E-2</v>
      </c>
      <c r="K24" s="7">
        <f>IF(SUM(I4:$K$4)=0, "", SUMPRODUCT(I19:$K$19,I4:$K$4)/SUM(I4:$K$4))</f>
        <v>7.9783064595818659E-2</v>
      </c>
      <c r="L24" s="7">
        <f>L19</f>
        <v>8.0127020590172793E-2</v>
      </c>
      <c r="M24" s="22">
        <f>MAX(K24:L24)</f>
        <v>8.0127020590172793E-2</v>
      </c>
      <c r="N24" s="22">
        <f>MIN(H24:L24)</f>
        <v>7.9556457441338768E-2</v>
      </c>
    </row>
    <row r="25" spans="1:14" x14ac:dyDescent="0.25">
      <c r="G25" s="6" t="s">
        <v>23</v>
      </c>
      <c r="H25" s="9">
        <f>IF(ISERROR(AVERAGEIF(B14:$L14,"&gt;0")),"",AVERAGEIF(B14:$L14,"&gt;0"))</f>
        <v>125.67305813225467</v>
      </c>
      <c r="I25" s="9">
        <f>IF(ISERROR(AVERAGEIF(E14:$L14,"&gt;0")),"",AVERAGEIF(E14:$L14,"&gt;0"))</f>
        <v>125.67305813225467</v>
      </c>
      <c r="J25" s="9">
        <f>IF(ISERROR(AVERAGEIF(G14:$L14,"&gt;0")),"",AVERAGEIF(G14:$L14,"&gt;0"))</f>
        <v>125.67305813225467</v>
      </c>
      <c r="K25" s="9">
        <f>IF(ISERROR(AVERAGEIF(I14:$L14,"&gt;0")),"",AVERAGEIF(I14:$L14,"&gt;0"))</f>
        <v>142.08487627428087</v>
      </c>
      <c r="L25" s="9">
        <f>L14</f>
        <v>189.24950662341175</v>
      </c>
      <c r="M25" s="1">
        <f>MAX(K25:L25)</f>
        <v>189.24950662341175</v>
      </c>
      <c r="N25" s="1">
        <f>MIN(H25:L25)</f>
        <v>125.67305813225467</v>
      </c>
    </row>
  </sheetData>
  <hyperlinks>
    <hyperlink ref="M1" r:id="rId1" xr:uid="{00000000-0004-0000-0000-000000000000}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70C0"/>
    <pageSetUpPr fitToPage="1"/>
  </sheetPr>
  <dimension ref="A1:S47"/>
  <sheetViews>
    <sheetView showGridLines="0" tabSelected="1" zoomScale="85" zoomScaleNormal="85" workbookViewId="0">
      <pane xSplit="1" ySplit="3" topLeftCell="B4" activePane="bottomRight" state="frozen"/>
      <selection activeCell="I20" sqref="I20"/>
      <selection pane="topRight" activeCell="I20" sqref="I20"/>
      <selection pane="bottomLeft" activeCell="I20" sqref="I20"/>
      <selection pane="bottomRight" activeCell="T28" sqref="T28"/>
    </sheetView>
  </sheetViews>
  <sheetFormatPr defaultColWidth="8.85546875" defaultRowHeight="15" x14ac:dyDescent="0.25"/>
  <cols>
    <col min="1" max="1" width="30.7109375" style="6" customWidth="1"/>
    <col min="2" max="10" width="13.42578125" style="6" hidden="1" customWidth="1"/>
    <col min="11" max="11" width="13.42578125" style="6" bestFit="1" customWidth="1"/>
    <col min="12" max="18" width="12.140625" style="6" customWidth="1"/>
    <col min="19" max="16384" width="8.85546875" style="6"/>
  </cols>
  <sheetData>
    <row r="1" spans="1:19" s="8" customFormat="1" x14ac:dyDescent="0.25">
      <c r="A1" s="8" t="str">
        <f>'Profit &amp; Loss'!A1</f>
        <v>AVENUE SUPERMARTS LTD</v>
      </c>
      <c r="E1" s="11" t="str">
        <f>UPDATE</f>
        <v/>
      </c>
      <c r="J1" s="4" t="s">
        <v>1</v>
      </c>
      <c r="K1" s="4"/>
    </row>
    <row r="2" spans="1:19" x14ac:dyDescent="0.25">
      <c r="K2" s="34" t="s">
        <v>109</v>
      </c>
      <c r="L2" s="75" t="s">
        <v>110</v>
      </c>
      <c r="M2" s="75"/>
      <c r="N2" s="75"/>
      <c r="O2" s="75"/>
      <c r="P2" s="75"/>
      <c r="Q2" s="75"/>
      <c r="R2" s="75"/>
    </row>
    <row r="3" spans="1:19" s="2" customFormat="1" x14ac:dyDescent="0.25">
      <c r="A3" s="33" t="s">
        <v>2</v>
      </c>
      <c r="B3" s="34">
        <f>'Data Sheet'!B41</f>
        <v>43738</v>
      </c>
      <c r="C3" s="34">
        <f>'Data Sheet'!C41</f>
        <v>43830</v>
      </c>
      <c r="D3" s="34">
        <f>'Data Sheet'!D41</f>
        <v>43921</v>
      </c>
      <c r="E3" s="34">
        <f>'Data Sheet'!E41</f>
        <v>44012</v>
      </c>
      <c r="F3" s="34">
        <f>'Data Sheet'!F41</f>
        <v>44104</v>
      </c>
      <c r="G3" s="34">
        <f>'Data Sheet'!G41</f>
        <v>44196</v>
      </c>
      <c r="H3" s="34">
        <f>'Data Sheet'!H41</f>
        <v>44286</v>
      </c>
      <c r="I3" s="34">
        <f>'Data Sheet'!I41</f>
        <v>44377</v>
      </c>
      <c r="J3" s="34">
        <f>'Data Sheet'!J41</f>
        <v>44469</v>
      </c>
      <c r="K3" s="34">
        <f>'Data Sheet'!K41</f>
        <v>44561</v>
      </c>
      <c r="L3" s="71">
        <f>K3+90</f>
        <v>44651</v>
      </c>
      <c r="M3" s="71">
        <f t="shared" ref="M3:R3" si="0">L3+90</f>
        <v>44741</v>
      </c>
      <c r="N3" s="71">
        <f t="shared" si="0"/>
        <v>44831</v>
      </c>
      <c r="O3" s="71">
        <f t="shared" si="0"/>
        <v>44921</v>
      </c>
      <c r="P3" s="71">
        <f t="shared" si="0"/>
        <v>45011</v>
      </c>
      <c r="Q3" s="71">
        <f t="shared" si="0"/>
        <v>45101</v>
      </c>
      <c r="R3" s="71">
        <f t="shared" si="0"/>
        <v>45191</v>
      </c>
    </row>
    <row r="4" spans="1:19" s="8" customFormat="1" x14ac:dyDescent="0.25">
      <c r="A4" s="35" t="s">
        <v>6</v>
      </c>
      <c r="B4" s="36">
        <f>'Data Sheet'!B42</f>
        <v>5990.78</v>
      </c>
      <c r="C4" s="36">
        <f>'Data Sheet'!C42</f>
        <v>6808.93</v>
      </c>
      <c r="D4" s="36">
        <f>'Data Sheet'!D42</f>
        <v>6255.93</v>
      </c>
      <c r="E4" s="36">
        <f>'Data Sheet'!E42</f>
        <v>3883.18</v>
      </c>
      <c r="F4" s="36">
        <f>'Data Sheet'!F42</f>
        <v>5306.2</v>
      </c>
      <c r="G4" s="36">
        <f>'Data Sheet'!G42</f>
        <v>7542</v>
      </c>
      <c r="H4" s="36">
        <f>'Data Sheet'!H42</f>
        <v>7411.68</v>
      </c>
      <c r="I4" s="36">
        <f>'Data Sheet'!I42</f>
        <v>5183.12</v>
      </c>
      <c r="J4" s="36">
        <f>'Data Sheet'!J42</f>
        <v>7788.94</v>
      </c>
      <c r="K4" s="36">
        <f>'Data Sheet'!K42</f>
        <v>9217.76</v>
      </c>
      <c r="L4" s="35">
        <f t="shared" ref="L4:R4" si="1">(K20*K22)/10</f>
        <v>9278.9999999999982</v>
      </c>
      <c r="M4" s="35">
        <f t="shared" si="1"/>
        <v>9530.9999999999982</v>
      </c>
      <c r="N4" s="35">
        <f t="shared" si="1"/>
        <v>9782.9999999999964</v>
      </c>
      <c r="O4" s="35">
        <f t="shared" si="1"/>
        <v>10034.999999999996</v>
      </c>
      <c r="P4" s="35">
        <f t="shared" si="1"/>
        <v>10286.999999999996</v>
      </c>
      <c r="Q4" s="35">
        <f t="shared" si="1"/>
        <v>10538.999999999996</v>
      </c>
      <c r="R4" s="35">
        <f t="shared" si="1"/>
        <v>10790.999999999996</v>
      </c>
    </row>
    <row r="5" spans="1:19" hidden="1" x14ac:dyDescent="0.25">
      <c r="A5" s="37" t="s">
        <v>7</v>
      </c>
      <c r="B5" s="38">
        <f>'Data Sheet'!B43</f>
        <v>5473.3</v>
      </c>
      <c r="C5" s="38">
        <f>'Data Sheet'!C43</f>
        <v>6212.19</v>
      </c>
      <c r="D5" s="38">
        <f>'Data Sheet'!D43</f>
        <v>5838.6</v>
      </c>
      <c r="E5" s="38">
        <f>'Data Sheet'!E43</f>
        <v>3771.41</v>
      </c>
      <c r="F5" s="38">
        <f>'Data Sheet'!F43</f>
        <v>4976.7</v>
      </c>
      <c r="G5" s="38">
        <f>'Data Sheet'!G43</f>
        <v>6852.88</v>
      </c>
      <c r="H5" s="38">
        <f>'Data Sheet'!H43</f>
        <v>6799.02</v>
      </c>
      <c r="I5" s="38">
        <f>'Data Sheet'!I43</f>
        <v>4958.9399999999996</v>
      </c>
      <c r="J5" s="38">
        <f>'Data Sheet'!J43</f>
        <v>7120.36</v>
      </c>
      <c r="K5" s="38">
        <f>'Data Sheet'!K43</f>
        <v>8351.2999999999993</v>
      </c>
      <c r="L5" s="37"/>
      <c r="M5" s="37"/>
      <c r="N5" s="37"/>
      <c r="O5" s="37"/>
      <c r="P5" s="37"/>
      <c r="Q5" s="37"/>
      <c r="R5" s="37"/>
    </row>
    <row r="6" spans="1:19" s="8" customFormat="1" hidden="1" x14ac:dyDescent="0.25">
      <c r="A6" s="35" t="s">
        <v>8</v>
      </c>
      <c r="B6" s="36">
        <f>'Data Sheet'!B50</f>
        <v>517.48</v>
      </c>
      <c r="C6" s="36">
        <f>'Data Sheet'!C50</f>
        <v>596.74</v>
      </c>
      <c r="D6" s="36">
        <f>'Data Sheet'!D50</f>
        <v>417.33</v>
      </c>
      <c r="E6" s="36">
        <f>'Data Sheet'!E50</f>
        <v>111.77</v>
      </c>
      <c r="F6" s="36">
        <f>'Data Sheet'!F50</f>
        <v>329.5</v>
      </c>
      <c r="G6" s="36">
        <f>'Data Sheet'!G50</f>
        <v>689.12</v>
      </c>
      <c r="H6" s="36">
        <f>'Data Sheet'!H50</f>
        <v>612.66</v>
      </c>
      <c r="I6" s="36">
        <f>'Data Sheet'!I50</f>
        <v>224.18</v>
      </c>
      <c r="J6" s="36">
        <f>'Data Sheet'!J50</f>
        <v>668.58</v>
      </c>
      <c r="K6" s="36">
        <f>'Data Sheet'!K50</f>
        <v>866.46</v>
      </c>
      <c r="L6" s="35"/>
      <c r="M6" s="35"/>
      <c r="N6" s="35"/>
      <c r="O6" s="35"/>
      <c r="P6" s="35"/>
      <c r="Q6" s="35"/>
      <c r="R6" s="35"/>
    </row>
    <row r="7" spans="1:19" hidden="1" x14ac:dyDescent="0.25">
      <c r="A7" s="37" t="s">
        <v>9</v>
      </c>
      <c r="B7" s="38">
        <f>'Data Sheet'!B44</f>
        <v>8.1199999999999992</v>
      </c>
      <c r="C7" s="38">
        <f>'Data Sheet'!C44</f>
        <v>6.07</v>
      </c>
      <c r="D7" s="38">
        <f>'Data Sheet'!D44</f>
        <v>34.85</v>
      </c>
      <c r="E7" s="38">
        <f>'Data Sheet'!E44</f>
        <v>50.6</v>
      </c>
      <c r="F7" s="38">
        <f>'Data Sheet'!F44</f>
        <v>52.17</v>
      </c>
      <c r="G7" s="38">
        <f>'Data Sheet'!G44</f>
        <v>45.32</v>
      </c>
      <c r="H7" s="38">
        <f>'Data Sheet'!H44</f>
        <v>48.12</v>
      </c>
      <c r="I7" s="38">
        <f>'Data Sheet'!I44</f>
        <v>31.46</v>
      </c>
      <c r="J7" s="38">
        <f>'Data Sheet'!J44</f>
        <v>27.5</v>
      </c>
      <c r="K7" s="38">
        <f>'Data Sheet'!K44</f>
        <v>25.96</v>
      </c>
      <c r="L7" s="37"/>
      <c r="M7" s="37"/>
      <c r="N7" s="37"/>
      <c r="O7" s="37"/>
      <c r="P7" s="37"/>
      <c r="Q7" s="37"/>
      <c r="R7" s="37"/>
    </row>
    <row r="8" spans="1:19" hidden="1" x14ac:dyDescent="0.25">
      <c r="A8" s="37" t="s">
        <v>10</v>
      </c>
      <c r="B8" s="38">
        <f>'Data Sheet'!B45</f>
        <v>91.91</v>
      </c>
      <c r="C8" s="38">
        <f>'Data Sheet'!C45</f>
        <v>95.24</v>
      </c>
      <c r="D8" s="38">
        <f>'Data Sheet'!D45</f>
        <v>104.57</v>
      </c>
      <c r="E8" s="38">
        <f>'Data Sheet'!E45</f>
        <v>94.78</v>
      </c>
      <c r="F8" s="38">
        <f>'Data Sheet'!F45</f>
        <v>100.72</v>
      </c>
      <c r="G8" s="38">
        <f>'Data Sheet'!G45</f>
        <v>113.7</v>
      </c>
      <c r="H8" s="38">
        <f>'Data Sheet'!H45</f>
        <v>104.96</v>
      </c>
      <c r="I8" s="38">
        <f>'Data Sheet'!I45</f>
        <v>107.44</v>
      </c>
      <c r="J8" s="38">
        <f>'Data Sheet'!J45</f>
        <v>116.01</v>
      </c>
      <c r="K8" s="38">
        <f>'Data Sheet'!K45</f>
        <v>128.30000000000001</v>
      </c>
      <c r="L8" s="37"/>
      <c r="M8" s="37"/>
      <c r="N8" s="37"/>
      <c r="O8" s="37"/>
      <c r="P8" s="37"/>
      <c r="Q8" s="37"/>
      <c r="R8" s="37"/>
    </row>
    <row r="9" spans="1:19" hidden="1" x14ac:dyDescent="0.25">
      <c r="A9" s="37" t="s">
        <v>11</v>
      </c>
      <c r="B9" s="38">
        <f>'Data Sheet'!B46</f>
        <v>19.010000000000002</v>
      </c>
      <c r="C9" s="38">
        <f>'Data Sheet'!C46</f>
        <v>17.600000000000001</v>
      </c>
      <c r="D9" s="38">
        <f>'Data Sheet'!D46</f>
        <v>14.36</v>
      </c>
      <c r="E9" s="38">
        <f>'Data Sheet'!E46</f>
        <v>8.82</v>
      </c>
      <c r="F9" s="38">
        <f>'Data Sheet'!F46</f>
        <v>9.27</v>
      </c>
      <c r="G9" s="38">
        <f>'Data Sheet'!G46</f>
        <v>11.3</v>
      </c>
      <c r="H9" s="38">
        <f>'Data Sheet'!H46</f>
        <v>12.26</v>
      </c>
      <c r="I9" s="38">
        <f>'Data Sheet'!I46</f>
        <v>10.84</v>
      </c>
      <c r="J9" s="38">
        <f>'Data Sheet'!J46</f>
        <v>12.37</v>
      </c>
      <c r="K9" s="38">
        <f>'Data Sheet'!K46</f>
        <v>13.95</v>
      </c>
      <c r="L9" s="37"/>
      <c r="M9" s="37"/>
      <c r="N9" s="37"/>
      <c r="O9" s="37"/>
      <c r="P9" s="37"/>
      <c r="Q9" s="37"/>
      <c r="R9" s="37"/>
    </row>
    <row r="10" spans="1:19" hidden="1" x14ac:dyDescent="0.25">
      <c r="A10" s="37" t="s">
        <v>12</v>
      </c>
      <c r="B10" s="38">
        <f>'Data Sheet'!B47</f>
        <v>414.68</v>
      </c>
      <c r="C10" s="38">
        <f>'Data Sheet'!C47</f>
        <v>489.97</v>
      </c>
      <c r="D10" s="38">
        <f>'Data Sheet'!D47</f>
        <v>333.25</v>
      </c>
      <c r="E10" s="38">
        <f>'Data Sheet'!E47</f>
        <v>58.77</v>
      </c>
      <c r="F10" s="38">
        <f>'Data Sheet'!F47</f>
        <v>271.68</v>
      </c>
      <c r="G10" s="38">
        <f>'Data Sheet'!G47</f>
        <v>609.44000000000005</v>
      </c>
      <c r="H10" s="38">
        <f>'Data Sheet'!H47</f>
        <v>543.55999999999995</v>
      </c>
      <c r="I10" s="38">
        <f>'Data Sheet'!I47</f>
        <v>137.36000000000001</v>
      </c>
      <c r="J10" s="38">
        <f>'Data Sheet'!J47</f>
        <v>567.70000000000005</v>
      </c>
      <c r="K10" s="38">
        <f>'Data Sheet'!K47</f>
        <v>750.17</v>
      </c>
      <c r="L10" s="37"/>
      <c r="M10" s="37"/>
      <c r="N10" s="37"/>
      <c r="O10" s="37"/>
      <c r="P10" s="37"/>
      <c r="Q10" s="37"/>
      <c r="R10" s="37"/>
    </row>
    <row r="11" spans="1:19" hidden="1" x14ac:dyDescent="0.25">
      <c r="A11" s="37" t="s">
        <v>13</v>
      </c>
      <c r="B11" s="38">
        <f>'Data Sheet'!B48</f>
        <v>92.05</v>
      </c>
      <c r="C11" s="38">
        <f>'Data Sheet'!C48</f>
        <v>105.96</v>
      </c>
      <c r="D11" s="38">
        <f>'Data Sheet'!D48</f>
        <v>61.97</v>
      </c>
      <c r="E11" s="38">
        <f>'Data Sheet'!E48</f>
        <v>18.690000000000001</v>
      </c>
      <c r="F11" s="38">
        <f>'Data Sheet'!F48</f>
        <v>73.150000000000006</v>
      </c>
      <c r="G11" s="38">
        <f>'Data Sheet'!G48</f>
        <v>162.49</v>
      </c>
      <c r="H11" s="38">
        <f>'Data Sheet'!H48</f>
        <v>129.69</v>
      </c>
      <c r="I11" s="38">
        <f>'Data Sheet'!I48</f>
        <v>42</v>
      </c>
      <c r="J11" s="38">
        <f>'Data Sheet'!J48</f>
        <v>149.94</v>
      </c>
      <c r="K11" s="38">
        <f>'Data Sheet'!K48</f>
        <v>197.64</v>
      </c>
      <c r="L11" s="37"/>
      <c r="M11" s="37"/>
      <c r="N11" s="37"/>
      <c r="O11" s="37"/>
      <c r="P11" s="37"/>
      <c r="Q11" s="37"/>
      <c r="R11" s="37"/>
    </row>
    <row r="12" spans="1:19" s="32" customFormat="1" x14ac:dyDescent="0.25">
      <c r="A12" s="39" t="s">
        <v>14</v>
      </c>
      <c r="B12" s="40">
        <f>'Data Sheet'!B49</f>
        <v>322.66000000000003</v>
      </c>
      <c r="C12" s="40">
        <f>'Data Sheet'!C49</f>
        <v>384.04</v>
      </c>
      <c r="D12" s="40">
        <f>'Data Sheet'!D49</f>
        <v>271.29000000000002</v>
      </c>
      <c r="E12" s="40">
        <f>'Data Sheet'!E49</f>
        <v>40.090000000000003</v>
      </c>
      <c r="F12" s="40">
        <f>'Data Sheet'!F49</f>
        <v>198.55</v>
      </c>
      <c r="G12" s="40">
        <f>'Data Sheet'!G49</f>
        <v>446.97</v>
      </c>
      <c r="H12" s="40">
        <f>'Data Sheet'!H49</f>
        <v>413.88</v>
      </c>
      <c r="I12" s="40">
        <f>'Data Sheet'!I49</f>
        <v>95.37</v>
      </c>
      <c r="J12" s="40">
        <f>'Data Sheet'!J49</f>
        <v>417.79</v>
      </c>
      <c r="K12" s="40">
        <f>'Data Sheet'!K49</f>
        <v>552.55999999999995</v>
      </c>
      <c r="L12" s="41">
        <f>L4*L14</f>
        <v>556.7399999999999</v>
      </c>
      <c r="M12" s="41">
        <f t="shared" ref="M12:R12" si="2">M4*M14</f>
        <v>571.8599999999999</v>
      </c>
      <c r="N12" s="41">
        <f t="shared" si="2"/>
        <v>586.97999999999979</v>
      </c>
      <c r="O12" s="41">
        <f>O4*O14</f>
        <v>602.0999999999998</v>
      </c>
      <c r="P12" s="41">
        <f t="shared" si="2"/>
        <v>617.2199999999998</v>
      </c>
      <c r="Q12" s="41">
        <f t="shared" si="2"/>
        <v>632.3399999999998</v>
      </c>
      <c r="R12" s="41">
        <f t="shared" si="2"/>
        <v>647.45999999999981</v>
      </c>
      <c r="S12" s="47"/>
    </row>
    <row r="13" spans="1:19" s="32" customFormat="1" hidden="1" x14ac:dyDescent="0.25">
      <c r="A13" s="39" t="s">
        <v>105</v>
      </c>
      <c r="B13" s="40"/>
      <c r="C13" s="40"/>
      <c r="D13" s="40"/>
      <c r="E13" s="40"/>
      <c r="F13" s="40"/>
      <c r="G13" s="40"/>
      <c r="H13" s="40"/>
      <c r="I13" s="40"/>
      <c r="J13" s="40"/>
      <c r="K13" s="50">
        <f>K12/J12-100%</f>
        <v>0.3225783288254862</v>
      </c>
      <c r="L13" s="51">
        <f>(L12/K12)-100%</f>
        <v>7.5647893441435077E-3</v>
      </c>
      <c r="M13" s="51">
        <f>(M12/L12)-100%</f>
        <v>2.7158098933074637E-2</v>
      </c>
      <c r="N13" s="51">
        <f t="shared" ref="N13:R13" si="3">(N12/M12)-100%</f>
        <v>2.6440037771482405E-2</v>
      </c>
      <c r="O13" s="51">
        <f t="shared" si="3"/>
        <v>2.575896964121438E-2</v>
      </c>
      <c r="P13" s="51">
        <f t="shared" si="3"/>
        <v>2.5112107623318503E-2</v>
      </c>
      <c r="Q13" s="51">
        <f t="shared" si="3"/>
        <v>2.4496937882764636E-2</v>
      </c>
      <c r="R13" s="51">
        <f t="shared" si="3"/>
        <v>2.3911187019641345E-2</v>
      </c>
    </row>
    <row r="14" spans="1:19" x14ac:dyDescent="0.25">
      <c r="A14" s="65" t="s">
        <v>95</v>
      </c>
      <c r="B14" s="65"/>
      <c r="C14" s="65"/>
      <c r="D14" s="65"/>
      <c r="E14" s="65"/>
      <c r="F14" s="65"/>
      <c r="G14" s="72">
        <f t="shared" ref="G14:J14" si="4">G12/G4</f>
        <v>5.9264120922832141E-2</v>
      </c>
      <c r="H14" s="72">
        <f t="shared" si="4"/>
        <v>5.5841590570558902E-2</v>
      </c>
      <c r="I14" s="72">
        <f t="shared" si="4"/>
        <v>1.840011421691954E-2</v>
      </c>
      <c r="J14" s="72">
        <f t="shared" si="4"/>
        <v>5.3638877690674221E-2</v>
      </c>
      <c r="K14" s="72">
        <v>0.06</v>
      </c>
      <c r="L14" s="72">
        <v>0.06</v>
      </c>
      <c r="M14" s="72">
        <f>L14</f>
        <v>0.06</v>
      </c>
      <c r="N14" s="72">
        <f t="shared" ref="N14:R14" si="5">M14</f>
        <v>0.06</v>
      </c>
      <c r="O14" s="72">
        <f t="shared" si="5"/>
        <v>0.06</v>
      </c>
      <c r="P14" s="72">
        <f t="shared" si="5"/>
        <v>0.06</v>
      </c>
      <c r="Q14" s="72">
        <f t="shared" si="5"/>
        <v>0.06</v>
      </c>
      <c r="R14" s="72">
        <f t="shared" si="5"/>
        <v>0.06</v>
      </c>
    </row>
    <row r="15" spans="1:19" s="8" customFormat="1" hidden="1" x14ac:dyDescent="0.25">
      <c r="A15" s="54" t="s">
        <v>18</v>
      </c>
      <c r="B15" s="55">
        <f>IF(B4&gt;0,B6/B4,"")</f>
        <v>8.6379403015967873E-2</v>
      </c>
      <c r="C15" s="55">
        <f t="shared" ref="C15:J15" si="6">IF(C4&gt;0,C6/C4,"")</f>
        <v>8.7640789375129424E-2</v>
      </c>
      <c r="D15" s="55">
        <f t="shared" si="6"/>
        <v>6.6709506020687565E-2</v>
      </c>
      <c r="E15" s="55">
        <f t="shared" si="6"/>
        <v>2.8783110749437318E-2</v>
      </c>
      <c r="F15" s="55">
        <f t="shared" si="6"/>
        <v>6.2097169349063362E-2</v>
      </c>
      <c r="G15" s="55">
        <f t="shared" si="6"/>
        <v>9.1370989127552371E-2</v>
      </c>
      <c r="H15" s="55">
        <f t="shared" si="6"/>
        <v>8.2661420892429241E-2</v>
      </c>
      <c r="I15" s="55">
        <f t="shared" si="6"/>
        <v>4.3251940915896223E-2</v>
      </c>
      <c r="J15" s="55">
        <f t="shared" si="6"/>
        <v>8.5837097217336386E-2</v>
      </c>
      <c r="K15" s="55">
        <f>IF(K4&gt;0,K6/K4,"")</f>
        <v>9.3998975890021E-2</v>
      </c>
      <c r="L15" s="55">
        <f>IF(L4&gt;0,L6/L4,"")</f>
        <v>0</v>
      </c>
      <c r="M15" s="55">
        <f t="shared" ref="M15:R15" si="7">IF(M4&gt;0,M6/M4,"")</f>
        <v>0</v>
      </c>
      <c r="N15" s="55">
        <f t="shared" si="7"/>
        <v>0</v>
      </c>
      <c r="O15" s="55">
        <f t="shared" si="7"/>
        <v>0</v>
      </c>
      <c r="P15" s="55">
        <f t="shared" si="7"/>
        <v>0</v>
      </c>
      <c r="Q15" s="55">
        <f t="shared" si="7"/>
        <v>0</v>
      </c>
      <c r="R15" s="55">
        <f t="shared" si="7"/>
        <v>0</v>
      </c>
    </row>
    <row r="16" spans="1:19" s="8" customFormat="1" x14ac:dyDescent="0.25">
      <c r="A16" s="54" t="s">
        <v>99</v>
      </c>
      <c r="B16" s="55"/>
      <c r="C16" s="55"/>
      <c r="D16" s="55"/>
      <c r="E16" s="55"/>
      <c r="F16" s="55"/>
      <c r="G16" s="55"/>
      <c r="H16" s="52">
        <v>263</v>
      </c>
      <c r="I16" s="52">
        <v>263</v>
      </c>
      <c r="J16" s="52">
        <v>263</v>
      </c>
      <c r="K16" s="52">
        <v>263</v>
      </c>
      <c r="L16" s="54">
        <f>K16+K18</f>
        <v>271</v>
      </c>
      <c r="M16" s="54">
        <f t="shared" ref="M16:R16" si="8">L16+L18</f>
        <v>279</v>
      </c>
      <c r="N16" s="54">
        <f t="shared" si="8"/>
        <v>287</v>
      </c>
      <c r="O16" s="54">
        <f t="shared" si="8"/>
        <v>295</v>
      </c>
      <c r="P16" s="54">
        <f t="shared" si="8"/>
        <v>303</v>
      </c>
      <c r="Q16" s="54">
        <f t="shared" si="8"/>
        <v>311</v>
      </c>
      <c r="R16" s="54">
        <f t="shared" si="8"/>
        <v>319</v>
      </c>
    </row>
    <row r="17" spans="1:18" s="48" customFormat="1" ht="30" x14ac:dyDescent="0.25">
      <c r="A17" s="56" t="s">
        <v>100</v>
      </c>
      <c r="B17" s="57"/>
      <c r="C17" s="57"/>
      <c r="D17" s="57"/>
      <c r="E17" s="57"/>
      <c r="F17" s="57"/>
      <c r="G17" s="57"/>
      <c r="H17" s="58"/>
      <c r="I17" s="58"/>
      <c r="J17" s="58"/>
      <c r="K17" s="58">
        <v>10.029999999999999</v>
      </c>
      <c r="L17" s="59">
        <f>K20</f>
        <v>10.309999999999999</v>
      </c>
      <c r="M17" s="59">
        <f t="shared" ref="M17:R17" si="9">L20</f>
        <v>10.589999999999998</v>
      </c>
      <c r="N17" s="59">
        <f t="shared" si="9"/>
        <v>10.869999999999997</v>
      </c>
      <c r="O17" s="59">
        <f t="shared" si="9"/>
        <v>11.149999999999997</v>
      </c>
      <c r="P17" s="59">
        <f t="shared" si="9"/>
        <v>11.429999999999996</v>
      </c>
      <c r="Q17" s="59">
        <f t="shared" si="9"/>
        <v>11.709999999999996</v>
      </c>
      <c r="R17" s="59">
        <f t="shared" si="9"/>
        <v>11.989999999999995</v>
      </c>
    </row>
    <row r="18" spans="1:18" s="8" customFormat="1" x14ac:dyDescent="0.25">
      <c r="A18" s="76" t="s">
        <v>96</v>
      </c>
      <c r="B18" s="77"/>
      <c r="C18" s="77"/>
      <c r="D18" s="77"/>
      <c r="E18" s="77"/>
      <c r="F18" s="77"/>
      <c r="G18" s="77"/>
      <c r="H18" s="65"/>
      <c r="I18" s="65"/>
      <c r="J18" s="65"/>
      <c r="K18" s="78">
        <v>8</v>
      </c>
      <c r="L18" s="76">
        <f>K18</f>
        <v>8</v>
      </c>
      <c r="M18" s="76">
        <f t="shared" ref="M18:R18" si="10">L18</f>
        <v>8</v>
      </c>
      <c r="N18" s="76">
        <f t="shared" si="10"/>
        <v>8</v>
      </c>
      <c r="O18" s="76">
        <f t="shared" si="10"/>
        <v>8</v>
      </c>
      <c r="P18" s="76">
        <f t="shared" si="10"/>
        <v>8</v>
      </c>
      <c r="Q18" s="76">
        <f t="shared" si="10"/>
        <v>8</v>
      </c>
      <c r="R18" s="76">
        <f t="shared" si="10"/>
        <v>8</v>
      </c>
    </row>
    <row r="19" spans="1:18" x14ac:dyDescent="0.25">
      <c r="A19" s="65" t="s">
        <v>97</v>
      </c>
      <c r="B19" s="79"/>
      <c r="C19" s="79"/>
      <c r="D19" s="79"/>
      <c r="E19" s="79"/>
      <c r="F19" s="79"/>
      <c r="G19" s="79"/>
      <c r="H19" s="65"/>
      <c r="I19" s="65"/>
      <c r="J19" s="65"/>
      <c r="K19" s="65">
        <v>35000</v>
      </c>
      <c r="L19" s="65">
        <f>K19</f>
        <v>35000</v>
      </c>
      <c r="M19" s="65">
        <f t="shared" ref="M19:R19" si="11">L19</f>
        <v>35000</v>
      </c>
      <c r="N19" s="65">
        <f t="shared" si="11"/>
        <v>35000</v>
      </c>
      <c r="O19" s="65">
        <f t="shared" si="11"/>
        <v>35000</v>
      </c>
      <c r="P19" s="65">
        <f t="shared" si="11"/>
        <v>35000</v>
      </c>
      <c r="Q19" s="65">
        <f t="shared" si="11"/>
        <v>35000</v>
      </c>
      <c r="R19" s="65">
        <f t="shared" si="11"/>
        <v>35000</v>
      </c>
    </row>
    <row r="20" spans="1:18" s="32" customFormat="1" ht="30" x14ac:dyDescent="0.25">
      <c r="A20" s="80" t="s">
        <v>111</v>
      </c>
      <c r="B20" s="60"/>
      <c r="C20" s="60"/>
      <c r="D20" s="60"/>
      <c r="E20" s="60"/>
      <c r="F20" s="60"/>
      <c r="G20" s="60"/>
      <c r="H20" s="61"/>
      <c r="I20" s="61"/>
      <c r="J20" s="61"/>
      <c r="K20" s="61">
        <f>K17+(K18*K19/1000000)</f>
        <v>10.309999999999999</v>
      </c>
      <c r="L20" s="61">
        <f>L17+(L18*L19/1000000)</f>
        <v>10.589999999999998</v>
      </c>
      <c r="M20" s="61">
        <f>M17+(M18*M19/1000000)</f>
        <v>10.869999999999997</v>
      </c>
      <c r="N20" s="61">
        <f t="shared" ref="N20:R20" si="12">N17+(N18*N19/1000000)</f>
        <v>11.149999999999997</v>
      </c>
      <c r="O20" s="61">
        <f t="shared" si="12"/>
        <v>11.429999999999996</v>
      </c>
      <c r="P20" s="61">
        <f t="shared" si="12"/>
        <v>11.709999999999996</v>
      </c>
      <c r="Q20" s="61">
        <f t="shared" si="12"/>
        <v>11.989999999999995</v>
      </c>
      <c r="R20" s="61">
        <f t="shared" si="12"/>
        <v>12.269999999999994</v>
      </c>
    </row>
    <row r="21" spans="1:18" s="49" customFormat="1" x14ac:dyDescent="0.25">
      <c r="A21" s="62" t="s">
        <v>106</v>
      </c>
      <c r="B21" s="62"/>
      <c r="C21" s="62"/>
      <c r="D21" s="62"/>
      <c r="E21" s="62"/>
      <c r="F21" s="62"/>
      <c r="G21" s="62"/>
      <c r="H21" s="53"/>
      <c r="I21" s="53"/>
      <c r="J21" s="53"/>
      <c r="K21" s="53"/>
      <c r="L21" s="63">
        <f>L20/K20-100%</f>
        <v>2.7158098933074637E-2</v>
      </c>
      <c r="M21" s="63">
        <f t="shared" ref="M21:R21" si="13">M20/L20-100%</f>
        <v>2.6440037771482405E-2</v>
      </c>
      <c r="N21" s="63">
        <f t="shared" si="13"/>
        <v>2.575896964121438E-2</v>
      </c>
      <c r="O21" s="63">
        <f t="shared" si="13"/>
        <v>2.5112107623318281E-2</v>
      </c>
      <c r="P21" s="63">
        <f t="shared" si="13"/>
        <v>2.4496937882764636E-2</v>
      </c>
      <c r="Q21" s="63">
        <f t="shared" si="13"/>
        <v>2.3911187019641345E-2</v>
      </c>
      <c r="R21" s="63">
        <f t="shared" si="13"/>
        <v>2.3352793994995791E-2</v>
      </c>
    </row>
    <row r="22" spans="1:18" s="8" customFormat="1" x14ac:dyDescent="0.25">
      <c r="A22" s="76" t="s">
        <v>98</v>
      </c>
      <c r="B22" s="77"/>
      <c r="C22" s="77"/>
      <c r="D22" s="77"/>
      <c r="E22" s="77"/>
      <c r="F22" s="77"/>
      <c r="G22" s="77"/>
      <c r="H22" s="65"/>
      <c r="I22" s="65"/>
      <c r="J22" s="65"/>
      <c r="K22" s="78">
        <v>9000</v>
      </c>
      <c r="L22" s="81">
        <f>K22</f>
        <v>9000</v>
      </c>
      <c r="M22" s="81">
        <f t="shared" ref="M22:R22" si="14">L22</f>
        <v>9000</v>
      </c>
      <c r="N22" s="81">
        <f t="shared" si="14"/>
        <v>9000</v>
      </c>
      <c r="O22" s="81">
        <f t="shared" si="14"/>
        <v>9000</v>
      </c>
      <c r="P22" s="81">
        <f t="shared" si="14"/>
        <v>9000</v>
      </c>
      <c r="Q22" s="81">
        <f t="shared" si="14"/>
        <v>9000</v>
      </c>
      <c r="R22" s="81">
        <f t="shared" si="14"/>
        <v>9000</v>
      </c>
    </row>
    <row r="23" spans="1:18" x14ac:dyDescent="0.25">
      <c r="A23" s="52" t="s">
        <v>93</v>
      </c>
      <c r="B23" s="52"/>
      <c r="C23" s="52"/>
      <c r="D23" s="52"/>
      <c r="E23" s="52"/>
      <c r="F23" s="52"/>
      <c r="G23" s="52"/>
      <c r="H23" s="52">
        <v>4340</v>
      </c>
      <c r="I23" s="52">
        <v>4340</v>
      </c>
      <c r="J23" s="52">
        <v>4340</v>
      </c>
      <c r="K23" s="52">
        <v>4000</v>
      </c>
      <c r="L23" s="52">
        <f>+K23</f>
        <v>4000</v>
      </c>
      <c r="M23" s="52">
        <f t="shared" ref="M23:R23" si="15">+L23</f>
        <v>4000</v>
      </c>
      <c r="N23" s="52">
        <f t="shared" si="15"/>
        <v>4000</v>
      </c>
      <c r="O23" s="52">
        <f t="shared" si="15"/>
        <v>4000</v>
      </c>
      <c r="P23" s="52">
        <f t="shared" si="15"/>
        <v>4000</v>
      </c>
      <c r="Q23" s="52">
        <f t="shared" si="15"/>
        <v>4000</v>
      </c>
      <c r="R23" s="52">
        <f t="shared" si="15"/>
        <v>4000</v>
      </c>
    </row>
    <row r="24" spans="1:18" x14ac:dyDescent="0.25">
      <c r="A24" s="52" t="s">
        <v>101</v>
      </c>
      <c r="B24" s="52"/>
      <c r="C24" s="52"/>
      <c r="D24" s="52"/>
      <c r="E24" s="52"/>
      <c r="F24" s="52"/>
      <c r="G24" s="52"/>
      <c r="H24" s="52">
        <v>64.78</v>
      </c>
      <c r="I24" s="52">
        <v>64.78</v>
      </c>
      <c r="J24" s="52">
        <v>64.78</v>
      </c>
      <c r="K24" s="52">
        <v>64.78</v>
      </c>
      <c r="L24" s="52">
        <v>64.78</v>
      </c>
      <c r="M24" s="52">
        <v>64.78</v>
      </c>
      <c r="N24" s="52">
        <v>64.78</v>
      </c>
      <c r="O24" s="52">
        <v>64.78</v>
      </c>
      <c r="P24" s="52">
        <v>64.78</v>
      </c>
      <c r="Q24" s="52">
        <v>64.78</v>
      </c>
      <c r="R24" s="52">
        <v>64.78</v>
      </c>
    </row>
    <row r="25" spans="1:18" s="30" customFormat="1" x14ac:dyDescent="0.25">
      <c r="A25" s="42" t="s">
        <v>57</v>
      </c>
      <c r="B25" s="42"/>
      <c r="C25" s="42"/>
      <c r="D25" s="42"/>
      <c r="E25" s="42"/>
      <c r="F25" s="42"/>
      <c r="G25" s="42"/>
      <c r="H25" s="43">
        <f>H12/H24</f>
        <v>6.3890089533806727</v>
      </c>
      <c r="I25" s="43">
        <f>H25+I12/I24</f>
        <v>7.8612225995677676</v>
      </c>
      <c r="J25" s="43">
        <f>I25+J12/J24</f>
        <v>14.310589688175362</v>
      </c>
      <c r="K25" s="43">
        <f>J25+K12/K24</f>
        <v>22.840382834208086</v>
      </c>
      <c r="L25" s="44">
        <f>K25+L12/L24</f>
        <v>31.434702068539668</v>
      </c>
      <c r="M25" s="44">
        <f>L25+M12/M24</f>
        <v>40.262426674899658</v>
      </c>
      <c r="N25" s="44">
        <f t="shared" ref="N25:R25" si="16">M25+N12/N24</f>
        <v>49.323556653288044</v>
      </c>
      <c r="O25" s="44">
        <f t="shared" si="16"/>
        <v>58.618092003704838</v>
      </c>
      <c r="P25" s="44">
        <f t="shared" si="16"/>
        <v>68.14603272615004</v>
      </c>
      <c r="Q25" s="44">
        <f t="shared" si="16"/>
        <v>77.907378820623634</v>
      </c>
      <c r="R25" s="44">
        <f t="shared" si="16"/>
        <v>87.902130287125644</v>
      </c>
    </row>
    <row r="26" spans="1:18" s="30" customFormat="1" hidden="1" x14ac:dyDescent="0.25">
      <c r="A26" s="42" t="s">
        <v>107</v>
      </c>
      <c r="B26" s="42"/>
      <c r="C26" s="42"/>
      <c r="D26" s="42"/>
      <c r="E26" s="42"/>
      <c r="F26" s="42"/>
      <c r="G26" s="42"/>
      <c r="H26" s="43"/>
      <c r="I26" s="43"/>
      <c r="J26" s="43"/>
      <c r="K26" s="43"/>
      <c r="L26" s="64">
        <f>L25/K25-100%</f>
        <v>0.37627737226277369</v>
      </c>
      <c r="M26" s="64">
        <f t="shared" ref="M26:R26" si="17">M25/L25-100%</f>
        <v>0.28082736674622133</v>
      </c>
      <c r="N26" s="64">
        <f t="shared" si="17"/>
        <v>0.22505175983436843</v>
      </c>
      <c r="O26" s="64">
        <f t="shared" si="17"/>
        <v>0.18844008788237288</v>
      </c>
      <c r="P26" s="64">
        <f t="shared" si="17"/>
        <v>0.16254266211604107</v>
      </c>
      <c r="Q26" s="64">
        <f t="shared" si="17"/>
        <v>0.14324159021406713</v>
      </c>
      <c r="R26" s="64">
        <f t="shared" si="17"/>
        <v>0.12829017761609252</v>
      </c>
    </row>
    <row r="27" spans="1:18" x14ac:dyDescent="0.25">
      <c r="A27" s="42" t="s">
        <v>94</v>
      </c>
      <c r="B27" s="42"/>
      <c r="C27" s="42"/>
      <c r="D27" s="42"/>
      <c r="E27" s="42"/>
      <c r="F27" s="42"/>
      <c r="G27" s="42"/>
      <c r="H27" s="43">
        <f>H23/H25</f>
        <v>679.2915821010921</v>
      </c>
      <c r="I27" s="43">
        <f>I23/I25</f>
        <v>552.07697594501724</v>
      </c>
      <c r="J27" s="43">
        <f>J23/J25</f>
        <v>303.27191922678634</v>
      </c>
      <c r="K27" s="84">
        <v>176.5</v>
      </c>
      <c r="L27" s="45">
        <f>L23/L25</f>
        <v>127.24790555604665</v>
      </c>
      <c r="M27" s="45">
        <f t="shared" ref="M27:R27" si="18">M23/M25</f>
        <v>99.348209493137034</v>
      </c>
      <c r="N27" s="45">
        <f t="shared" si="18"/>
        <v>81.0971525860828</v>
      </c>
      <c r="O27" s="45">
        <f t="shared" si="18"/>
        <v>68.238317953903859</v>
      </c>
      <c r="P27" s="45">
        <f t="shared" si="18"/>
        <v>58.697474232642435</v>
      </c>
      <c r="Q27" s="45">
        <f t="shared" si="18"/>
        <v>51.343018601738919</v>
      </c>
      <c r="R27" s="45">
        <f t="shared" si="18"/>
        <v>45.50515427708411</v>
      </c>
    </row>
    <row r="28" spans="1:18" x14ac:dyDescent="0.25">
      <c r="A28" s="82" t="s">
        <v>108</v>
      </c>
      <c r="B28" s="82"/>
      <c r="C28" s="82"/>
      <c r="D28" s="82"/>
      <c r="E28" s="82"/>
      <c r="F28" s="82"/>
      <c r="G28" s="82"/>
      <c r="H28" s="83"/>
      <c r="I28" s="83"/>
      <c r="J28" s="83"/>
      <c r="K28" s="83"/>
      <c r="L28" s="83">
        <f>$K$27*L25</f>
        <v>5548.2249150972511</v>
      </c>
      <c r="M28" s="83">
        <f>$K$27*M25</f>
        <v>7106.3183081197894</v>
      </c>
      <c r="N28" s="83">
        <f>$K$27*N25</f>
        <v>8705.6077493053399</v>
      </c>
      <c r="O28" s="83">
        <f>$K$27*O25</f>
        <v>10346.093238653904</v>
      </c>
      <c r="P28" s="83">
        <f>$K$27*P25</f>
        <v>12027.774776165483</v>
      </c>
      <c r="Q28" s="83">
        <f>$K$27*Q25</f>
        <v>13750.652361840072</v>
      </c>
      <c r="R28" s="83">
        <f>$K$27*R25</f>
        <v>15514.725995677676</v>
      </c>
    </row>
    <row r="29" spans="1:18" x14ac:dyDescent="0.25">
      <c r="A29" s="65" t="s">
        <v>102</v>
      </c>
      <c r="B29" s="65"/>
      <c r="C29" s="65"/>
      <c r="D29" s="65"/>
      <c r="E29" s="65"/>
      <c r="F29" s="65"/>
      <c r="G29" s="65"/>
      <c r="H29" s="65"/>
      <c r="I29" s="65"/>
      <c r="J29" s="65"/>
      <c r="K29" s="65">
        <v>80</v>
      </c>
      <c r="L29" s="65">
        <f>K29</f>
        <v>80</v>
      </c>
      <c r="M29" s="65">
        <f t="shared" ref="M29:R29" si="19">L29</f>
        <v>80</v>
      </c>
      <c r="N29" s="65">
        <f t="shared" si="19"/>
        <v>80</v>
      </c>
      <c r="O29" s="65">
        <f t="shared" si="19"/>
        <v>80</v>
      </c>
      <c r="P29" s="65">
        <f t="shared" si="19"/>
        <v>80</v>
      </c>
      <c r="Q29" s="65">
        <f t="shared" si="19"/>
        <v>80</v>
      </c>
      <c r="R29" s="65">
        <f t="shared" si="19"/>
        <v>80</v>
      </c>
    </row>
    <row r="30" spans="1:18" s="46" customFormat="1" x14ac:dyDescent="0.25">
      <c r="A30" s="66" t="s">
        <v>103</v>
      </c>
      <c r="B30" s="66"/>
      <c r="C30" s="66"/>
      <c r="D30" s="66"/>
      <c r="E30" s="66"/>
      <c r="F30" s="66"/>
      <c r="G30" s="66"/>
      <c r="H30" s="66"/>
      <c r="I30" s="66"/>
      <c r="J30" s="66"/>
      <c r="K30" s="85">
        <f>K25*K27</f>
        <v>4031.3275702377273</v>
      </c>
      <c r="L30" s="66">
        <f>L$25*L29</f>
        <v>2514.7761654831734</v>
      </c>
      <c r="M30" s="66">
        <f>M$25*M29</f>
        <v>3220.9941339919724</v>
      </c>
      <c r="N30" s="66">
        <f>N$25*N29</f>
        <v>3945.8845322630436</v>
      </c>
      <c r="O30" s="66">
        <f>O$25*O29</f>
        <v>4689.4473602963872</v>
      </c>
      <c r="P30" s="66">
        <f>P$25*P29</f>
        <v>5451.6826180920034</v>
      </c>
      <c r="Q30" s="66">
        <f>Q$25*Q29</f>
        <v>6232.590305649891</v>
      </c>
      <c r="R30" s="66">
        <f>R$25*R29</f>
        <v>7032.1704229700517</v>
      </c>
    </row>
    <row r="31" spans="1:18" x14ac:dyDescent="0.25">
      <c r="A31" s="65" t="s">
        <v>104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7">
        <f>L30/$K$30-100%</f>
        <v>-0.37619155931432358</v>
      </c>
      <c r="M31" s="67">
        <f>M30/$K$30-100%</f>
        <v>-0.20100907756249875</v>
      </c>
      <c r="N31" s="67">
        <f>N30/$K$30-100%</f>
        <v>-2.1194764376253672E-2</v>
      </c>
      <c r="O31" s="67">
        <f>O30/$K$30-100%</f>
        <v>0.16325138024441177</v>
      </c>
      <c r="P31" s="67">
        <f>P30/$K$30-100%</f>
        <v>0.35232935629949758</v>
      </c>
      <c r="Q31" s="67">
        <f>Q30/$K$30-100%</f>
        <v>0.54603916378900341</v>
      </c>
      <c r="R31" s="67">
        <f>R30/$K$30-100%</f>
        <v>0.74438080271292972</v>
      </c>
    </row>
    <row r="32" spans="1:18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x14ac:dyDescent="0.25">
      <c r="A33" s="68" t="s">
        <v>102</v>
      </c>
      <c r="B33" s="68"/>
      <c r="C33" s="68"/>
      <c r="D33" s="68"/>
      <c r="E33" s="68"/>
      <c r="F33" s="68"/>
      <c r="G33" s="68"/>
      <c r="H33" s="68"/>
      <c r="I33" s="68"/>
      <c r="J33" s="68"/>
      <c r="K33" s="68">
        <v>100</v>
      </c>
      <c r="L33" s="68">
        <f>K33</f>
        <v>100</v>
      </c>
      <c r="M33" s="68">
        <f t="shared" ref="M33:R33" si="20">L33</f>
        <v>100</v>
      </c>
      <c r="N33" s="68">
        <f t="shared" si="20"/>
        <v>100</v>
      </c>
      <c r="O33" s="68">
        <f t="shared" si="20"/>
        <v>100</v>
      </c>
      <c r="P33" s="68">
        <f t="shared" si="20"/>
        <v>100</v>
      </c>
      <c r="Q33" s="68">
        <f t="shared" si="20"/>
        <v>100</v>
      </c>
      <c r="R33" s="68">
        <f t="shared" si="20"/>
        <v>100</v>
      </c>
    </row>
    <row r="34" spans="1:18" s="46" customFormat="1" x14ac:dyDescent="0.25">
      <c r="A34" s="69" t="s">
        <v>103</v>
      </c>
      <c r="B34" s="69"/>
      <c r="C34" s="69"/>
      <c r="D34" s="69"/>
      <c r="E34" s="69"/>
      <c r="F34" s="69"/>
      <c r="G34" s="69"/>
      <c r="H34" s="69"/>
      <c r="I34" s="69"/>
      <c r="J34" s="69"/>
      <c r="K34" s="69">
        <f>$K$25*K33</f>
        <v>2284.0382834208085</v>
      </c>
      <c r="L34" s="69">
        <f>L$25*L33</f>
        <v>3143.4702068539668</v>
      </c>
      <c r="M34" s="69">
        <f>M$25*M33</f>
        <v>4026.2426674899657</v>
      </c>
      <c r="N34" s="69">
        <f>N$25*N33</f>
        <v>4932.3556653288042</v>
      </c>
      <c r="O34" s="69">
        <f>O$25*O33</f>
        <v>5861.8092003704842</v>
      </c>
      <c r="P34" s="69">
        <f>P$25*P33</f>
        <v>6814.6032726150042</v>
      </c>
      <c r="Q34" s="69">
        <f>Q$25*Q33</f>
        <v>7790.7378820623635</v>
      </c>
      <c r="R34" s="69">
        <f>R$25*R33</f>
        <v>8790.2130287125638</v>
      </c>
    </row>
    <row r="35" spans="1:18" x14ac:dyDescent="0.25">
      <c r="A35" s="68" t="s">
        <v>104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70">
        <f>L34/$K$34-100%</f>
        <v>0.37627737226277369</v>
      </c>
      <c r="M35" s="70">
        <f>M34/$K$34-100%</f>
        <v>0.76277372262773735</v>
      </c>
      <c r="N35" s="70">
        <f>N34/$K$34-100%</f>
        <v>1.1594890510948903</v>
      </c>
      <c r="O35" s="70">
        <f>O34/$K$34-100%</f>
        <v>1.5664233576642337</v>
      </c>
      <c r="P35" s="70">
        <f>P34/$K$34-100%</f>
        <v>1.9835766423357666</v>
      </c>
      <c r="Q35" s="70">
        <f>Q34/$K$34-100%</f>
        <v>2.410948905109489</v>
      </c>
      <c r="R35" s="70">
        <f>R34/$K$34-100%</f>
        <v>2.8485401459854014</v>
      </c>
    </row>
    <row r="36" spans="1:18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x14ac:dyDescent="0.25">
      <c r="A37" s="65" t="s">
        <v>102</v>
      </c>
      <c r="B37" s="65"/>
      <c r="C37" s="65"/>
      <c r="D37" s="65"/>
      <c r="E37" s="65"/>
      <c r="F37" s="65"/>
      <c r="G37" s="65"/>
      <c r="H37" s="65"/>
      <c r="I37" s="65"/>
      <c r="J37" s="65"/>
      <c r="K37" s="65">
        <v>120</v>
      </c>
      <c r="L37" s="65">
        <f>K37</f>
        <v>120</v>
      </c>
      <c r="M37" s="65">
        <f t="shared" ref="M37:R37" si="21">L37</f>
        <v>120</v>
      </c>
      <c r="N37" s="65">
        <f t="shared" si="21"/>
        <v>120</v>
      </c>
      <c r="O37" s="65">
        <f t="shared" si="21"/>
        <v>120</v>
      </c>
      <c r="P37" s="65">
        <f t="shared" si="21"/>
        <v>120</v>
      </c>
      <c r="Q37" s="65">
        <f t="shared" si="21"/>
        <v>120</v>
      </c>
      <c r="R37" s="65">
        <f t="shared" si="21"/>
        <v>120</v>
      </c>
    </row>
    <row r="38" spans="1:18" s="46" customFormat="1" x14ac:dyDescent="0.25">
      <c r="A38" s="66" t="s">
        <v>103</v>
      </c>
      <c r="B38" s="66"/>
      <c r="C38" s="66"/>
      <c r="D38" s="66"/>
      <c r="E38" s="66"/>
      <c r="F38" s="66"/>
      <c r="G38" s="66"/>
      <c r="H38" s="66"/>
      <c r="I38" s="66"/>
      <c r="J38" s="66"/>
      <c r="K38" s="66">
        <f>$K$25*K37</f>
        <v>2740.8459401049704</v>
      </c>
      <c r="L38" s="66">
        <f>L$25*L37</f>
        <v>3772.1642482247603</v>
      </c>
      <c r="M38" s="66">
        <f>M$25*M37</f>
        <v>4831.491200987959</v>
      </c>
      <c r="N38" s="66">
        <f>N$25*N37</f>
        <v>5918.8267983945652</v>
      </c>
      <c r="O38" s="66">
        <f>O$25*O37</f>
        <v>7034.1710404445803</v>
      </c>
      <c r="P38" s="66">
        <f>P$25*P37</f>
        <v>8177.5239271380051</v>
      </c>
      <c r="Q38" s="66">
        <f>Q$25*Q37</f>
        <v>9348.8854584748369</v>
      </c>
      <c r="R38" s="66">
        <f>R$25*R37</f>
        <v>10548.255634455078</v>
      </c>
    </row>
    <row r="39" spans="1:18" x14ac:dyDescent="0.25">
      <c r="A39" s="65" t="s">
        <v>104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7">
        <f>L38/$K$38-100%</f>
        <v>0.37627737226277369</v>
      </c>
      <c r="M39" s="67">
        <f>M38/$K$38-100%</f>
        <v>0.76277372262773735</v>
      </c>
      <c r="N39" s="67">
        <f>N38/$K$38-100%</f>
        <v>1.1594890510948903</v>
      </c>
      <c r="O39" s="67">
        <f>O38/$K$38-100%</f>
        <v>1.5664233576642332</v>
      </c>
      <c r="P39" s="67">
        <f>P38/$K$38-100%</f>
        <v>1.9835766423357666</v>
      </c>
      <c r="Q39" s="67">
        <f>Q38/$K$38-100%</f>
        <v>2.410948905109489</v>
      </c>
      <c r="R39" s="67">
        <f>R38/$K$38-100%</f>
        <v>2.8485401459854014</v>
      </c>
    </row>
    <row r="40" spans="1:18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5">
      <c r="A41" s="68" t="s">
        <v>102</v>
      </c>
      <c r="B41" s="68"/>
      <c r="C41" s="68"/>
      <c r="D41" s="68"/>
      <c r="E41" s="68"/>
      <c r="F41" s="68"/>
      <c r="G41" s="68"/>
      <c r="H41" s="68"/>
      <c r="I41" s="68"/>
      <c r="J41" s="68"/>
      <c r="K41" s="68">
        <v>140</v>
      </c>
      <c r="L41" s="68">
        <f>K41</f>
        <v>140</v>
      </c>
      <c r="M41" s="68">
        <f t="shared" ref="M41:R41" si="22">L41</f>
        <v>140</v>
      </c>
      <c r="N41" s="68">
        <f t="shared" si="22"/>
        <v>140</v>
      </c>
      <c r="O41" s="68">
        <f t="shared" si="22"/>
        <v>140</v>
      </c>
      <c r="P41" s="68">
        <f t="shared" si="22"/>
        <v>140</v>
      </c>
      <c r="Q41" s="68">
        <f t="shared" si="22"/>
        <v>140</v>
      </c>
      <c r="R41" s="68">
        <f t="shared" si="22"/>
        <v>140</v>
      </c>
    </row>
    <row r="42" spans="1:18" s="46" customFormat="1" x14ac:dyDescent="0.25">
      <c r="A42" s="69" t="s">
        <v>103</v>
      </c>
      <c r="B42" s="69"/>
      <c r="C42" s="69"/>
      <c r="D42" s="69"/>
      <c r="E42" s="69"/>
      <c r="F42" s="69"/>
      <c r="G42" s="69"/>
      <c r="H42" s="69"/>
      <c r="I42" s="69"/>
      <c r="J42" s="69"/>
      <c r="K42" s="69">
        <f>$K$25*K41</f>
        <v>3197.6535967891318</v>
      </c>
      <c r="L42" s="69">
        <f>L$25*L41</f>
        <v>4400.8582895955533</v>
      </c>
      <c r="M42" s="69">
        <f>M$25*M41</f>
        <v>5636.7397344859519</v>
      </c>
      <c r="N42" s="69">
        <f>N$25*N41</f>
        <v>6905.2979314603263</v>
      </c>
      <c r="O42" s="69">
        <f>O$25*O41</f>
        <v>8206.5328805186782</v>
      </c>
      <c r="P42" s="69">
        <f>P$25*P41</f>
        <v>9540.4445816610059</v>
      </c>
      <c r="Q42" s="69">
        <f>Q$25*Q41</f>
        <v>10907.033034887309</v>
      </c>
      <c r="R42" s="69">
        <f>R$25*R41</f>
        <v>12306.29824019759</v>
      </c>
    </row>
    <row r="43" spans="1:18" x14ac:dyDescent="0.25">
      <c r="A43" s="68" t="s">
        <v>104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70">
        <f>L42/$K$42-100%</f>
        <v>0.37627737226277369</v>
      </c>
      <c r="M43" s="70">
        <f>M42/$K$42-100%</f>
        <v>0.76277372262773735</v>
      </c>
      <c r="N43" s="70">
        <f>N42/$K$42-100%</f>
        <v>1.1594890510948908</v>
      </c>
      <c r="O43" s="70">
        <f>O42/$K$42-100%</f>
        <v>1.5664233576642341</v>
      </c>
      <c r="P43" s="70">
        <f>P42/$K$42-100%</f>
        <v>1.983576642335767</v>
      </c>
      <c r="Q43" s="70">
        <f>Q42/$K$42-100%</f>
        <v>2.410948905109489</v>
      </c>
      <c r="R43" s="70">
        <f>R42/$K$42-100%</f>
        <v>2.8485401459854014</v>
      </c>
    </row>
    <row r="45" spans="1:18" x14ac:dyDescent="0.25">
      <c r="A45" s="65" t="s">
        <v>102</v>
      </c>
      <c r="B45" s="65"/>
      <c r="C45" s="65"/>
      <c r="D45" s="65"/>
      <c r="E45" s="65"/>
      <c r="F45" s="65"/>
      <c r="G45" s="65"/>
      <c r="H45" s="65"/>
      <c r="I45" s="65"/>
      <c r="J45" s="65"/>
      <c r="K45" s="65">
        <v>160</v>
      </c>
      <c r="L45" s="65">
        <f>K45</f>
        <v>160</v>
      </c>
      <c r="M45" s="65">
        <f t="shared" ref="M45" si="23">L45</f>
        <v>160</v>
      </c>
      <c r="N45" s="65">
        <f t="shared" ref="N45" si="24">M45</f>
        <v>160</v>
      </c>
      <c r="O45" s="65">
        <f t="shared" ref="O45" si="25">N45</f>
        <v>160</v>
      </c>
      <c r="P45" s="65">
        <f t="shared" ref="P45" si="26">O45</f>
        <v>160</v>
      </c>
      <c r="Q45" s="65">
        <f t="shared" ref="Q45" si="27">P45</f>
        <v>160</v>
      </c>
      <c r="R45" s="65">
        <f t="shared" ref="R45" si="28">Q45</f>
        <v>160</v>
      </c>
    </row>
    <row r="46" spans="1:18" x14ac:dyDescent="0.25">
      <c r="A46" s="66" t="s">
        <v>103</v>
      </c>
      <c r="B46" s="66"/>
      <c r="C46" s="66"/>
      <c r="D46" s="66"/>
      <c r="E46" s="66"/>
      <c r="F46" s="66"/>
      <c r="G46" s="66"/>
      <c r="H46" s="66"/>
      <c r="I46" s="66"/>
      <c r="J46" s="66"/>
      <c r="K46" s="66">
        <f>$K$25*K45</f>
        <v>3654.4612534732937</v>
      </c>
      <c r="L46" s="66">
        <f>L$25*L45</f>
        <v>5029.5523309663467</v>
      </c>
      <c r="M46" s="66">
        <f>M$25*M45</f>
        <v>6441.9882679839448</v>
      </c>
      <c r="N46" s="66">
        <f>N$25*N45</f>
        <v>7891.7690645260873</v>
      </c>
      <c r="O46" s="66">
        <f>O$25*O45</f>
        <v>9378.8947205927743</v>
      </c>
      <c r="P46" s="66">
        <f>P$25*P45</f>
        <v>10903.365236184007</v>
      </c>
      <c r="Q46" s="66">
        <f>Q$25*Q45</f>
        <v>12465.180611299782</v>
      </c>
      <c r="R46" s="66">
        <f>R$25*R45</f>
        <v>14064.340845940103</v>
      </c>
    </row>
    <row r="47" spans="1:18" x14ac:dyDescent="0.25">
      <c r="A47" s="65" t="s">
        <v>104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7">
        <f>L46/$K$38-100%</f>
        <v>0.83503649635036492</v>
      </c>
      <c r="M47" s="67">
        <f>M46/$K$38-100%</f>
        <v>1.3503649635036497</v>
      </c>
      <c r="N47" s="67">
        <f>N46/$K$38-100%</f>
        <v>1.8793187347931872</v>
      </c>
      <c r="O47" s="67">
        <f>O46/$K$38-100%</f>
        <v>2.4218978102189781</v>
      </c>
      <c r="P47" s="67">
        <f>P46/$K$38-100%</f>
        <v>2.9781021897810223</v>
      </c>
      <c r="Q47" s="67">
        <f>Q46/$K$38-100%</f>
        <v>3.5479318734793184</v>
      </c>
      <c r="R47" s="67">
        <f>R46/$K$38-100%</f>
        <v>4.1313868613138682</v>
      </c>
    </row>
  </sheetData>
  <mergeCells count="1">
    <mergeCell ref="L2:R2"/>
  </mergeCells>
  <hyperlinks>
    <hyperlink ref="J1" r:id="rId1" xr:uid="{00000000-0004-0000-0100-000000000000}"/>
  </hyperlinks>
  <printOptions gridLines="1"/>
  <pageMargins left="0.7" right="0.7" top="0.75" bottom="0.75" header="0.3" footer="0.3"/>
  <pageSetup paperSize="9" scale="83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25"/>
  <sheetViews>
    <sheetView zoomScale="125" workbookViewId="0">
      <pane xSplit="1" ySplit="3" topLeftCell="E13" activePane="bottomRight" state="frozen"/>
      <selection activeCell="I20" sqref="I20"/>
      <selection pane="topRight" activeCell="I20" sqref="I20"/>
      <selection pane="bottomLeft" activeCell="I20" sqref="I20"/>
      <selection pane="bottomRight" activeCell="K23" sqref="K23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AVENUE SUPERMARTS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40999</v>
      </c>
      <c r="C3" s="16">
        <f>'Data Sheet'!C56</f>
        <v>41364</v>
      </c>
      <c r="D3" s="16">
        <f>'Data Sheet'!D56</f>
        <v>41729</v>
      </c>
      <c r="E3" s="16">
        <f>'Data Sheet'!E56</f>
        <v>42094</v>
      </c>
      <c r="F3" s="16">
        <f>'Data Sheet'!F56</f>
        <v>42460</v>
      </c>
      <c r="G3" s="16">
        <f>'Data Sheet'!G56</f>
        <v>42825</v>
      </c>
      <c r="H3" s="16">
        <f>'Data Sheet'!H56</f>
        <v>43190</v>
      </c>
      <c r="I3" s="16">
        <f>'Data Sheet'!I56</f>
        <v>43555</v>
      </c>
      <c r="J3" s="16">
        <f>'Data Sheet'!J56</f>
        <v>43921</v>
      </c>
      <c r="K3" s="16">
        <f>'Data Sheet'!K56</f>
        <v>44286</v>
      </c>
    </row>
    <row r="4" spans="1:11" x14ac:dyDescent="0.25">
      <c r="A4" s="6" t="s">
        <v>24</v>
      </c>
      <c r="B4" s="19">
        <f>'Data Sheet'!B57</f>
        <v>533.54</v>
      </c>
      <c r="C4" s="19">
        <f>'Data Sheet'!C57</f>
        <v>544.05999999999995</v>
      </c>
      <c r="D4" s="19">
        <f>'Data Sheet'!D57</f>
        <v>546.75</v>
      </c>
      <c r="E4" s="19">
        <f>'Data Sheet'!E57</f>
        <v>561.54</v>
      </c>
      <c r="F4" s="19">
        <f>'Data Sheet'!F57</f>
        <v>561.54</v>
      </c>
      <c r="G4" s="19">
        <f>'Data Sheet'!G57</f>
        <v>624.08000000000004</v>
      </c>
      <c r="H4" s="19">
        <f>'Data Sheet'!H57</f>
        <v>624.08000000000004</v>
      </c>
      <c r="I4" s="19">
        <f>'Data Sheet'!I57</f>
        <v>624.08000000000004</v>
      </c>
      <c r="J4" s="19">
        <f>'Data Sheet'!J57</f>
        <v>647.77</v>
      </c>
      <c r="K4" s="19">
        <f>'Data Sheet'!K57</f>
        <v>647.77</v>
      </c>
    </row>
    <row r="5" spans="1:11" s="6" customFormat="1" x14ac:dyDescent="0.25">
      <c r="A5" s="6" t="s">
        <v>25</v>
      </c>
      <c r="B5" s="19">
        <f>'Data Sheet'!B58</f>
        <v>148.15</v>
      </c>
      <c r="C5" s="19">
        <f>'Data Sheet'!C58</f>
        <v>245.48</v>
      </c>
      <c r="D5" s="19">
        <f>'Data Sheet'!D58</f>
        <v>408.82</v>
      </c>
      <c r="E5" s="19">
        <f>'Data Sheet'!E58</f>
        <v>637.65</v>
      </c>
      <c r="F5" s="19">
        <f>'Data Sheet'!F58</f>
        <v>958.9</v>
      </c>
      <c r="G5" s="19">
        <f>'Data Sheet'!G58</f>
        <v>3217.7</v>
      </c>
      <c r="H5" s="19">
        <f>'Data Sheet'!H58</f>
        <v>4044.97</v>
      </c>
      <c r="I5" s="19">
        <f>'Data Sheet'!I58</f>
        <v>4963.37</v>
      </c>
      <c r="J5" s="19">
        <f>'Data Sheet'!J58</f>
        <v>10431.969999999999</v>
      </c>
      <c r="K5" s="19">
        <f>'Data Sheet'!K58</f>
        <v>11535.94</v>
      </c>
    </row>
    <row r="6" spans="1:11" x14ac:dyDescent="0.25">
      <c r="A6" s="11" t="s">
        <v>71</v>
      </c>
      <c r="B6" s="19">
        <f>'Data Sheet'!B59</f>
        <v>380.68</v>
      </c>
      <c r="C6" s="19">
        <f>'Data Sheet'!C59</f>
        <v>526.05999999999995</v>
      </c>
      <c r="D6" s="19">
        <f>'Data Sheet'!D59</f>
        <v>640.82000000000005</v>
      </c>
      <c r="E6" s="19">
        <f>'Data Sheet'!E59</f>
        <v>904.26</v>
      </c>
      <c r="F6" s="19">
        <f>'Data Sheet'!F59</f>
        <v>1192.3399999999999</v>
      </c>
      <c r="G6" s="19">
        <f>'Data Sheet'!G59</f>
        <v>1497.32</v>
      </c>
      <c r="H6" s="19">
        <f>'Data Sheet'!H59</f>
        <v>439.25</v>
      </c>
      <c r="I6" s="19">
        <f>'Data Sheet'!I59</f>
        <v>700.15</v>
      </c>
      <c r="J6" s="19">
        <f>'Data Sheet'!J59</f>
        <v>333.19</v>
      </c>
      <c r="K6" s="19">
        <f>'Data Sheet'!K59</f>
        <v>392.71</v>
      </c>
    </row>
    <row r="7" spans="1:11" s="6" customFormat="1" x14ac:dyDescent="0.25">
      <c r="A7" s="11" t="s">
        <v>72</v>
      </c>
      <c r="B7" s="19">
        <f>'Data Sheet'!B60</f>
        <v>128.5</v>
      </c>
      <c r="C7" s="19">
        <f>'Data Sheet'!C60</f>
        <v>176.47</v>
      </c>
      <c r="D7" s="19">
        <f>'Data Sheet'!D60</f>
        <v>211.26</v>
      </c>
      <c r="E7" s="19">
        <f>'Data Sheet'!E60</f>
        <v>251.36</v>
      </c>
      <c r="F7" s="19">
        <f>'Data Sheet'!F60</f>
        <v>388.78</v>
      </c>
      <c r="G7" s="19">
        <f>'Data Sheet'!G60</f>
        <v>480.18</v>
      </c>
      <c r="H7" s="19">
        <f>'Data Sheet'!H60</f>
        <v>539.91999999999996</v>
      </c>
      <c r="I7" s="19">
        <f>'Data Sheet'!I60</f>
        <v>717.9</v>
      </c>
      <c r="J7" s="19">
        <f>'Data Sheet'!J60</f>
        <v>663.23</v>
      </c>
      <c r="K7" s="19">
        <f>'Data Sheet'!K60</f>
        <v>1078.6300000000001</v>
      </c>
    </row>
    <row r="8" spans="1:11" s="8" customFormat="1" x14ac:dyDescent="0.25">
      <c r="A8" s="8" t="s">
        <v>26</v>
      </c>
      <c r="B8" s="20">
        <f>'Data Sheet'!B61</f>
        <v>1190.8699999999999</v>
      </c>
      <c r="C8" s="20">
        <f>'Data Sheet'!C61</f>
        <v>1492.07</v>
      </c>
      <c r="D8" s="20">
        <f>'Data Sheet'!D61</f>
        <v>1807.65</v>
      </c>
      <c r="E8" s="20">
        <f>'Data Sheet'!E61</f>
        <v>2354.81</v>
      </c>
      <c r="F8" s="20">
        <f>'Data Sheet'!F61</f>
        <v>3101.56</v>
      </c>
      <c r="G8" s="20">
        <f>'Data Sheet'!G61</f>
        <v>5819.28</v>
      </c>
      <c r="H8" s="20">
        <f>'Data Sheet'!H61</f>
        <v>5648.22</v>
      </c>
      <c r="I8" s="20">
        <f>'Data Sheet'!I61</f>
        <v>7005.5</v>
      </c>
      <c r="J8" s="20">
        <f>'Data Sheet'!J61</f>
        <v>12076.16</v>
      </c>
      <c r="K8" s="20">
        <f>'Data Sheet'!K61</f>
        <v>13655.05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779.07</v>
      </c>
      <c r="C10" s="19">
        <f>'Data Sheet'!C62</f>
        <v>924.67</v>
      </c>
      <c r="D10" s="19">
        <f>'Data Sheet'!D62</f>
        <v>1171.69</v>
      </c>
      <c r="E10" s="19">
        <f>'Data Sheet'!E62</f>
        <v>1528.08</v>
      </c>
      <c r="F10" s="19">
        <f>'Data Sheet'!F62</f>
        <v>2093.52</v>
      </c>
      <c r="G10" s="19">
        <f>'Data Sheet'!G62</f>
        <v>2577.75</v>
      </c>
      <c r="H10" s="19">
        <f>'Data Sheet'!H62</f>
        <v>3399.97</v>
      </c>
      <c r="I10" s="19">
        <f>'Data Sheet'!I62</f>
        <v>4400.37</v>
      </c>
      <c r="J10" s="19">
        <f>'Data Sheet'!J62</f>
        <v>5948.03</v>
      </c>
      <c r="K10" s="19">
        <f>'Data Sheet'!K62</f>
        <v>7008.8</v>
      </c>
    </row>
    <row r="11" spans="1:11" x14ac:dyDescent="0.25">
      <c r="A11" s="6" t="s">
        <v>28</v>
      </c>
      <c r="B11" s="19">
        <f>'Data Sheet'!B63</f>
        <v>84.94</v>
      </c>
      <c r="C11" s="19">
        <f>'Data Sheet'!C63</f>
        <v>118.11</v>
      </c>
      <c r="D11" s="19">
        <f>'Data Sheet'!D63</f>
        <v>88.78</v>
      </c>
      <c r="E11" s="19">
        <f>'Data Sheet'!E63</f>
        <v>98.12</v>
      </c>
      <c r="F11" s="19">
        <f>'Data Sheet'!F63</f>
        <v>81.69</v>
      </c>
      <c r="G11" s="19">
        <f>'Data Sheet'!G63</f>
        <v>152.88999999999999</v>
      </c>
      <c r="H11" s="19">
        <f>'Data Sheet'!H63</f>
        <v>147.07</v>
      </c>
      <c r="I11" s="19">
        <f>'Data Sheet'!I63</f>
        <v>376.84</v>
      </c>
      <c r="J11" s="19">
        <f>'Data Sheet'!J63</f>
        <v>364.4</v>
      </c>
      <c r="K11" s="19">
        <f>'Data Sheet'!K63</f>
        <v>1019.59</v>
      </c>
    </row>
    <row r="12" spans="1:11" x14ac:dyDescent="0.25">
      <c r="A12" s="6" t="s">
        <v>29</v>
      </c>
      <c r="B12" s="19">
        <f>'Data Sheet'!B64</f>
        <v>22.68</v>
      </c>
      <c r="C12" s="19">
        <f>'Data Sheet'!C64</f>
        <v>15.96</v>
      </c>
      <c r="D12" s="19">
        <f>'Data Sheet'!D64</f>
        <v>15.54</v>
      </c>
      <c r="E12" s="19">
        <f>'Data Sheet'!E64</f>
        <v>15.23</v>
      </c>
      <c r="F12" s="19">
        <f>'Data Sheet'!F64</f>
        <v>29.33</v>
      </c>
      <c r="G12" s="19">
        <f>'Data Sheet'!G64</f>
        <v>25.69</v>
      </c>
      <c r="H12" s="19">
        <f>'Data Sheet'!H64</f>
        <v>68.180000000000007</v>
      </c>
      <c r="I12" s="19">
        <f>'Data Sheet'!I64</f>
        <v>16.53</v>
      </c>
      <c r="J12" s="19">
        <f>'Data Sheet'!J64</f>
        <v>14.68</v>
      </c>
      <c r="K12" s="19">
        <f>'Data Sheet'!K64</f>
        <v>2.95</v>
      </c>
    </row>
    <row r="13" spans="1:11" x14ac:dyDescent="0.25">
      <c r="A13" s="11" t="s">
        <v>73</v>
      </c>
      <c r="B13" s="19">
        <f>'Data Sheet'!B65</f>
        <v>304.18</v>
      </c>
      <c r="C13" s="19">
        <f>'Data Sheet'!C65</f>
        <v>433.33</v>
      </c>
      <c r="D13" s="19">
        <f>'Data Sheet'!D65</f>
        <v>531.64</v>
      </c>
      <c r="E13" s="19">
        <f>'Data Sheet'!E65</f>
        <v>713.38</v>
      </c>
      <c r="F13" s="19">
        <f>'Data Sheet'!F65</f>
        <v>897.02</v>
      </c>
      <c r="G13" s="19">
        <f>'Data Sheet'!G65</f>
        <v>3062.95</v>
      </c>
      <c r="H13" s="19">
        <f>'Data Sheet'!H65</f>
        <v>2033</v>
      </c>
      <c r="I13" s="19">
        <f>'Data Sheet'!I65</f>
        <v>2211.7600000000002</v>
      </c>
      <c r="J13" s="19">
        <f>'Data Sheet'!J65</f>
        <v>5749.05</v>
      </c>
      <c r="K13" s="19">
        <f>'Data Sheet'!K65</f>
        <v>5623.71</v>
      </c>
    </row>
    <row r="14" spans="1:11" s="8" customFormat="1" x14ac:dyDescent="0.25">
      <c r="A14" s="8" t="s">
        <v>26</v>
      </c>
      <c r="B14" s="19">
        <f>'Data Sheet'!B66</f>
        <v>1190.8699999999999</v>
      </c>
      <c r="C14" s="19">
        <f>'Data Sheet'!C66</f>
        <v>1492.07</v>
      </c>
      <c r="D14" s="19">
        <f>'Data Sheet'!D66</f>
        <v>1807.65</v>
      </c>
      <c r="E14" s="19">
        <f>'Data Sheet'!E66</f>
        <v>2354.81</v>
      </c>
      <c r="F14" s="19">
        <f>'Data Sheet'!F66</f>
        <v>3101.56</v>
      </c>
      <c r="G14" s="19">
        <f>'Data Sheet'!G66</f>
        <v>5819.28</v>
      </c>
      <c r="H14" s="19">
        <f>'Data Sheet'!H66</f>
        <v>5648.22</v>
      </c>
      <c r="I14" s="19">
        <f>'Data Sheet'!I66</f>
        <v>7005.5</v>
      </c>
      <c r="J14" s="19">
        <f>'Data Sheet'!J66</f>
        <v>12076.16</v>
      </c>
      <c r="K14" s="19">
        <f>'Data Sheet'!K66</f>
        <v>13655.05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9" t="s">
        <v>30</v>
      </c>
      <c r="B16" s="21">
        <f>B13-B7</f>
        <v>175.68</v>
      </c>
      <c r="C16" s="21">
        <f t="shared" ref="C16:K16" si="0">C13-C7</f>
        <v>256.86</v>
      </c>
      <c r="D16" s="21">
        <f t="shared" si="0"/>
        <v>320.38</v>
      </c>
      <c r="E16" s="21">
        <f t="shared" si="0"/>
        <v>462.02</v>
      </c>
      <c r="F16" s="21">
        <f t="shared" si="0"/>
        <v>508.24</v>
      </c>
      <c r="G16" s="21">
        <f t="shared" si="0"/>
        <v>2582.77</v>
      </c>
      <c r="H16" s="21">
        <f t="shared" si="0"/>
        <v>1493.08</v>
      </c>
      <c r="I16" s="21">
        <f t="shared" si="0"/>
        <v>1493.8600000000001</v>
      </c>
      <c r="J16" s="21">
        <f t="shared" si="0"/>
        <v>5085.82</v>
      </c>
      <c r="K16" s="21">
        <f t="shared" si="0"/>
        <v>4545.08</v>
      </c>
    </row>
    <row r="17" spans="1:11" x14ac:dyDescent="0.25">
      <c r="A17" s="11" t="s">
        <v>44</v>
      </c>
      <c r="B17" s="21">
        <f>'Data Sheet'!B67</f>
        <v>5.63</v>
      </c>
      <c r="C17" s="21">
        <f>'Data Sheet'!C67</f>
        <v>13.29</v>
      </c>
      <c r="D17" s="21">
        <f>'Data Sheet'!D67</f>
        <v>9.5399999999999991</v>
      </c>
      <c r="E17" s="21">
        <f>'Data Sheet'!E67</f>
        <v>7.07</v>
      </c>
      <c r="F17" s="21">
        <f>'Data Sheet'!F67</f>
        <v>8.42</v>
      </c>
      <c r="G17" s="21">
        <f>'Data Sheet'!G67</f>
        <v>21</v>
      </c>
      <c r="H17" s="21">
        <f>'Data Sheet'!H67</f>
        <v>33.520000000000003</v>
      </c>
      <c r="I17" s="21">
        <f>'Data Sheet'!I67</f>
        <v>64.37</v>
      </c>
      <c r="J17" s="21">
        <f>'Data Sheet'!J67</f>
        <v>19.55</v>
      </c>
      <c r="K17" s="21">
        <f>'Data Sheet'!K67</f>
        <v>43.58</v>
      </c>
    </row>
    <row r="18" spans="1:11" x14ac:dyDescent="0.25">
      <c r="A18" s="11" t="s">
        <v>45</v>
      </c>
      <c r="B18" s="21">
        <f>'Data Sheet'!B68</f>
        <v>195.74</v>
      </c>
      <c r="C18" s="21">
        <f>'Data Sheet'!C68</f>
        <v>276.23</v>
      </c>
      <c r="D18" s="21">
        <f>'Data Sheet'!D68</f>
        <v>378.33</v>
      </c>
      <c r="E18" s="21">
        <f>'Data Sheet'!E68</f>
        <v>539.61</v>
      </c>
      <c r="F18" s="21">
        <f>'Data Sheet'!F68</f>
        <v>671.69</v>
      </c>
      <c r="G18" s="21">
        <f>'Data Sheet'!G68</f>
        <v>947.9</v>
      </c>
      <c r="H18" s="21">
        <f>'Data Sheet'!H68</f>
        <v>1163.45</v>
      </c>
      <c r="I18" s="21">
        <f>'Data Sheet'!I68</f>
        <v>1608.65</v>
      </c>
      <c r="J18" s="21">
        <f>'Data Sheet'!J68</f>
        <v>1947.4</v>
      </c>
      <c r="K18" s="21">
        <f>'Data Sheet'!K68</f>
        <v>2248.2800000000002</v>
      </c>
    </row>
    <row r="20" spans="1:11" x14ac:dyDescent="0.25">
      <c r="A20" s="11" t="s">
        <v>46</v>
      </c>
      <c r="B20" s="5">
        <f>IF('Profit &amp; Loss'!B4&gt;0,'Balance Sheet'!B17/('Profit &amp; Loss'!B4/365),0)</f>
        <v>0.93044789365016112</v>
      </c>
      <c r="C20" s="5">
        <f>IF('Profit &amp; Loss'!C4&gt;0,'Balance Sheet'!C17/('Profit &amp; Loss'!C4/365),0)</f>
        <v>1.4519807833335827</v>
      </c>
      <c r="D20" s="5">
        <f>IF('Profit &amp; Loss'!D4&gt;0,'Balance Sheet'!D17/('Profit &amp; Loss'!D4/365),0)</f>
        <v>0.74300967890613001</v>
      </c>
      <c r="E20" s="5">
        <f>IF('Profit &amp; Loss'!E4&gt;0,'Balance Sheet'!E17/('Profit &amp; Loss'!E4/365),0)</f>
        <v>0.40074199113896725</v>
      </c>
      <c r="F20" s="5">
        <f>IF('Profit &amp; Loss'!F4&gt;0,'Balance Sheet'!F17/('Profit &amp; Loss'!F4/365),0)</f>
        <v>0.35803657138596606</v>
      </c>
      <c r="G20" s="5">
        <f>IF('Profit &amp; Loss'!G4&gt;0,'Balance Sheet'!G17/('Profit &amp; Loss'!G4/365),0)</f>
        <v>0.64424216445195293</v>
      </c>
      <c r="H20" s="5">
        <f>IF('Profit &amp; Loss'!H4&gt;0,'Balance Sheet'!H17/('Profit &amp; Loss'!H4/365),0)</f>
        <v>0.81385200755660814</v>
      </c>
      <c r="I20" s="5">
        <f>IF('Profit &amp; Loss'!I4&gt;0,'Balance Sheet'!I17/('Profit &amp; Loss'!I4/365),0)</f>
        <v>1.1744870659231015</v>
      </c>
      <c r="J20" s="5">
        <f>IF('Profit &amp; Loss'!J4&gt;0,'Balance Sheet'!J17/('Profit &amp; Loss'!J4/365),0)</f>
        <v>0.28691968701498177</v>
      </c>
      <c r="K20" s="5">
        <f>IF('Profit &amp; Loss'!K4&gt;0,'Balance Sheet'!K17/('Profit &amp; Loss'!K4/365),0)</f>
        <v>0.65885186053466294</v>
      </c>
    </row>
    <row r="21" spans="1:11" x14ac:dyDescent="0.25">
      <c r="A21" s="11" t="s">
        <v>47</v>
      </c>
      <c r="B21" s="5">
        <f>IF('Balance Sheet'!B18&gt;0,'Profit &amp; Loss'!B4/'Balance Sheet'!B18,0)</f>
        <v>11.283130683559824</v>
      </c>
      <c r="C21" s="5">
        <f>IF('Balance Sheet'!C18&gt;0,'Profit &amp; Loss'!C4/'Balance Sheet'!C18,0)</f>
        <v>12.094450276943126</v>
      </c>
      <c r="D21" s="5">
        <f>IF('Balance Sheet'!D18&gt;0,'Profit &amp; Loss'!D4/'Balance Sheet'!D18,0)</f>
        <v>12.387280945206564</v>
      </c>
      <c r="E21" s="5">
        <f>IF('Balance Sheet'!E18&gt;0,'Profit &amp; Loss'!E4/'Balance Sheet'!E18,0)</f>
        <v>11.933489001315765</v>
      </c>
      <c r="F21" s="5">
        <f>IF('Balance Sheet'!F18&gt;0,'Profit &amp; Loss'!F4/'Balance Sheet'!F18,0)</f>
        <v>12.779347615715583</v>
      </c>
      <c r="G21" s="5">
        <f>IF('Balance Sheet'!G18&gt;0,'Profit &amp; Loss'!G4/'Balance Sheet'!G18,0)</f>
        <v>12.551640468403841</v>
      </c>
      <c r="H21" s="5">
        <f>IF('Balance Sheet'!H18&gt;0,'Profit &amp; Loss'!H4/'Balance Sheet'!H18,0)</f>
        <v>12.921225665047919</v>
      </c>
      <c r="I21" s="5">
        <f>IF('Balance Sheet'!I18&gt;0,'Profit &amp; Loss'!I4/'Balance Sheet'!I18,0)</f>
        <v>12.435595064184254</v>
      </c>
      <c r="J21" s="5">
        <f>IF('Balance Sheet'!J18&gt;0,'Profit &amp; Loss'!J4/'Balance Sheet'!J18,0)</f>
        <v>12.770976686864538</v>
      </c>
      <c r="K21" s="5">
        <f>IF('Balance Sheet'!K18&gt;0,'Profit &amp; Loss'!K4/'Balance Sheet'!K18,0)</f>
        <v>10.738457843329122</v>
      </c>
    </row>
    <row r="23" spans="1:11" s="8" customFormat="1" x14ac:dyDescent="0.25">
      <c r="A23" s="8" t="s">
        <v>59</v>
      </c>
      <c r="B23" s="14">
        <f>IF(SUM('Balance Sheet'!B4:B5)&gt;0,'Profit &amp; Loss'!B12/SUM('Balance Sheet'!B4:B5),"")</f>
        <v>8.8617993516114366E-2</v>
      </c>
      <c r="C23" s="14">
        <f>IF(SUM('Balance Sheet'!C4:C5)&gt;0,'Profit &amp; Loss'!C12/SUM('Balance Sheet'!C4:C5),"")</f>
        <v>0.11887934746814602</v>
      </c>
      <c r="D23" s="14">
        <f>IF(SUM('Balance Sheet'!D4:D5)&gt;0,'Profit &amp; Loss'!D12/SUM('Balance Sheet'!D4:D5),"")</f>
        <v>0.16887302866352022</v>
      </c>
      <c r="E23" s="14">
        <f>IF(SUM('Balance Sheet'!E4:E5)&gt;0,'Profit &amp; Loss'!E12/SUM('Balance Sheet'!E4:E5),"")</f>
        <v>0.17651081146440512</v>
      </c>
      <c r="F23" s="14">
        <f>IF(SUM('Balance Sheet'!F4:F5)&gt;0,'Profit &amp; Loss'!F12/SUM('Balance Sheet'!F4:F5),"")</f>
        <v>0.21062324064086713</v>
      </c>
      <c r="G23" s="14">
        <f>IF(SUM('Balance Sheet'!G4:G5)&gt;0,'Profit &amp; Loss'!G12/SUM('Balance Sheet'!G4:G5),"")</f>
        <v>0.12461671412730559</v>
      </c>
      <c r="H23" s="14">
        <f>IF(SUM('Balance Sheet'!H4:H5)&gt;0,'Profit &amp; Loss'!H12/SUM('Balance Sheet'!H4:H5),"")</f>
        <v>0.17268180893329477</v>
      </c>
      <c r="I23" s="14">
        <f>IF(SUM('Balance Sheet'!I4:I5)&gt;0,'Profit &amp; Loss'!I12/SUM('Balance Sheet'!I4:I5),"")</f>
        <v>0.16152985709044376</v>
      </c>
      <c r="J23" s="14">
        <f>IF(SUM('Balance Sheet'!J4:J5)&gt;0,'Profit &amp; Loss'!J12/SUM('Balance Sheet'!J4:J5),"")</f>
        <v>0.11742874832802935</v>
      </c>
      <c r="K23" s="14">
        <f>IF(SUM('Balance Sheet'!K4:K5)&gt;0,'Profit &amp; Loss'!K12/SUM('Balance Sheet'!K4:K5),"")</f>
        <v>9.0242627245724003E-2</v>
      </c>
    </row>
    <row r="24" spans="1:11" s="8" customFormat="1" x14ac:dyDescent="0.25">
      <c r="A24" s="8" t="s">
        <v>60</v>
      </c>
      <c r="B24" s="14"/>
      <c r="C24" s="14">
        <f>IF((B4+B5+B6+C4+C5+C6)&gt;0,('Profit &amp; Loss'!C10+'Profit &amp; Loss'!C9)*2/(B4+B5+B6+C4+C5+C6),"")</f>
        <v>0.1545183496848152</v>
      </c>
      <c r="D24" s="14">
        <f>IF((C4+C5+C6+D4+D5+D6)&gt;0,('Profit &amp; Loss'!D10+'Profit &amp; Loss'!D9)*2/(C4+C5+C6+D4+D5+D6),"")</f>
        <v>0.20641554400942311</v>
      </c>
      <c r="E24" s="14">
        <f>IF((D4+D5+D6+E4+E5+E6)&gt;0,('Profit &amp; Loss'!E10+'Profit &amp; Loss'!E9)*2/(D4+D5+D6+E4+E5+E6),"")</f>
        <v>0.21351734129043418</v>
      </c>
      <c r="F24" s="14">
        <f>IF((E4+E5+E6+F4+F5+F6)&gt;0,('Profit &amp; Loss'!F10+'Profit &amp; Loss'!F9)*2/(E4+E5+E6+F4+F5+F6),"")</f>
        <v>0.2421188356868339</v>
      </c>
      <c r="G24" s="14">
        <f>IF((F4+F5+F6+G4+G5+G6)&gt;0,('Profit &amp; Loss'!G10+'Profit &amp; Loss'!G9)*2/(F4+F5+F6+G4+G5+G6),"")</f>
        <v>0.2158651147309697</v>
      </c>
      <c r="H24" s="14">
        <f>IF((G4+G5+G6+H4+H5+H6)&gt;0,('Profit &amp; Loss'!H10+'Profit &amp; Loss'!H9)*2/(G4+G5+G6+H4+H5+H6),"")</f>
        <v>0.24534525336447344</v>
      </c>
      <c r="I24" s="14">
        <f>IF((H4+H5+H6+I4+I5+I6)&gt;0,('Profit &amp; Loss'!I10+'Profit &amp; Loss'!I9)*2/(H4+H5+H6+I4+I5+I6),"")</f>
        <v>0.25783834536982603</v>
      </c>
      <c r="J24" s="14">
        <f>IF((I4+I5+I6+J4+J5+J6)&gt;0,('Profit &amp; Loss'!J10+'Profit &amp; Loss'!J9)*2/(I4+I5+I6+J4+J5+J6),"")</f>
        <v>0.2049531850176238</v>
      </c>
      <c r="K24" s="14">
        <f>IF((J4+J5+J6+K4+K5+K6)&gt;0,('Profit &amp; Loss'!K10+'Profit &amp; Loss'!K9)*2/(J4+J5+J6+K4+K5+K6),"")</f>
        <v>0.12714808863099669</v>
      </c>
    </row>
    <row r="25" spans="1:11" s="18" customFormat="1" x14ac:dyDescent="0.25"/>
  </sheetData>
  <hyperlinks>
    <hyperlink ref="J1" r:id="rId1" xr:uid="{00000000-0004-0000-0200-000000000000}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24"/>
  <sheetViews>
    <sheetView zoomScale="150" zoomScaleNormal="150" zoomScalePageLayoutView="150" workbookViewId="0">
      <pane xSplit="1" ySplit="3" topLeftCell="E43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AVENUE SUPERMARTS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40999</v>
      </c>
      <c r="C3" s="16">
        <f>'Data Sheet'!C81</f>
        <v>41364</v>
      </c>
      <c r="D3" s="16">
        <f>'Data Sheet'!D81</f>
        <v>41729</v>
      </c>
      <c r="E3" s="16">
        <f>'Data Sheet'!E81</f>
        <v>42094</v>
      </c>
      <c r="F3" s="16">
        <f>'Data Sheet'!F81</f>
        <v>42460</v>
      </c>
      <c r="G3" s="16">
        <f>'Data Sheet'!G81</f>
        <v>42825</v>
      </c>
      <c r="H3" s="16">
        <f>'Data Sheet'!H81</f>
        <v>43190</v>
      </c>
      <c r="I3" s="16">
        <f>'Data Sheet'!I81</f>
        <v>43555</v>
      </c>
      <c r="J3" s="16">
        <f>'Data Sheet'!J81</f>
        <v>43921</v>
      </c>
      <c r="K3" s="16">
        <f>'Data Sheet'!K81</f>
        <v>44286</v>
      </c>
    </row>
    <row r="4" spans="1:11" s="8" customFormat="1" x14ac:dyDescent="0.25">
      <c r="A4" s="8" t="s">
        <v>32</v>
      </c>
      <c r="B4" s="1">
        <f>'Data Sheet'!B82</f>
        <v>65.36</v>
      </c>
      <c r="C4" s="1">
        <f>'Data Sheet'!C82</f>
        <v>127.09</v>
      </c>
      <c r="D4" s="1">
        <f>'Data Sheet'!D82</f>
        <v>198.14</v>
      </c>
      <c r="E4" s="1">
        <f>'Data Sheet'!E82</f>
        <v>222.02</v>
      </c>
      <c r="F4" s="1">
        <f>'Data Sheet'!F82</f>
        <v>433.47</v>
      </c>
      <c r="G4" s="1">
        <f>'Data Sheet'!G82</f>
        <v>455.28</v>
      </c>
      <c r="H4" s="1">
        <f>'Data Sheet'!H82</f>
        <v>729.99</v>
      </c>
      <c r="I4" s="1">
        <f>'Data Sheet'!I82</f>
        <v>806.84</v>
      </c>
      <c r="J4" s="1">
        <f>'Data Sheet'!J82</f>
        <v>1280.1400000000001</v>
      </c>
      <c r="K4" s="1">
        <f>'Data Sheet'!K82</f>
        <v>1375.14</v>
      </c>
    </row>
    <row r="5" spans="1:11" x14ac:dyDescent="0.25">
      <c r="A5" s="6" t="s">
        <v>33</v>
      </c>
      <c r="B5" s="9">
        <f>'Data Sheet'!B83</f>
        <v>-128.91999999999999</v>
      </c>
      <c r="C5" s="9">
        <f>'Data Sheet'!C83</f>
        <v>-230.89</v>
      </c>
      <c r="D5" s="9">
        <f>'Data Sheet'!D83</f>
        <v>-270.17</v>
      </c>
      <c r="E5" s="9">
        <f>'Data Sheet'!E83</f>
        <v>-473.88</v>
      </c>
      <c r="F5" s="9">
        <f>'Data Sheet'!F83</f>
        <v>-632.89</v>
      </c>
      <c r="G5" s="9">
        <f>'Data Sheet'!G83</f>
        <v>-2481.61</v>
      </c>
      <c r="H5" s="9">
        <f>'Data Sheet'!H83</f>
        <v>463.55</v>
      </c>
      <c r="I5" s="9">
        <f>'Data Sheet'!I83</f>
        <v>-958.37</v>
      </c>
      <c r="J5" s="9">
        <f>'Data Sheet'!J83</f>
        <v>-4656.5600000000004</v>
      </c>
      <c r="K5" s="9">
        <f>'Data Sheet'!K83</f>
        <v>-1110</v>
      </c>
    </row>
    <row r="6" spans="1:11" x14ac:dyDescent="0.25">
      <c r="A6" s="6" t="s">
        <v>34</v>
      </c>
      <c r="B6" s="9">
        <f>'Data Sheet'!B84</f>
        <v>93.49</v>
      </c>
      <c r="C6" s="9">
        <f>'Data Sheet'!C84</f>
        <v>117.54</v>
      </c>
      <c r="D6" s="9">
        <f>'Data Sheet'!D84</f>
        <v>65.23</v>
      </c>
      <c r="E6" s="9">
        <f>'Data Sheet'!E84</f>
        <v>234.45</v>
      </c>
      <c r="F6" s="9">
        <f>'Data Sheet'!F84</f>
        <v>196.44</v>
      </c>
      <c r="G6" s="9">
        <f>'Data Sheet'!G84</f>
        <v>2025.26</v>
      </c>
      <c r="H6" s="9">
        <f>'Data Sheet'!H84</f>
        <v>-1159.06</v>
      </c>
      <c r="I6" s="9">
        <f>'Data Sheet'!I84</f>
        <v>208.98</v>
      </c>
      <c r="J6" s="9">
        <f>'Data Sheet'!J84</f>
        <v>3357.42</v>
      </c>
      <c r="K6" s="9">
        <f>'Data Sheet'!K84</f>
        <v>-179.5</v>
      </c>
    </row>
    <row r="7" spans="1:11" s="8" customFormat="1" x14ac:dyDescent="0.25">
      <c r="A7" s="8" t="s">
        <v>35</v>
      </c>
      <c r="B7" s="1">
        <f>'Data Sheet'!B85</f>
        <v>29.94</v>
      </c>
      <c r="C7" s="1">
        <f>'Data Sheet'!C85</f>
        <v>13.74</v>
      </c>
      <c r="D7" s="1">
        <f>'Data Sheet'!D85</f>
        <v>-6.8</v>
      </c>
      <c r="E7" s="1">
        <f>'Data Sheet'!E85</f>
        <v>-17.41</v>
      </c>
      <c r="F7" s="1">
        <f>'Data Sheet'!F85</f>
        <v>-2.98</v>
      </c>
      <c r="G7" s="1">
        <f>'Data Sheet'!G85</f>
        <v>-1.07</v>
      </c>
      <c r="H7" s="1">
        <f>'Data Sheet'!H85</f>
        <v>34.479999999999997</v>
      </c>
      <c r="I7" s="1">
        <f>'Data Sheet'!I85</f>
        <v>57.45</v>
      </c>
      <c r="J7" s="1">
        <f>'Data Sheet'!J85</f>
        <v>-19</v>
      </c>
      <c r="K7" s="1">
        <f>'Data Sheet'!K85</f>
        <v>85.64</v>
      </c>
    </row>
    <row r="8" spans="1:11" x14ac:dyDescent="0.25">
      <c r="A8" s="29"/>
      <c r="B8" s="9"/>
      <c r="C8" s="9"/>
      <c r="D8" s="9"/>
      <c r="E8" s="9"/>
      <c r="F8" s="9"/>
      <c r="G8" s="9"/>
      <c r="H8" s="9"/>
      <c r="I8" s="9"/>
      <c r="J8" s="9"/>
      <c r="K8" s="9"/>
    </row>
    <row r="24" s="29" customFormat="1" x14ac:dyDescent="0.25"/>
  </sheetData>
  <hyperlinks>
    <hyperlink ref="J1" r:id="rId1" xr:uid="{00000000-0004-0000-0300-000000000000}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6"/>
  <sheetViews>
    <sheetView zoomScale="150" zoomScaleNormal="150" zoomScalePageLayoutView="150" workbookViewId="0">
      <selection activeCell="I20" sqref="I20"/>
    </sheetView>
  </sheetViews>
  <sheetFormatPr defaultColWidth="8.85546875" defaultRowHeight="15" x14ac:dyDescent="0.25"/>
  <cols>
    <col min="1" max="1" width="8.85546875" style="8"/>
    <col min="2" max="2" width="10.42578125" style="11" customWidth="1"/>
    <col min="3" max="3" width="13.28515625" style="26" customWidth="1"/>
    <col min="4" max="5" width="8.85546875" style="11"/>
    <col min="6" max="6" width="6.85546875" style="11" customWidth="1"/>
    <col min="7" max="16384" width="8.85546875" style="11"/>
  </cols>
  <sheetData>
    <row r="1" spans="1:7" ht="21" x14ac:dyDescent="0.35">
      <c r="A1" s="25" t="s">
        <v>56</v>
      </c>
    </row>
    <row r="3" spans="1:7" x14ac:dyDescent="0.25">
      <c r="A3" s="8" t="s">
        <v>48</v>
      </c>
    </row>
    <row r="4" spans="1:7" x14ac:dyDescent="0.25">
      <c r="B4" s="11" t="s">
        <v>90</v>
      </c>
    </row>
    <row r="5" spans="1:7" x14ac:dyDescent="0.25">
      <c r="B5" s="11" t="s">
        <v>49</v>
      </c>
    </row>
    <row r="7" spans="1:7" x14ac:dyDescent="0.25">
      <c r="A7" s="8" t="s">
        <v>50</v>
      </c>
    </row>
    <row r="8" spans="1:7" x14ac:dyDescent="0.25">
      <c r="B8" s="11" t="s">
        <v>51</v>
      </c>
      <c r="C8" s="27" t="s">
        <v>91</v>
      </c>
    </row>
    <row r="10" spans="1:7" x14ac:dyDescent="0.25">
      <c r="A10" s="8" t="s">
        <v>52</v>
      </c>
    </row>
    <row r="11" spans="1:7" x14ac:dyDescent="0.25">
      <c r="B11" s="11" t="s">
        <v>53</v>
      </c>
    </row>
    <row r="14" spans="1:7" x14ac:dyDescent="0.25">
      <c r="A14" s="8" t="s">
        <v>54</v>
      </c>
    </row>
    <row r="15" spans="1:7" x14ac:dyDescent="0.25">
      <c r="B15" s="11" t="s">
        <v>55</v>
      </c>
    </row>
    <row r="16" spans="1:7" x14ac:dyDescent="0.25">
      <c r="B16" s="11" t="s">
        <v>92</v>
      </c>
      <c r="G16" s="28"/>
    </row>
  </sheetData>
  <hyperlinks>
    <hyperlink ref="C8" r:id="rId1" display=" http://www.screener.in/excel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zoomScale="120" zoomScaleNormal="120" zoomScalePageLayoutView="120" workbookViewId="0">
      <pane xSplit="1" ySplit="1" topLeftCell="E119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63</v>
      </c>
      <c r="E1" s="73" t="str">
        <f>IF(B2&lt;&gt;B3, "A NEW VERSION OF THE WORKSHEET IS AVAILABLE", "")</f>
        <v/>
      </c>
      <c r="F1" s="73"/>
      <c r="G1" s="73"/>
      <c r="H1" s="73"/>
      <c r="I1" s="73"/>
      <c r="J1" s="73"/>
      <c r="K1" s="73"/>
    </row>
    <row r="2" spans="1:11" x14ac:dyDescent="0.25">
      <c r="A2" s="1" t="s">
        <v>61</v>
      </c>
      <c r="B2" s="5">
        <v>2.1</v>
      </c>
      <c r="E2" s="74" t="s">
        <v>36</v>
      </c>
      <c r="F2" s="74"/>
      <c r="G2" s="74"/>
      <c r="H2" s="74"/>
      <c r="I2" s="74"/>
      <c r="J2" s="74"/>
      <c r="K2" s="74"/>
    </row>
    <row r="3" spans="1:11" x14ac:dyDescent="0.25">
      <c r="A3" s="1" t="s">
        <v>62</v>
      </c>
      <c r="B3" s="5">
        <v>2.1</v>
      </c>
    </row>
    <row r="4" spans="1:11" x14ac:dyDescent="0.25">
      <c r="A4" s="1"/>
    </row>
    <row r="5" spans="1:11" x14ac:dyDescent="0.25">
      <c r="A5" s="1" t="s">
        <v>64</v>
      </c>
    </row>
    <row r="6" spans="1:11" x14ac:dyDescent="0.25">
      <c r="A6" s="5" t="s">
        <v>42</v>
      </c>
      <c r="B6" s="5">
        <f>IF(B9&gt;0, B9/B8, 0)</f>
        <v>64.777470099706207</v>
      </c>
    </row>
    <row r="7" spans="1:11" x14ac:dyDescent="0.25">
      <c r="A7" s="5" t="s">
        <v>31</v>
      </c>
      <c r="B7">
        <v>10</v>
      </c>
    </row>
    <row r="8" spans="1:11" x14ac:dyDescent="0.25">
      <c r="A8" s="5" t="s">
        <v>43</v>
      </c>
      <c r="B8">
        <v>4322.7</v>
      </c>
    </row>
    <row r="9" spans="1:11" x14ac:dyDescent="0.25">
      <c r="A9" s="5" t="s">
        <v>79</v>
      </c>
      <c r="B9">
        <v>280013.57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40999</v>
      </c>
      <c r="C16" s="16">
        <v>41364</v>
      </c>
      <c r="D16" s="16">
        <v>41729</v>
      </c>
      <c r="E16" s="16">
        <v>42094</v>
      </c>
      <c r="F16" s="16">
        <v>42460</v>
      </c>
      <c r="G16" s="16">
        <v>42825</v>
      </c>
      <c r="H16" s="16">
        <v>43190</v>
      </c>
      <c r="I16" s="16">
        <v>43555</v>
      </c>
      <c r="J16" s="16">
        <v>43921</v>
      </c>
      <c r="K16" s="16">
        <v>44286</v>
      </c>
    </row>
    <row r="17" spans="1:11" s="9" customFormat="1" x14ac:dyDescent="0.25">
      <c r="A17" s="9" t="s">
        <v>6</v>
      </c>
      <c r="B17">
        <v>2208.56</v>
      </c>
      <c r="C17">
        <v>3340.85</v>
      </c>
      <c r="D17">
        <v>4686.4799999999996</v>
      </c>
      <c r="E17">
        <v>6439.43</v>
      </c>
      <c r="F17">
        <v>8583.76</v>
      </c>
      <c r="G17">
        <v>11897.7</v>
      </c>
      <c r="H17">
        <v>15033.2</v>
      </c>
      <c r="I17">
        <v>20004.52</v>
      </c>
      <c r="J17">
        <v>24870.2</v>
      </c>
      <c r="K17">
        <v>24143.06</v>
      </c>
    </row>
    <row r="18" spans="1:11" s="9" customFormat="1" x14ac:dyDescent="0.25">
      <c r="A18" s="5" t="s">
        <v>80</v>
      </c>
      <c r="B18">
        <v>1956.77</v>
      </c>
      <c r="C18">
        <v>2937.93</v>
      </c>
      <c r="D18">
        <v>4086.53</v>
      </c>
      <c r="E18">
        <v>5648.47</v>
      </c>
      <c r="F18">
        <v>7435.62</v>
      </c>
      <c r="G18">
        <v>10357.25</v>
      </c>
      <c r="H18">
        <v>12846.95</v>
      </c>
      <c r="I18">
        <v>17445.490000000002</v>
      </c>
      <c r="J18">
        <v>21441.68</v>
      </c>
      <c r="K18">
        <v>20855.560000000001</v>
      </c>
    </row>
    <row r="19" spans="1:11" s="9" customFormat="1" x14ac:dyDescent="0.25">
      <c r="A19" s="5" t="s">
        <v>81</v>
      </c>
      <c r="B19">
        <v>72.81</v>
      </c>
      <c r="C19">
        <v>80.489999999999995</v>
      </c>
      <c r="D19">
        <v>102.1</v>
      </c>
      <c r="E19">
        <v>161.28</v>
      </c>
      <c r="F19">
        <v>132.08000000000001</v>
      </c>
      <c r="G19">
        <v>276.22000000000003</v>
      </c>
      <c r="H19">
        <v>211.31</v>
      </c>
      <c r="I19">
        <v>444.65</v>
      </c>
      <c r="J19">
        <v>338.75</v>
      </c>
      <c r="K19">
        <v>300.88</v>
      </c>
    </row>
    <row r="20" spans="1:11" s="9" customFormat="1" x14ac:dyDescent="0.25">
      <c r="A20" s="5" t="s">
        <v>82</v>
      </c>
      <c r="B20">
        <v>22.58</v>
      </c>
      <c r="C20">
        <v>34.840000000000003</v>
      </c>
      <c r="D20">
        <v>45.31</v>
      </c>
      <c r="E20">
        <v>59.33</v>
      </c>
      <c r="F20">
        <v>79.239999999999995</v>
      </c>
      <c r="G20">
        <v>99.41</v>
      </c>
      <c r="H20">
        <v>121.26</v>
      </c>
      <c r="I20">
        <v>152.80000000000001</v>
      </c>
      <c r="J20">
        <v>188.24</v>
      </c>
      <c r="K20">
        <v>174.2</v>
      </c>
    </row>
    <row r="21" spans="1:11" s="9" customFormat="1" x14ac:dyDescent="0.25">
      <c r="A21" s="5" t="s">
        <v>83</v>
      </c>
      <c r="B21">
        <v>56.56</v>
      </c>
      <c r="C21">
        <v>84.3</v>
      </c>
      <c r="D21">
        <v>123.53</v>
      </c>
      <c r="E21">
        <v>155.35</v>
      </c>
      <c r="F21">
        <v>241.36</v>
      </c>
      <c r="G21">
        <v>332.9</v>
      </c>
      <c r="H21">
        <v>373.72</v>
      </c>
      <c r="I21">
        <v>499.72</v>
      </c>
      <c r="J21">
        <v>645.96</v>
      </c>
      <c r="K21">
        <v>746.43</v>
      </c>
    </row>
    <row r="22" spans="1:11" s="9" customFormat="1" x14ac:dyDescent="0.25">
      <c r="A22" s="5" t="s">
        <v>84</v>
      </c>
      <c r="B22">
        <v>45.31</v>
      </c>
      <c r="C22">
        <v>68.67</v>
      </c>
      <c r="D22">
        <v>87.34</v>
      </c>
      <c r="E22">
        <v>134.06</v>
      </c>
      <c r="F22">
        <v>149.04</v>
      </c>
      <c r="G22">
        <v>192.67</v>
      </c>
      <c r="H22">
        <v>283.14</v>
      </c>
      <c r="I22">
        <v>356.17</v>
      </c>
      <c r="J22">
        <v>457.14</v>
      </c>
      <c r="K22">
        <v>537.58000000000004</v>
      </c>
    </row>
    <row r="23" spans="1:11" s="9" customFormat="1" x14ac:dyDescent="0.25">
      <c r="A23" s="5" t="s">
        <v>85</v>
      </c>
      <c r="B23">
        <v>217.25</v>
      </c>
      <c r="C23">
        <v>306.10000000000002</v>
      </c>
      <c r="D23">
        <v>420.11</v>
      </c>
      <c r="E23">
        <v>582.79999999999995</v>
      </c>
      <c r="F23">
        <v>647.37</v>
      </c>
      <c r="G23">
        <v>71.239999999999995</v>
      </c>
      <c r="H23">
        <v>96</v>
      </c>
      <c r="I23">
        <v>135.84</v>
      </c>
      <c r="J23">
        <v>119.23</v>
      </c>
      <c r="K23">
        <v>108.69</v>
      </c>
    </row>
    <row r="24" spans="1:11" s="9" customFormat="1" x14ac:dyDescent="0.25">
      <c r="A24" s="5" t="s">
        <v>86</v>
      </c>
      <c r="B24">
        <v>-154.82</v>
      </c>
      <c r="C24">
        <v>-225.15</v>
      </c>
      <c r="D24">
        <v>-315.52</v>
      </c>
      <c r="E24">
        <v>-435.56</v>
      </c>
      <c r="F24">
        <v>-501.25</v>
      </c>
      <c r="G24">
        <v>151.27000000000001</v>
      </c>
      <c r="H24">
        <v>170.58</v>
      </c>
      <c r="I24">
        <v>225.84</v>
      </c>
      <c r="J24">
        <v>228.39</v>
      </c>
      <c r="K24">
        <v>276.64999999999998</v>
      </c>
    </row>
    <row r="25" spans="1:11" s="9" customFormat="1" x14ac:dyDescent="0.25">
      <c r="A25" s="9" t="s">
        <v>9</v>
      </c>
      <c r="B25">
        <v>14.5</v>
      </c>
      <c r="C25">
        <v>14.86</v>
      </c>
      <c r="D25">
        <v>16.27</v>
      </c>
      <c r="E25">
        <v>20.27</v>
      </c>
      <c r="F25">
        <v>17.02</v>
      </c>
      <c r="G25">
        <v>27.7</v>
      </c>
      <c r="H25">
        <v>87.75</v>
      </c>
      <c r="I25">
        <v>48.33</v>
      </c>
      <c r="J25">
        <v>59.99</v>
      </c>
      <c r="K25">
        <v>194.43</v>
      </c>
    </row>
    <row r="26" spans="1:11" s="9" customFormat="1" x14ac:dyDescent="0.25">
      <c r="A26" s="9" t="s">
        <v>10</v>
      </c>
      <c r="B26">
        <v>37.47</v>
      </c>
      <c r="C26">
        <v>45.79</v>
      </c>
      <c r="D26">
        <v>57.01</v>
      </c>
      <c r="E26">
        <v>81.540000000000006</v>
      </c>
      <c r="F26">
        <v>98.43</v>
      </c>
      <c r="G26">
        <v>127.82</v>
      </c>
      <c r="H26">
        <v>159</v>
      </c>
      <c r="I26">
        <v>212.49</v>
      </c>
      <c r="J26">
        <v>374.41</v>
      </c>
      <c r="K26">
        <v>414.16</v>
      </c>
    </row>
    <row r="27" spans="1:11" s="9" customFormat="1" x14ac:dyDescent="0.25">
      <c r="A27" s="9" t="s">
        <v>11</v>
      </c>
      <c r="B27">
        <v>26.02</v>
      </c>
      <c r="C27">
        <v>42.59</v>
      </c>
      <c r="D27">
        <v>55.68</v>
      </c>
      <c r="E27">
        <v>72.36</v>
      </c>
      <c r="F27">
        <v>91.34</v>
      </c>
      <c r="G27">
        <v>121.98</v>
      </c>
      <c r="H27">
        <v>59.54</v>
      </c>
      <c r="I27">
        <v>47.21</v>
      </c>
      <c r="J27">
        <v>69.12</v>
      </c>
      <c r="K27">
        <v>41.65</v>
      </c>
    </row>
    <row r="28" spans="1:11" s="9" customFormat="1" x14ac:dyDescent="0.25">
      <c r="A28" s="9" t="s">
        <v>12</v>
      </c>
      <c r="B28">
        <v>88.73</v>
      </c>
      <c r="C28">
        <v>141.13</v>
      </c>
      <c r="D28">
        <v>244.86</v>
      </c>
      <c r="E28">
        <v>322.63</v>
      </c>
      <c r="F28">
        <v>491.71</v>
      </c>
      <c r="G28">
        <v>747.08</v>
      </c>
      <c r="H28">
        <v>1222.07</v>
      </c>
      <c r="I28">
        <v>1421.94</v>
      </c>
      <c r="J28">
        <v>1744.77</v>
      </c>
      <c r="K28">
        <v>1483.45</v>
      </c>
    </row>
    <row r="29" spans="1:11" s="9" customFormat="1" x14ac:dyDescent="0.25">
      <c r="A29" s="9" t="s">
        <v>13</v>
      </c>
      <c r="B29">
        <v>28.33</v>
      </c>
      <c r="C29">
        <v>47.28</v>
      </c>
      <c r="D29">
        <v>83.48</v>
      </c>
      <c r="E29">
        <v>110.92</v>
      </c>
      <c r="F29">
        <v>171.47</v>
      </c>
      <c r="G29">
        <v>268.27999999999997</v>
      </c>
      <c r="H29">
        <v>415.79</v>
      </c>
      <c r="I29">
        <v>519.48</v>
      </c>
      <c r="J29">
        <v>443.79</v>
      </c>
      <c r="K29">
        <v>384.02</v>
      </c>
    </row>
    <row r="30" spans="1:11" s="9" customFormat="1" x14ac:dyDescent="0.25">
      <c r="A30" s="9" t="s">
        <v>14</v>
      </c>
      <c r="B30">
        <v>60.41</v>
      </c>
      <c r="C30">
        <v>93.86</v>
      </c>
      <c r="D30">
        <v>161.37</v>
      </c>
      <c r="E30">
        <v>211.67</v>
      </c>
      <c r="F30">
        <v>320.24</v>
      </c>
      <c r="G30">
        <v>478.75</v>
      </c>
      <c r="H30">
        <v>806.26</v>
      </c>
      <c r="I30">
        <v>902.54</v>
      </c>
      <c r="J30">
        <v>1301.08</v>
      </c>
      <c r="K30">
        <v>1099.49</v>
      </c>
    </row>
    <row r="31" spans="1:11" s="9" customFormat="1" x14ac:dyDescent="0.25">
      <c r="A31" s="9" t="s">
        <v>70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43738</v>
      </c>
      <c r="C41" s="16">
        <v>43830</v>
      </c>
      <c r="D41" s="16">
        <v>43921</v>
      </c>
      <c r="E41" s="16">
        <v>44012</v>
      </c>
      <c r="F41" s="16">
        <v>44104</v>
      </c>
      <c r="G41" s="16">
        <v>44196</v>
      </c>
      <c r="H41" s="16">
        <v>44286</v>
      </c>
      <c r="I41" s="16">
        <v>44377</v>
      </c>
      <c r="J41" s="16">
        <v>44469</v>
      </c>
      <c r="K41" s="16">
        <v>44561</v>
      </c>
    </row>
    <row r="42" spans="1:11" s="9" customFormat="1" x14ac:dyDescent="0.25">
      <c r="A42" s="9" t="s">
        <v>6</v>
      </c>
      <c r="B42">
        <v>5990.78</v>
      </c>
      <c r="C42">
        <v>6808.93</v>
      </c>
      <c r="D42">
        <v>6255.93</v>
      </c>
      <c r="E42">
        <v>3883.18</v>
      </c>
      <c r="F42">
        <v>5306.2</v>
      </c>
      <c r="G42">
        <v>7542</v>
      </c>
      <c r="H42">
        <v>7411.68</v>
      </c>
      <c r="I42">
        <v>5183.12</v>
      </c>
      <c r="J42">
        <v>7788.94</v>
      </c>
      <c r="K42">
        <v>9217.76</v>
      </c>
    </row>
    <row r="43" spans="1:11" s="9" customFormat="1" x14ac:dyDescent="0.25">
      <c r="A43" s="9" t="s">
        <v>7</v>
      </c>
      <c r="B43">
        <v>5473.3</v>
      </c>
      <c r="C43">
        <v>6212.19</v>
      </c>
      <c r="D43">
        <v>5838.6</v>
      </c>
      <c r="E43">
        <v>3771.41</v>
      </c>
      <c r="F43">
        <v>4976.7</v>
      </c>
      <c r="G43">
        <v>6852.88</v>
      </c>
      <c r="H43">
        <v>6799.02</v>
      </c>
      <c r="I43">
        <v>4958.9399999999996</v>
      </c>
      <c r="J43">
        <v>7120.36</v>
      </c>
      <c r="K43">
        <v>8351.2999999999993</v>
      </c>
    </row>
    <row r="44" spans="1:11" s="9" customFormat="1" x14ac:dyDescent="0.25">
      <c r="A44" s="9" t="s">
        <v>9</v>
      </c>
      <c r="B44">
        <v>8.1199999999999992</v>
      </c>
      <c r="C44">
        <v>6.07</v>
      </c>
      <c r="D44">
        <v>34.85</v>
      </c>
      <c r="E44">
        <v>50.6</v>
      </c>
      <c r="F44">
        <v>52.17</v>
      </c>
      <c r="G44">
        <v>45.32</v>
      </c>
      <c r="H44">
        <v>48.12</v>
      </c>
      <c r="I44">
        <v>31.46</v>
      </c>
      <c r="J44">
        <v>27.5</v>
      </c>
      <c r="K44">
        <v>25.96</v>
      </c>
    </row>
    <row r="45" spans="1:11" s="9" customFormat="1" x14ac:dyDescent="0.25">
      <c r="A45" s="9" t="s">
        <v>10</v>
      </c>
      <c r="B45">
        <v>91.91</v>
      </c>
      <c r="C45">
        <v>95.24</v>
      </c>
      <c r="D45">
        <v>104.57</v>
      </c>
      <c r="E45">
        <v>94.78</v>
      </c>
      <c r="F45">
        <v>100.72</v>
      </c>
      <c r="G45">
        <v>113.7</v>
      </c>
      <c r="H45">
        <v>104.96</v>
      </c>
      <c r="I45">
        <v>107.44</v>
      </c>
      <c r="J45">
        <v>116.01</v>
      </c>
      <c r="K45">
        <v>128.30000000000001</v>
      </c>
    </row>
    <row r="46" spans="1:11" s="9" customFormat="1" x14ac:dyDescent="0.25">
      <c r="A46" s="9" t="s">
        <v>11</v>
      </c>
      <c r="B46">
        <v>19.010000000000002</v>
      </c>
      <c r="C46">
        <v>17.600000000000001</v>
      </c>
      <c r="D46">
        <v>14.36</v>
      </c>
      <c r="E46">
        <v>8.82</v>
      </c>
      <c r="F46">
        <v>9.27</v>
      </c>
      <c r="G46">
        <v>11.3</v>
      </c>
      <c r="H46">
        <v>12.26</v>
      </c>
      <c r="I46">
        <v>10.84</v>
      </c>
      <c r="J46">
        <v>12.37</v>
      </c>
      <c r="K46">
        <v>13.95</v>
      </c>
    </row>
    <row r="47" spans="1:11" s="9" customFormat="1" x14ac:dyDescent="0.25">
      <c r="A47" s="9" t="s">
        <v>12</v>
      </c>
      <c r="B47">
        <v>414.68</v>
      </c>
      <c r="C47">
        <v>489.97</v>
      </c>
      <c r="D47">
        <v>333.25</v>
      </c>
      <c r="E47">
        <v>58.77</v>
      </c>
      <c r="F47">
        <v>271.68</v>
      </c>
      <c r="G47">
        <v>609.44000000000005</v>
      </c>
      <c r="H47">
        <v>543.55999999999995</v>
      </c>
      <c r="I47">
        <v>137.36000000000001</v>
      </c>
      <c r="J47">
        <v>567.70000000000005</v>
      </c>
      <c r="K47">
        <v>750.17</v>
      </c>
    </row>
    <row r="48" spans="1:11" s="9" customFormat="1" x14ac:dyDescent="0.25">
      <c r="A48" s="9" t="s">
        <v>13</v>
      </c>
      <c r="B48">
        <v>92.05</v>
      </c>
      <c r="C48">
        <v>105.96</v>
      </c>
      <c r="D48">
        <v>61.97</v>
      </c>
      <c r="E48">
        <v>18.690000000000001</v>
      </c>
      <c r="F48">
        <v>73.150000000000006</v>
      </c>
      <c r="G48">
        <v>162.49</v>
      </c>
      <c r="H48">
        <v>129.69</v>
      </c>
      <c r="I48">
        <v>42</v>
      </c>
      <c r="J48">
        <v>149.94</v>
      </c>
      <c r="K48">
        <v>197.64</v>
      </c>
    </row>
    <row r="49" spans="1:11" s="9" customFormat="1" x14ac:dyDescent="0.25">
      <c r="A49" s="9" t="s">
        <v>14</v>
      </c>
      <c r="B49">
        <v>322.66000000000003</v>
      </c>
      <c r="C49">
        <v>384.04</v>
      </c>
      <c r="D49">
        <v>271.29000000000002</v>
      </c>
      <c r="E49">
        <v>40.090000000000003</v>
      </c>
      <c r="F49">
        <v>198.55</v>
      </c>
      <c r="G49">
        <v>446.97</v>
      </c>
      <c r="H49">
        <v>413.88</v>
      </c>
      <c r="I49">
        <v>95.37</v>
      </c>
      <c r="J49">
        <v>417.79</v>
      </c>
      <c r="K49">
        <v>552.55999999999995</v>
      </c>
    </row>
    <row r="50" spans="1:11" x14ac:dyDescent="0.25">
      <c r="A50" s="9" t="s">
        <v>8</v>
      </c>
      <c r="B50">
        <v>517.48</v>
      </c>
      <c r="C50">
        <v>596.74</v>
      </c>
      <c r="D50">
        <v>417.33</v>
      </c>
      <c r="E50">
        <v>111.77</v>
      </c>
      <c r="F50">
        <v>329.5</v>
      </c>
      <c r="G50">
        <v>689.12</v>
      </c>
      <c r="H50">
        <v>612.66</v>
      </c>
      <c r="I50">
        <v>224.18</v>
      </c>
      <c r="J50">
        <v>668.58</v>
      </c>
      <c r="K50">
        <v>866.46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40999</v>
      </c>
      <c r="C56" s="16">
        <v>41364</v>
      </c>
      <c r="D56" s="16">
        <v>41729</v>
      </c>
      <c r="E56" s="16">
        <v>42094</v>
      </c>
      <c r="F56" s="16">
        <v>42460</v>
      </c>
      <c r="G56" s="16">
        <v>42825</v>
      </c>
      <c r="H56" s="16">
        <v>43190</v>
      </c>
      <c r="I56" s="16">
        <v>43555</v>
      </c>
      <c r="J56" s="16">
        <v>43921</v>
      </c>
      <c r="K56" s="16">
        <v>44286</v>
      </c>
    </row>
    <row r="57" spans="1:11" x14ac:dyDescent="0.25">
      <c r="A57" s="9" t="s">
        <v>24</v>
      </c>
      <c r="B57">
        <v>533.54</v>
      </c>
      <c r="C57">
        <v>544.05999999999995</v>
      </c>
      <c r="D57">
        <v>546.75</v>
      </c>
      <c r="E57">
        <v>561.54</v>
      </c>
      <c r="F57">
        <v>561.54</v>
      </c>
      <c r="G57">
        <v>624.08000000000004</v>
      </c>
      <c r="H57">
        <v>624.08000000000004</v>
      </c>
      <c r="I57">
        <v>624.08000000000004</v>
      </c>
      <c r="J57">
        <v>647.77</v>
      </c>
      <c r="K57">
        <v>647.77</v>
      </c>
    </row>
    <row r="58" spans="1:11" x14ac:dyDescent="0.25">
      <c r="A58" s="9" t="s">
        <v>25</v>
      </c>
      <c r="B58">
        <v>148.15</v>
      </c>
      <c r="C58">
        <v>245.48</v>
      </c>
      <c r="D58">
        <v>408.82</v>
      </c>
      <c r="E58">
        <v>637.65</v>
      </c>
      <c r="F58">
        <v>958.9</v>
      </c>
      <c r="G58">
        <v>3217.7</v>
      </c>
      <c r="H58">
        <v>4044.97</v>
      </c>
      <c r="I58">
        <v>4963.37</v>
      </c>
      <c r="J58">
        <v>10431.969999999999</v>
      </c>
      <c r="K58">
        <v>11535.94</v>
      </c>
    </row>
    <row r="59" spans="1:11" x14ac:dyDescent="0.25">
      <c r="A59" s="9" t="s">
        <v>71</v>
      </c>
      <c r="B59">
        <v>380.68</v>
      </c>
      <c r="C59">
        <v>526.05999999999995</v>
      </c>
      <c r="D59">
        <v>640.82000000000005</v>
      </c>
      <c r="E59">
        <v>904.26</v>
      </c>
      <c r="F59">
        <v>1192.3399999999999</v>
      </c>
      <c r="G59">
        <v>1497.32</v>
      </c>
      <c r="H59">
        <v>439.25</v>
      </c>
      <c r="I59">
        <v>700.15</v>
      </c>
      <c r="J59">
        <v>333.19</v>
      </c>
      <c r="K59">
        <v>392.71</v>
      </c>
    </row>
    <row r="60" spans="1:11" x14ac:dyDescent="0.25">
      <c r="A60" s="9" t="s">
        <v>72</v>
      </c>
      <c r="B60">
        <v>128.5</v>
      </c>
      <c r="C60">
        <v>176.47</v>
      </c>
      <c r="D60">
        <v>211.26</v>
      </c>
      <c r="E60">
        <v>251.36</v>
      </c>
      <c r="F60">
        <v>388.78</v>
      </c>
      <c r="G60">
        <v>480.18</v>
      </c>
      <c r="H60">
        <v>539.91999999999996</v>
      </c>
      <c r="I60">
        <v>717.9</v>
      </c>
      <c r="J60">
        <v>663.23</v>
      </c>
      <c r="K60">
        <v>1078.6300000000001</v>
      </c>
    </row>
    <row r="61" spans="1:11" s="1" customFormat="1" x14ac:dyDescent="0.25">
      <c r="A61" s="1" t="s">
        <v>26</v>
      </c>
      <c r="B61">
        <v>1190.8699999999999</v>
      </c>
      <c r="C61">
        <v>1492.07</v>
      </c>
      <c r="D61">
        <v>1807.65</v>
      </c>
      <c r="E61">
        <v>2354.81</v>
      </c>
      <c r="F61">
        <v>3101.56</v>
      </c>
      <c r="G61">
        <v>5819.28</v>
      </c>
      <c r="H61">
        <v>5648.22</v>
      </c>
      <c r="I61">
        <v>7005.5</v>
      </c>
      <c r="J61">
        <v>12076.16</v>
      </c>
      <c r="K61">
        <v>13655.05</v>
      </c>
    </row>
    <row r="62" spans="1:11" x14ac:dyDescent="0.25">
      <c r="A62" s="9" t="s">
        <v>27</v>
      </c>
      <c r="B62">
        <v>779.07</v>
      </c>
      <c r="C62">
        <v>924.67</v>
      </c>
      <c r="D62">
        <v>1171.69</v>
      </c>
      <c r="E62">
        <v>1528.08</v>
      </c>
      <c r="F62">
        <v>2093.52</v>
      </c>
      <c r="G62">
        <v>2577.75</v>
      </c>
      <c r="H62">
        <v>3399.97</v>
      </c>
      <c r="I62">
        <v>4400.37</v>
      </c>
      <c r="J62">
        <v>5948.03</v>
      </c>
      <c r="K62">
        <v>7008.8</v>
      </c>
    </row>
    <row r="63" spans="1:11" x14ac:dyDescent="0.25">
      <c r="A63" s="9" t="s">
        <v>28</v>
      </c>
      <c r="B63">
        <v>84.94</v>
      </c>
      <c r="C63">
        <v>118.11</v>
      </c>
      <c r="D63">
        <v>88.78</v>
      </c>
      <c r="E63">
        <v>98.12</v>
      </c>
      <c r="F63">
        <v>81.69</v>
      </c>
      <c r="G63">
        <v>152.88999999999999</v>
      </c>
      <c r="H63">
        <v>147.07</v>
      </c>
      <c r="I63">
        <v>376.84</v>
      </c>
      <c r="J63">
        <v>364.4</v>
      </c>
      <c r="K63">
        <v>1019.59</v>
      </c>
    </row>
    <row r="64" spans="1:11" x14ac:dyDescent="0.25">
      <c r="A64" s="9" t="s">
        <v>29</v>
      </c>
      <c r="B64">
        <v>22.68</v>
      </c>
      <c r="C64">
        <v>15.96</v>
      </c>
      <c r="D64">
        <v>15.54</v>
      </c>
      <c r="E64">
        <v>15.23</v>
      </c>
      <c r="F64">
        <v>29.33</v>
      </c>
      <c r="G64">
        <v>25.69</v>
      </c>
      <c r="H64">
        <v>68.180000000000007</v>
      </c>
      <c r="I64">
        <v>16.53</v>
      </c>
      <c r="J64">
        <v>14.68</v>
      </c>
      <c r="K64">
        <v>2.95</v>
      </c>
    </row>
    <row r="65" spans="1:11" x14ac:dyDescent="0.25">
      <c r="A65" s="9" t="s">
        <v>73</v>
      </c>
      <c r="B65">
        <v>304.18</v>
      </c>
      <c r="C65">
        <v>433.33</v>
      </c>
      <c r="D65">
        <v>531.64</v>
      </c>
      <c r="E65">
        <v>713.38</v>
      </c>
      <c r="F65">
        <v>897.02</v>
      </c>
      <c r="G65">
        <v>3062.95</v>
      </c>
      <c r="H65">
        <v>2033</v>
      </c>
      <c r="I65">
        <v>2211.7600000000002</v>
      </c>
      <c r="J65">
        <v>5749.05</v>
      </c>
      <c r="K65">
        <v>5623.71</v>
      </c>
    </row>
    <row r="66" spans="1:11" s="1" customFormat="1" x14ac:dyDescent="0.25">
      <c r="A66" s="1" t="s">
        <v>26</v>
      </c>
      <c r="B66">
        <v>1190.8699999999999</v>
      </c>
      <c r="C66">
        <v>1492.07</v>
      </c>
      <c r="D66">
        <v>1807.65</v>
      </c>
      <c r="E66">
        <v>2354.81</v>
      </c>
      <c r="F66">
        <v>3101.56</v>
      </c>
      <c r="G66">
        <v>5819.28</v>
      </c>
      <c r="H66">
        <v>5648.22</v>
      </c>
      <c r="I66">
        <v>7005.5</v>
      </c>
      <c r="J66">
        <v>12076.16</v>
      </c>
      <c r="K66">
        <v>13655.05</v>
      </c>
    </row>
    <row r="67" spans="1:11" s="9" customFormat="1" x14ac:dyDescent="0.25">
      <c r="A67" s="9" t="s">
        <v>78</v>
      </c>
      <c r="B67">
        <v>5.63</v>
      </c>
      <c r="C67">
        <v>13.29</v>
      </c>
      <c r="D67">
        <v>9.5399999999999991</v>
      </c>
      <c r="E67">
        <v>7.07</v>
      </c>
      <c r="F67">
        <v>8.42</v>
      </c>
      <c r="G67">
        <v>21</v>
      </c>
      <c r="H67">
        <v>33.520000000000003</v>
      </c>
      <c r="I67">
        <v>64.37</v>
      </c>
      <c r="J67">
        <v>19.55</v>
      </c>
      <c r="K67">
        <v>43.58</v>
      </c>
    </row>
    <row r="68" spans="1:11" x14ac:dyDescent="0.25">
      <c r="A68" s="9" t="s">
        <v>45</v>
      </c>
      <c r="B68">
        <v>195.74</v>
      </c>
      <c r="C68">
        <v>276.23</v>
      </c>
      <c r="D68">
        <v>378.33</v>
      </c>
      <c r="E68">
        <v>539.61</v>
      </c>
      <c r="F68">
        <v>671.69</v>
      </c>
      <c r="G68">
        <v>947.9</v>
      </c>
      <c r="H68">
        <v>1163.45</v>
      </c>
      <c r="I68">
        <v>1608.65</v>
      </c>
      <c r="J68">
        <v>1947.4</v>
      </c>
      <c r="K68">
        <v>2248.2800000000002</v>
      </c>
    </row>
    <row r="69" spans="1:11" x14ac:dyDescent="0.25">
      <c r="A69" s="5" t="s">
        <v>87</v>
      </c>
      <c r="B69">
        <v>47.92</v>
      </c>
      <c r="C69">
        <v>61.62</v>
      </c>
      <c r="D69">
        <v>55.41</v>
      </c>
      <c r="E69">
        <v>38.04</v>
      </c>
      <c r="F69">
        <v>35.1</v>
      </c>
      <c r="G69">
        <v>1884.29</v>
      </c>
      <c r="H69">
        <v>560.17999999999995</v>
      </c>
      <c r="I69">
        <v>219.07</v>
      </c>
      <c r="J69">
        <v>107.88</v>
      </c>
      <c r="K69">
        <v>1445.58</v>
      </c>
    </row>
    <row r="70" spans="1:11" x14ac:dyDescent="0.25">
      <c r="A70" s="5" t="s">
        <v>74</v>
      </c>
      <c r="B70">
        <v>533539300</v>
      </c>
      <c r="C70">
        <v>544058845</v>
      </c>
      <c r="D70">
        <v>546752880</v>
      </c>
      <c r="E70">
        <v>561542680</v>
      </c>
      <c r="F70">
        <v>561542680</v>
      </c>
      <c r="G70">
        <v>624084486</v>
      </c>
      <c r="H70">
        <v>624084486</v>
      </c>
      <c r="I70">
        <v>624084486</v>
      </c>
      <c r="J70">
        <v>647774691</v>
      </c>
      <c r="K70">
        <v>647774691</v>
      </c>
    </row>
    <row r="71" spans="1:11" x14ac:dyDescent="0.25">
      <c r="A71" s="5" t="s">
        <v>75</v>
      </c>
    </row>
    <row r="72" spans="1:11" x14ac:dyDescent="0.25">
      <c r="A72" s="5" t="s">
        <v>88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40999</v>
      </c>
      <c r="C81" s="16">
        <v>41364</v>
      </c>
      <c r="D81" s="16">
        <v>41729</v>
      </c>
      <c r="E81" s="16">
        <v>42094</v>
      </c>
      <c r="F81" s="16">
        <v>42460</v>
      </c>
      <c r="G81" s="16">
        <v>42825</v>
      </c>
      <c r="H81" s="16">
        <v>43190</v>
      </c>
      <c r="I81" s="16">
        <v>43555</v>
      </c>
      <c r="J81" s="16">
        <v>43921</v>
      </c>
      <c r="K81" s="16">
        <v>44286</v>
      </c>
    </row>
    <row r="82" spans="1:11" s="1" customFormat="1" x14ac:dyDescent="0.25">
      <c r="A82" s="9" t="s">
        <v>32</v>
      </c>
      <c r="B82">
        <v>65.36</v>
      </c>
      <c r="C82">
        <v>127.09</v>
      </c>
      <c r="D82">
        <v>198.14</v>
      </c>
      <c r="E82">
        <v>222.02</v>
      </c>
      <c r="F82">
        <v>433.47</v>
      </c>
      <c r="G82">
        <v>455.28</v>
      </c>
      <c r="H82">
        <v>729.99</v>
      </c>
      <c r="I82">
        <v>806.84</v>
      </c>
      <c r="J82">
        <v>1280.1400000000001</v>
      </c>
      <c r="K82">
        <v>1375.14</v>
      </c>
    </row>
    <row r="83" spans="1:11" s="9" customFormat="1" x14ac:dyDescent="0.25">
      <c r="A83" s="9" t="s">
        <v>33</v>
      </c>
      <c r="B83">
        <v>-128.91999999999999</v>
      </c>
      <c r="C83">
        <v>-230.89</v>
      </c>
      <c r="D83">
        <v>-270.17</v>
      </c>
      <c r="E83">
        <v>-473.88</v>
      </c>
      <c r="F83">
        <v>-632.89</v>
      </c>
      <c r="G83">
        <v>-2481.61</v>
      </c>
      <c r="H83">
        <v>463.55</v>
      </c>
      <c r="I83">
        <v>-958.37</v>
      </c>
      <c r="J83">
        <v>-4656.5600000000004</v>
      </c>
      <c r="K83">
        <v>-1110</v>
      </c>
    </row>
    <row r="84" spans="1:11" s="9" customFormat="1" x14ac:dyDescent="0.25">
      <c r="A84" s="9" t="s">
        <v>34</v>
      </c>
      <c r="B84">
        <v>93.49</v>
      </c>
      <c r="C84">
        <v>117.54</v>
      </c>
      <c r="D84">
        <v>65.23</v>
      </c>
      <c r="E84">
        <v>234.45</v>
      </c>
      <c r="F84">
        <v>196.44</v>
      </c>
      <c r="G84">
        <v>2025.26</v>
      </c>
      <c r="H84">
        <v>-1159.06</v>
      </c>
      <c r="I84">
        <v>208.98</v>
      </c>
      <c r="J84">
        <v>3357.42</v>
      </c>
      <c r="K84">
        <v>-179.5</v>
      </c>
    </row>
    <row r="85" spans="1:11" s="1" customFormat="1" x14ac:dyDescent="0.25">
      <c r="A85" s="9" t="s">
        <v>35</v>
      </c>
      <c r="B85">
        <v>29.94</v>
      </c>
      <c r="C85">
        <v>13.74</v>
      </c>
      <c r="D85">
        <v>-6.8</v>
      </c>
      <c r="E85">
        <v>-17.41</v>
      </c>
      <c r="F85">
        <v>-2.98</v>
      </c>
      <c r="G85">
        <v>-1.07</v>
      </c>
      <c r="H85">
        <v>34.479999999999997</v>
      </c>
      <c r="I85">
        <v>57.45</v>
      </c>
      <c r="J85">
        <v>-19</v>
      </c>
      <c r="K85">
        <v>85.64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77</v>
      </c>
      <c r="G90">
        <v>637.85</v>
      </c>
      <c r="H90">
        <v>1324.8</v>
      </c>
      <c r="I90">
        <v>1471.1</v>
      </c>
      <c r="J90">
        <v>2187.5</v>
      </c>
      <c r="K90">
        <v>2859.05</v>
      </c>
    </row>
    <row r="92" spans="1:11" s="1" customFormat="1" x14ac:dyDescent="0.25">
      <c r="A92" s="1" t="s">
        <v>76</v>
      </c>
    </row>
    <row r="93" spans="1:11" x14ac:dyDescent="0.25">
      <c r="A93" s="5" t="s">
        <v>89</v>
      </c>
      <c r="B93" s="31">
        <v>53.35</v>
      </c>
      <c r="C93" s="31">
        <v>54.41</v>
      </c>
      <c r="D93" s="31">
        <v>54.68</v>
      </c>
      <c r="E93" s="31">
        <v>56.15</v>
      </c>
      <c r="F93" s="31">
        <v>56.15</v>
      </c>
      <c r="G93" s="31">
        <v>62.41</v>
      </c>
      <c r="H93" s="31">
        <v>62.41</v>
      </c>
      <c r="I93" s="31">
        <v>62.41</v>
      </c>
      <c r="J93" s="31">
        <v>64.78</v>
      </c>
      <c r="K93" s="31">
        <v>64.78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Profit &amp; Loss</vt:lpstr>
      <vt:lpstr>Quarters</vt:lpstr>
      <vt:lpstr>Balance Sheet</vt:lpstr>
      <vt:lpstr>Cash Flow</vt:lpstr>
      <vt:lpstr>Customization</vt:lpstr>
      <vt:lpstr>Data Sheet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Nickunj Nayak</cp:lastModifiedBy>
  <cp:lastPrinted>2012-12-06T18:14:13Z</cp:lastPrinted>
  <dcterms:created xsi:type="dcterms:W3CDTF">2012-08-17T09:55:37Z</dcterms:created>
  <dcterms:modified xsi:type="dcterms:W3CDTF">2022-01-24T12:33:17Z</dcterms:modified>
</cp:coreProperties>
</file>