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sh\Downloads\"/>
    </mc:Choice>
  </mc:AlternateContent>
  <xr:revisionPtr revIDLastSave="0" documentId="13_ncr:1_{AD58DABA-432A-4660-AD77-185BF6DCC82C}" xr6:coauthVersionLast="47" xr6:coauthVersionMax="47" xr10:uidLastSave="{00000000-0000-0000-0000-000000000000}"/>
  <bookViews>
    <workbookView xWindow="-108" yWindow="-108" windowWidth="23256" windowHeight="12456" firstSheet="2" activeTab="6" xr2:uid="{34493662-F3ED-44AC-BA48-6824657D1B8C}"/>
  </bookViews>
  <sheets>
    <sheet name="Assumptions" sheetId="5" r:id="rId1"/>
    <sheet name="Mgmt Walk the Talk" sheetId="8" r:id="rId2"/>
    <sheet name="Income Statement" sheetId="1" r:id="rId3"/>
    <sheet name="Balance Sheet" sheetId="2" r:id="rId4"/>
    <sheet name="Cash Flow" sheetId="3" r:id="rId5"/>
    <sheet name="Key Metrics" sheetId="4" r:id="rId6"/>
    <sheet name="DCF Valuation" sheetId="6" r:id="rId7"/>
    <sheet name="Comps Analysis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6" l="1"/>
  <c r="B65" i="6"/>
  <c r="B67" i="6" s="1"/>
  <c r="B68" i="6" s="1"/>
  <c r="B69" i="6"/>
  <c r="B66" i="6"/>
  <c r="B64" i="6"/>
  <c r="B63" i="6"/>
  <c r="C58" i="5"/>
  <c r="C57" i="5"/>
  <c r="B72" i="6" l="1"/>
  <c r="B71" i="6"/>
  <c r="H36" i="8"/>
  <c r="E27" i="8"/>
  <c r="E21" i="8"/>
  <c r="D21" i="8"/>
  <c r="G36" i="8"/>
  <c r="F36" i="8"/>
  <c r="E36" i="8"/>
  <c r="D36" i="8"/>
  <c r="C36" i="8"/>
  <c r="B36" i="8"/>
  <c r="H13" i="8"/>
  <c r="H12" i="8"/>
  <c r="G39" i="8"/>
  <c r="F39" i="8"/>
  <c r="E39" i="8"/>
  <c r="D39" i="8"/>
  <c r="C39" i="8"/>
  <c r="B39" i="8"/>
  <c r="G38" i="8"/>
  <c r="F38" i="8"/>
  <c r="E38" i="8"/>
  <c r="D38" i="8"/>
  <c r="C38" i="8"/>
  <c r="B38" i="8"/>
  <c r="F37" i="8"/>
  <c r="E37" i="8"/>
  <c r="D37" i="8"/>
  <c r="C37" i="8"/>
  <c r="B37" i="8"/>
  <c r="G35" i="8"/>
  <c r="G37" i="8" s="1"/>
  <c r="F35" i="8"/>
  <c r="E35" i="8"/>
  <c r="D35" i="8"/>
  <c r="C35" i="8"/>
  <c r="B35" i="8"/>
  <c r="I21" i="8"/>
  <c r="H20" i="8"/>
  <c r="G20" i="8"/>
  <c r="F20" i="8"/>
  <c r="E20" i="8"/>
  <c r="H19" i="8"/>
  <c r="G19" i="8"/>
  <c r="F19" i="8"/>
  <c r="E19" i="8"/>
  <c r="I19" i="8" s="1"/>
  <c r="H18" i="8"/>
  <c r="I18" i="8" s="1"/>
  <c r="G18" i="8"/>
  <c r="F18" i="8"/>
  <c r="E18" i="8"/>
  <c r="D18" i="8"/>
  <c r="E14" i="8"/>
  <c r="D14" i="8"/>
  <c r="C14" i="8"/>
  <c r="F13" i="8"/>
  <c r="F14" i="8" s="1"/>
  <c r="E12" i="8"/>
  <c r="D12" i="8"/>
  <c r="C12" i="8"/>
  <c r="F11" i="8"/>
  <c r="F12" i="8" s="1"/>
  <c r="F9" i="8"/>
  <c r="F10" i="8" s="1"/>
  <c r="H8" i="8"/>
  <c r="H7" i="8"/>
  <c r="G7" i="8"/>
  <c r="F7" i="8"/>
  <c r="C55" i="5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B37" i="7"/>
  <c r="F37" i="7" s="1"/>
  <c r="G37" i="7" s="1"/>
  <c r="B36" i="7"/>
  <c r="B35" i="7"/>
  <c r="D35" i="7" s="1"/>
  <c r="F35" i="7" s="1"/>
  <c r="G35" i="7" s="1"/>
  <c r="F38" i="7"/>
  <c r="D36" i="7"/>
  <c r="F36" i="7" s="1"/>
  <c r="G36" i="7" s="1"/>
  <c r="F30" i="7"/>
  <c r="G29" i="7"/>
  <c r="F29" i="7"/>
  <c r="C29" i="7"/>
  <c r="B29" i="7"/>
  <c r="G28" i="7"/>
  <c r="F28" i="7"/>
  <c r="D28" i="7"/>
  <c r="C28" i="7"/>
  <c r="B28" i="7"/>
  <c r="G27" i="7"/>
  <c r="F27" i="7"/>
  <c r="D27" i="7"/>
  <c r="C27" i="7"/>
  <c r="B27" i="7"/>
  <c r="H22" i="7"/>
  <c r="F22" i="7"/>
  <c r="H21" i="7"/>
  <c r="F21" i="7"/>
  <c r="F20" i="7"/>
  <c r="H19" i="7"/>
  <c r="F19" i="7"/>
  <c r="H18" i="7"/>
  <c r="F18" i="7"/>
  <c r="L14" i="7"/>
  <c r="K14" i="7"/>
  <c r="J14" i="7"/>
  <c r="N12" i="7"/>
  <c r="M12" i="7"/>
  <c r="L12" i="7"/>
  <c r="K12" i="7"/>
  <c r="J12" i="7"/>
  <c r="H12" i="7"/>
  <c r="F12" i="7"/>
  <c r="N11" i="7"/>
  <c r="M11" i="7"/>
  <c r="L11" i="7"/>
  <c r="K11" i="7"/>
  <c r="J11" i="7"/>
  <c r="H11" i="7"/>
  <c r="F11" i="7"/>
  <c r="L8" i="7"/>
  <c r="K8" i="7"/>
  <c r="J8" i="7"/>
  <c r="H8" i="7"/>
  <c r="F8" i="7"/>
  <c r="L7" i="7"/>
  <c r="K7" i="7"/>
  <c r="J7" i="7"/>
  <c r="H7" i="7"/>
  <c r="F7" i="7"/>
  <c r="H6" i="7"/>
  <c r="F6" i="7"/>
  <c r="L5" i="7"/>
  <c r="K5" i="7"/>
  <c r="J5" i="7"/>
  <c r="H5" i="7"/>
  <c r="F5" i="7"/>
  <c r="F4" i="1" l="1"/>
  <c r="E24" i="1"/>
  <c r="D24" i="1"/>
  <c r="C24" i="1"/>
  <c r="B24" i="1"/>
  <c r="L20" i="6"/>
  <c r="K20" i="6"/>
  <c r="J20" i="6"/>
  <c r="I20" i="6"/>
  <c r="E20" i="6"/>
  <c r="D20" i="6"/>
  <c r="C20" i="6"/>
  <c r="B20" i="6"/>
  <c r="B17" i="6"/>
  <c r="B28" i="6"/>
  <c r="B11" i="6"/>
  <c r="B12" i="6" s="1"/>
  <c r="B10" i="6"/>
  <c r="B9" i="6"/>
  <c r="B7" i="6"/>
  <c r="B6" i="6"/>
  <c r="B5" i="6"/>
  <c r="B8" i="6" s="1"/>
  <c r="P14" i="4"/>
  <c r="P13" i="4"/>
  <c r="P12" i="4"/>
  <c r="O14" i="4"/>
  <c r="O13" i="4"/>
  <c r="O12" i="4"/>
  <c r="N14" i="4"/>
  <c r="N13" i="4"/>
  <c r="N12" i="4"/>
  <c r="M14" i="4"/>
  <c r="M13" i="4"/>
  <c r="M12" i="4"/>
  <c r="L14" i="4"/>
  <c r="L13" i="4"/>
  <c r="L12" i="4"/>
  <c r="K14" i="4"/>
  <c r="K13" i="4"/>
  <c r="K12" i="4"/>
  <c r="J14" i="4"/>
  <c r="J13" i="4"/>
  <c r="J12" i="4"/>
  <c r="I14" i="4"/>
  <c r="I13" i="4"/>
  <c r="I12" i="4"/>
  <c r="H14" i="4"/>
  <c r="H13" i="4"/>
  <c r="H12" i="4"/>
  <c r="G14" i="4"/>
  <c r="G13" i="4"/>
  <c r="G12" i="4"/>
  <c r="F14" i="4"/>
  <c r="F13" i="4"/>
  <c r="F12" i="4"/>
  <c r="P22" i="2"/>
  <c r="P18" i="2"/>
  <c r="P13" i="2"/>
  <c r="P7" i="2"/>
  <c r="P6" i="2"/>
  <c r="O22" i="2"/>
  <c r="O18" i="2"/>
  <c r="O13" i="2"/>
  <c r="O7" i="2"/>
  <c r="O6" i="2"/>
  <c r="N22" i="2"/>
  <c r="N18" i="2"/>
  <c r="N13" i="2"/>
  <c r="N7" i="2"/>
  <c r="N6" i="2"/>
  <c r="M22" i="2"/>
  <c r="M18" i="2"/>
  <c r="M13" i="2"/>
  <c r="M7" i="2"/>
  <c r="M6" i="2"/>
  <c r="L22" i="2"/>
  <c r="L18" i="2"/>
  <c r="L13" i="2"/>
  <c r="L7" i="2"/>
  <c r="L6" i="2"/>
  <c r="K22" i="2"/>
  <c r="K18" i="2"/>
  <c r="K13" i="2"/>
  <c r="K7" i="2"/>
  <c r="K6" i="2"/>
  <c r="J22" i="2"/>
  <c r="J18" i="2"/>
  <c r="J13" i="2"/>
  <c r="J7" i="2"/>
  <c r="J6" i="2"/>
  <c r="I22" i="2"/>
  <c r="I18" i="2"/>
  <c r="I13" i="2"/>
  <c r="I7" i="2"/>
  <c r="I6" i="2"/>
  <c r="H22" i="2"/>
  <c r="H18" i="2"/>
  <c r="H13" i="2"/>
  <c r="H7" i="2"/>
  <c r="H6" i="2"/>
  <c r="G22" i="2"/>
  <c r="G18" i="2"/>
  <c r="G13" i="2"/>
  <c r="G7" i="2"/>
  <c r="G6" i="2"/>
  <c r="F23" i="2"/>
  <c r="F22" i="2"/>
  <c r="F18" i="2"/>
  <c r="F13" i="2"/>
  <c r="F12" i="2"/>
  <c r="F7" i="2"/>
  <c r="F6" i="2"/>
  <c r="F5" i="2"/>
  <c r="P10" i="3"/>
  <c r="P6" i="3"/>
  <c r="O10" i="3"/>
  <c r="O6" i="3"/>
  <c r="N10" i="3"/>
  <c r="N6" i="3"/>
  <c r="M10" i="3"/>
  <c r="M6" i="3"/>
  <c r="L10" i="3"/>
  <c r="H20" i="6" s="1"/>
  <c r="L6" i="3"/>
  <c r="K10" i="3"/>
  <c r="G20" i="6" s="1"/>
  <c r="K6" i="3"/>
  <c r="J10" i="3"/>
  <c r="F20" i="6" s="1"/>
  <c r="J6" i="3"/>
  <c r="I10" i="3"/>
  <c r="I6" i="3"/>
  <c r="H10" i="3"/>
  <c r="H6" i="3"/>
  <c r="G10" i="3"/>
  <c r="G6" i="3"/>
  <c r="F10" i="3"/>
  <c r="F6" i="3"/>
  <c r="P22" i="1"/>
  <c r="P21" i="1"/>
  <c r="O22" i="1"/>
  <c r="O21" i="1"/>
  <c r="N22" i="1"/>
  <c r="N21" i="1"/>
  <c r="M22" i="1"/>
  <c r="M21" i="1"/>
  <c r="L22" i="1"/>
  <c r="L21" i="1"/>
  <c r="K22" i="1"/>
  <c r="K21" i="1"/>
  <c r="J22" i="1"/>
  <c r="J21" i="1"/>
  <c r="I22" i="1"/>
  <c r="I21" i="1"/>
  <c r="H22" i="1"/>
  <c r="H21" i="1"/>
  <c r="G22" i="1"/>
  <c r="G21" i="1"/>
  <c r="G4" i="1"/>
  <c r="H4" i="1" s="1"/>
  <c r="H23" i="2" s="1"/>
  <c r="F22" i="1"/>
  <c r="F21" i="1"/>
  <c r="F19" i="1"/>
  <c r="F13" i="1"/>
  <c r="F12" i="1"/>
  <c r="F11" i="1"/>
  <c r="F7" i="1"/>
  <c r="E14" i="5"/>
  <c r="C59" i="5"/>
  <c r="C60" i="5" s="1"/>
  <c r="D28" i="5"/>
  <c r="E28" i="5"/>
  <c r="F28" i="5"/>
  <c r="G28" i="5"/>
  <c r="H28" i="5"/>
  <c r="I28" i="5"/>
  <c r="J28" i="5"/>
  <c r="K28" i="5"/>
  <c r="L28" i="5"/>
  <c r="M28" i="5"/>
  <c r="C28" i="5"/>
  <c r="D14" i="5"/>
  <c r="F14" i="5"/>
  <c r="G14" i="5"/>
  <c r="H14" i="5"/>
  <c r="I14" i="5"/>
  <c r="J14" i="5"/>
  <c r="K14" i="5"/>
  <c r="L14" i="5"/>
  <c r="M14" i="5"/>
  <c r="C14" i="5"/>
  <c r="C6" i="5"/>
  <c r="D6" i="5" s="1"/>
  <c r="B48" i="6"/>
  <c r="E26" i="4"/>
  <c r="D26" i="4"/>
  <c r="C26" i="4"/>
  <c r="B26" i="4"/>
  <c r="D25" i="4"/>
  <c r="C25" i="4"/>
  <c r="B25" i="4"/>
  <c r="E24" i="4"/>
  <c r="D24" i="4"/>
  <c r="C24" i="4"/>
  <c r="B24" i="4"/>
  <c r="E23" i="4"/>
  <c r="D23" i="4"/>
  <c r="C23" i="4"/>
  <c r="B23" i="4"/>
  <c r="E19" i="2"/>
  <c r="D19" i="2"/>
  <c r="D20" i="2" s="1"/>
  <c r="C19" i="2"/>
  <c r="B19" i="2"/>
  <c r="F15" i="4"/>
  <c r="E15" i="4"/>
  <c r="D15" i="4"/>
  <c r="C15" i="4"/>
  <c r="B15" i="4"/>
  <c r="E5" i="3"/>
  <c r="D5" i="3"/>
  <c r="C5" i="3"/>
  <c r="B5" i="3"/>
  <c r="E24" i="2"/>
  <c r="D24" i="2"/>
  <c r="C24" i="2"/>
  <c r="B24" i="2"/>
  <c r="E20" i="2"/>
  <c r="E26" i="2" s="1"/>
  <c r="E27" i="2" s="1"/>
  <c r="C20" i="2"/>
  <c r="C26" i="2" s="1"/>
  <c r="C27" i="2" s="1"/>
  <c r="B20" i="2"/>
  <c r="B26" i="2" s="1"/>
  <c r="B27" i="2" s="1"/>
  <c r="E15" i="2"/>
  <c r="D15" i="2"/>
  <c r="C15" i="2"/>
  <c r="B15" i="2"/>
  <c r="E14" i="2"/>
  <c r="D14" i="2"/>
  <c r="C14" i="2"/>
  <c r="B14" i="2"/>
  <c r="E8" i="2"/>
  <c r="D8" i="2"/>
  <c r="C8" i="2"/>
  <c r="B8" i="2"/>
  <c r="E14" i="1"/>
  <c r="E16" i="1" s="1"/>
  <c r="D14" i="1"/>
  <c r="D16" i="1" s="1"/>
  <c r="C14" i="1"/>
  <c r="C16" i="1" s="1"/>
  <c r="B14" i="1"/>
  <c r="B16" i="1" s="1"/>
  <c r="C9" i="1"/>
  <c r="C5" i="4" s="1"/>
  <c r="B9" i="1"/>
  <c r="B5" i="4" s="1"/>
  <c r="E8" i="1"/>
  <c r="E9" i="1" s="1"/>
  <c r="E5" i="4" s="1"/>
  <c r="D8" i="1"/>
  <c r="D9" i="1" s="1"/>
  <c r="D5" i="4" s="1"/>
  <c r="C8" i="1"/>
  <c r="B8" i="1"/>
  <c r="F8" i="1"/>
  <c r="F9" i="1" s="1"/>
  <c r="F5" i="4" s="1"/>
  <c r="F5" i="1"/>
  <c r="F4" i="4" s="1"/>
  <c r="E5" i="1"/>
  <c r="E4" i="4" s="1"/>
  <c r="D5" i="1"/>
  <c r="D4" i="4" s="1"/>
  <c r="C5" i="1"/>
  <c r="C4" i="4" s="1"/>
  <c r="B13" i="6" l="1"/>
  <c r="A80" i="6" s="1"/>
  <c r="G23" i="2"/>
  <c r="D17" i="6"/>
  <c r="H12" i="2"/>
  <c r="G12" i="2"/>
  <c r="C17" i="6"/>
  <c r="B23" i="6"/>
  <c r="M23" i="6"/>
  <c r="J23" i="6"/>
  <c r="L23" i="6"/>
  <c r="E25" i="4"/>
  <c r="B17" i="1"/>
  <c r="B6" i="4" s="1"/>
  <c r="B20" i="1"/>
  <c r="D20" i="1"/>
  <c r="D17" i="1"/>
  <c r="D6" i="4" s="1"/>
  <c r="C17" i="1"/>
  <c r="C6" i="4" s="1"/>
  <c r="C20" i="1"/>
  <c r="E20" i="1"/>
  <c r="E17" i="1"/>
  <c r="E6" i="4" s="1"/>
  <c r="H11" i="1"/>
  <c r="H13" i="1"/>
  <c r="H7" i="1"/>
  <c r="H12" i="1"/>
  <c r="H19" i="1"/>
  <c r="I4" i="1"/>
  <c r="G19" i="1"/>
  <c r="G5" i="3" s="1"/>
  <c r="G7" i="1"/>
  <c r="G12" i="1"/>
  <c r="G11" i="1"/>
  <c r="G13" i="1"/>
  <c r="G5" i="1"/>
  <c r="G4" i="4" s="1"/>
  <c r="E6" i="5"/>
  <c r="D39" i="5"/>
  <c r="C39" i="5"/>
  <c r="F8" i="2"/>
  <c r="F14" i="1"/>
  <c r="F16" i="1" s="1"/>
  <c r="B18" i="6" s="1"/>
  <c r="G15" i="4"/>
  <c r="F5" i="3"/>
  <c r="F24" i="2"/>
  <c r="D26" i="2"/>
  <c r="D27" i="2" s="1"/>
  <c r="H23" i="6" l="1"/>
  <c r="G23" i="6"/>
  <c r="C23" i="6"/>
  <c r="E23" i="6"/>
  <c r="F23" i="6"/>
  <c r="K23" i="6"/>
  <c r="I23" i="6"/>
  <c r="D23" i="6"/>
  <c r="I12" i="2"/>
  <c r="E17" i="6"/>
  <c r="I23" i="2"/>
  <c r="G5" i="2"/>
  <c r="H5" i="2" s="1"/>
  <c r="J4" i="1"/>
  <c r="I13" i="1"/>
  <c r="I11" i="1"/>
  <c r="I7" i="1"/>
  <c r="I19" i="1"/>
  <c r="I12" i="1"/>
  <c r="E9" i="4"/>
  <c r="E23" i="1"/>
  <c r="E25" i="1" s="1"/>
  <c r="C9" i="4"/>
  <c r="C23" i="1"/>
  <c r="C25" i="1" s="1"/>
  <c r="B23" i="1"/>
  <c r="B25" i="1" s="1"/>
  <c r="B9" i="4"/>
  <c r="D23" i="1"/>
  <c r="D25" i="1" s="1"/>
  <c r="D9" i="4"/>
  <c r="F6" i="5"/>
  <c r="E39" i="5"/>
  <c r="H15" i="4"/>
  <c r="F17" i="1"/>
  <c r="F6" i="4" s="1"/>
  <c r="F20" i="1"/>
  <c r="F23" i="1" s="1"/>
  <c r="G14" i="1"/>
  <c r="G16" i="1" s="1"/>
  <c r="C18" i="6" s="1"/>
  <c r="G8" i="1"/>
  <c r="G9" i="1" s="1"/>
  <c r="G5" i="4" s="1"/>
  <c r="H8" i="1"/>
  <c r="H9" i="1" s="1"/>
  <c r="H5" i="4" s="1"/>
  <c r="H5" i="1"/>
  <c r="H4" i="4" s="1"/>
  <c r="H5" i="3"/>
  <c r="I5" i="2" l="1"/>
  <c r="J23" i="2"/>
  <c r="J12" i="2"/>
  <c r="F17" i="6"/>
  <c r="F24" i="1"/>
  <c r="F25" i="1" s="1"/>
  <c r="D4" i="3"/>
  <c r="D7" i="3" s="1"/>
  <c r="D26" i="1"/>
  <c r="D7" i="4" s="1"/>
  <c r="D8" i="4"/>
  <c r="B4" i="3"/>
  <c r="B7" i="3" s="1"/>
  <c r="B26" i="1"/>
  <c r="B7" i="4" s="1"/>
  <c r="B8" i="4"/>
  <c r="E4" i="3"/>
  <c r="E7" i="3" s="1"/>
  <c r="E26" i="1"/>
  <c r="E7" i="4" s="1"/>
  <c r="E8" i="4"/>
  <c r="C4" i="3"/>
  <c r="C7" i="3" s="1"/>
  <c r="C26" i="1"/>
  <c r="C7" i="4" s="1"/>
  <c r="C8" i="4"/>
  <c r="K4" i="1"/>
  <c r="J7" i="1"/>
  <c r="J19" i="1"/>
  <c r="J12" i="1"/>
  <c r="J13" i="1"/>
  <c r="J11" i="1"/>
  <c r="G6" i="5"/>
  <c r="F39" i="5"/>
  <c r="I15" i="4"/>
  <c r="G8" i="2"/>
  <c r="G24" i="2"/>
  <c r="H14" i="1"/>
  <c r="H16" i="1" s="1"/>
  <c r="D18" i="6" s="1"/>
  <c r="I8" i="1"/>
  <c r="I9" i="1" s="1"/>
  <c r="I5" i="4" s="1"/>
  <c r="I5" i="3"/>
  <c r="I5" i="1"/>
  <c r="I4" i="4" s="1"/>
  <c r="G17" i="1"/>
  <c r="G6" i="4" s="1"/>
  <c r="G20" i="1"/>
  <c r="G23" i="1" s="1"/>
  <c r="G24" i="1" s="1"/>
  <c r="J5" i="2" l="1"/>
  <c r="F14" i="3"/>
  <c r="F19" i="2"/>
  <c r="K23" i="2"/>
  <c r="K12" i="2"/>
  <c r="G17" i="6"/>
  <c r="F4" i="3"/>
  <c r="F7" i="3" s="1"/>
  <c r="B19" i="6" s="1"/>
  <c r="B21" i="6" s="1"/>
  <c r="B24" i="6" s="1"/>
  <c r="F26" i="1"/>
  <c r="F7" i="4" s="1"/>
  <c r="C11" i="3"/>
  <c r="C18" i="4"/>
  <c r="C17" i="3"/>
  <c r="D17" i="3"/>
  <c r="D11" i="3"/>
  <c r="D18" i="4"/>
  <c r="B18" i="4"/>
  <c r="B11" i="3"/>
  <c r="B17" i="3"/>
  <c r="K11" i="1"/>
  <c r="K19" i="1"/>
  <c r="L4" i="1"/>
  <c r="K13" i="1"/>
  <c r="K12" i="1"/>
  <c r="K7" i="1"/>
  <c r="E18" i="4"/>
  <c r="E17" i="3"/>
  <c r="E11" i="3"/>
  <c r="G39" i="5"/>
  <c r="H6" i="5"/>
  <c r="F20" i="2"/>
  <c r="F11" i="2" s="1"/>
  <c r="J15" i="4"/>
  <c r="H8" i="2"/>
  <c r="H24" i="2"/>
  <c r="I14" i="1"/>
  <c r="I16" i="1" s="1"/>
  <c r="E18" i="6" s="1"/>
  <c r="G25" i="1"/>
  <c r="G14" i="3" s="1"/>
  <c r="J5" i="1"/>
  <c r="J4" i="4" s="1"/>
  <c r="J5" i="3"/>
  <c r="H20" i="1"/>
  <c r="H23" i="1" s="1"/>
  <c r="H24" i="1" s="1"/>
  <c r="H17" i="1"/>
  <c r="H6" i="4" s="1"/>
  <c r="K5" i="2" l="1"/>
  <c r="F17" i="3"/>
  <c r="L23" i="2"/>
  <c r="L24" i="2" s="1"/>
  <c r="L12" i="2"/>
  <c r="H17" i="6"/>
  <c r="L15" i="4"/>
  <c r="F18" i="4"/>
  <c r="F11" i="3"/>
  <c r="F19" i="4" s="1"/>
  <c r="G19" i="2"/>
  <c r="D19" i="4"/>
  <c r="D20" i="4"/>
  <c r="B20" i="4"/>
  <c r="B19" i="4"/>
  <c r="L12" i="1"/>
  <c r="L11" i="1"/>
  <c r="L5" i="1"/>
  <c r="L4" i="4" s="1"/>
  <c r="M4" i="1"/>
  <c r="L19" i="1"/>
  <c r="L5" i="3" s="1"/>
  <c r="L13" i="1"/>
  <c r="L7" i="1"/>
  <c r="E20" i="4"/>
  <c r="E19" i="4"/>
  <c r="C19" i="4"/>
  <c r="C20" i="4"/>
  <c r="H39" i="5"/>
  <c r="I6" i="5"/>
  <c r="G26" i="1"/>
  <c r="G7" i="4" s="1"/>
  <c r="G4" i="3"/>
  <c r="G7" i="3" s="1"/>
  <c r="C19" i="6" s="1"/>
  <c r="I8" i="2"/>
  <c r="F25" i="4"/>
  <c r="F26" i="2"/>
  <c r="F8" i="4"/>
  <c r="K15" i="4"/>
  <c r="K29" i="4"/>
  <c r="I24" i="2"/>
  <c r="H25" i="1"/>
  <c r="H14" i="3" s="1"/>
  <c r="K8" i="1"/>
  <c r="K9" i="1" s="1"/>
  <c r="K5" i="4" s="1"/>
  <c r="K5" i="3"/>
  <c r="K5" i="1"/>
  <c r="K4" i="4" s="1"/>
  <c r="J14" i="1"/>
  <c r="J16" i="1" s="1"/>
  <c r="F18" i="6" s="1"/>
  <c r="J8" i="1"/>
  <c r="J9" i="1" s="1"/>
  <c r="J5" i="4" s="1"/>
  <c r="I20" i="1"/>
  <c r="I23" i="1" s="1"/>
  <c r="I24" i="1" s="1"/>
  <c r="I17" i="1"/>
  <c r="I6" i="4" s="1"/>
  <c r="L14" i="1" l="1"/>
  <c r="L16" i="1" s="1"/>
  <c r="H18" i="6" s="1"/>
  <c r="H19" i="2"/>
  <c r="F20" i="4"/>
  <c r="I17" i="6"/>
  <c r="M23" i="2"/>
  <c r="M24" i="2" s="1"/>
  <c r="M12" i="2"/>
  <c r="M15" i="4"/>
  <c r="L5" i="2"/>
  <c r="L20" i="1"/>
  <c r="L17" i="1"/>
  <c r="L6" i="4" s="1"/>
  <c r="L8" i="1"/>
  <c r="L9" i="1" s="1"/>
  <c r="L5" i="4" s="1"/>
  <c r="M19" i="1"/>
  <c r="M5" i="3" s="1"/>
  <c r="M13" i="1"/>
  <c r="M12" i="1"/>
  <c r="M7" i="1"/>
  <c r="M11" i="1"/>
  <c r="N4" i="1"/>
  <c r="M5" i="1"/>
  <c r="M4" i="4" s="1"/>
  <c r="I39" i="5"/>
  <c r="J6" i="5"/>
  <c r="J8" i="2"/>
  <c r="K8" i="2"/>
  <c r="H26" i="1"/>
  <c r="H7" i="4" s="1"/>
  <c r="H4" i="3"/>
  <c r="H7" i="3" s="1"/>
  <c r="D19" i="6" s="1"/>
  <c r="F24" i="4"/>
  <c r="F14" i="2"/>
  <c r="F15" i="2" s="1"/>
  <c r="G20" i="2"/>
  <c r="G11" i="2" s="1"/>
  <c r="G17" i="3"/>
  <c r="G11" i="3"/>
  <c r="C21" i="6"/>
  <c r="C24" i="6" s="1"/>
  <c r="G18" i="4"/>
  <c r="J24" i="2"/>
  <c r="K24" i="2"/>
  <c r="I25" i="1"/>
  <c r="I14" i="3" s="1"/>
  <c r="J17" i="1"/>
  <c r="J6" i="4" s="1"/>
  <c r="J20" i="1"/>
  <c r="J23" i="1" s="1"/>
  <c r="J24" i="1" s="1"/>
  <c r="K14" i="1"/>
  <c r="K16" i="1" s="1"/>
  <c r="G18" i="6" s="1"/>
  <c r="I19" i="2" l="1"/>
  <c r="L23" i="1"/>
  <c r="L24" i="1" s="1"/>
  <c r="L25" i="1" s="1"/>
  <c r="N23" i="2"/>
  <c r="N24" i="2" s="1"/>
  <c r="N12" i="2"/>
  <c r="J17" i="6"/>
  <c r="N15" i="4"/>
  <c r="M5" i="2"/>
  <c r="L8" i="2"/>
  <c r="M14" i="1"/>
  <c r="M16" i="1" s="1"/>
  <c r="I18" i="6" s="1"/>
  <c r="N13" i="1"/>
  <c r="O4" i="1"/>
  <c r="N12" i="1"/>
  <c r="N5" i="1"/>
  <c r="N4" i="4" s="1"/>
  <c r="N19" i="1"/>
  <c r="N5" i="3" s="1"/>
  <c r="N11" i="1"/>
  <c r="N7" i="1"/>
  <c r="N14" i="1" s="1"/>
  <c r="N16" i="1" s="1"/>
  <c r="J18" i="6" s="1"/>
  <c r="M8" i="1"/>
  <c r="M9" i="1" s="1"/>
  <c r="M5" i="4" s="1"/>
  <c r="J39" i="5"/>
  <c r="K6" i="5"/>
  <c r="H20" i="2"/>
  <c r="H11" i="2" s="1"/>
  <c r="H17" i="3"/>
  <c r="H11" i="3"/>
  <c r="D21" i="6"/>
  <c r="D24" i="6" s="1"/>
  <c r="H18" i="4"/>
  <c r="G25" i="4"/>
  <c r="G26" i="2"/>
  <c r="G8" i="4"/>
  <c r="F9" i="4"/>
  <c r="F23" i="4"/>
  <c r="F26" i="4"/>
  <c r="G19" i="4"/>
  <c r="G20" i="4"/>
  <c r="I26" i="1"/>
  <c r="I7" i="4" s="1"/>
  <c r="I4" i="3"/>
  <c r="I7" i="3" s="1"/>
  <c r="E19" i="6" s="1"/>
  <c r="F27" i="2"/>
  <c r="K20" i="1"/>
  <c r="K23" i="1" s="1"/>
  <c r="K24" i="1" s="1"/>
  <c r="K17" i="1"/>
  <c r="K6" i="4" s="1"/>
  <c r="J25" i="1"/>
  <c r="J14" i="3" s="1"/>
  <c r="L26" i="1" l="1"/>
  <c r="L7" i="4" s="1"/>
  <c r="L4" i="3"/>
  <c r="L7" i="3" s="1"/>
  <c r="L14" i="3"/>
  <c r="M8" i="2"/>
  <c r="N5" i="2"/>
  <c r="K17" i="6"/>
  <c r="O23" i="2"/>
  <c r="O24" i="2" s="1"/>
  <c r="O15" i="4"/>
  <c r="O12" i="2"/>
  <c r="J19" i="2"/>
  <c r="N17" i="1"/>
  <c r="N6" i="4" s="1"/>
  <c r="N20" i="1"/>
  <c r="N8" i="1"/>
  <c r="N9" i="1" s="1"/>
  <c r="N5" i="4" s="1"/>
  <c r="O11" i="1"/>
  <c r="O13" i="1"/>
  <c r="P4" i="1"/>
  <c r="O7" i="1"/>
  <c r="O8" i="1" s="1"/>
  <c r="O9" i="1" s="1"/>
  <c r="O5" i="4" s="1"/>
  <c r="O5" i="1"/>
  <c r="O4" i="4" s="1"/>
  <c r="O12" i="1"/>
  <c r="O19" i="1"/>
  <c r="O5" i="3" s="1"/>
  <c r="M17" i="1"/>
  <c r="M6" i="4" s="1"/>
  <c r="M20" i="1"/>
  <c r="L6" i="5"/>
  <c r="K39" i="5"/>
  <c r="J4" i="3"/>
  <c r="J7" i="3" s="1"/>
  <c r="F19" i="6" s="1"/>
  <c r="J26" i="1"/>
  <c r="J7" i="4" s="1"/>
  <c r="G24" i="4"/>
  <c r="G14" i="2"/>
  <c r="G15" i="2" s="1"/>
  <c r="G27" i="2" s="1"/>
  <c r="E21" i="6"/>
  <c r="E24" i="6" s="1"/>
  <c r="I18" i="4"/>
  <c r="I17" i="3"/>
  <c r="I11" i="3"/>
  <c r="H25" i="4"/>
  <c r="H26" i="2"/>
  <c r="H8" i="4"/>
  <c r="H19" i="4"/>
  <c r="H20" i="4"/>
  <c r="I20" i="2"/>
  <c r="I11" i="2" s="1"/>
  <c r="K25" i="1"/>
  <c r="K14" i="3" s="1"/>
  <c r="N23" i="1" l="1"/>
  <c r="K19" i="2"/>
  <c r="L19" i="2" s="1"/>
  <c r="O5" i="2"/>
  <c r="N8" i="2"/>
  <c r="M23" i="1"/>
  <c r="P12" i="2"/>
  <c r="L17" i="6"/>
  <c r="P23" i="2"/>
  <c r="P24" i="2" s="1"/>
  <c r="P29" i="4"/>
  <c r="P15" i="4"/>
  <c r="L18" i="4"/>
  <c r="H19" i="6"/>
  <c r="H21" i="6" s="1"/>
  <c r="H24" i="6" s="1"/>
  <c r="L11" i="3"/>
  <c r="L17" i="3"/>
  <c r="O14" i="1"/>
  <c r="O16" i="1" s="1"/>
  <c r="K18" i="6" s="1"/>
  <c r="P7" i="1"/>
  <c r="P8" i="1" s="1"/>
  <c r="P9" i="1" s="1"/>
  <c r="P5" i="4" s="1"/>
  <c r="P5" i="1"/>
  <c r="P4" i="4" s="1"/>
  <c r="P19" i="1"/>
  <c r="P5" i="3" s="1"/>
  <c r="P11" i="1"/>
  <c r="P13" i="1"/>
  <c r="P12" i="1"/>
  <c r="N24" i="1"/>
  <c r="N25" i="1" s="1"/>
  <c r="L39" i="5"/>
  <c r="M6" i="5"/>
  <c r="M39" i="5" s="1"/>
  <c r="H24" i="4"/>
  <c r="H14" i="2"/>
  <c r="H15" i="2" s="1"/>
  <c r="I19" i="4"/>
  <c r="I20" i="4"/>
  <c r="G9" i="4"/>
  <c r="G23" i="4"/>
  <c r="G26" i="4"/>
  <c r="K26" i="1"/>
  <c r="K7" i="4" s="1"/>
  <c r="K4" i="3"/>
  <c r="K7" i="3" s="1"/>
  <c r="G19" i="6" s="1"/>
  <c r="I25" i="4"/>
  <c r="I26" i="2"/>
  <c r="I8" i="4"/>
  <c r="K20" i="2"/>
  <c r="J20" i="2"/>
  <c r="J11" i="2" s="1"/>
  <c r="F21" i="6"/>
  <c r="F24" i="6" s="1"/>
  <c r="J18" i="4"/>
  <c r="J17" i="3"/>
  <c r="J11" i="3"/>
  <c r="N26" i="1" l="1"/>
  <c r="N7" i="4" s="1"/>
  <c r="N4" i="3"/>
  <c r="N7" i="3" s="1"/>
  <c r="N14" i="3"/>
  <c r="L20" i="2"/>
  <c r="L20" i="4"/>
  <c r="L19" i="4"/>
  <c r="P5" i="2"/>
  <c r="P8" i="2" s="1"/>
  <c r="O8" i="2"/>
  <c r="M24" i="1"/>
  <c r="M25" i="1" s="1"/>
  <c r="K8" i="4"/>
  <c r="K11" i="2"/>
  <c r="P14" i="1"/>
  <c r="P16" i="1" s="1"/>
  <c r="L18" i="6" s="1"/>
  <c r="B36" i="6" s="1"/>
  <c r="B38" i="6" s="1"/>
  <c r="O20" i="1"/>
  <c r="O17" i="1"/>
  <c r="O6" i="4" s="1"/>
  <c r="I14" i="2"/>
  <c r="I15" i="2" s="1"/>
  <c r="I24" i="4"/>
  <c r="J19" i="4"/>
  <c r="J20" i="4"/>
  <c r="J25" i="4"/>
  <c r="J26" i="2"/>
  <c r="J8" i="4"/>
  <c r="G21" i="6"/>
  <c r="G24" i="6" s="1"/>
  <c r="K18" i="4"/>
  <c r="K17" i="3"/>
  <c r="K11" i="3"/>
  <c r="H9" i="4"/>
  <c r="H23" i="4"/>
  <c r="H26" i="4"/>
  <c r="K25" i="4"/>
  <c r="K26" i="2"/>
  <c r="H27" i="2"/>
  <c r="M26" i="1" l="1"/>
  <c r="M7" i="4" s="1"/>
  <c r="M4" i="3"/>
  <c r="M7" i="3" s="1"/>
  <c r="M14" i="3"/>
  <c r="M19" i="2"/>
  <c r="L26" i="2"/>
  <c r="L25" i="4"/>
  <c r="L11" i="2"/>
  <c r="L8" i="4"/>
  <c r="O23" i="1"/>
  <c r="O24" i="1" s="1"/>
  <c r="O25" i="1" s="1"/>
  <c r="N18" i="4"/>
  <c r="J19" i="6"/>
  <c r="J21" i="6" s="1"/>
  <c r="J24" i="6" s="1"/>
  <c r="N11" i="3"/>
  <c r="N17" i="3"/>
  <c r="P17" i="1"/>
  <c r="P6" i="4" s="1"/>
  <c r="P20" i="1"/>
  <c r="J14" i="2"/>
  <c r="J15" i="2" s="1"/>
  <c r="J24" i="4"/>
  <c r="K19" i="4"/>
  <c r="K20" i="4"/>
  <c r="I9" i="4"/>
  <c r="I23" i="4"/>
  <c r="I26" i="4"/>
  <c r="K14" i="2"/>
  <c r="K15" i="2" s="1"/>
  <c r="K24" i="4"/>
  <c r="I27" i="2"/>
  <c r="O26" i="1" l="1"/>
  <c r="O7" i="4" s="1"/>
  <c r="O4" i="3"/>
  <c r="O7" i="3" s="1"/>
  <c r="O14" i="3"/>
  <c r="L24" i="4"/>
  <c r="L14" i="2"/>
  <c r="L15" i="2" s="1"/>
  <c r="N19" i="2"/>
  <c r="M20" i="2"/>
  <c r="P23" i="1"/>
  <c r="P24" i="1" s="1"/>
  <c r="P25" i="1" s="1"/>
  <c r="N20" i="4"/>
  <c r="N19" i="4"/>
  <c r="I19" i="6"/>
  <c r="I21" i="6" s="1"/>
  <c r="I24" i="6" s="1"/>
  <c r="M18" i="4"/>
  <c r="M17" i="3"/>
  <c r="M11" i="3"/>
  <c r="K9" i="4"/>
  <c r="K23" i="4"/>
  <c r="K26" i="4"/>
  <c r="J9" i="4"/>
  <c r="J23" i="4"/>
  <c r="J26" i="4"/>
  <c r="J27" i="2"/>
  <c r="K27" i="2"/>
  <c r="P26" i="1" l="1"/>
  <c r="P7" i="4" s="1"/>
  <c r="P4" i="3"/>
  <c r="P7" i="3" s="1"/>
  <c r="P14" i="3"/>
  <c r="M20" i="4"/>
  <c r="M19" i="4"/>
  <c r="O19" i="2"/>
  <c r="N20" i="2"/>
  <c r="M25" i="4"/>
  <c r="M26" i="2"/>
  <c r="M11" i="2"/>
  <c r="M8" i="4"/>
  <c r="O18" i="4"/>
  <c r="K19" i="6"/>
  <c r="K21" i="6" s="1"/>
  <c r="K24" i="6" s="1"/>
  <c r="O17" i="3"/>
  <c r="O11" i="3"/>
  <c r="L27" i="2"/>
  <c r="L23" i="4"/>
  <c r="L26" i="4"/>
  <c r="L9" i="4"/>
  <c r="P19" i="2" l="1"/>
  <c r="P20" i="2" s="1"/>
  <c r="O20" i="2"/>
  <c r="M14" i="2"/>
  <c r="M15" i="2" s="1"/>
  <c r="M24" i="4"/>
  <c r="N25" i="4"/>
  <c r="N26" i="2"/>
  <c r="N11" i="2"/>
  <c r="N8" i="4"/>
  <c r="P18" i="4"/>
  <c r="L19" i="6"/>
  <c r="L21" i="6" s="1"/>
  <c r="P17" i="3"/>
  <c r="P11" i="3"/>
  <c r="O20" i="4"/>
  <c r="O19" i="4"/>
  <c r="B29" i="6" l="1"/>
  <c r="B32" i="6" s="1"/>
  <c r="B33" i="6" s="1"/>
  <c r="B43" i="6" s="1"/>
  <c r="L24" i="6"/>
  <c r="B42" i="6" s="1"/>
  <c r="P20" i="4"/>
  <c r="P19" i="4"/>
  <c r="N14" i="2"/>
  <c r="N15" i="2" s="1"/>
  <c r="N24" i="4"/>
  <c r="P25" i="4"/>
  <c r="P26" i="2"/>
  <c r="P11" i="2"/>
  <c r="P8" i="4"/>
  <c r="M27" i="2"/>
  <c r="M26" i="4"/>
  <c r="M23" i="4"/>
  <c r="M9" i="4"/>
  <c r="O26" i="2"/>
  <c r="O25" i="4"/>
  <c r="O11" i="2"/>
  <c r="O8" i="4"/>
  <c r="N23" i="4" l="1"/>
  <c r="N27" i="2"/>
  <c r="N26" i="4"/>
  <c r="N9" i="4"/>
  <c r="H83" i="6"/>
  <c r="D81" i="6"/>
  <c r="H80" i="6"/>
  <c r="D82" i="6"/>
  <c r="H78" i="6"/>
  <c r="G79" i="6"/>
  <c r="G80" i="6"/>
  <c r="H82" i="6"/>
  <c r="F81" i="6"/>
  <c r="B79" i="6"/>
  <c r="F78" i="6"/>
  <c r="B80" i="6"/>
  <c r="D78" i="6"/>
  <c r="G81" i="6"/>
  <c r="F80" i="6"/>
  <c r="C77" i="6"/>
  <c r="F76" i="6"/>
  <c r="C76" i="6"/>
  <c r="D79" i="6"/>
  <c r="G76" i="6"/>
  <c r="D76" i="6"/>
  <c r="G77" i="6"/>
  <c r="C82" i="6"/>
  <c r="F82" i="6"/>
  <c r="H79" i="6"/>
  <c r="E78" i="6"/>
  <c r="E83" i="6"/>
  <c r="H77" i="6"/>
  <c r="F77" i="6"/>
  <c r="E77" i="6"/>
  <c r="C80" i="6"/>
  <c r="F79" i="6"/>
  <c r="B83" i="6"/>
  <c r="E81" i="6"/>
  <c r="B86" i="6"/>
  <c r="D83" i="6"/>
  <c r="H76" i="6"/>
  <c r="E80" i="6"/>
  <c r="B78" i="6"/>
  <c r="C78" i="6"/>
  <c r="F83" i="6"/>
  <c r="B77" i="6"/>
  <c r="D80" i="6"/>
  <c r="C81" i="6"/>
  <c r="G83" i="6"/>
  <c r="D77" i="6"/>
  <c r="E82" i="6"/>
  <c r="C79" i="6"/>
  <c r="G82" i="6"/>
  <c r="B76" i="6"/>
  <c r="H81" i="6"/>
  <c r="B82" i="6"/>
  <c r="B81" i="6"/>
  <c r="G78" i="6"/>
  <c r="E79" i="6"/>
  <c r="E76" i="6"/>
  <c r="C83" i="6"/>
  <c r="B44" i="6"/>
  <c r="C86" i="6" s="1"/>
  <c r="P24" i="4"/>
  <c r="P14" i="2"/>
  <c r="P15" i="2" s="1"/>
  <c r="O14" i="2"/>
  <c r="O15" i="2" s="1"/>
  <c r="O24" i="4"/>
  <c r="B87" i="6"/>
  <c r="C88" i="6" l="1"/>
  <c r="B88" i="6"/>
  <c r="B50" i="6"/>
  <c r="B55" i="6" s="1"/>
  <c r="B56" i="6" s="1"/>
  <c r="O27" i="2"/>
  <c r="O26" i="4"/>
  <c r="O23" i="4"/>
  <c r="O9" i="4"/>
  <c r="C87" i="6"/>
  <c r="P27" i="2"/>
  <c r="P23" i="4"/>
  <c r="P26" i="4"/>
  <c r="P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C5" authorId="0" shapeId="0" xr:uid="{37DC8B79-4C3E-4174-8162-6F6E0FF5AA7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~60% based on management guidance of ₹750 Cr; 9MFY26 rev ₹586 Cr on track (BSE Investor Presentation, Feb 2026)</t>
        </r>
      </text>
    </comment>
    <comment ref="D5" authorId="0" shapeId="0" xr:uid="{238D50E3-2D77-43C4-AD9D-232FF6AF639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Strong bed ramp-up (4,000 beds) + OTC launch via Entero (1.25L stores) + intl expansion</t>
        </r>
      </text>
    </comment>
    <comment ref="E5" authorId="0" shapeId="0" xr:uid="{E2DC157C-3352-4A1A-8109-98EE58FA2EC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OTC at scale (~₹500 Cr target) + bed count 5,500; international revenue kicks in</t>
        </r>
      </text>
    </comment>
    <comment ref="F5" authorId="0" shapeId="0" xr:uid="{071274E8-7431-4DD0-A34C-B0237FA526E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Occupancy maturation + higher service mix; tapering but strong growth on larger base</t>
        </r>
      </text>
    </comment>
    <comment ref="G5" authorId="0" shapeId="0" xr:uid="{274F5DEF-D87D-4691-BC6F-C57FB5201F8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Bed capacity reaching 8,500; OTC established; growth moderating on large base</t>
        </r>
      </text>
    </comment>
    <comment ref="H5" authorId="0" shapeId="0" xr:uid="{77FBBBA6-3027-49F0-BCCD-BAB987514C9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Approaching mature growth; sector tailwinds + established OTC + global presence</t>
        </r>
      </text>
    </comment>
    <comment ref="I5" authorId="0" shapeId="0" xr:uid="{8A06A736-A812-443F-9BBF-917209BD829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11,200 beds; OTC fully scaled; international contributing ~20% of revenue</t>
        </r>
      </text>
    </comment>
    <comment ref="J5" authorId="0" shapeId="0" xr:uid="{CA7E9BC7-49A4-4C41-A195-3DCC8508E80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Growth moderation continues; focus shifts to profitability and efficiency</t>
        </r>
      </text>
    </comment>
    <comment ref="K5" authorId="0" shapeId="0" xr:uid="{43420F1F-F0F5-4028-8AF7-BF1A7B3A150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Large base effect; hospital network nearly built out at 138 locations</t>
        </r>
      </text>
    </comment>
    <comment ref="L5" authorId="0" shapeId="0" xr:uid="{46EB424C-2990-4C3C-8567-337A59B0228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Mature phase; organic growth from existing capacity utilization and price increases</t>
        </r>
      </text>
    </comment>
    <comment ref="M5" authorId="0" shapeId="0" xr:uid="{A2D66C78-6DB3-432F-AC47-1F787E1D0D0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Terminal-like growth rate; fully mature hospital + OTC + international platform</t>
        </r>
      </text>
    </comment>
    <comment ref="C7" authorId="0" shapeId="0" xr:uid="{DDF58D88-BACE-4B4C-BE5C-3F166149D07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H1 FY25 data — Services ₹114 Cr (~53%), Products ₹100 Cr (~47%), Intl negligible. FY26E shifts to ~70% Hospital (bed count 2,800 + higher occupancy) / 27% OTC (Shuddhi Kit launched Aug 2025; Entero partnership beginning) / 3% Intl (Dubai subsidiary approved Jan 2026, AED 7.53M loan).</t>
        </r>
      </text>
    </comment>
    <comment ref="D7" authorId="0" shapeId="0" xr:uid="{86D35AA8-4E57-4605-A0F4-75E2665AE15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FY27E: Hospital still dominant at 65% (4,000 beds ramping). OTC grows to 28% — Entero retail (1.25L stores) scaling; ₹500 Cr OTC target in 2 yrs from launch. Intl at 7% — Dubai operational; Nepal hospital contributing; Kazakhstan/UAE MOUs signed.</t>
        </r>
      </text>
    </comment>
    <comment ref="E7" authorId="0" shapeId="0" xr:uid="{84E22464-C705-4030-A672-BCEB7A58A4D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FY28E: OTC at scale (32%) approaching ₹500 Cr target via Entero + Amazon (Theryco procurement agreement Jan 2026). Hospital 58% (5,500 beds). Intl at 10% — multiple geographies contributing.</t>
        </r>
      </text>
    </comment>
    <comment ref="F7" authorId="0" shapeId="0" xr:uid="{103CA5E1-E8F3-4F4F-9D94-A68276D643C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FY29E: OTC fully scaled (33%); Hospital 52% (7,000 beds, higher occupancy). Intl at 15% — US FDA Ayurveda approval expected; Back to Roots Ayurveda (51% acquired) contributing in UAE.</t>
        </r>
      </text>
    </comment>
    <comment ref="G7" authorId="0" shapeId="0" xr:uid="{360E7559-36EF-45AB-BC8E-F343AC799A8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FY30E: Hospital at 48% (8,500 beds); OTC stabilises at 34% with repeat purchases and new product launches (16 products by FY26, expanding further). Intl at 18% — multiple countries operational.</t>
        </r>
      </text>
    </comment>
    <comment ref="H7" authorId="0" shapeId="0" xr:uid="{51F14908-BF57-4428-B4D5-514B087E1B5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FY31E: Hospital 45% (10,000 beds, network largely built). OTC 33% (mature domestic). Intl 22% — global Ayurveda leadership goal; premium pricing abroad (Shirodhara: ₹1,500 India vs ₹3,000+ Dubai).</t>
        </r>
      </text>
    </comment>
    <comment ref="I7" authorId="0" shapeId="0" xr:uid="{8685B876-92B3-418D-88E6-3F4A3ADD8D5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FY32E: Hospital 44% (11,200 beds; occupancy optimisation phase). OTC 32% (mature). Intl 24% — scaling internationally with own clinics and partnerships.</t>
        </r>
      </text>
    </comment>
    <comment ref="J7" authorId="0" shapeId="0" xr:uid="{C03E0381-62C5-4DCF-B1DC-164CAAD7534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FY33E: Hospital 44% (12,200 beds). OTC 31% (product portfolio mature; maintenance growth). Intl 25% — approaching steady-state international contribution.</t>
        </r>
      </text>
    </comment>
    <comment ref="K7" authorId="0" shapeId="0" xr:uid="{8585E291-195D-4BAF-BF2D-FF5986E37B0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FY34E: Hospital 44% (13,200 beds; new additions slowing). OTC 30%. Intl 26% — growing faster than domestic due to premium pricing and greenfield markets.</t>
        </r>
      </text>
    </comment>
    <comment ref="L7" authorId="0" shapeId="0" xr:uid="{328959BB-8508-447C-82DC-99F9426ECBD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FY35E: Steady state. Hospital 44% (14,200 beds). OTC 30%. Intl 26%. Mix stabilised — growth primarily from occupancy and pricing, not new segment shifts.</t>
        </r>
      </text>
    </comment>
    <comment ref="M7" authorId="0" shapeId="0" xr:uid="{2CD83202-9F6A-451A-AB2D-A814767BE77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FY36E: Terminal mix. Hospital 44% (15,000 beds — mature network). OTC 30% (mature portfolio). Intl 26% (global Ayurveda leadership position). Revenue mix fully stabilised.</t>
        </r>
      </text>
    </comment>
    <comment ref="C10" authorId="0" shapeId="0" xr:uid="{A4B847E2-1945-49F4-82BC-3628E331610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Gross margin ~90% per Q3FY26 data; Ayurvedic products carry ~85% margin (Q4FY24 concall)</t>
        </r>
      </text>
    </comment>
    <comment ref="D10" authorId="0" shapeId="0" xr:uid="{2BEACFB3-2BE6-49E7-968C-DD1B0AD7667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Stable at 10% — hospital services (90%+ margin) still dominant at 68% of revenue</t>
        </r>
      </text>
    </comment>
    <comment ref="E10" authorId="0" shapeId="0" xr:uid="{72B88574-05CF-42DB-8515-9C7E911D701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Holding at 10% — OTC scaling but Ayurvedic product margins remain high at ~85%</t>
        </r>
      </text>
    </comment>
    <comment ref="F10" authorId="0" shapeId="0" xr:uid="{1CDE62AC-22D9-41DE-8355-2FF5172A340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Edges up to 10.5% as OTC/product revenue reaches 30% of mix with ~85% margin</t>
        </r>
      </text>
    </comment>
    <comment ref="G10" authorId="0" shapeId="0" xr:uid="{4E48B708-BB98-4BBB-AA03-4C7D3BE715D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10.5% — OTC at steady 30% share; international (80% margin) at 15% adds slight pressure</t>
        </r>
      </text>
    </comment>
    <comment ref="H10" authorId="0" shapeId="0" xr:uid="{253D0C39-A8E5-4767-8AF7-7A459770264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11% as international (80% margin due to regulatory/logistics costs) reaches 18% of mix</t>
        </r>
      </text>
    </comment>
    <comment ref="I10" authorId="0" shapeId="0" xr:uid="{8E0D42C7-D7EB-4524-9F95-297866E845F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Stable at 11% — mix shift largely complete</t>
        </r>
      </text>
    </comment>
    <comment ref="J10" authorId="0" shapeId="0" xr:uid="{68802147-E7D0-4234-B939-EB6E5C0C872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11.5% — international at 22% contributes higher input costs</t>
        </r>
      </text>
    </comment>
    <comment ref="K10" authorId="0" shapeId="0" xr:uid="{8667E4CB-42B2-4D08-A7C4-4E36827A795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Holding at 11.5% as product and geographic mix stabilizes</t>
        </r>
      </text>
    </comment>
    <comment ref="L10" authorId="0" shapeId="0" xr:uid="{4CFAB01D-6AB1-4A66-8AD1-3A44552F888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12% — mature mix: ~45% hospital (88% margin), 30% OTC (85%), 25% intl (80%)</t>
        </r>
      </text>
    </comment>
    <comment ref="M10" authorId="0" shapeId="0" xr:uid="{FE711B40-B114-4688-BEC8-43B7803CCF1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12% terminal — fully reflects: 44% hospital, 30% OTC, 26% intl revenue mix</t>
        </r>
      </text>
    </comment>
    <comment ref="C11" authorId="0" shapeId="0" xr:uid="{9023729B-85A1-4EA2-8788-EFB5F2CF225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Employee cost ~18% of revenue; scaling with bed additions &amp; doctor hiring. ESOP for 738 staff (Q3 FY26)</t>
        </r>
      </text>
    </comment>
    <comment ref="D11" authorId="0" shapeId="0" xr:uid="{40984C41-EDA4-4A8F-9533-120FB30E6DA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Stable at 18% — hiring for 4,000 beds offsets revenue scale benefits</t>
        </r>
      </text>
    </comment>
    <comment ref="E11" authorId="0" shapeId="0" xr:uid="{AADF204A-6269-44A3-AF20-8880DDF6FAF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Still 18% — heavy recruitment phase for 5,500 beds and intl expansion</t>
        </r>
      </text>
    </comment>
    <comment ref="F11" authorId="0" shapeId="0" xr:uid="{07C9C5E9-BE58-4F3F-9579-2699A22436D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Drops to 17.5% as hospital utilization improves — revenue/bed rises while staffing is relatively fixed per facility</t>
        </r>
      </text>
    </comment>
    <comment ref="G11" authorId="0" shapeId="0" xr:uid="{B325AD07-758B-4CDD-A439-22915F2191E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17.5% — 8,500 beds with improving occupancy; OTC revenue (low headcount intensity) at 30% dilutes ratio</t>
        </r>
      </text>
    </comment>
    <comment ref="H11" authorId="0" shapeId="0" xr:uid="{C4D5B36F-9804-4A17-B7DA-D2B4321222F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17% as operating leverage kicks in — OTC (30% of rev) and intl (18%) need less incremental headcount per ₹ revenue</t>
        </r>
      </text>
    </comment>
    <comment ref="I11" authorId="0" shapeId="0" xr:uid="{479408DD-E1FD-4EF1-9B73-CB3BFFA0339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Stable at 17% — network staffed; incremental hiring slows</t>
        </r>
      </text>
    </comment>
    <comment ref="J11" authorId="0" shapeId="0" xr:uid="{612D350D-48BB-4392-9689-8E7E6AAE976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16.5% — productivity gains from AI diagnostics (Salesforce CRM deployed) reduce support staff needs</t>
        </r>
      </text>
    </comment>
    <comment ref="K11" authorId="0" shapeId="0" xr:uid="{5AEFB6D4-45F5-458B-A9AC-0EC01A99EF8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16.5% — automation benefits fully realized across 138 hospital locations</t>
        </r>
      </text>
    </comment>
    <comment ref="L11" authorId="0" shapeId="0" xr:uid="{6A68D99E-004E-404C-9D0C-9F07EBFFBBC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16% — mature staffing model; attrition replacement only, minimal net new hiring</t>
        </r>
      </text>
    </comment>
    <comment ref="M11" authorId="0" shapeId="0" xr:uid="{0F0D4AB5-8383-4B5C-91AF-807905B0AB3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16% terminal — fully staffed hospitals at high utilization; OTC and intl segments low headcount intensity</t>
        </r>
      </text>
    </comment>
    <comment ref="C12" authorId="0" shapeId="0" xr:uid="{3008B10C-1D5C-4765-A9D2-20D86C74135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FY25 actual was ~23% but declining rapidly; 18% reflects digital-first, social media/video content-led patient acquisition model</t>
        </r>
      </text>
    </comment>
    <comment ref="D12" authorId="0" shapeId="0" xr:uid="{B3FA9864-EF91-4CB8-B3BE-7DF9BAAA272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17% — Acharya Manish Ji's YouTube (15M+ subs) and social media reduce CAC; organic reach growing</t>
        </r>
      </text>
    </comment>
    <comment ref="E12" authorId="0" shapeId="0" xr:uid="{B66356C7-CE1D-444D-A917-8BDB39488DC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16% — OTC brand awareness established via Entero retail network; repeat purchase rates rising</t>
        </r>
      </text>
    </comment>
    <comment ref="F12" authorId="0" shapeId="0" xr:uid="{3E639BAA-CF8D-4FBD-B903-5B3FD039F7B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15.5% — brand equity building; word-of-mouth referrals from satisfied patients reduce new acquisition spend</t>
        </r>
      </text>
    </comment>
    <comment ref="G12" authorId="0" shapeId="0" xr:uid="{A69E2EFD-CC2F-46DF-8DC0-5BA5BCA8171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15% — flywheel effect: referrals + OTC repeat purchases reduce need for new customer acquisition</t>
        </r>
      </text>
    </comment>
    <comment ref="H12" authorId="0" shapeId="0" xr:uid="{A968A506-C338-4D38-A055-DCA4F6E6D62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14.5% — marketing shifts from awareness to retention; digital flywheel fully operational</t>
        </r>
      </text>
    </comment>
    <comment ref="I12" authorId="0" shapeId="0" xr:uid="{44D06B76-FD23-49A4-9DFA-50C7AA68797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14% — strong brand recall in Ayurveda space; marketing primarily retention and cross-sell</t>
        </r>
      </text>
    </comment>
    <comment ref="J12" authorId="0" shapeId="0" xr:uid="{F2ACF3F4-882E-4A5B-9582-A2209C7957D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13.5% — international markets developing organic traction; domestic marketing largely maintenance</t>
        </r>
      </text>
    </comment>
    <comment ref="K12" authorId="0" shapeId="0" xr:uid="{02C92895-75C9-4BDF-B17F-346192D0A35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13% — mature brand with national recognition; selective spend on new product launches</t>
        </r>
      </text>
    </comment>
    <comment ref="L12" authorId="0" shapeId="0" xr:uid="{2ED44319-A548-45F8-A633-EDEDFEEA27C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12.5% — approaching terminal; marketing largely maintenance and new geography rollouts</t>
        </r>
      </text>
    </comment>
    <comment ref="M12" authorId="0" shapeId="0" xr:uid="{2B5848E5-DDAB-47A3-814E-91DB9A97CDE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12% terminal — mature brand with strong recall; maintenance/retention rather than awareness building</t>
        </r>
      </text>
    </comment>
    <comment ref="C13" authorId="0" shapeId="0" xr:uid="{BF70D4C9-23A3-4950-B94D-0010E2A8964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Rent, utilities, admin; asset-light model (₹3L/bed vs ₹50L-₹1Cr for allopathy) keeps fixed costs low</t>
        </r>
      </text>
    </comment>
    <comment ref="D13" authorId="0" shapeId="0" xr:uid="{7FED40DF-A9E0-4F8A-ACDB-9A1C87D7989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9% — fixed cost base expanding with new hospitals but revenue scaling faster</t>
        </r>
      </text>
    </comment>
    <comment ref="E13" authorId="0" shapeId="0" xr:uid="{6CF00ED3-678C-4DBA-942E-0E5F6EE04F3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8.5% — operating leverage as 5,500 beds generate more revenue per ₹ of fixed overhead</t>
        </r>
      </text>
    </comment>
    <comment ref="F13" authorId="0" shapeId="0" xr:uid="{F2D8E83C-AF4E-4009-9109-3E897F3045E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8.5% — technology investments (Salesforce CRM, AI) starting to reduce admin overhead</t>
        </r>
      </text>
    </comment>
    <comment ref="G13" authorId="0" shapeId="0" xr:uid="{E3444E72-50F0-4A10-830F-DD6E4A86192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8% — significant scale leverage; 8,500 beds across 95 hospitals sharing central admin costs</t>
        </r>
      </text>
    </comment>
    <comment ref="H13" authorId="0" shapeId="0" xr:uid="{BFE51C7F-5A76-433E-8C5E-A49BA9406CF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8% — fully leveraged central functions; shared services model for accounting, HR, procurement</t>
        </r>
      </text>
    </comment>
    <comment ref="I13" authorId="0" shapeId="0" xr:uid="{E2EE51F9-800D-41BA-A8F2-D806F0CD580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7.5% — AI-enabled operations reduce admin costs; digital patient management cuts paperwork</t>
        </r>
      </text>
    </comment>
    <comment ref="J13" authorId="0" shapeId="0" xr:uid="{BD101575-A190-47B8-ADBF-8F4159A738F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7.5% — stable; further efficiency gains limited without structural changes</t>
        </r>
      </text>
    </comment>
    <comment ref="K13" authorId="0" shapeId="0" xr:uid="{11DAAE4B-4937-498D-AACF-39B9FB47388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7% — mature operations; fixed costs a smaller share of a much larger revenue base</t>
        </r>
      </text>
    </comment>
    <comment ref="L13" authorId="0" shapeId="0" xr:uid="{530B97F0-B622-4361-8285-08DB47C6D41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7% — approaching terminal efficiency</t>
        </r>
      </text>
    </comment>
    <comment ref="M13" authorId="0" shapeId="0" xr:uid="{DFD89F0B-0038-4606-AA68-4915E2ECBFA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6.5% terminal — fully leveraged fixed cost base; technology reduces admin overhead to minimum</t>
        </r>
      </text>
    </comment>
    <comment ref="C16" authorId="0" shapeId="0" xr:uid="{7A8AD720-5CF2-483D-A6EA-1FA8171B028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5% consistent with Q3FY26 actual (₹11.26 Cr on ₹222 Cr quarterly rev). Heavy capex phase.</t>
        </r>
      </text>
    </comment>
    <comment ref="D16" authorId="0" shapeId="0" xr:uid="{1FA98E40-76C6-4028-A089-05435CBBB78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5% — ongoing heavy capex for bed expansion; new assets being depreciated</t>
        </r>
      </text>
    </comment>
    <comment ref="E16" authorId="0" shapeId="0" xr:uid="{CC061B0F-16FF-40F9-A6DC-81E7807CA14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5% — peak capex year (₹80 Cr); depreciation rising but offset by strong revenue growth</t>
        </r>
      </text>
    </comment>
    <comment ref="F16" authorId="0" shapeId="0" xr:uid="{0D1C2010-AFA4-4103-BFF2-E10B1F66456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4.8% — revenue growth outpaces fixed asset additions; capex per bed extremely low (₹3L)</t>
        </r>
      </text>
    </comment>
    <comment ref="G16" authorId="0" shapeId="0" xr:uid="{F9B54236-ED8A-46C8-8C73-9FDFFD8040F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4.8% — capex tapering; depreciation as % of revenue declining with scale</t>
        </r>
      </text>
    </comment>
    <comment ref="H16" authorId="0" shapeId="0" xr:uid="{349E6569-5DF6-44F2-940D-0667B518BEB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4.6% — network approaching full build-out; D&amp;A growth slowing</t>
        </r>
      </text>
    </comment>
    <comment ref="I16" authorId="0" shapeId="0" xr:uid="{E24DCF34-7E1A-44E4-AF7D-BFD01C79BAA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4.6% — largely maintenance capex; asset base depreciating at steady rate</t>
        </r>
      </text>
    </comment>
    <comment ref="J16" authorId="0" shapeId="0" xr:uid="{B199B48A-AADD-4119-9318-6003C9A3C4A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4.5% — minimal new asset additions; existing assets aging</t>
        </r>
      </text>
    </comment>
    <comment ref="K16" authorId="0" shapeId="0" xr:uid="{F93D11A8-5957-442D-AB37-62B4125015B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4.5% — stable depreciation profile</t>
        </r>
      </text>
    </comment>
    <comment ref="L16" authorId="0" shapeId="0" xr:uid="{B944E55C-9B81-45AD-B7A5-09173AC567B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4.4% — approaching terminal; network nearly complete</t>
        </r>
      </text>
    </comment>
    <comment ref="M16" authorId="0" shapeId="0" xr:uid="{56B21B61-2349-4C0D-8A83-EC67105C150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4.4% terminal — maintenance capex only; older assets fully depreciated</t>
        </r>
      </text>
    </comment>
    <comment ref="C17" authorId="0" shapeId="0" xr:uid="{FA4280D6-E48A-4910-87AC-F338C57C78E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Effective tax rate ~25% consistent with Indian new corporate tax regime. Historical avg ~25% (MarketsMojo, Q3FY26 analysis)</t>
        </r>
      </text>
    </comment>
    <comment ref="C22" authorId="0" shapeId="0" xr:uid="{02E63116-A22C-45E0-BD40-1118A75511C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FY24 debtor days ~76; improving to 70 as Ayushman/govt payment cycles normalize (Screener.in). Declining to 52 by FY36E with integrated billing systems.</t>
        </r>
      </text>
    </comment>
    <comment ref="C23" authorId="0" shapeId="0" xr:uid="{FBC4AD61-6E57-4EB8-BEDA-8E58DB8D2B3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Heavy expansion phase: adding ~750 beds, 8 hospitals. Capex per bed ~₹3 Lakhs (extremely asset-light vs allopathy ₹50L-₹1Cr per bed, Q4FY24 Concall)</t>
        </r>
      </text>
    </comment>
    <comment ref="C25" authorId="0" shapeId="0" xr:uid="{4549C750-A2C1-4ACE-8F2B-CDF98BE48E2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Historical CL/Revenue ~15-18%; stabilized at 15% (FY22-FY25 average). Declines to 13% as company matures and generates more cash.</t>
        </r>
      </text>
    </comment>
    <comment ref="C26" authorId="0" shapeId="0" xr:uid="{D72956F6-4448-4800-B9A5-D5F04689E97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Minimal long-term debt; net cash position. D/E ratio ~0.15x (Tijori Finance FY25). NCL declines as company repays debt from strong cash generation.</t>
        </r>
      </text>
    </comment>
    <comment ref="C27" authorId="0" shapeId="0" xr:uid="{45BB66B9-A473-452E-88D5-D5A746559BB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88% retained (12% dividend payout per 3-yr average ~12.73%, Tijori Finance). Payout ratio rises gradually from 12% to 15% as company matures and capex needs decline.</t>
        </r>
      </text>
    </comment>
    <comment ref="C29" authorId="0" shapeId="0" xr:uid="{306CA458-96CA-41FD-81DB-65E2794F54C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₹60 Cr gross addition; D&amp;A ~₹38 Cr → net PP&amp;E increase of ~₹22 Cr</t>
        </r>
      </text>
    </comment>
    <comment ref="D29" authorId="0" shapeId="0" xr:uid="{D5AF74B7-8F79-4BFC-994C-05A540C50F0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₹70 Cr; D&amp;A ~₹54 Cr → net PP&amp;E increase ~₹16 Cr</t>
        </r>
      </text>
    </comment>
    <comment ref="E29" authorId="0" shapeId="0" xr:uid="{1CCCF91D-2087-4A38-AF78-6F303EFF9CC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₹85 Cr peak expansion; D&amp;A ~₹75 Cr → net increase ~₹10 Cr</t>
        </r>
      </text>
    </comment>
    <comment ref="F29" authorId="0" shapeId="0" xr:uid="{E674DEA1-144B-4676-AF2C-C9CD60F00F2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₹100 Cr; D&amp;A ~₹94 Cr. Increased to maintain positive PP&amp;E as bed count reaches 7,000</t>
        </r>
      </text>
    </comment>
    <comment ref="G29" authorId="0" shapeId="0" xr:uid="{44B84C2A-B687-419E-B69E-0E6504B3AFB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₹125 Cr; D&amp;A ~₹117 Cr. Capex rises with 8,500 beds requiring refurbishment + international expansion</t>
        </r>
      </text>
    </comment>
    <comment ref="H29" authorId="0" shapeId="0" xr:uid="{398A5F54-48A7-4E6C-8EBB-4E86ED54C84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₹145 Cr; D&amp;A ~₹137 Cr. Maintenance + new hospital capex for 10,000 bed network</t>
        </r>
      </text>
    </comment>
    <comment ref="I29" authorId="0" shapeId="0" xr:uid="{5B633A21-649B-4813-ADD1-D6909A59A18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₹170 Cr; D&amp;A ~₹164 Cr. Maintenance-heavy capex for 11,200 bed + 118 hospital network</t>
        </r>
      </text>
    </comment>
    <comment ref="J29" authorId="0" shapeId="0" xr:uid="{6EDCE902-0A2E-4AB8-8CF2-ED52CB190D6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₹195 Cr; D&amp;A ~₹190 Cr. Maintenance capex + facility upgrades across 128 hospitals</t>
        </r>
      </text>
    </comment>
    <comment ref="K29" authorId="0" shapeId="0" xr:uid="{8B39718D-A5CC-4B6F-895E-B51DE61B17C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₹225 Cr; D&amp;A ~₹220 Cr. Steady-state replacement capex for 13,200 beds</t>
        </r>
      </text>
    </comment>
    <comment ref="L29" authorId="0" shapeId="0" xr:uid="{CAAFEA10-2C67-45D9-BD16-C62A76166F9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₹250 Cr; D&amp;A ~₹245 Cr. Replacement + technology refresh across 148 hospitals</t>
        </r>
      </text>
    </comment>
    <comment ref="M29" authorId="0" shapeId="0" xr:uid="{C1C0D928-72D7-4B2E-90FB-B3DD3E4DA9D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₹280 Cr; D&amp;A ~₹275 Cr. Terminal maintenance capex for 15,000 bed, 155 hospital network</t>
        </r>
      </text>
    </comment>
    <comment ref="C36" authorId="0" shapeId="0" xr:uid="{E8652657-C7AA-4353-B3AF-D27F65BB716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Target 7,000-10,000 beds in 3-5 yrs from 2,290 base (Q3 FY26 Concall). Scaling to 15,000 by FY36E with Tier 2/3 city expansion.</t>
        </r>
      </text>
    </comment>
    <comment ref="C37" authorId="0" shapeId="0" xr:uid="{1CB30CC6-0DDE-407C-891B-FB3B2E67CC4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From 40 hospitals in FY25, adding ~8-13 per year across Tier 2/3 cities (Q3 FY26 Investor Pres.). Tapering to 5-7/yr as network matures.</t>
        </r>
      </text>
    </comment>
    <comment ref="C42" authorId="0" shapeId="0" xr:uid="{AB10F773-CCF0-4BE7-94D9-EA88B6EF627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Indian Ayurveda market growing at ~17% CAGR; Nuvama Wealth research (2024)</t>
        </r>
      </text>
    </comment>
    <comment ref="C43" authorId="0" shapeId="0" xr:uid="{36048F4F-19EE-47A4-97EF-92EABB73112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JSLL 5-yr sales CAGR ~37.8% (MarketsMojo analysis, Feb 2026)</t>
        </r>
      </text>
    </comment>
    <comment ref="C44" authorId="0" shapeId="0" xr:uid="{015E37FC-CBD9-4430-AD6A-9F65F82A24D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Mgmt guidance ~₹750 Cr; 9MFY26 rev ₹586 Cr on track (BSE Investor Presentation, Feb 2026)</t>
        </r>
      </text>
    </comment>
    <comment ref="C45" authorId="0" shapeId="0" xr:uid="{E78435C7-7F09-49BF-AC53-F6A42089F12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2,220 operational beds + 475 under development (Q3 FY26 Investor Pres.)</t>
        </r>
      </text>
    </comment>
    <comment ref="C46" authorId="0" shapeId="0" xr:uid="{2B4E73E8-5886-4CE1-B16C-721C3F65541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Mgmt target to scale to 7,000-10,000 beds in 3-5 years (Q3 FY26 concall)</t>
        </r>
      </text>
    </comment>
    <comment ref="C47" authorId="0" shapeId="0" xr:uid="{72715AA4-1285-4E62-A158-09F40E29758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Extremely asset-light vs allopathy ₹50L-₹1Cr per bed (Q4FY24 Concall)</t>
        </r>
      </text>
    </comment>
    <comment ref="C48" authorId="0" shapeId="0" xr:uid="{7B49C916-FEAF-469A-AFE0-1B78D53A8FB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Entero partnership with 1.25L stores; ₹500 Cr OTC in 2 years (Q3 FY26 concall)</t>
        </r>
      </text>
    </comment>
    <comment ref="C49" authorId="0" shapeId="0" xr:uid="{749563D7-C09C-4943-9D73-4FED894D466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Nepal hospital operational; Kazakhstan &amp; UAE MOUs signed; US FDA Ayurveda approval in progress (Q3 FY26 Concall)</t>
        </r>
      </text>
    </comment>
    <comment ref="C52" authorId="0" shapeId="0" xr:uid="{7487E5E5-9F20-430E-994D-35C5ADF46D2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India 10-Year G-Sec yield as of Feb 2026; Trading Economics data</t>
        </r>
      </text>
    </comment>
    <comment ref="C53" authorId="0" shapeId="0" xr:uid="{F3ECA5C8-1F40-4577-9C67-0CED59C5B5B1}">
      <text>
        <r>
          <rPr>
            <b/>
            <sz val="9"/>
            <color indexed="81"/>
            <rFont val="Tahoma"/>
            <family val="2"/>
          </rPr>
          <t>Revised: Healthcare is a necessity sector (Damodaran Hospitals/Healthcare unlevered β ~0.54-0.57 globally). JSLL's core is essential Ayurveda healthcare (chronic disease reversal). Upward adjustment from sector avg for: (1) small-cap volatility, (2) ~30-40% discretionary wellness exposure (Panchkarma detox, preventive packages), (3) hyper-growth execution risk. Nearly zero leverage means equity β ≈ asset β. Net: 1.00 is the balanced midpoint.</t>
        </r>
      </text>
    </comment>
    <comment ref="C54" authorId="0" shapeId="0" xr:uid="{2E6525BE-886E-404A-9E06-D13F3E6F07C3}">
      <text>
        <r>
          <rPr>
            <b/>
            <sz val="9"/>
            <color indexed="81"/>
            <rFont val="Tahoma"/>
            <family val="2"/>
          </rPr>
          <t>Revised: Damodaran Jan 2026 US implied ERP = 4.23% (mature market ~3.96% after US downgrade). India country risk premium adds ~3.25-3.50% (Baa3 rating, default spread ~2.16% scaled by equity/bond volatility ratio ~1.5x). Total India ERP ≈ 7.25-7.75%. Using 7.50%. Note: Since Rf uses India G-Sec (which embeds sovereign default risk), there is mild double-counting — but this is standard practice for Indian DCFs and produces a reasonable Ke.</t>
        </r>
      </text>
    </comment>
    <comment ref="C56" authorId="0" shapeId="0" xr:uid="{CF8DF2B2-88DE-4E51-A72A-2139F5786996}">
      <text>
        <r>
          <rPr>
            <b/>
            <sz val="9"/>
            <color indexed="81"/>
            <rFont val="Tahoma"/>
            <family val="2"/>
          </rPr>
          <t>Conservative estimate for small-cap borrower; includes blended cost of lease liabilities + borrowings.</t>
        </r>
      </text>
    </comment>
    <comment ref="C57" authorId="0" shapeId="0" xr:uid="{0EA02C0C-9B15-4E67-A217-7ECA0175FB32}">
      <text>
        <r>
          <rPr>
            <b/>
            <sz val="9"/>
            <color indexed="81"/>
            <rFont val="Tahoma"/>
            <family val="2"/>
          </rPr>
          <t>D/E = Total Debt (incl. lease liabilities) / Market Cap. Debt of ₹106 Cr from Screener.in D/E of 0.30 (Mar 2026). Up from ₹65 Cr in FY25 due to hospital lease expansion.</t>
        </r>
      </text>
    </comment>
    <comment ref="C58" authorId="0" shapeId="0" xr:uid="{4601B9E0-ADA5-4FE0-8819-50A8ED6E964F}">
      <text>
        <r>
          <rPr>
            <b/>
            <sz val="9"/>
            <color indexed="81"/>
            <rFont val="Tahoma"/>
            <family val="2"/>
          </rPr>
          <t>E/V = Market Cap / (Market Cap + Total Debt). Debt = ₹106 Cr (lease liabilities + borrowings, Screener.in Mar 2026).</t>
        </r>
      </text>
    </comment>
    <comment ref="C61" authorId="0" shapeId="0" xr:uid="{31A26C74-73C6-41FC-9CE5-52C35FBE5D5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Conservative: India nominal GDP ~6-7%; 4% reflects mature-phase healthcare growth; below GDP to account for competitive risk</t>
        </r>
      </text>
    </comment>
    <comment ref="C62" authorId="0" shapeId="0" xr:uid="{6E5D7A74-5E47-4464-AB7F-259FEB7E7E7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Indian healthcare services trade at 12-20x EBITDA; 15x reflects premium for Ayurveda niche, asset-light model, high ROCE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B7" authorId="0" shapeId="0" xr:uid="{ABBDBA1C-260A-4D1A-9356-410B61582CC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Mgmt guidance ₹750 Cr for FY26; JSLL Q3 FY26 Investor Presentation, https://jeenasikho.com/wp-content/uploads/2026/02/Investor-Presentation-08-02-2026.pdf</t>
        </r>
      </text>
    </comment>
    <comment ref="C7" authorId="0" shapeId="0" xr:uid="{F9B5AD98-1240-4077-859F-71E4FD465B0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Q1 FY26 Results, https://scanx.trade/stock-market-news/stocks/jeena-sikho-lifecare-secures-nabh-certification-for-agra-and-panchkula-hospitals-releases-q1-fy-2025-26-earnings-call-recording/17143662</t>
        </r>
      </text>
    </comment>
    <comment ref="D7" authorId="0" shapeId="0" xr:uid="{5A2FC692-C684-4A73-BAFC-D0FA0B9365A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Q2 FY26 Results, https://www.prysm.fi/news/jeena-sikho-lifecare-reports-robust-q2-fy26-performance-with-66-yoy-revenue-growth</t>
        </r>
      </text>
    </comment>
    <comment ref="E7" authorId="0" shapeId="0" xr:uid="{68D6079F-FB4D-4709-A9B8-DB31ED957A9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Investor Presentation Q3 FY26, https://jeenasikho.com/wp-content/uploads/2026/02/Investor-Presentation-08-02-2026.pdf</t>
        </r>
      </text>
    </comment>
    <comment ref="C11" authorId="0" shapeId="0" xr:uid="{F2B808CF-AFA9-4A9F-8EDE-1861F69D41D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Q1 FY26 Results, EBITDA grew 220% to ₹78.79 Cr</t>
        </r>
      </text>
    </comment>
    <comment ref="D11" authorId="0" shapeId="0" xr:uid="{FECF0856-449E-48F5-9D5A-1DDC6DB7DA2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Q2 FY26 Results, EBITDA surged 129% YoY to ₹92.06 Cr</t>
        </r>
      </text>
    </comment>
    <comment ref="E11" authorId="0" shapeId="0" xr:uid="{3879A178-02B8-44F2-8BFD-23A2BA1AA00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Q3 FY26 Investor Pres, EBITDA ₹100.8 Cr (240% YoY)</t>
        </r>
      </text>
    </comment>
    <comment ref="C13" authorId="0" shapeId="0" xr:uid="{A28EB110-E16D-49FE-A3F8-865E048AE62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Q1 FY26, Net profit rose 218% to ₹51.31 Cr</t>
        </r>
      </text>
    </comment>
    <comment ref="D13" authorId="0" shapeId="0" xr:uid="{A35B6D6D-8D1A-46C9-A1BD-28B354EF98B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Q2 FY26, PAT increased 121% YoY to ₹58.78 Cr</t>
        </r>
      </text>
    </comment>
    <comment ref="E13" authorId="0" shapeId="0" xr:uid="{6F954CCE-E7FF-4DFE-AB25-7F3F0A50BD3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Q3 FY26, PAT 405% YoY to ₹66.73 Cr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F4" authorId="0" shapeId="0" xr:uid="{C971548E-41AE-44AF-B11E-CE121F3DDDF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Based on FY26 management guidance of ₹750 Cr; 9MFY26 revenue ₹586 Cr tracking to target (BSE Investor Presentation, Feb 2026)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E11" authorId="0" shapeId="0" xr:uid="{489702EA-0AD2-4E21-9D5C-9BA3805A758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Net cash position; net debt -₹35.76 Cr (Tijori Finance)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D12" authorId="0" shapeId="0" xr:uid="{047EAB23-11E9-46C3-9F68-4125898CBFD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Q4FY24 concall - 460 + 817 added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A35" authorId="0" shapeId="0" xr:uid="{C86C885F-F5FD-40AE-9880-6A5445A4831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These inputs feed the Investment Return Analysis section (rows 58+), NOT the DCF valuation. The Exit Multiple gives a FUTURE price estimate, not a present value.</t>
        </r>
      </text>
    </comment>
    <comment ref="A38" authorId="0" shapeId="0" xr:uid="{92FB88CE-F253-4DB6-9F57-71CA419A5E1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This is the FUTURE Enterprise Value at exit year, NOT a present value. It feeds the Investment Return Analysis below.</t>
        </r>
      </text>
    </comment>
    <comment ref="B41" authorId="0" shapeId="0" xr:uid="{78E1D81B-B96E-4EDE-B5B1-781777B76B9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This is the ONLY intrinsic valuation — it represents TODAY's fair value per share based on the present value of all future cash flows. This should NOT be blended with the Exit Multiple, which gives a FUTURE price.</t>
        </r>
      </text>
    </comment>
    <comment ref="B46" authorId="0" shapeId="0" xr:uid="{5A02782D-AD5F-461E-8A57-8EF6B315D4FC}">
      <text>
        <r>
          <rPr>
            <b/>
            <sz val="9"/>
            <color indexed="81"/>
            <rFont val="Tahoma"/>
            <family val="2"/>
          </rPr>
          <t>Source: Screener.in (Mar 2026). Derived from D/E of 0.30 × Book Equity ~₹353 Cr = ~₹106 Cr. Includes lease liabilities (Ind AS 116) + borrowings. Up from ₹65 Cr in FY25 due to aggressive hospital lease expansion. https://www.screener.in/company/JSLL/</t>
        </r>
      </text>
    </comment>
    <comment ref="B47" authorId="0" shapeId="0" xr:uid="{375447C5-4CCF-4B04-9BD8-1957D105D89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Balance Sheet, Cash FY25</t>
        </r>
      </text>
    </comment>
    <comment ref="A66" authorId="0" shapeId="0" xr:uid="{4302D4E3-F8EA-401A-AD29-85EC1C648CF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Uses projected NCL and Cash from Balance Sheet projections at FY36E. Negative = net cash position.</t>
        </r>
      </text>
    </comment>
    <comment ref="A71" authorId="0" shapeId="0" xr:uid="{63F616D4-D181-4944-A5E0-62175EA1403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This is the annualized return (CAGR) you would earn if you buy at today's CMP and the stock trades at the Exit Multiple-implied price at FY36E. This is a scenario analysis — the actual return depends on the exit multiple realized in the market at that time.</t>
        </r>
      </text>
    </comment>
    <comment ref="B71" authorId="0" shapeId="0" xr:uid="{028F4FCA-B95B-49EF-B7CD-C1372D2B410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Excluding Dividends</t>
        </r>
      </text>
    </comment>
    <comment ref="B72" authorId="0" shapeId="0" xr:uid="{76AE27DB-D39B-438C-8CB7-436DD9FA906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Excluding Dividend payouts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Harsh Vijay</author>
  </authors>
  <commentList>
    <comment ref="D5" authorId="0" shapeId="0" xr:uid="{C4FF6494-E742-414E-B704-AAF96670753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Financial Model - Income Statement, FY25</t>
        </r>
      </text>
    </comment>
    <comment ref="E5" authorId="0" shapeId="0" xr:uid="{11C0AD6D-6972-48DA-A066-3FB675136E5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Financial Model - Income Statement, FY25 EBITDA</t>
        </r>
      </text>
    </comment>
    <comment ref="G5" authorId="0" shapeId="0" xr:uid="{F3CE6A54-9150-47A5-B988-F1262A4FEF9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Financial Model - Income Statement, FY25 PAT</t>
        </r>
      </text>
    </comment>
    <comment ref="I5" authorId="0" shapeId="0" xr:uid="{BE6FB62B-57F2-49A0-81BA-480E88DF785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JSLL market cap as of ~Mar 2026</t>
        </r>
      </text>
    </comment>
    <comment ref="M5" authorId="0" shapeId="0" xr:uid="{0CC03A57-3553-436B-B44D-DFB50133C06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Financial Model - Key Metrics, FY25 YoY Growth</t>
        </r>
      </text>
    </comment>
    <comment ref="N5" authorId="0" shapeId="0" xr:uid="{310DD209-C292-4EDF-A301-9A0BF6E8368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JSLL Financial Model - Key Metrics, FY25 ROE</t>
        </r>
      </text>
    </comment>
    <comment ref="D6" authorId="0" shapeId="0" xr:uid="{93F60EDC-DD2A-4AF0-AFE8-A237E5010D7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~FY25 TTM revenue ~₹128 Cr</t>
        </r>
      </text>
    </comment>
    <comment ref="E6" authorId="0" shapeId="0" xr:uid="{441817A5-F142-466E-A0D8-2BAA3703558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Tijori Finance, OPM -16.28% on ₹127 Cr sales</t>
        </r>
      </text>
    </comment>
    <comment ref="G6" authorId="0" shapeId="0" xr:uid="{77E1B1F4-7C2B-48BE-8C3E-55AE8A9F926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TTM profit -₹24.3 Cr</t>
        </r>
      </text>
    </comment>
    <comment ref="I6" authorId="0" shapeId="0" xr:uid="{072D5107-3AD6-4D0A-8B5C-5BF822E8763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market cap ₹236 Cr as of ~Mar 2026</t>
        </r>
      </text>
    </comment>
    <comment ref="M6" authorId="0" shapeId="0" xr:uid="{45DD80CA-5FC3-4261-99DC-E4E2466B86DC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Kerala Ayurveda H1 FY26 press release, 27% revenue growth H1</t>
        </r>
      </text>
    </comment>
    <comment ref="N6" authorId="0" shapeId="0" xr:uid="{319F56B7-395D-46F7-B0AC-98934E0563CB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3yr avg ROE -54.6%</t>
        </r>
      </text>
    </comment>
    <comment ref="D7" authorId="0" shapeId="0" xr:uid="{96C66B6D-DC92-426C-A537-3AA2B5FA033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Screener.in, KRM Ayurveda FY25 Revenue ₹76.6 Cr</t>
        </r>
      </text>
    </comment>
    <comment ref="E7" authorId="0" shapeId="0" xr:uid="{C28E0CBE-F688-4D40-8AA7-7A58D30F927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StockAnalysis.com, KRM gross margin 62.96%, operating margin 23.6% on ₹76.6 Cr</t>
        </r>
      </text>
    </comment>
    <comment ref="G7" authorId="0" shapeId="0" xr:uid="{660BC343-ED15-4C6D-BF3E-09F67D9FFD6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Screener.in / IPO Watch, KRM FY25 PAT ₹12.1 Cr</t>
        </r>
      </text>
    </comment>
    <comment ref="I7" authorId="0" shapeId="0" xr:uid="{D2E43BF5-ACC6-4F92-A886-C4A4CEB3839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ICICI Direct, KRM market cap ~₹420 Cr as of Mar 2026</t>
        </r>
      </text>
    </comment>
    <comment ref="M7" authorId="0" shapeId="0" xr:uid="{7C1EE3B3-007B-49D0-8DE8-1D77FDDABC5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IPO data, KRM revenue growth 14% FY24-FY25</t>
        </r>
      </text>
    </comment>
    <comment ref="N7" authorId="0" shapeId="0" xr:uid="{170A871F-33AD-4348-BCB5-B15092376B8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KRM IPO data, ROE 67.86% FY25</t>
        </r>
      </text>
    </comment>
    <comment ref="D8" authorId="0" shapeId="0" xr:uid="{A2EEA76F-24CC-4376-988F-FCC6DF61F73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Towards Healthcare, Dabur FY25 Revenue ₹12,563 Cr</t>
        </r>
      </text>
    </comment>
    <comment ref="E8" authorId="0" shapeId="0" xr:uid="{62DE3470-5709-42B9-8DC0-0D39997CFC1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~21.5% EBITDA margin on FY25 revenue</t>
        </r>
      </text>
    </comment>
    <comment ref="G8" authorId="0" shapeId="0" xr:uid="{5B4641A5-D7B7-411F-98E7-E6ECC409E912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Wilson Drugs article, Dabur FY24 net profit ₹1,811 Cr</t>
        </r>
      </text>
    </comment>
    <comment ref="I8" authorId="0" shapeId="0" xr:uid="{1B1516B9-3C58-4B28-ADC6-5F47254959F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Market data, Dabur market cap ~₹95,000 Cr</t>
        </r>
      </text>
    </comment>
    <comment ref="M8" authorId="0" shapeId="0" xr:uid="{1454BF80-42D6-4789-AEB7-B80EA43A3D6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Estimated, Dabur low single-digit growth in FY25</t>
        </r>
      </text>
    </comment>
    <comment ref="N8" authorId="0" shapeId="0" xr:uid="{4F64937D-173D-41A9-A00E-E9F1CFB7DB84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Estimated, Dabur ROE ~22%</t>
        </r>
      </text>
    </comment>
    <comment ref="D18" authorId="0" shapeId="0" xr:uid="{75E0F088-21E0-45D6-B30D-D822057914E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Tracxn, AVP FY25 Revenue ₹93.1 Cr</t>
        </r>
      </text>
    </comment>
    <comment ref="E18" authorId="0" shapeId="0" xr:uid="{621531FA-2957-49F3-8149-B76F0EDB42F6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Tofler, AVP FY24 operating margin ~3.85%, applied to est. revenue</t>
        </r>
      </text>
    </comment>
    <comment ref="G18" authorId="0" shapeId="0" xr:uid="{878BF84E-FEB1-4A32-93F3-81853A8CEB41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Tofler, AVP FY24 net profit margin ~3.58%</t>
        </r>
      </text>
    </comment>
    <comment ref="L18" authorId="0" shapeId="0" xr:uid="{C9D26622-0FAE-424E-90A6-47ED8A5B4B7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Tracxn, AVP 1-yr revenue CAGR 3%</t>
        </r>
      </text>
    </comment>
    <comment ref="D19" authorId="0" shapeId="0" xr:uid="{16CBDA9F-0AD2-4934-BAE3-7F2745C099B0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Aimil Pharmaceuticals website, Total Revenue ₹565 Cr (FY24-25 Aimil Pharma + verticals)</t>
        </r>
      </text>
    </comment>
    <comment ref="E19" authorId="0" shapeId="0" xr:uid="{80D410BD-497B-4A9A-9A27-2CB395A75AF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~15% EBITDA margin based on CRISIL 'average operating profitability' characterization</t>
        </r>
      </text>
    </comment>
    <comment ref="G19" authorId="0" shapeId="0" xr:uid="{FCC2D912-33AC-4DC4-AEAD-18A789FDFB69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~7% net margin</t>
        </r>
      </text>
    </comment>
    <comment ref="L19" authorId="0" shapeId="0" xr:uid="{1AE45CCF-6832-42B7-9BB5-1EAD68EC37DE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Tracxn, Aimil 1-yr revenue CAGR 7%</t>
        </r>
      </text>
    </comment>
    <comment ref="D20" authorId="0" shapeId="0" xr:uid="{1EC103A7-F1B0-4E8D-A541-CF9EF9B6E02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from industry reports, Kottakkal ~₹350 Cr revenue range</t>
        </r>
      </text>
    </comment>
    <comment ref="E20" authorId="0" shapeId="0" xr:uid="{7E10703D-7257-4B50-824F-9CF22A370D6D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~10% EBITDA margin (charitable trust model)</t>
        </r>
      </text>
    </comment>
    <comment ref="D21" authorId="0" shapeId="0" xr:uid="{533930A3-8E36-4B10-B246-0EDF6321FB7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Wilson Drugs industry article, Baidyanath ~₹700 Cr annual revenue</t>
        </r>
      </text>
    </comment>
    <comment ref="E21" authorId="0" shapeId="0" xr:uid="{E83EF101-4463-415D-9F11-1FAAC13DA003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~12% EBITDA margin (traditional pharma mfg)</t>
        </r>
      </text>
    </comment>
    <comment ref="G21" authorId="0" shapeId="0" xr:uid="{41D1250D-3566-447F-A443-8DC74E42FA8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~6% net margin</t>
        </r>
      </text>
    </comment>
    <comment ref="D22" authorId="0" shapeId="0" xr:uid="{F69CA93A-05A3-4245-8C26-FD3FCA6A400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Industry sources, Himalaya estimated ~₹3,000+ Cr revenue</t>
        </r>
      </text>
    </comment>
    <comment ref="E22" authorId="0" shapeId="0" xr:uid="{92CAB8ED-4704-4593-B46F-F3B9E35075E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~15% EBITDA margin</t>
        </r>
      </text>
    </comment>
    <comment ref="G22" authorId="0" shapeId="0" xr:uid="{4BAC220F-4149-4B47-838A-BF2E199F3658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Estimated ~8% net margin</t>
        </r>
      </text>
    </comment>
    <comment ref="E27" authorId="0" shapeId="0" xr:uid="{0B91A392-ED41-4DC8-B23C-52A51DD924F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Net Cash position FY25 (Debt 65 - Cash 120 = -55)</t>
        </r>
      </text>
    </comment>
    <comment ref="G30" authorId="0" shapeId="0" xr:uid="{1625234F-F74C-4278-A5E0-266F357DEC05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Indmoney, JSLL share price ₹616.5 as of Mar 11, 2026</t>
        </r>
      </text>
    </comment>
    <comment ref="C35" authorId="0" shapeId="0" xr:uid="{74CFBC18-355F-4164-A55D-C4AB42F70C5F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Peer Mean EV/Revenue applied to forward estimate</t>
        </r>
      </text>
    </comment>
    <comment ref="C36" authorId="0" shapeId="0" xr:uid="{E0B3048F-803A-4218-8C66-D57DC2E5748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Conservative forward EV/EBITDA (discount to peer mean for growth premium)</t>
        </r>
      </text>
    </comment>
    <comment ref="C37" authorId="0" shapeId="0" xr:uid="{49386B1A-F98E-4A8D-834D-35F4A58A0947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Forward P/E; premium for 60% revenue growth + margin expansion</t>
        </r>
      </text>
    </comment>
    <comment ref="G38" authorId="0" shapeId="0" xr:uid="{C41DDA85-D191-4812-B632-40632E52586A}">
      <text>
        <r>
          <rPr>
            <b/>
            <sz val="9"/>
            <color indexed="81"/>
            <rFont val="Tahoma"/>
            <family val="2"/>
          </rPr>
          <t>Harsh Vijay:</t>
        </r>
        <r>
          <rPr>
            <sz val="9"/>
            <color indexed="81"/>
            <rFont val="Tahoma"/>
            <family val="2"/>
          </rPr>
          <t xml:space="preserve">
Source: Indmoney, JSLL CMP ~₹616.5 as of Mar 11, 2026</t>
        </r>
      </text>
    </comment>
  </commentList>
</comments>
</file>

<file path=xl/sharedStrings.xml><?xml version="1.0" encoding="utf-8"?>
<sst xmlns="http://schemas.openxmlformats.org/spreadsheetml/2006/main" count="710" uniqueCount="515">
  <si>
    <t>Jeena Sikho Lifecare Ltd. — Income Statement (₹ Crores)</t>
  </si>
  <si>
    <t>Particulars</t>
  </si>
  <si>
    <t>FY22</t>
  </si>
  <si>
    <t>FY23</t>
  </si>
  <si>
    <t>FY24</t>
  </si>
  <si>
    <t>FY25</t>
  </si>
  <si>
    <t>FY26E</t>
  </si>
  <si>
    <t>FY27E</t>
  </si>
  <si>
    <t>FY28E</t>
  </si>
  <si>
    <t>FY29E</t>
  </si>
  <si>
    <t>FY30E</t>
  </si>
  <si>
    <t>FY31E</t>
  </si>
  <si>
    <t>Historical</t>
  </si>
  <si>
    <t>Projected</t>
  </si>
  <si>
    <t>Revenue from Operations</t>
  </si>
  <si>
    <t xml:space="preserve">  YoY Growth %</t>
  </si>
  <si>
    <t>Cost of Materials / COGS</t>
  </si>
  <si>
    <t>Gross Profit</t>
  </si>
  <si>
    <t xml:space="preserve">  Gross Margin %</t>
  </si>
  <si>
    <t>Employee Benefit Expenses</t>
  </si>
  <si>
    <t>Advertising &amp; Marketing Expenses</t>
  </si>
  <si>
    <t>Other Operating Expenses</t>
  </si>
  <si>
    <t>Total Operating Expenses</t>
  </si>
  <si>
    <t>EBITDA</t>
  </si>
  <si>
    <t xml:space="preserve">  EBITDA Margin %</t>
  </si>
  <si>
    <t>Depreciation &amp; Amortization</t>
  </si>
  <si>
    <t>EBIT (Operating Profit)</t>
  </si>
  <si>
    <t>Other Income</t>
  </si>
  <si>
    <t>Finance Cost (Interest)</t>
  </si>
  <si>
    <t>Profit Before Tax (PBT)</t>
  </si>
  <si>
    <t>Tax Expense</t>
  </si>
  <si>
    <t>Profit After Tax (PAT)</t>
  </si>
  <si>
    <t>Jeena Sikho Lifecare Ltd. — Key Assumptions</t>
  </si>
  <si>
    <t>Assumption</t>
  </si>
  <si>
    <t>Parameter</t>
  </si>
  <si>
    <t>Value</t>
  </si>
  <si>
    <t>REVENUE GROWTH ASSUMPTIONS</t>
  </si>
  <si>
    <t>Sector</t>
  </si>
  <si>
    <t>AYUSH Market CAGR (India)</t>
  </si>
  <si>
    <t>Company</t>
  </si>
  <si>
    <t>Historical 3-Yr Revenue CAGR</t>
  </si>
  <si>
    <t>Capacity</t>
  </si>
  <si>
    <t>Target Beds (3-5 years)</t>
  </si>
  <si>
    <t>7,000-10,000</t>
  </si>
  <si>
    <t>Capex per Bed</t>
  </si>
  <si>
    <t>₹3 Lakhs</t>
  </si>
  <si>
    <t>OTC</t>
  </si>
  <si>
    <t>OTC Revenue Target (2 years)</t>
  </si>
  <si>
    <t>₹500 Cr</t>
  </si>
  <si>
    <t>Revenue Growth</t>
  </si>
  <si>
    <t>COST STRUCTURE ASSUMPTIONS (% of Revenue)</t>
  </si>
  <si>
    <t>COGS</t>
  </si>
  <si>
    <t>Employee</t>
  </si>
  <si>
    <t>Marketing</t>
  </si>
  <si>
    <t>Other OpEx</t>
  </si>
  <si>
    <t>Implied</t>
  </si>
  <si>
    <t>D&amp;A</t>
  </si>
  <si>
    <t>Tax</t>
  </si>
  <si>
    <t>Effective Tax Rate</t>
  </si>
  <si>
    <t>Receivables</t>
  </si>
  <si>
    <t>Debtor Days</t>
  </si>
  <si>
    <t xml:space="preserve">  PAT Margin %</t>
  </si>
  <si>
    <t>Jeena Sikho Lifecare Ltd. — Balance Sheet (₹ Crores)</t>
  </si>
  <si>
    <t>ASSETS</t>
  </si>
  <si>
    <t>Non-Current Assets</t>
  </si>
  <si>
    <t xml:space="preserve">  Property, Plant &amp; Equipment</t>
  </si>
  <si>
    <t xml:space="preserve">  Right-of-Use Assets &amp; Intangibles</t>
  </si>
  <si>
    <t xml:space="preserve">  Other Non-Current Assets</t>
  </si>
  <si>
    <t>Total Non-Current Assets</t>
  </si>
  <si>
    <t>Current Assets</t>
  </si>
  <si>
    <t xml:space="preserve">  Cash &amp; Cash Equivalents</t>
  </si>
  <si>
    <t xml:space="preserve">  Trade Receivables</t>
  </si>
  <si>
    <t xml:space="preserve">  Inventories &amp; Other Current</t>
  </si>
  <si>
    <t>Total Current Assets</t>
  </si>
  <si>
    <t>TOTAL ASSETS</t>
  </si>
  <si>
    <t>EQUITY &amp; LIABILITIES</t>
  </si>
  <si>
    <t>Share Capital</t>
  </si>
  <si>
    <t>Reserves &amp; Surplus</t>
  </si>
  <si>
    <t>Total Shareholders' Equity</t>
  </si>
  <si>
    <t>Non-Current Liabilities</t>
  </si>
  <si>
    <t>Current Liabilities</t>
  </si>
  <si>
    <t>Total Liabilities</t>
  </si>
  <si>
    <t>TOTAL EQUITY + LIABILITIES</t>
  </si>
  <si>
    <t xml:space="preserve">  Balance Check (Assets - E&amp;L)</t>
  </si>
  <si>
    <t>Jeena Sikho Lifecare Ltd. — Cash Flow Statement (₹ Crores)</t>
  </si>
  <si>
    <t>CASH FROM OPERATIONS</t>
  </si>
  <si>
    <t>Net Profit (PAT)</t>
  </si>
  <si>
    <t>(+) Depreciation &amp; Amortization</t>
  </si>
  <si>
    <t>(-) Changes in Working Capital</t>
  </si>
  <si>
    <t>Operating Cash Flow (CFO)</t>
  </si>
  <si>
    <t>CASH FROM INVESTING</t>
  </si>
  <si>
    <t>Capital Expenditure</t>
  </si>
  <si>
    <t>Free Cash Flow (FCF)</t>
  </si>
  <si>
    <t>CASH FROM FINANCING</t>
  </si>
  <si>
    <t>Dividends Paid</t>
  </si>
  <si>
    <t>Net Borrowings / (Repayment)</t>
  </si>
  <si>
    <t>Net Change in Cash</t>
  </si>
  <si>
    <t>Jeena Sikho Lifecare Ltd. — Key Metrics &amp; Ratios</t>
  </si>
  <si>
    <t>Metric</t>
  </si>
  <si>
    <t>PROFITABILITY RATIOS</t>
  </si>
  <si>
    <t>Revenue Growth YoY</t>
  </si>
  <si>
    <t>Gross Margin</t>
  </si>
  <si>
    <t>EBITDA Margin</t>
  </si>
  <si>
    <t>PAT Margin</t>
  </si>
  <si>
    <t>ROE</t>
  </si>
  <si>
    <t>ROCE</t>
  </si>
  <si>
    <t>OPERATIONAL KPIs</t>
  </si>
  <si>
    <t>Operational Beds (approx.)</t>
  </si>
  <si>
    <t>Hospitals</t>
  </si>
  <si>
    <t>Clinics / Daycare Centers</t>
  </si>
  <si>
    <t>Revenue per Bed (₹ Lakhs)</t>
  </si>
  <si>
    <t>CASH FLOW METRICS</t>
  </si>
  <si>
    <t>Operating Cash Flow</t>
  </si>
  <si>
    <t>Free Cash Flow</t>
  </si>
  <si>
    <t>FCF / PAT Conversion</t>
  </si>
  <si>
    <t>BALANCE SHEET &amp; LEVERAGE</t>
  </si>
  <si>
    <t>Total Assets</t>
  </si>
  <si>
    <t>Net Cash / (Debt)</t>
  </si>
  <si>
    <t>Debt / Equity</t>
  </si>
  <si>
    <t>Asset Turnover</t>
  </si>
  <si>
    <t>GROWTH METRICS (CAGR)</t>
  </si>
  <si>
    <t>BALANCE SHEET &amp; CASH FLOW ASSUMPTIONS</t>
  </si>
  <si>
    <t>Retained Earnings</t>
  </si>
  <si>
    <t>PAT Retention %</t>
  </si>
  <si>
    <t>OPERATIONAL &amp; EXPANSION ASSUMPTIONS</t>
  </si>
  <si>
    <t>International</t>
  </si>
  <si>
    <t>Geographies</t>
  </si>
  <si>
    <t>UAE, Nepal, Kazakhstan, US</t>
  </si>
  <si>
    <t>Jeena Sikho Lifecare Ltd. — DCF Valuation (₹ Crores)</t>
  </si>
  <si>
    <t>WACC CALCULATION</t>
  </si>
  <si>
    <t>Source / Rationale</t>
  </si>
  <si>
    <t>Risk-Free Rate (Rf)</t>
  </si>
  <si>
    <t>India 10-Yr G-Sec yield (~6.7%, Feb 2026)</t>
  </si>
  <si>
    <t>Beta (β)</t>
  </si>
  <si>
    <t>Equity Risk Premium (ERP)</t>
  </si>
  <si>
    <t>Cost of Equity (Ke)</t>
  </si>
  <si>
    <t>CAPM: Ke = Rf + β × ERP</t>
  </si>
  <si>
    <t>Cost of Debt (Kd)</t>
  </si>
  <si>
    <t>Small-cap Ayurveda co.; conservative estimate</t>
  </si>
  <si>
    <t>Tax Rate</t>
  </si>
  <si>
    <t>Indian corporate tax rate (new regime)</t>
  </si>
  <si>
    <t>Equity Weight (E/V)</t>
  </si>
  <si>
    <t>Debt Weight (D/V)</t>
  </si>
  <si>
    <t>D/V = 1 - E/V</t>
  </si>
  <si>
    <t>WACC</t>
  </si>
  <si>
    <t>WACC = (E/V × Ke) + (D/V × Kd × (1-T))</t>
  </si>
  <si>
    <t>FREE CASH FLOW PROJECTIONS</t>
  </si>
  <si>
    <t>Terminal</t>
  </si>
  <si>
    <t>Revenue</t>
  </si>
  <si>
    <t>(-) Capital Expenditure</t>
  </si>
  <si>
    <t>Discount Period</t>
  </si>
  <si>
    <t>Discount Factor</t>
  </si>
  <si>
    <t>PV of FCF</t>
  </si>
  <si>
    <t>TERMINAL VALUE</t>
  </si>
  <si>
    <t>Terminal Growth Rate (g)</t>
  </si>
  <si>
    <t>India long-term nominal GDP growth (~6-7%); conservative</t>
  </si>
  <si>
    <t>Terminal Year FCF (FY31E)</t>
  </si>
  <si>
    <t>From FCF projections above</t>
  </si>
  <si>
    <t>Method 1: Gordon Growth Model</t>
  </si>
  <si>
    <t>Terminal Value (GGM)</t>
  </si>
  <si>
    <t>TV = FCF × (1+g) / (WACC - g)</t>
  </si>
  <si>
    <t>PV of Terminal Value (GGM)</t>
  </si>
  <si>
    <t>Discounted at WACC for 6 years</t>
  </si>
  <si>
    <t>Terminal Year EBITDA (FY31E)</t>
  </si>
  <si>
    <t>From Income Statement</t>
  </si>
  <si>
    <t>Exit EV/EBITDA Multiple</t>
  </si>
  <si>
    <t>Healthcare services avg; premium for Ayurveda niche</t>
  </si>
  <si>
    <t>VALUATION SUMMARY</t>
  </si>
  <si>
    <t>PV of Projected FCF (FY26E-FY31E)</t>
  </si>
  <si>
    <t>(+) PV of Terminal Value</t>
  </si>
  <si>
    <t>Enterprise Value (EV)</t>
  </si>
  <si>
    <t>(+) Cash &amp; Equivalents (FY25)</t>
  </si>
  <si>
    <t>Net Debt (Debt - Cash)</t>
  </si>
  <si>
    <t>Equity Value (EV - Net Debt)</t>
  </si>
  <si>
    <t>Shares Outstanding (Cr)</t>
  </si>
  <si>
    <t>Current Market Price (₹)</t>
  </si>
  <si>
    <t>Upside / (Downside) vs CMP</t>
  </si>
  <si>
    <t>SENSITIVITY ANALYSIS — Implied Share Price (₹) [GGM Method]</t>
  </si>
  <si>
    <t>WACC \ Terminal Growth</t>
  </si>
  <si>
    <t>VALUATION COMPOSITION (GGM Method)</t>
  </si>
  <si>
    <t>PV of Terminal Value</t>
  </si>
  <si>
    <t>Enterprise Value</t>
  </si>
  <si>
    <t>Implied EV/EBITDA (FY26E)</t>
  </si>
  <si>
    <t>GGM-implied forward multiple</t>
  </si>
  <si>
    <t>KEY NOTES &amp; DISCLAIMER</t>
  </si>
  <si>
    <t>6. This model is for educational/analytical purposes only. Not investment advice. Actual results may vary materially from projections.</t>
  </si>
  <si>
    <t>DCF VALUATION ASSUMPTIONS</t>
  </si>
  <si>
    <t>Rate</t>
  </si>
  <si>
    <t>Multiple</t>
  </si>
  <si>
    <t>Weight</t>
  </si>
  <si>
    <t>15.0x</t>
  </si>
  <si>
    <t>FY32E</t>
  </si>
  <si>
    <t>FY33E</t>
  </si>
  <si>
    <t>FY34E</t>
  </si>
  <si>
    <t>FY35E</t>
  </si>
  <si>
    <t>FY36E</t>
  </si>
  <si>
    <t>YoY Growth Rate</t>
  </si>
  <si>
    <t>Implied Revenue (₹ Cr)</t>
  </si>
  <si>
    <t>Revenue Mix</t>
  </si>
  <si>
    <t>Hospital : OTC : Intl</t>
  </si>
  <si>
    <t>% of Revenue</t>
  </si>
  <si>
    <t>₹ Cr</t>
  </si>
  <si>
    <t>Finance Cost</t>
  </si>
  <si>
    <t>Capex</t>
  </si>
  <si>
    <t>₹ Cr (negative)</t>
  </si>
  <si>
    <t>Working Capital</t>
  </si>
  <si>
    <t>Δ WC (₹ Cr)</t>
  </si>
  <si>
    <t>Dividend</t>
  </si>
  <si>
    <t>Payout %</t>
  </si>
  <si>
    <t>PP&amp;E Net Addition</t>
  </si>
  <si>
    <t>ROU &amp; Intangibles</t>
  </si>
  <si>
    <t>Other NCA</t>
  </si>
  <si>
    <t>Inventories &amp; Other CA</t>
  </si>
  <si>
    <t>Beds</t>
  </si>
  <si>
    <t>Operational Beds</t>
  </si>
  <si>
    <t>Count</t>
  </si>
  <si>
    <t>Clinics / Daycare</t>
  </si>
  <si>
    <t>Revenue / Bed</t>
  </si>
  <si>
    <t>₹ Lakhs</t>
  </si>
  <si>
    <t>REFERENCE ASSUMPTIONS</t>
  </si>
  <si>
    <t>FY26E Revenue Guidance (₹ Cr)</t>
  </si>
  <si>
    <t>Current Operational Beds (FY25)</t>
  </si>
  <si>
    <t>UAE, Nepal, KZ, US</t>
  </si>
  <si>
    <t>Capital Structure</t>
  </si>
  <si>
    <t>Revenue 10-Yr CAGR (FY26E-FY36E)</t>
  </si>
  <si>
    <t>Jeena Sikho Lifecare Ltd. — Comparable Company Analysis (₹ Crores)</t>
  </si>
  <si>
    <t>SECTION A: LISTED COMPARABLE COMPANIES</t>
  </si>
  <si>
    <t>Listing Status</t>
  </si>
  <si>
    <t>Business Model</t>
  </si>
  <si>
    <t>Revenue
(₹ Cr)</t>
  </si>
  <si>
    <t>EBITDA
(₹ Cr)</t>
  </si>
  <si>
    <t>EBITDA
Margin %</t>
  </si>
  <si>
    <t>PAT
(₹ Cr)</t>
  </si>
  <si>
    <t>PAT
Margin %</t>
  </si>
  <si>
    <t>Market Cap
(₹ Cr)</t>
  </si>
  <si>
    <t>EV/Revenue</t>
  </si>
  <si>
    <t>EV/EBITDA</t>
  </si>
  <si>
    <t>P/E</t>
  </si>
  <si>
    <t>Revenue
Growth %</t>
  </si>
  <si>
    <t>ROE %</t>
  </si>
  <si>
    <t>Jeena Sikho Lifecare (JSLL)</t>
  </si>
  <si>
    <t>NSE SME</t>
  </si>
  <si>
    <t>Ayurveda Hospitals + Products</t>
  </si>
  <si>
    <t>Kerala Ayurveda Ltd (KERALAYUR)</t>
  </si>
  <si>
    <t>BSE Listed</t>
  </si>
  <si>
    <t>Ayurveda Products + Hospitals + Wellness</t>
  </si>
  <si>
    <t>NM</t>
  </si>
  <si>
    <t>KRM Ayurveda Ltd (KRMAYURVED)</t>
  </si>
  <si>
    <t>Ayurveda Hospitals + Clinics + Telemedicine</t>
  </si>
  <si>
    <t>Dabur India Ltd (DABUR)</t>
  </si>
  <si>
    <t>NSE/BSE</t>
  </si>
  <si>
    <t>Ayurveda FMCG + Healthcare (Large-cap)</t>
  </si>
  <si>
    <t>LISTED COMPS SUMMARY (excl. JSLL)</t>
  </si>
  <si>
    <t>Mean (Profitable Comps Only)</t>
  </si>
  <si>
    <t>Median (Profitable Comps Only)</t>
  </si>
  <si>
    <t>JSLL Premium / (Discount) vs Listed Peers</t>
  </si>
  <si>
    <t>SECTION B: UNLISTED COMPARABLE COMPANIES</t>
  </si>
  <si>
    <t>EBITDA
(₹ Cr, est.)</t>
  </si>
  <si>
    <t>PAT
(₹ Cr, est.)</t>
  </si>
  <si>
    <t>Est. EV
(₹ Cr)</t>
  </si>
  <si>
    <t>Founded</t>
  </si>
  <si>
    <t>Notes</t>
  </si>
  <si>
    <t>Arya Vaidya Pharmacy (AVP), Coimbatore</t>
  </si>
  <si>
    <t>Unlisted Public</t>
  </si>
  <si>
    <t>Ayurveda Mfg + Hospitals + Products</t>
  </si>
  <si>
    <t>N/A</t>
  </si>
  <si>
    <t>CRISIL BB/Stable; operating losses in FY23; recovery underway. Phi Capital invested.</t>
  </si>
  <si>
    <t>Aimil Pharmaceuticals India Ltd</t>
  </si>
  <si>
    <t>Ayurveda Pharma Mfg + Ethical Marketing</t>
  </si>
  <si>
    <t>2nd rank in AYUSH pharma market; 2,080 employees; CSIR/DRDO collaborations. Revenue ₹583 Cr FY25 (group).</t>
  </si>
  <si>
    <t>Kottakkal Arya Vaidya Sala</t>
  </si>
  <si>
    <t>Charitable Trust</t>
  </si>
  <si>
    <t>Classical Ayurveda Mfg + Hospitals</t>
  </si>
  <si>
    <t>Charitable trust; 300+ classical formulations; exports to 30+ countries. No profit motive.</t>
  </si>
  <si>
    <t>Baidyanath Group</t>
  </si>
  <si>
    <t>Private</t>
  </si>
  <si>
    <t>Ayurveda FMCG + Pharma Mfg</t>
  </si>
  <si>
    <t>700+ products; 2,500+ employees; exports to 20+ countries. Heritage brand 100+ years.</t>
  </si>
  <si>
    <t>Himalaya Wellness Company</t>
  </si>
  <si>
    <t>Ayurveda FMCG + Personal Care + Pharma</t>
  </si>
  <si>
    <t>500+ products; presence in 100+ countries; science-backed herbal formulations.</t>
  </si>
  <si>
    <t>SECTION C: JSLL VALUATION BENCHMARKING — IMPLIED EQUITY VALUE RANGE</t>
  </si>
  <si>
    <t>Valuation Method</t>
  </si>
  <si>
    <t>JSLL Metric
(FY25)</t>
  </si>
  <si>
    <t>Peer Multiple
(Mean)</t>
  </si>
  <si>
    <t>Implied EV
(₹ Cr)</t>
  </si>
  <si>
    <t>(-) Net Debt
(₹ Cr)</t>
  </si>
  <si>
    <t>Implied Equity
(₹ Cr)</t>
  </si>
  <si>
    <t>Implied Price
(₹/share)</t>
  </si>
  <si>
    <t>EV/Revenue (Peer Mean)</t>
  </si>
  <si>
    <t>EV/EBITDA (Peer Mean)</t>
  </si>
  <si>
    <t>P/E (Peer Mean)</t>
  </si>
  <si>
    <t>N/A (Direct)</t>
  </si>
  <si>
    <t>Current Market Valuation</t>
  </si>
  <si>
    <t>SECTION D: FORWARD VALUATION (FY26E) — USING PROJECTED FINANCIALS</t>
  </si>
  <si>
    <t>Forward Metric</t>
  </si>
  <si>
    <t>JSLL FY26E</t>
  </si>
  <si>
    <t>Applied
Multiple</t>
  </si>
  <si>
    <t>(-) Net Debt FY25
(₹ Cr)</t>
  </si>
  <si>
    <t>FY26E Revenue (₹750 Cr)</t>
  </si>
  <si>
    <t>FY26E EBITDA (₹337.5 Cr)</t>
  </si>
  <si>
    <t>FY26E PAT (₹220.5 Cr)</t>
  </si>
  <si>
    <t>Current Market Price</t>
  </si>
  <si>
    <t>SECTION E: QUALITATIVE COMPARISON &amp; KEY OBSERVATIONS</t>
  </si>
  <si>
    <t>JSLL</t>
  </si>
  <si>
    <t>Listed Peers</t>
  </si>
  <si>
    <t>Unlisted Peers</t>
  </si>
  <si>
    <t>Revenue Scale (FY25)</t>
  </si>
  <si>
    <t>₹469 Cr (Largest in Ayurveda hospitals)</t>
  </si>
  <si>
    <t>₹77-128 Cr (KRM, Kerala Ayurveda)</t>
  </si>
  <si>
    <t>₹93-3,000 Cr (varies widely)</t>
  </si>
  <si>
    <t>45% YoY (FY25); 60% guided FY26</t>
  </si>
  <si>
    <t>14-27% (KRM, Kerala Ayurveda)</t>
  </si>
  <si>
    <t>3-12% (mature, slower growth)</t>
  </si>
  <si>
    <t>28.6% (FY25); 45% targeted FY26</t>
  </si>
  <si>
    <t>Negative to 24% (mixed)</t>
  </si>
  <si>
    <t>4-15% (product-focused, lower)</t>
  </si>
  <si>
    <t>Hospital-led + Products (Shuddhi)</t>
  </si>
  <si>
    <t>Hospital + Products (KRM); Products (KAL)</t>
  </si>
  <si>
    <t>Predominantly product/mfg-led</t>
  </si>
  <si>
    <t>Network Scale</t>
  </si>
  <si>
    <t>36 Hospitals, 74 Clinics, 2,050 beds</t>
  </si>
  <si>
    <t>6 Hospitals, 5 Clinics (KRM)</t>
  </si>
  <si>
    <t>Limited hospitals; primarily retail/pharma</t>
  </si>
  <si>
    <t>Geographic Reach</t>
  </si>
  <si>
    <t>21 states, 100+ cities</t>
  </si>
  <si>
    <t>Delhi-NCR focused (KRM); Kerala (KAL)</t>
  </si>
  <si>
    <t>Pan-India (Aimil, Baidyanath)</t>
  </si>
  <si>
    <t>Competitive Moat</t>
  </si>
  <si>
    <t>Largest Ayurveda hospital network; Acharya Manish brand</t>
  </si>
  <si>
    <t>Niche specialization; heritage brands</t>
  </si>
  <si>
    <t>Legacy brands; classical formulations</t>
  </si>
  <si>
    <t>Key Risk</t>
  </si>
  <si>
    <t>High valuation multiples; execution risk on growth</t>
  </si>
  <si>
    <t>Small scale; profitability challenges</t>
  </si>
  <si>
    <t>No market-based valuation; limited transparency</t>
  </si>
  <si>
    <t>SECTION F: VALUATION SUMMARY &amp; CONCLUSION</t>
  </si>
  <si>
    <t>Valuation Approach</t>
  </si>
  <si>
    <t>Implied Equity (₹ Cr)</t>
  </si>
  <si>
    <t>Implied Price/Share (₹)</t>
  </si>
  <si>
    <t>vs CMP (₹616)</t>
  </si>
  <si>
    <t>Trailing Comps: EV/Revenue (FY25)</t>
  </si>
  <si>
    <t>Trailing Comps: EV/EBITDA (FY25)</t>
  </si>
  <si>
    <t>Trailing Comps: P/E (FY25)</t>
  </si>
  <si>
    <t>Forward Comps: EV/Revenue (FY26E)</t>
  </si>
  <si>
    <t>Forward Comps: EV/EBITDA (FY26E @ 20x)</t>
  </si>
  <si>
    <t>Forward Comps: P/E (FY26E @ 35x)</t>
  </si>
  <si>
    <t>KEY NOTES &amp; OBSERVATIONS:</t>
  </si>
  <si>
    <t>1. JSLL trades at a SIGNIFICANT PREMIUM to listed Ayurveda peers on trailing multiples — EV/Revenue of 16.2x vs peer mean of 6.6x, and EV/EBITDA of 56.8x vs 29.6x.</t>
  </si>
  <si>
    <t>2. The premium is partially justified by JSLL's MUCH HIGHER GROWTH (45% FY25 vs 10-14% peers), superior EBITDA margins (28.6% vs 22.6% peer mean), and unique hospital-led model.</t>
  </si>
  <si>
    <t>3. On FORWARD (FY26E) multiples using projected ₹750 Cr revenue and ₹337.5 Cr EBITDA, the valuation appears more reasonable — the CMP roughly aligns with a forward P/E of ~35x on FY26E PAT.</t>
  </si>
  <si>
    <t>4. UNLISTED PEERS are predominantly product/manufacturing-focused with lower margins (4-15% EBITDA) and slower growth (3-12%). They lack hospital networks, making direct comparison difficult.</t>
  </si>
  <si>
    <t>5. JSLL has NO DIRECT LISTED COMPARABLE of similar scale in Ayurveda hospitals. KRM Ayurveda (₹77 Cr) is 6x smaller; Kerala Ayurveda (₹128 Cr) is loss-making.</t>
  </si>
  <si>
    <t>6. The comps analysis suggests the market is pricing JSLL for significant future growth. If FY26E targets are met, the current valuation would be more in line with fast-growth healthcare multiples.</t>
  </si>
  <si>
    <t>7. Unlisted companies (AVP, Aimil, Baidyanath, Himalaya, Kottakkal) would likely trade at substantial DISCOUNTS to JSLL given lower growth profiles, lower margins, and product-heavy models.</t>
  </si>
  <si>
    <t>DISCLAIMER: Data sourced from Screener.in, Tracxn, ICICI Direct, StockAnalysis, industry reports &amp; company filings. Unlisted estimates are approximate. Not investment advice.</t>
  </si>
  <si>
    <t>70 : 27 : 3</t>
  </si>
  <si>
    <t>65 : 28 : 7</t>
  </si>
  <si>
    <t>58 : 32 : 10</t>
  </si>
  <si>
    <t>52 : 33 : 15</t>
  </si>
  <si>
    <t>48 : 34 : 18</t>
  </si>
  <si>
    <t>45 : 33 : 22</t>
  </si>
  <si>
    <t>44 : 32 : 24</t>
  </si>
  <si>
    <t>44 : 31 : 25</t>
  </si>
  <si>
    <t>44 : 30 : 26</t>
  </si>
  <si>
    <t>Jeena Sikho Lifecare Ltd. — Management: Walk the Talk</t>
  </si>
  <si>
    <t>Tracking management guidance &amp; targets vs. actual delivery and model projections</t>
  </si>
  <si>
    <t>FY26 REVENUE GUIDANCE TRACKER (₹ Crores)</t>
  </si>
  <si>
    <t>Guidance</t>
  </si>
  <si>
    <t>Q1 FY26</t>
  </si>
  <si>
    <t>Q2 FY26</t>
  </si>
  <si>
    <t>Q3 FY26</t>
  </si>
  <si>
    <t>9M FY26</t>
  </si>
  <si>
    <t>Q4E (Implied)</t>
  </si>
  <si>
    <t>YoY Revenue Growth</t>
  </si>
  <si>
    <t>9M as % of Full-Year Guidance</t>
  </si>
  <si>
    <t>Status</t>
  </si>
  <si>
    <t>45%+ guided</t>
  </si>
  <si>
    <t>PAT</t>
  </si>
  <si>
    <t>CAPACITY EXPANSION SCORECARD</t>
  </si>
  <si>
    <t>Mgmt Target</t>
  </si>
  <si>
    <t>Timeline</t>
  </si>
  <si>
    <t>FY25 (Base)</t>
  </si>
  <si>
    <t>FY26E (Model)</t>
  </si>
  <si>
    <t>Status / Commentary</t>
  </si>
  <si>
    <t>7,000 - 10,000</t>
  </si>
  <si>
    <t>3-5 Years</t>
  </si>
  <si>
    <t>Rapid expansion</t>
  </si>
  <si>
    <t>Ongoing</t>
  </si>
  <si>
    <t>Aggressive scaling</t>
  </si>
  <si>
    <t>Super Specialty Clinic Day Care Centers launching</t>
  </si>
  <si>
    <t>Revenue / Bed (₹ Lakhs)</t>
  </si>
  <si>
    <t>STRATEGIC INITIATIVES TRACKER</t>
  </si>
  <si>
    <t>Initiative</t>
  </si>
  <si>
    <t>Mgmt Target / Guidance</t>
  </si>
  <si>
    <t>Current Status (as of Q3 FY26)</t>
  </si>
  <si>
    <t>Model Assumption</t>
  </si>
  <si>
    <t>Progress Assessment</t>
  </si>
  <si>
    <t>Risk Flag</t>
  </si>
  <si>
    <t>OTC Revenue Scale-up</t>
  </si>
  <si>
    <t>₹500 Cr OTC revenue</t>
  </si>
  <si>
    <t>2 years (by ~FY28)</t>
  </si>
  <si>
    <t>Entero partnership (1.25L stores) signed; OTC currently ~27% of revenue mix</t>
  </si>
  <si>
    <t>OTC reaches 32% of ₹1,501 Cr = ~₹480 Cr by FY28</t>
  </si>
  <si>
    <t>⏳ Early Stage — Partnership just signed</t>
  </si>
  <si>
    <t>Medium — Execution risk on retail distribution</t>
  </si>
  <si>
    <t>International Expansion</t>
  </si>
  <si>
    <t>Ongoing / 3-5 years</t>
  </si>
  <si>
    <t>UAE: 2 daycare centers live + 4 under construction; Nepal operational; Kazakhstan commenced; US: FDA Ayurveda approval in progress</t>
  </si>
  <si>
    <t>Intl reaches 10% of revenue by FY28</t>
  </si>
  <si>
    <t>⏳ Early Stage — UAE and Nepal live, others nascent</t>
  </si>
  <si>
    <t>High — Regulatory &amp; cultural barriers in new markets</t>
  </si>
  <si>
    <t>PAT ₹1,000 Cr Target</t>
  </si>
  <si>
    <t>₹1,000 Cr PAT</t>
  </si>
  <si>
    <t>3-4 years (by ~FY29-30)</t>
  </si>
  <si>
    <t>9M FY26 PAT: ₹176.8 Cr; Run-rate ~₹235 Cr annualized</t>
  </si>
  <si>
    <t>⏳ Tracking — Requires ~4x growth from current run-rate</t>
  </si>
  <si>
    <t>Medium — Depends on margin sustainability at scale</t>
  </si>
  <si>
    <t>#1 Ayurveda Company Globally</t>
  </si>
  <si>
    <t>Market leadership in India, Asia &amp; globally</t>
  </si>
  <si>
    <t>Long-term vision</t>
  </si>
  <si>
    <t>Largest NABH-accredited Ayurveda hospital network in India; 40+ hospitals, 80+ clinics</t>
  </si>
  <si>
    <t>Revenue CAGR ~24% over FY26-36E</t>
  </si>
  <si>
    <t>⏳ Progressing — Dominant in niche, but global presence still nascent</t>
  </si>
  <si>
    <t>Low-Med — Niche dominance already strong</t>
  </si>
  <si>
    <t>Shift from Govt to Private</t>
  </si>
  <si>
    <t>Reduce govt panel dependency; focus on private &amp; insurance</t>
  </si>
  <si>
    <t>Strategic shift towards private segment with superior margins; Jeena Sikho Health Card launched for patient retention</t>
  </si>
  <si>
    <t>Hospital share declining from 70% → 44% by FY32+</t>
  </si>
  <si>
    <t>✅ Executing — Margin improvement reflects this shift</t>
  </si>
  <si>
    <t>Low — Positive margin accretive</t>
  </si>
  <si>
    <t>Product Launches &amp; Diversification</t>
  </si>
  <si>
    <t>16 products in FY26; 6-8 launches in near term</t>
  </si>
  <si>
    <t>FY26</t>
  </si>
  <si>
    <t>New launches: Pet Yakrit Pleeha Shuddhi Kit, NutriRoz, + 8 food supplements; Shuddhi Dr. Madhumeh in clinical trial</t>
  </si>
  <si>
    <t>Product diversity supports OTC growth</t>
  </si>
  <si>
    <t>✅ On Track — Multiple launches completed</t>
  </si>
  <si>
    <t>Low — Pipeline looks robust</t>
  </si>
  <si>
    <t>Diagnostics (Chandan Partnership)</t>
  </si>
  <si>
    <t>₹3L/day → ₹5L/day from 34 centers; Chandan bears capex</t>
  </si>
  <si>
    <t>Near-term scaling</t>
  </si>
  <si>
    <t>34 diagnostic centers operational; ₹3L/day contribution</t>
  </si>
  <si>
    <t>Asset-light revenue stream embedded in Other Income growth</t>
  </si>
  <si>
    <t>✅ Executing — Zero-capex model validated</t>
  </si>
  <si>
    <t>Low — Chandan bears investment</t>
  </si>
  <si>
    <t>GUIDANCE vs. MODEL PROJECTIONS — PAT ₹1,000 Cr TARGET PATH</t>
  </si>
  <si>
    <t>FY25 (Actual)</t>
  </si>
  <si>
    <t>Target Year?</t>
  </si>
  <si>
    <t>Revenue (₹ Cr)</t>
  </si>
  <si>
    <t>PAT (₹ Cr)</t>
  </si>
  <si>
    <t>OVERALL VERDICT: MANAGEMENT CREDIBILITY ASSESSMENT</t>
  </si>
  <si>
    <t>Guidance Area</t>
  </si>
  <si>
    <t>Assessment</t>
  </si>
  <si>
    <t>Confidence</t>
  </si>
  <si>
    <t>Key Evidence</t>
  </si>
  <si>
    <t>FY26 Revenue ₹750 Cr</t>
  </si>
  <si>
    <t>High</t>
  </si>
  <si>
    <t>9M FY26 at ₹586 Cr (78%); Q4 needs only ₹164 Cr vs Q3 run-rate of ₹222 Cr</t>
  </si>
  <si>
    <t>EBITDA Margin 45%+</t>
  </si>
  <si>
    <t>✅ Delivered &amp; Sustaining</t>
  </si>
  <si>
    <t>Q1: 45%, Q2: 48%, Q3: 45%; 9M avg ~46% — exceeding FY25's 29%</t>
  </si>
  <si>
    <t>Bed Expansion 7K-10K</t>
  </si>
  <si>
    <t>⏳ On Track (Early)</t>
  </si>
  <si>
    <t>Medium</t>
  </si>
  <si>
    <t>FY25: 2,290 beds → FY26E: 2,800; Adding ~500/yr; 7K needs acceleration</t>
  </si>
  <si>
    <t>OTC ₹500 Cr in 2 Years</t>
  </si>
  <si>
    <t>⏳ Ambitious — Watch Closely</t>
  </si>
  <si>
    <t>Medium-Low</t>
  </si>
  <si>
    <t>Entero partnership signed; Current OTC ~₹126 Cr (9M); 4x growth in 2 years is aggressive</t>
  </si>
  <si>
    <t>PAT ₹1,000 Cr in 3-4 Yrs</t>
  </si>
  <si>
    <t>⏳ Achievable per Model</t>
  </si>
  <si>
    <t>⏳ Very Early Stage</t>
  </si>
  <si>
    <t>Low-Medium</t>
  </si>
  <si>
    <t>UAE 2 centers live; Nepal operational; US FDA process barely started</t>
  </si>
  <si>
    <t>#1 Ayurveda Globally</t>
  </si>
  <si>
    <t>🏗️ Long-term Aspirational</t>
  </si>
  <si>
    <t>India dominance building; global leadership is a decade+ journey</t>
  </si>
  <si>
    <t>FY26E PAT: ~₹221 Cr; Model shows ₹815 Cr by FY30E; crosses ₹1,000 Cr in FY31E (~₹1,011 Cr)</t>
  </si>
  <si>
    <t>✅ Highly Likely to Meet/Beat</t>
  </si>
  <si>
    <t>Healthcare sector β ~0.5-0.7; adjusted up for small-cap, discretionary wellness, growth risk</t>
  </si>
  <si>
    <t>Damodaran India ERP ~7.5% (Jan 2026); US implied ERP 4.23% + India country risk premium</t>
  </si>
  <si>
    <t>D/E</t>
  </si>
  <si>
    <t>Market Cap / (Market Cap + Debt at Book); CMP × Shares = Mkt Cap</t>
  </si>
  <si>
    <t>Exit Multiple Inputs (for Return Analysis below)</t>
  </si>
  <si>
    <t>DCF (GGM)</t>
  </si>
  <si>
    <t>DCF Intrinsic Value per Share (₹)</t>
  </si>
  <si>
    <t>EXIT MULTIPLE ANALYSIS — Investment Return Potential</t>
  </si>
  <si>
    <t>This section estimates the FUTURE share price at exit year (FY36E) and calculates the implied investment CAGR.</t>
  </si>
  <si>
    <t>Unlike DCF (which gives today’s intrinsic value), this gives the price the stock COULD trade at in 11 years. These are NOT comparable.</t>
  </si>
  <si>
    <t>Terminal Year EBITDA (FY36E)</t>
  </si>
  <si>
    <t>From Income Statement projections</t>
  </si>
  <si>
    <t>Assumed exit multiple (hardcoded scenario input)</t>
  </si>
  <si>
    <t>Future Enterprise Value at FY36E (₹ Cr)</t>
  </si>
  <si>
    <t>(-) Projected Net Debt at FY36E (₹ Cr)</t>
  </si>
  <si>
    <t>NCL(FY36E) - Cash(FY36E) from Balance Sheet</t>
  </si>
  <si>
    <t>Future Equity Value at FY36E (₹ Cr)</t>
  </si>
  <si>
    <t>Future Price per Share at FY36E (₹)</t>
  </si>
  <si>
    <t>FUTURE price — NOT today's value!</t>
  </si>
  <si>
    <t>Today's entry price</t>
  </si>
  <si>
    <t>Investment Horizon (Years)</t>
  </si>
  <si>
    <t>FY26E to FY36E = 11 years</t>
  </si>
  <si>
    <t>Implied Investment CAGR (%)</t>
  </si>
  <si>
    <t>Total Return Multiple</t>
  </si>
  <si>
    <t>Money multiple over 11 years</t>
  </si>
  <si>
    <t>1. DCF (GGM) gives TODAY’s intrinsic value per share via present value of all future cash flows. This is the primary valuation method.</t>
  </si>
  <si>
    <t>2. Exit Multiple Analysis gives a FUTURE price estimate at FY36E. It is NOT a present value and should NOT be averaged/blended with DCF. It is useful for calculating potential investment returns (CAGR/IRR).</t>
  </si>
  <si>
    <t>3. WACC of 14.1% reflects beta of 1.0 for small-cap, high-growth Ayurveda healthcare company. Terminal growth rate of 4.0% is conservative vs India nominal GDP (~6-7%).</t>
  </si>
  <si>
    <t>4. Exit Multiple of 15x EV/EBITDA is a hardcoded scenario assumption, NOT derived from the Comps Analysis sheet. See Comps sheet for actual peer multiples.</t>
  </si>
  <si>
    <t>5. Debt of ₹106 Cr (Screener.in, Mar 2026, D/E=0.30) includes lease liabilities (Ind AS 116) + borrowings. Cash ₹120 Cr = Net Cash ₹14 Cr.</t>
  </si>
  <si>
    <t>(-) Total Debt (Latest, Mar 2026)</t>
  </si>
  <si>
    <t>EBITDA(FY36E) x Exit Multiple</t>
  </si>
  <si>
    <t>Future EV - Future Net Debt</t>
  </si>
  <si>
    <t>(Future Price / CMP)^(1/Years) - 1</t>
  </si>
  <si>
    <t>Future EV at Exit (FY36E)</t>
  </si>
  <si>
    <t>FUTURE EV = EBITDA(FY36E) x Exit Multiple. NOT a present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</si>
</sst>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.0;\(#,##0.0\);\-"/>
    <numFmt numFmtId="167" formatCode="0.000"/>
    <numFmt numFmtId="168" formatCode="0.0\x"/>
    <numFmt numFmtId="169" formatCode="\₹#,##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1B5E20"/>
      <name val="Calibri"/>
      <family val="2"/>
    </font>
    <font>
      <b/>
      <sz val="10"/>
      <color theme="1"/>
      <name val="Calibri"/>
      <family val="2"/>
    </font>
    <font>
      <b/>
      <sz val="10"/>
      <color rgb="FF0000FF"/>
      <name val="Calibri"/>
      <family val="2"/>
    </font>
    <font>
      <i/>
      <sz val="9"/>
      <color rgb="FF666666"/>
      <name val="Calibri"/>
      <family val="2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10"/>
      <color rgb="FF666666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666666"/>
      <name val="Calibri"/>
      <family val="2"/>
    </font>
    <font>
      <b/>
      <sz val="10"/>
      <color rgb="FF000000"/>
      <name val="Calibri"/>
      <family val="2"/>
    </font>
    <font>
      <b/>
      <i/>
      <sz val="10"/>
      <color rgb="FF1B5E20"/>
      <name val="Calibri"/>
      <family val="2"/>
    </font>
    <font>
      <b/>
      <sz val="9"/>
      <color rgb="FFFF0000"/>
      <name val="Calibri"/>
      <family val="2"/>
    </font>
    <font>
      <sz val="9"/>
      <color rgb="FF333333"/>
      <name val="Calibri"/>
      <family val="2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sz val="10"/>
      <color rgb="FF008000"/>
      <name val="Calibri"/>
      <family val="2"/>
    </font>
    <font>
      <b/>
      <sz val="13"/>
      <color rgb="FF1B5E20"/>
      <name val="Calibri"/>
      <family val="2"/>
    </font>
    <font>
      <i/>
      <sz val="8"/>
      <color rgb="FF388E3C"/>
      <name val="Calibri"/>
      <family val="2"/>
      <scheme val="minor"/>
    </font>
    <font>
      <b/>
      <i/>
      <sz val="8"/>
      <color rgb="FF388E3C"/>
      <name val="Calibri"/>
      <family val="2"/>
    </font>
    <font>
      <i/>
      <sz val="9"/>
      <color rgb="FF0000FF"/>
      <name val="Calibri"/>
      <family val="2"/>
    </font>
    <font>
      <i/>
      <sz val="9"/>
      <color rgb="FF000000"/>
      <name val="Calibri"/>
      <family val="2"/>
    </font>
    <font>
      <b/>
      <sz val="10"/>
      <color rgb="FF1B5E2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B5E20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C8E6C9"/>
        <bgColor indexed="64"/>
      </patternFill>
    </fill>
    <fill>
      <patternFill patternType="solid">
        <fgColor rgb="FFF1F8E9"/>
        <bgColor indexed="64"/>
      </patternFill>
    </fill>
    <fill>
      <patternFill patternType="solid">
        <fgColor rgb="FF2E7D32"/>
        <bgColor indexed="64"/>
      </patternFill>
    </fill>
    <fill>
      <patternFill patternType="solid">
        <fgColor rgb="FF388E3C"/>
        <bgColor indexed="64"/>
      </patternFill>
    </fill>
    <fill>
      <patternFill patternType="solid">
        <fgColor rgb="FFFFD6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9FBF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1B5E20"/>
      </bottom>
      <diagonal/>
    </border>
    <border>
      <left/>
      <right/>
      <top/>
      <bottom style="thin">
        <color rgb="FFC8E6C9"/>
      </bottom>
      <diagonal/>
    </border>
    <border>
      <left style="thin">
        <color rgb="FFC8E6C9"/>
      </left>
      <right style="thin">
        <color rgb="FFC8E6C9"/>
      </right>
      <top style="thin">
        <color rgb="FFC8E6C9"/>
      </top>
      <bottom style="thin">
        <color rgb="FFC8E6C9"/>
      </bottom>
      <diagonal/>
    </border>
    <border>
      <left style="thin">
        <color rgb="FFC8E6C9"/>
      </left>
      <right style="thin">
        <color rgb="FFC8E6C9"/>
      </right>
      <top style="thin">
        <color rgb="FF388E3C"/>
      </top>
      <bottom style="thin">
        <color rgb="FFC8E6C9"/>
      </bottom>
      <diagonal/>
    </border>
    <border>
      <left style="thin">
        <color rgb="FFC8E6C9"/>
      </left>
      <right style="thin">
        <color rgb="FFC8E6C9"/>
      </right>
      <top style="thin">
        <color rgb="FFC8E6C9"/>
      </top>
      <bottom style="thin">
        <color rgb="FF388E3C"/>
      </bottom>
      <diagonal/>
    </border>
    <border>
      <left style="thin">
        <color rgb="FF388E3C"/>
      </left>
      <right style="thin">
        <color rgb="FFC8E6C9"/>
      </right>
      <top style="thin">
        <color rgb="FF388E3C"/>
      </top>
      <bottom style="thin">
        <color rgb="FFC8E6C9"/>
      </bottom>
      <diagonal/>
    </border>
    <border>
      <left style="thin">
        <color rgb="FF388E3C"/>
      </left>
      <right style="thin">
        <color rgb="FFC8E6C9"/>
      </right>
      <top style="thin">
        <color rgb="FFC8E6C9"/>
      </top>
      <bottom style="thin">
        <color rgb="FFC8E6C9"/>
      </bottom>
      <diagonal/>
    </border>
    <border>
      <left style="thin">
        <color rgb="FF388E3C"/>
      </left>
      <right style="thin">
        <color rgb="FFC8E6C9"/>
      </right>
      <top style="thin">
        <color rgb="FFC8E6C9"/>
      </top>
      <bottom style="thin">
        <color rgb="FF388E3C"/>
      </bottom>
      <diagonal/>
    </border>
    <border>
      <left style="thin">
        <color rgb="FFC8E6C9"/>
      </left>
      <right style="thin">
        <color rgb="FF388E3C"/>
      </right>
      <top style="thin">
        <color rgb="FF388E3C"/>
      </top>
      <bottom style="thin">
        <color rgb="FFC8E6C9"/>
      </bottom>
      <diagonal/>
    </border>
    <border>
      <left style="thin">
        <color rgb="FFC8E6C9"/>
      </left>
      <right style="thin">
        <color rgb="FF388E3C"/>
      </right>
      <top style="thin">
        <color rgb="FFC8E6C9"/>
      </top>
      <bottom style="thin">
        <color rgb="FFC8E6C9"/>
      </bottom>
      <diagonal/>
    </border>
    <border>
      <left style="thin">
        <color rgb="FFC8E6C9"/>
      </left>
      <right style="thin">
        <color rgb="FF388E3C"/>
      </right>
      <top style="thin">
        <color rgb="FFC8E6C9"/>
      </top>
      <bottom style="thin">
        <color rgb="FF388E3C"/>
      </bottom>
      <diagonal/>
    </border>
    <border>
      <left/>
      <right/>
      <top/>
      <bottom style="thin">
        <color rgb="FFE8F5E9"/>
      </bottom>
      <diagonal/>
    </border>
    <border>
      <left/>
      <right/>
      <top style="thin">
        <color rgb="FFE8F5E9"/>
      </top>
      <bottom style="thin">
        <color rgb="FFE8F5E9"/>
      </bottom>
      <diagonal/>
    </border>
    <border>
      <left/>
      <right/>
      <top style="thin">
        <color rgb="FFE8F5E9"/>
      </top>
      <bottom/>
      <diagonal/>
    </border>
    <border>
      <left/>
      <right/>
      <top style="medium">
        <color rgb="FF1B5E20"/>
      </top>
      <bottom style="thin">
        <color rgb="FFE8F5E9"/>
      </bottom>
      <diagonal/>
    </border>
    <border>
      <left/>
      <right/>
      <top style="thin">
        <color rgb="FFE8F5E9"/>
      </top>
      <bottom style="double">
        <color rgb="FF1B5E20"/>
      </bottom>
      <diagonal/>
    </border>
    <border>
      <left/>
      <right style="thin">
        <color rgb="FFE8F5E9"/>
      </right>
      <top style="medium">
        <color rgb="FF1B5E20"/>
      </top>
      <bottom style="thin">
        <color rgb="FFE8F5E9"/>
      </bottom>
      <diagonal/>
    </border>
    <border>
      <left style="thin">
        <color rgb="FFE8F5E9"/>
      </left>
      <right style="thin">
        <color rgb="FFE8F5E9"/>
      </right>
      <top style="medium">
        <color rgb="FF1B5E20"/>
      </top>
      <bottom style="thin">
        <color rgb="FFE8F5E9"/>
      </bottom>
      <diagonal/>
    </border>
    <border>
      <left style="thin">
        <color rgb="FFE8F5E9"/>
      </left>
      <right/>
      <top style="medium">
        <color rgb="FF1B5E20"/>
      </top>
      <bottom style="thin">
        <color rgb="FFE8F5E9"/>
      </bottom>
      <diagonal/>
    </border>
    <border>
      <left/>
      <right style="thin">
        <color rgb="FFE8F5E9"/>
      </right>
      <top style="thin">
        <color rgb="FFE8F5E9"/>
      </top>
      <bottom style="thin">
        <color rgb="FFE8F5E9"/>
      </bottom>
      <diagonal/>
    </border>
    <border>
      <left style="thin">
        <color rgb="FFE8F5E9"/>
      </left>
      <right style="thin">
        <color rgb="FFE8F5E9"/>
      </right>
      <top style="thin">
        <color rgb="FFE8F5E9"/>
      </top>
      <bottom style="thin">
        <color rgb="FFE8F5E9"/>
      </bottom>
      <diagonal/>
    </border>
    <border>
      <left style="thin">
        <color rgb="FFE8F5E9"/>
      </left>
      <right/>
      <top style="thin">
        <color rgb="FFE8F5E9"/>
      </top>
      <bottom style="thin">
        <color rgb="FFE8F5E9"/>
      </bottom>
      <diagonal/>
    </border>
    <border>
      <left/>
      <right style="thin">
        <color rgb="FFE8F5E9"/>
      </right>
      <top style="thin">
        <color rgb="FFE8F5E9"/>
      </top>
      <bottom/>
      <diagonal/>
    </border>
    <border>
      <left style="thin">
        <color rgb="FFE8F5E9"/>
      </left>
      <right style="thin">
        <color rgb="FFE8F5E9"/>
      </right>
      <top style="thin">
        <color rgb="FFE8F5E9"/>
      </top>
      <bottom/>
      <diagonal/>
    </border>
    <border>
      <left style="thin">
        <color rgb="FFE8F5E9"/>
      </left>
      <right/>
      <top style="thin">
        <color rgb="FFE8F5E9"/>
      </top>
      <bottom/>
      <diagonal/>
    </border>
    <border>
      <left/>
      <right style="thin">
        <color rgb="FFE8F5E9"/>
      </right>
      <top/>
      <bottom style="thin">
        <color rgb="FFE8F5E9"/>
      </bottom>
      <diagonal/>
    </border>
    <border>
      <left style="thin">
        <color rgb="FFE8F5E9"/>
      </left>
      <right style="thin">
        <color rgb="FFE8F5E9"/>
      </right>
      <top/>
      <bottom style="thin">
        <color rgb="FFE8F5E9"/>
      </bottom>
      <diagonal/>
    </border>
    <border>
      <left style="thin">
        <color rgb="FFE8F5E9"/>
      </left>
      <right/>
      <top/>
      <bottom style="thin">
        <color rgb="FFE8F5E9"/>
      </bottom>
      <diagonal/>
    </border>
    <border>
      <left/>
      <right/>
      <top style="thin">
        <color rgb="FFE8F5E9"/>
      </top>
      <bottom style="thin">
        <color rgb="FF388E3C"/>
      </bottom>
      <diagonal/>
    </border>
    <border>
      <left/>
      <right/>
      <top style="thin">
        <color rgb="FFC8E6C9"/>
      </top>
      <bottom style="thin">
        <color rgb="FFE8F5E9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15" fillId="0" borderId="0" xfId="0" applyFont="1" applyBorder="1"/>
    <xf numFmtId="0" fontId="5" fillId="4" borderId="0" xfId="0" applyFont="1" applyFill="1" applyBorder="1" applyAlignment="1">
      <alignment horizontal="left"/>
    </xf>
    <xf numFmtId="49" fontId="5" fillId="4" borderId="0" xfId="0" applyNumberFormat="1" applyFont="1" applyFill="1" applyBorder="1" applyAlignment="1">
      <alignment horizontal="center"/>
    </xf>
    <xf numFmtId="49" fontId="5" fillId="9" borderId="0" xfId="0" applyNumberFormat="1" applyFont="1" applyFill="1" applyBorder="1" applyAlignment="1">
      <alignment horizontal="center"/>
    </xf>
    <xf numFmtId="0" fontId="6" fillId="5" borderId="0" xfId="0" applyFont="1" applyFill="1" applyBorder="1"/>
    <xf numFmtId="0" fontId="10" fillId="8" borderId="0" xfId="0" applyFont="1" applyFill="1" applyBorder="1"/>
    <xf numFmtId="165" fontId="11" fillId="8" borderId="0" xfId="0" applyNumberFormat="1" applyFont="1" applyFill="1" applyBorder="1" applyAlignment="1">
      <alignment horizontal="center"/>
    </xf>
    <xf numFmtId="0" fontId="5" fillId="4" borderId="0" xfId="0" applyFont="1" applyFill="1" applyBorder="1"/>
    <xf numFmtId="0" fontId="7" fillId="8" borderId="0" xfId="0" applyFont="1" applyFill="1" applyBorder="1"/>
    <xf numFmtId="10" fontId="11" fillId="8" borderId="0" xfId="0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  <xf numFmtId="10" fontId="6" fillId="5" borderId="0" xfId="0" applyNumberFormat="1" applyFont="1" applyFill="1" applyBorder="1" applyAlignment="1">
      <alignment horizontal="center"/>
    </xf>
    <xf numFmtId="10" fontId="11" fillId="2" borderId="0" xfId="0" applyNumberFormat="1" applyFont="1" applyFill="1" applyBorder="1" applyAlignment="1">
      <alignment horizontal="center"/>
    </xf>
    <xf numFmtId="49" fontId="11" fillId="8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4" fontId="10" fillId="8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0" fontId="10" fillId="0" borderId="0" xfId="0" applyFont="1" applyBorder="1"/>
    <xf numFmtId="164" fontId="10" fillId="0" borderId="0" xfId="0" applyNumberFormat="1" applyFont="1" applyBorder="1" applyAlignment="1">
      <alignment horizontal="center"/>
    </xf>
    <xf numFmtId="0" fontId="7" fillId="0" borderId="0" xfId="0" applyFont="1" applyBorder="1"/>
    <xf numFmtId="164" fontId="7" fillId="8" borderId="0" xfId="0" applyNumberFormat="1" applyFont="1" applyFill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15" fillId="4" borderId="0" xfId="0" applyFont="1" applyFill="1" applyBorder="1"/>
    <xf numFmtId="0" fontId="5" fillId="10" borderId="0" xfId="0" applyFont="1" applyFill="1" applyBorder="1"/>
    <xf numFmtId="0" fontId="5" fillId="10" borderId="0" xfId="0" applyFont="1" applyFill="1" applyBorder="1" applyAlignment="1">
      <alignment horizontal="center"/>
    </xf>
    <xf numFmtId="0" fontId="17" fillId="8" borderId="0" xfId="0" applyFont="1" applyFill="1" applyBorder="1"/>
    <xf numFmtId="0" fontId="12" fillId="8" borderId="0" xfId="0" applyFont="1" applyFill="1" applyBorder="1"/>
    <xf numFmtId="0" fontId="17" fillId="0" borderId="0" xfId="0" applyFont="1" applyBorder="1"/>
    <xf numFmtId="0" fontId="12" fillId="0" borderId="0" xfId="0" applyFont="1" applyBorder="1"/>
    <xf numFmtId="0" fontId="5" fillId="4" borderId="0" xfId="0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0" fontId="18" fillId="5" borderId="0" xfId="0" applyFont="1" applyFill="1" applyBorder="1"/>
    <xf numFmtId="168" fontId="11" fillId="0" borderId="0" xfId="0" applyNumberFormat="1" applyFont="1" applyBorder="1" applyAlignment="1">
      <alignment horizontal="center"/>
    </xf>
    <xf numFmtId="0" fontId="21" fillId="8" borderId="0" xfId="0" applyFont="1" applyFill="1" applyBorder="1"/>
    <xf numFmtId="0" fontId="16" fillId="0" borderId="0" xfId="0" applyFont="1" applyBorder="1"/>
    <xf numFmtId="0" fontId="22" fillId="0" borderId="0" xfId="0" applyFont="1" applyBorder="1"/>
    <xf numFmtId="165" fontId="10" fillId="8" borderId="0" xfId="0" applyNumberFormat="1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center"/>
    </xf>
    <xf numFmtId="168" fontId="7" fillId="8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wrapText="1"/>
    </xf>
    <xf numFmtId="165" fontId="6" fillId="5" borderId="0" xfId="0" applyNumberFormat="1" applyFont="1" applyFill="1" applyBorder="1" applyAlignment="1">
      <alignment horizontal="center" wrapText="1"/>
    </xf>
    <xf numFmtId="0" fontId="7" fillId="3" borderId="0" xfId="0" applyFont="1" applyFill="1" applyBorder="1"/>
    <xf numFmtId="0" fontId="10" fillId="3" borderId="0" xfId="0" applyFont="1" applyFill="1" applyBorder="1"/>
    <xf numFmtId="165" fontId="10" fillId="3" borderId="0" xfId="0" applyNumberFormat="1" applyFont="1" applyFill="1" applyBorder="1"/>
    <xf numFmtId="168" fontId="10" fillId="3" borderId="0" xfId="0" applyNumberFormat="1" applyFont="1" applyFill="1" applyBorder="1"/>
    <xf numFmtId="3" fontId="10" fillId="8" borderId="0" xfId="0" applyNumberFormat="1" applyFont="1" applyFill="1" applyBorder="1"/>
    <xf numFmtId="165" fontId="10" fillId="8" borderId="0" xfId="0" applyNumberFormat="1" applyFont="1" applyFill="1" applyBorder="1"/>
    <xf numFmtId="165" fontId="10" fillId="0" borderId="0" xfId="0" applyNumberFormat="1" applyFont="1" applyBorder="1"/>
    <xf numFmtId="3" fontId="10" fillId="0" borderId="0" xfId="0" applyNumberFormat="1" applyFont="1" applyBorder="1"/>
    <xf numFmtId="168" fontId="10" fillId="0" borderId="0" xfId="0" applyNumberFormat="1" applyFont="1" applyBorder="1"/>
    <xf numFmtId="168" fontId="10" fillId="8" borderId="0" xfId="0" applyNumberFormat="1" applyFont="1" applyFill="1" applyBorder="1"/>
    <xf numFmtId="0" fontId="7" fillId="5" borderId="0" xfId="0" applyFont="1" applyFill="1" applyBorder="1"/>
    <xf numFmtId="0" fontId="10" fillId="5" borderId="0" xfId="0" applyFont="1" applyFill="1" applyBorder="1"/>
    <xf numFmtId="165" fontId="10" fillId="5" borderId="0" xfId="0" applyNumberFormat="1" applyFont="1" applyFill="1" applyBorder="1"/>
    <xf numFmtId="168" fontId="10" fillId="5" borderId="0" xfId="0" applyNumberFormat="1" applyFont="1" applyFill="1" applyBorder="1"/>
    <xf numFmtId="0" fontId="7" fillId="12" borderId="0" xfId="0" applyFont="1" applyFill="1" applyBorder="1"/>
    <xf numFmtId="0" fontId="10" fillId="12" borderId="0" xfId="0" applyFont="1" applyFill="1" applyBorder="1"/>
    <xf numFmtId="165" fontId="7" fillId="12" borderId="0" xfId="0" applyNumberFormat="1" applyFont="1" applyFill="1" applyBorder="1"/>
    <xf numFmtId="3" fontId="11" fillId="0" borderId="0" xfId="0" applyNumberFormat="1" applyFont="1" applyBorder="1"/>
    <xf numFmtId="3" fontId="7" fillId="0" borderId="0" xfId="0" applyNumberFormat="1" applyFont="1" applyBorder="1"/>
    <xf numFmtId="3" fontId="7" fillId="3" borderId="0" xfId="0" applyNumberFormat="1" applyFont="1" applyFill="1" applyBorder="1"/>
    <xf numFmtId="3" fontId="23" fillId="0" borderId="0" xfId="0" applyNumberFormat="1" applyFont="1" applyBorder="1"/>
    <xf numFmtId="168" fontId="11" fillId="0" borderId="0" xfId="0" applyNumberFormat="1" applyFont="1" applyBorder="1"/>
    <xf numFmtId="164" fontId="23" fillId="0" borderId="0" xfId="0" applyNumberFormat="1" applyFont="1" applyBorder="1"/>
    <xf numFmtId="0" fontId="6" fillId="0" borderId="0" xfId="0" applyFont="1" applyBorder="1"/>
    <xf numFmtId="0" fontId="16" fillId="0" borderId="0" xfId="0" applyFont="1" applyBorder="1"/>
    <xf numFmtId="0" fontId="5" fillId="4" borderId="0" xfId="0" applyFont="1" applyFill="1" applyBorder="1"/>
    <xf numFmtId="0" fontId="6" fillId="5" borderId="0" xfId="0" applyFont="1" applyFill="1" applyBorder="1" applyAlignment="1">
      <alignment horizontal="left"/>
    </xf>
    <xf numFmtId="164" fontId="16" fillId="8" borderId="0" xfId="0" applyNumberFormat="1" applyFont="1" applyFill="1" applyBorder="1" applyAlignment="1">
      <alignment horizontal="center"/>
    </xf>
    <xf numFmtId="3" fontId="23" fillId="8" borderId="0" xfId="0" applyNumberFormat="1" applyFont="1" applyFill="1" applyBorder="1" applyAlignment="1">
      <alignment horizontal="center"/>
    </xf>
    <xf numFmtId="165" fontId="23" fillId="0" borderId="0" xfId="0" applyNumberFormat="1" applyFont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4" fillId="2" borderId="0" xfId="0" applyFont="1" applyFill="1" applyBorder="1"/>
    <xf numFmtId="0" fontId="26" fillId="8" borderId="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49" fontId="5" fillId="9" borderId="1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10" fontId="6" fillId="8" borderId="2" xfId="0" applyNumberFormat="1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30" fillId="4" borderId="0" xfId="0" applyFont="1" applyFill="1" applyBorder="1"/>
    <xf numFmtId="0" fontId="5" fillId="4" borderId="1" xfId="0" applyFont="1" applyFill="1" applyBorder="1"/>
    <xf numFmtId="0" fontId="30" fillId="4" borderId="1" xfId="0" applyFont="1" applyFill="1" applyBorder="1"/>
    <xf numFmtId="169" fontId="10" fillId="0" borderId="3" xfId="0" applyNumberFormat="1" applyFont="1" applyBorder="1" applyAlignment="1">
      <alignment horizontal="center"/>
    </xf>
    <xf numFmtId="169" fontId="10" fillId="8" borderId="3" xfId="0" applyNumberFormat="1" applyFont="1" applyFill="1" applyBorder="1" applyAlignment="1">
      <alignment horizontal="center"/>
    </xf>
    <xf numFmtId="169" fontId="10" fillId="11" borderId="3" xfId="0" applyNumberFormat="1" applyFont="1" applyFill="1" applyBorder="1" applyAlignment="1">
      <alignment horizontal="center"/>
    </xf>
    <xf numFmtId="165" fontId="5" fillId="10" borderId="4" xfId="0" applyNumberFormat="1" applyFont="1" applyFill="1" applyBorder="1" applyAlignment="1">
      <alignment horizontal="center"/>
    </xf>
    <xf numFmtId="169" fontId="10" fillId="0" borderId="5" xfId="0" applyNumberFormat="1" applyFont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165" fontId="5" fillId="10" borderId="7" xfId="0" applyNumberFormat="1" applyFont="1" applyFill="1" applyBorder="1" applyAlignment="1">
      <alignment horizontal="center"/>
    </xf>
    <xf numFmtId="165" fontId="5" fillId="10" borderId="8" xfId="0" applyNumberFormat="1" applyFont="1" applyFill="1" applyBorder="1" applyAlignment="1">
      <alignment horizontal="center"/>
    </xf>
    <xf numFmtId="165" fontId="5" fillId="10" borderId="9" xfId="0" applyNumberFormat="1" applyFont="1" applyFill="1" applyBorder="1" applyAlignment="1">
      <alignment horizontal="center"/>
    </xf>
    <xf numFmtId="169" fontId="10" fillId="0" borderId="10" xfId="0" applyNumberFormat="1" applyFont="1" applyBorder="1" applyAlignment="1">
      <alignment horizontal="center"/>
    </xf>
    <xf numFmtId="169" fontId="10" fillId="8" borderId="10" xfId="0" applyNumberFormat="1" applyFont="1" applyFill="1" applyBorder="1" applyAlignment="1">
      <alignment horizontal="center"/>
    </xf>
    <xf numFmtId="169" fontId="10" fillId="0" borderId="11" xfId="0" applyNumberFormat="1" applyFont="1" applyBorder="1" applyAlignment="1">
      <alignment horizontal="center"/>
    </xf>
    <xf numFmtId="0" fontId="20" fillId="0" borderId="0" xfId="0" applyFont="1" applyBorder="1"/>
    <xf numFmtId="0" fontId="19" fillId="0" borderId="0" xfId="0" applyFont="1" applyBorder="1"/>
    <xf numFmtId="0" fontId="29" fillId="5" borderId="0" xfId="0" applyFont="1" applyFill="1" applyBorder="1"/>
    <xf numFmtId="0" fontId="24" fillId="0" borderId="0" xfId="0" applyFont="1" applyBorder="1"/>
    <xf numFmtId="0" fontId="9" fillId="0" borderId="0" xfId="0" applyFont="1" applyBorder="1"/>
    <xf numFmtId="0" fontId="5" fillId="4" borderId="1" xfId="0" applyFont="1" applyFill="1" applyBorder="1"/>
    <xf numFmtId="164" fontId="11" fillId="13" borderId="12" xfId="0" applyNumberFormat="1" applyFont="1" applyFill="1" applyBorder="1" applyAlignment="1">
      <alignment horizontal="center"/>
    </xf>
    <xf numFmtId="164" fontId="14" fillId="13" borderId="12" xfId="0" applyNumberFormat="1" applyFont="1" applyFill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15" fillId="0" borderId="13" xfId="0" applyFont="1" applyBorder="1"/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0" fillId="0" borderId="13" xfId="0" applyFont="1" applyBorder="1"/>
    <xf numFmtId="164" fontId="11" fillId="0" borderId="13" xfId="0" applyNumberFormat="1" applyFont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164" fontId="8" fillId="13" borderId="13" xfId="0" applyNumberFormat="1" applyFont="1" applyFill="1" applyBorder="1" applyAlignment="1">
      <alignment horizontal="center"/>
    </xf>
    <xf numFmtId="164" fontId="17" fillId="13" borderId="13" xfId="0" applyNumberFormat="1" applyFont="1" applyFill="1" applyBorder="1" applyAlignment="1">
      <alignment horizontal="center"/>
    </xf>
    <xf numFmtId="0" fontId="7" fillId="0" borderId="13" xfId="0" applyFont="1" applyBorder="1"/>
    <xf numFmtId="164" fontId="8" fillId="6" borderId="13" xfId="0" applyNumberFormat="1" applyFont="1" applyFill="1" applyBorder="1" applyAlignment="1">
      <alignment horizontal="center"/>
    </xf>
    <xf numFmtId="164" fontId="17" fillId="6" borderId="13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17" fillId="7" borderId="13" xfId="0" applyNumberFormat="1" applyFont="1" applyFill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164" fontId="17" fillId="8" borderId="13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14" fillId="8" borderId="13" xfId="0" applyFont="1" applyFill="1" applyBorder="1" applyAlignment="1">
      <alignment horizontal="center"/>
    </xf>
    <xf numFmtId="0" fontId="6" fillId="5" borderId="13" xfId="0" applyFont="1" applyFill="1" applyBorder="1"/>
    <xf numFmtId="164" fontId="6" fillId="5" borderId="13" xfId="0" applyNumberFormat="1" applyFont="1" applyFill="1" applyBorder="1" applyAlignment="1">
      <alignment horizontal="center"/>
    </xf>
    <xf numFmtId="164" fontId="11" fillId="8" borderId="13" xfId="0" applyNumberFormat="1" applyFont="1" applyFill="1" applyBorder="1" applyAlignment="1">
      <alignment horizontal="center"/>
    </xf>
    <xf numFmtId="164" fontId="14" fillId="8" borderId="13" xfId="0" applyNumberFormat="1" applyFont="1" applyFill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165" fontId="14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0" fillId="0" borderId="14" xfId="0" applyFont="1" applyBorder="1"/>
    <xf numFmtId="0" fontId="6" fillId="8" borderId="15" xfId="0" applyFont="1" applyFill="1" applyBorder="1" applyAlignment="1">
      <alignment horizontal="center"/>
    </xf>
    <xf numFmtId="165" fontId="8" fillId="6" borderId="13" xfId="0" applyNumberFormat="1" applyFont="1" applyFill="1" applyBorder="1" applyAlignment="1">
      <alignment horizontal="center"/>
    </xf>
    <xf numFmtId="0" fontId="12" fillId="2" borderId="13" xfId="0" applyFont="1" applyFill="1" applyBorder="1"/>
    <xf numFmtId="49" fontId="16" fillId="2" borderId="13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165" fontId="6" fillId="7" borderId="13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0" fontId="29" fillId="8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11" fillId="2" borderId="13" xfId="0" applyNumberFormat="1" applyFont="1" applyFill="1" applyBorder="1" applyAlignment="1">
      <alignment horizontal="center"/>
    </xf>
    <xf numFmtId="165" fontId="11" fillId="2" borderId="13" xfId="0" applyNumberFormat="1" applyFont="1" applyFill="1" applyBorder="1" applyAlignment="1">
      <alignment horizontal="center"/>
    </xf>
    <xf numFmtId="9" fontId="11" fillId="2" borderId="13" xfId="0" applyNumberFormat="1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center"/>
    </xf>
    <xf numFmtId="164" fontId="12" fillId="2" borderId="13" xfId="0" applyNumberFormat="1" applyFont="1" applyFill="1" applyBorder="1" applyAlignment="1">
      <alignment horizontal="center"/>
    </xf>
    <xf numFmtId="0" fontId="10" fillId="8" borderId="13" xfId="0" applyFont="1" applyFill="1" applyBorder="1"/>
    <xf numFmtId="165" fontId="11" fillId="8" borderId="13" xfId="0" applyNumberFormat="1" applyFont="1" applyFill="1" applyBorder="1" applyAlignment="1">
      <alignment horizontal="center"/>
    </xf>
    <xf numFmtId="3" fontId="6" fillId="8" borderId="13" xfId="0" applyNumberFormat="1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0" fillId="8" borderId="14" xfId="0" applyFont="1" applyFill="1" applyBorder="1"/>
    <xf numFmtId="0" fontId="11" fillId="8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165" fontId="6" fillId="5" borderId="18" xfId="0" applyNumberFormat="1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7" fillId="3" borderId="20" xfId="0" applyFont="1" applyFill="1" applyBorder="1"/>
    <xf numFmtId="0" fontId="7" fillId="3" borderId="21" xfId="0" applyFont="1" applyFill="1" applyBorder="1"/>
    <xf numFmtId="3" fontId="7" fillId="3" borderId="21" xfId="0" applyNumberFormat="1" applyFont="1" applyFill="1" applyBorder="1"/>
    <xf numFmtId="165" fontId="7" fillId="3" borderId="21" xfId="0" applyNumberFormat="1" applyFont="1" applyFill="1" applyBorder="1"/>
    <xf numFmtId="164" fontId="7" fillId="3" borderId="21" xfId="0" applyNumberFormat="1" applyFont="1" applyFill="1" applyBorder="1"/>
    <xf numFmtId="168" fontId="7" fillId="3" borderId="21" xfId="0" applyNumberFormat="1" applyFont="1" applyFill="1" applyBorder="1"/>
    <xf numFmtId="168" fontId="7" fillId="3" borderId="22" xfId="0" applyNumberFormat="1" applyFont="1" applyFill="1" applyBorder="1"/>
    <xf numFmtId="0" fontId="10" fillId="8" borderId="20" xfId="0" applyFont="1" applyFill="1" applyBorder="1"/>
    <xf numFmtId="0" fontId="10" fillId="8" borderId="21" xfId="0" applyFont="1" applyFill="1" applyBorder="1"/>
    <xf numFmtId="3" fontId="10" fillId="8" borderId="21" xfId="0" applyNumberFormat="1" applyFont="1" applyFill="1" applyBorder="1"/>
    <xf numFmtId="164" fontId="10" fillId="8" borderId="21" xfId="0" applyNumberFormat="1" applyFont="1" applyFill="1" applyBorder="1"/>
    <xf numFmtId="165" fontId="10" fillId="8" borderId="21" xfId="0" applyNumberFormat="1" applyFont="1" applyFill="1" applyBorder="1"/>
    <xf numFmtId="0" fontId="10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164" fontId="10" fillId="0" borderId="21" xfId="0" applyNumberFormat="1" applyFont="1" applyBorder="1"/>
    <xf numFmtId="165" fontId="10" fillId="0" borderId="21" xfId="0" applyNumberFormat="1" applyFont="1" applyBorder="1"/>
    <xf numFmtId="3" fontId="10" fillId="0" borderId="21" xfId="0" applyNumberFormat="1" applyFont="1" applyBorder="1"/>
    <xf numFmtId="168" fontId="10" fillId="0" borderId="21" xfId="0" applyNumberFormat="1" applyFont="1" applyBorder="1"/>
    <xf numFmtId="168" fontId="10" fillId="0" borderId="22" xfId="0" applyNumberFormat="1" applyFont="1" applyBorder="1"/>
    <xf numFmtId="0" fontId="10" fillId="8" borderId="23" xfId="0" applyFont="1" applyFill="1" applyBorder="1"/>
    <xf numFmtId="0" fontId="10" fillId="8" borderId="24" xfId="0" applyFont="1" applyFill="1" applyBorder="1"/>
    <xf numFmtId="3" fontId="10" fillId="8" borderId="24" xfId="0" applyNumberFormat="1" applyFont="1" applyFill="1" applyBorder="1"/>
    <xf numFmtId="165" fontId="10" fillId="8" borderId="24" xfId="0" applyNumberFormat="1" applyFont="1" applyFill="1" applyBorder="1"/>
    <xf numFmtId="168" fontId="10" fillId="8" borderId="24" xfId="0" applyNumberFormat="1" applyFont="1" applyFill="1" applyBorder="1"/>
    <xf numFmtId="168" fontId="10" fillId="8" borderId="25" xfId="0" applyNumberFormat="1" applyFont="1" applyFill="1" applyBorder="1"/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10" fillId="8" borderId="22" xfId="0" applyFont="1" applyFill="1" applyBorder="1"/>
    <xf numFmtId="0" fontId="10" fillId="0" borderId="22" xfId="0" applyFont="1" applyBorder="1"/>
    <xf numFmtId="0" fontId="10" fillId="8" borderId="25" xfId="0" applyFont="1" applyFill="1" applyBorder="1"/>
    <xf numFmtId="0" fontId="7" fillId="0" borderId="20" xfId="0" applyFont="1" applyBorder="1"/>
    <xf numFmtId="3" fontId="11" fillId="0" borderId="21" xfId="0" applyNumberFormat="1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0" fontId="7" fillId="3" borderId="23" xfId="0" applyFont="1" applyFill="1" applyBorder="1"/>
    <xf numFmtId="0" fontId="7" fillId="3" borderId="24" xfId="0" applyFont="1" applyFill="1" applyBorder="1"/>
    <xf numFmtId="3" fontId="7" fillId="3" borderId="24" xfId="0" applyNumberFormat="1" applyFont="1" applyFill="1" applyBorder="1"/>
    <xf numFmtId="3" fontId="7" fillId="3" borderId="25" xfId="0" applyNumberFormat="1" applyFont="1" applyFill="1" applyBorder="1"/>
    <xf numFmtId="0" fontId="5" fillId="10" borderId="15" xfId="0" applyFont="1" applyFill="1" applyBorder="1"/>
    <xf numFmtId="0" fontId="5" fillId="10" borderId="15" xfId="0" applyFont="1" applyFill="1" applyBorder="1" applyAlignment="1">
      <alignment horizontal="center"/>
    </xf>
    <xf numFmtId="0" fontId="17" fillId="8" borderId="13" xfId="0" applyFont="1" applyFill="1" applyBorder="1"/>
    <xf numFmtId="0" fontId="12" fillId="8" borderId="13" xfId="0" applyFont="1" applyFill="1" applyBorder="1"/>
    <xf numFmtId="0" fontId="17" fillId="0" borderId="13" xfId="0" applyFont="1" applyBorder="1"/>
    <xf numFmtId="2" fontId="11" fillId="0" borderId="13" xfId="0" applyNumberFormat="1" applyFont="1" applyBorder="1" applyAlignment="1">
      <alignment horizontal="center"/>
    </xf>
    <xf numFmtId="0" fontId="12" fillId="0" borderId="13" xfId="0" applyFont="1" applyBorder="1"/>
    <xf numFmtId="165" fontId="7" fillId="0" borderId="13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6" fillId="5" borderId="16" xfId="0" applyFont="1" applyFill="1" applyBorder="1"/>
    <xf numFmtId="10" fontId="6" fillId="5" borderId="16" xfId="0" applyNumberFormat="1" applyFont="1" applyFill="1" applyBorder="1" applyAlignment="1">
      <alignment horizontal="center"/>
    </xf>
    <xf numFmtId="0" fontId="5" fillId="10" borderId="12" xfId="0" applyFont="1" applyFill="1" applyBorder="1"/>
    <xf numFmtId="0" fontId="5" fillId="9" borderId="12" xfId="0" applyFont="1" applyFill="1" applyBorder="1" applyAlignment="1">
      <alignment horizontal="center"/>
    </xf>
    <xf numFmtId="164" fontId="10" fillId="8" borderId="13" xfId="0" applyNumberFormat="1" applyFont="1" applyFill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7" fontId="10" fillId="0" borderId="13" xfId="0" applyNumberFormat="1" applyFont="1" applyBorder="1" applyAlignment="1">
      <alignment horizontal="center"/>
    </xf>
    <xf numFmtId="0" fontId="6" fillId="5" borderId="29" xfId="0" applyFont="1" applyFill="1" applyBorder="1"/>
    <xf numFmtId="164" fontId="6" fillId="5" borderId="29" xfId="0" applyNumberFormat="1" applyFont="1" applyFill="1" applyBorder="1" applyAlignment="1">
      <alignment horizontal="center"/>
    </xf>
    <xf numFmtId="0" fontId="17" fillId="8" borderId="15" xfId="0" applyFont="1" applyFill="1" applyBorder="1"/>
    <xf numFmtId="164" fontId="7" fillId="8" borderId="15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5" fillId="9" borderId="13" xfId="0" applyFont="1" applyFill="1" applyBorder="1"/>
    <xf numFmtId="164" fontId="5" fillId="9" borderId="13" xfId="0" applyNumberFormat="1" applyFont="1" applyFill="1" applyBorder="1" applyAlignment="1">
      <alignment horizontal="center"/>
    </xf>
    <xf numFmtId="2" fontId="11" fillId="8" borderId="13" xfId="0" applyNumberFormat="1" applyFont="1" applyFill="1" applyBorder="1" applyAlignment="1">
      <alignment horizontal="center"/>
    </xf>
    <xf numFmtId="169" fontId="11" fillId="0" borderId="13" xfId="0" applyNumberFormat="1" applyFont="1" applyBorder="1" applyAlignment="1">
      <alignment horizontal="center"/>
    </xf>
    <xf numFmtId="0" fontId="13" fillId="9" borderId="13" xfId="0" applyFont="1" applyFill="1" applyBorder="1"/>
    <xf numFmtId="169" fontId="13" fillId="9" borderId="13" xfId="0" applyNumberFormat="1" applyFont="1" applyFill="1" applyBorder="1" applyAlignment="1">
      <alignment horizontal="center"/>
    </xf>
    <xf numFmtId="0" fontId="6" fillId="11" borderId="16" xfId="0" applyFont="1" applyFill="1" applyBorder="1"/>
    <xf numFmtId="165" fontId="6" fillId="11" borderId="16" xfId="0" applyNumberFormat="1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14" fillId="8" borderId="13" xfId="0" applyFont="1" applyFill="1" applyBorder="1"/>
    <xf numFmtId="0" fontId="11" fillId="2" borderId="13" xfId="0" applyFont="1" applyFill="1" applyBorder="1"/>
    <xf numFmtId="168" fontId="11" fillId="2" borderId="13" xfId="0" applyNumberFormat="1" applyFont="1" applyFill="1" applyBorder="1" applyAlignment="1">
      <alignment horizontal="center"/>
    </xf>
    <xf numFmtId="169" fontId="5" fillId="9" borderId="13" xfId="0" applyNumberFormat="1" applyFont="1" applyFill="1" applyBorder="1" applyAlignment="1">
      <alignment horizontal="center"/>
    </xf>
    <xf numFmtId="0" fontId="21" fillId="5" borderId="13" xfId="0" applyFont="1" applyFill="1" applyBorder="1"/>
    <xf numFmtId="169" fontId="11" fillId="2" borderId="13" xfId="0" applyNumberFormat="1" applyFont="1" applyFill="1" applyBorder="1" applyAlignment="1">
      <alignment horizontal="center"/>
    </xf>
    <xf numFmtId="0" fontId="6" fillId="11" borderId="13" xfId="0" applyFont="1" applyFill="1" applyBorder="1"/>
    <xf numFmtId="165" fontId="6" fillId="11" borderId="13" xfId="0" applyNumberFormat="1" applyFont="1" applyFill="1" applyBorder="1" applyAlignment="1">
      <alignment horizontal="center"/>
    </xf>
    <xf numFmtId="0" fontId="17" fillId="5" borderId="14" xfId="0" applyFont="1" applyFill="1" applyBorder="1"/>
    <xf numFmtId="168" fontId="17" fillId="5" borderId="14" xfId="0" applyNumberFormat="1" applyFont="1" applyFill="1" applyBorder="1" applyAlignment="1">
      <alignment horizontal="center"/>
    </xf>
    <xf numFmtId="0" fontId="12" fillId="5" borderId="14" xfId="0" applyFont="1" applyFill="1" applyBorder="1"/>
    <xf numFmtId="3" fontId="11" fillId="8" borderId="13" xfId="0" applyNumberFormat="1" applyFont="1" applyFill="1" applyBorder="1" applyAlignment="1">
      <alignment horizontal="center"/>
    </xf>
    <xf numFmtId="165" fontId="7" fillId="8" borderId="13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5" fillId="0" borderId="14" xfId="0" applyFont="1" applyBorder="1"/>
    <xf numFmtId="165" fontId="10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3" fontId="23" fillId="8" borderId="13" xfId="0" applyNumberFormat="1" applyFont="1" applyFill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8" borderId="13" xfId="0" applyNumberFormat="1" applyFont="1" applyFill="1" applyBorder="1" applyAlignment="1">
      <alignment horizontal="center"/>
    </xf>
    <xf numFmtId="164" fontId="23" fillId="0" borderId="14" xfId="0" applyNumberFormat="1" applyFont="1" applyBorder="1" applyAlignment="1">
      <alignment horizontal="center"/>
    </xf>
    <xf numFmtId="0" fontId="7" fillId="8" borderId="13" xfId="0" applyFont="1" applyFill="1" applyBorder="1" applyAlignment="1">
      <alignment wrapText="1"/>
    </xf>
    <xf numFmtId="0" fontId="11" fillId="8" borderId="13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3" fillId="8" borderId="13" xfId="0" applyFont="1" applyFill="1" applyBorder="1" applyAlignment="1">
      <alignment horizontal="center" wrapText="1"/>
    </xf>
    <xf numFmtId="0" fontId="7" fillId="8" borderId="14" xfId="0" applyFont="1" applyFill="1" applyBorder="1" applyAlignment="1">
      <alignment wrapText="1"/>
    </xf>
    <xf numFmtId="0" fontId="11" fillId="8" borderId="14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165" fontId="10" fillId="8" borderId="13" xfId="0" applyNumberFormat="1" applyFont="1" applyFill="1" applyBorder="1" applyAlignment="1">
      <alignment horizontal="center"/>
    </xf>
    <xf numFmtId="165" fontId="23" fillId="0" borderId="13" xfId="0" applyNumberFormat="1" applyFont="1" applyBorder="1" applyAlignment="1">
      <alignment horizontal="center"/>
    </xf>
    <xf numFmtId="3" fontId="23" fillId="8" borderId="14" xfId="0" applyNumberFormat="1" applyFont="1" applyFill="1" applyBorder="1" applyAlignment="1">
      <alignment horizontal="center"/>
    </xf>
    <xf numFmtId="0" fontId="10" fillId="8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10" fillId="2" borderId="1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wrapText="1"/>
    </xf>
    <xf numFmtId="0" fontId="10" fillId="8" borderId="14" xfId="0" applyFont="1" applyFill="1" applyBorder="1" applyAlignment="1">
      <alignment wrapText="1"/>
    </xf>
    <xf numFmtId="164" fontId="4" fillId="13" borderId="13" xfId="0" applyNumberFormat="1" applyFont="1" applyFill="1" applyBorder="1" applyAlignment="1">
      <alignment horizontal="center"/>
    </xf>
    <xf numFmtId="164" fontId="3" fillId="13" borderId="13" xfId="0" applyNumberFormat="1" applyFont="1" applyFill="1" applyBorder="1" applyAlignment="1">
      <alignment horizontal="center"/>
    </xf>
    <xf numFmtId="164" fontId="4" fillId="8" borderId="15" xfId="0" applyNumberFormat="1" applyFont="1" applyFill="1" applyBorder="1" applyAlignment="1">
      <alignment horizontal="center"/>
    </xf>
    <xf numFmtId="164" fontId="3" fillId="8" borderId="15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14" fillId="2" borderId="13" xfId="0" applyNumberFormat="1" applyFont="1" applyFill="1" applyBorder="1" applyAlignment="1">
      <alignment horizontal="center"/>
    </xf>
    <xf numFmtId="164" fontId="4" fillId="8" borderId="13" xfId="0" applyNumberFormat="1" applyFont="1" applyFill="1" applyBorder="1" applyAlignment="1">
      <alignment horizontal="center"/>
    </xf>
    <xf numFmtId="164" fontId="3" fillId="8" borderId="13" xfId="0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/>
    </xf>
    <xf numFmtId="164" fontId="14" fillId="5" borderId="13" xfId="0" applyNumberFormat="1" applyFont="1" applyFill="1" applyBorder="1" applyAlignment="1">
      <alignment horizontal="center"/>
    </xf>
    <xf numFmtId="164" fontId="27" fillId="0" borderId="14" xfId="0" applyNumberFormat="1" applyFont="1" applyBorder="1" applyAlignment="1">
      <alignment horizontal="center"/>
    </xf>
    <xf numFmtId="164" fontId="28" fillId="0" borderId="14" xfId="0" applyNumberFormat="1" applyFont="1" applyBorder="1" applyAlignment="1">
      <alignment horizontal="center"/>
    </xf>
    <xf numFmtId="164" fontId="6" fillId="7" borderId="16" xfId="0" applyNumberFormat="1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164" fontId="6" fillId="7" borderId="13" xfId="0" applyNumberFormat="1" applyFont="1" applyFill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4" fontId="8" fillId="8" borderId="30" xfId="0" applyNumberFormat="1" applyFont="1" applyFill="1" applyBorder="1" applyAlignment="1">
      <alignment horizontal="center"/>
    </xf>
    <xf numFmtId="164" fontId="17" fillId="8" borderId="30" xfId="0" applyNumberFormat="1" applyFont="1" applyFill="1" applyBorder="1" applyAlignment="1">
      <alignment horizontal="center"/>
    </xf>
    <xf numFmtId="164" fontId="11" fillId="13" borderId="14" xfId="0" applyNumberFormat="1" applyFont="1" applyFill="1" applyBorder="1" applyAlignment="1">
      <alignment horizontal="center"/>
    </xf>
    <xf numFmtId="164" fontId="14" fillId="13" borderId="14" xfId="0" applyNumberFormat="1" applyFont="1" applyFill="1" applyBorder="1" applyAlignment="1">
      <alignment horizontal="center"/>
    </xf>
    <xf numFmtId="164" fontId="8" fillId="13" borderId="12" xfId="0" applyNumberFormat="1" applyFont="1" applyFill="1" applyBorder="1" applyAlignment="1">
      <alignment horizontal="center"/>
    </xf>
    <xf numFmtId="164" fontId="17" fillId="13" borderId="12" xfId="0" applyNumberFormat="1" applyFont="1" applyFill="1" applyBorder="1" applyAlignment="1">
      <alignment horizontal="center"/>
    </xf>
    <xf numFmtId="0" fontId="7" fillId="13" borderId="12" xfId="0" applyFont="1" applyFill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7" fillId="8" borderId="30" xfId="0" applyFont="1" applyFill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5" fillId="13" borderId="13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13" borderId="14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left"/>
    </xf>
    <xf numFmtId="0" fontId="7" fillId="8" borderId="13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6" fillId="7" borderId="1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6" fillId="8" borderId="15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8" borderId="13" xfId="0" applyFont="1" applyFill="1" applyBorder="1" applyAlignment="1">
      <alignment horizontal="left"/>
    </xf>
    <xf numFmtId="0" fontId="6" fillId="5" borderId="13" xfId="0" applyFont="1" applyFill="1" applyBorder="1" applyAlignment="1">
      <alignment horizontal="left"/>
    </xf>
    <xf numFmtId="0" fontId="29" fillId="8" borderId="13" xfId="0" applyFont="1" applyFill="1" applyBorder="1" applyAlignment="1">
      <alignment horizontal="left"/>
    </xf>
    <xf numFmtId="0" fontId="7" fillId="7" borderId="13" xfId="0" applyFont="1" applyFill="1" applyBorder="1" applyAlignment="1">
      <alignment horizontal="left"/>
    </xf>
    <xf numFmtId="0" fontId="6" fillId="7" borderId="16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8" borderId="13" xfId="0" applyFont="1" applyFill="1" applyBorder="1" applyAlignment="1">
      <alignment horizontal="left"/>
    </xf>
    <xf numFmtId="0" fontId="10" fillId="8" borderId="14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76D836B-8541-4A3B-B8B2-2D54864AB9E5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E417-B207-4C84-B054-74F565A6902E}">
  <sheetPr>
    <tabColor rgb="FF1B5E20"/>
  </sheetPr>
  <dimension ref="A1:M6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33.33203125" customWidth="1"/>
    <col min="2" max="2" width="25.88671875" customWidth="1"/>
    <col min="3" max="13" width="13" customWidth="1"/>
  </cols>
  <sheetData>
    <row r="1" spans="1:13" ht="30" customHeight="1" x14ac:dyDescent="0.35">
      <c r="A1" s="83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05" customHeight="1" thickBot="1" x14ac:dyDescent="0.35">
      <c r="A3" s="2" t="s">
        <v>33</v>
      </c>
      <c r="B3" s="2" t="s">
        <v>34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191</v>
      </c>
      <c r="J3" s="4" t="s">
        <v>192</v>
      </c>
      <c r="K3" s="4" t="s">
        <v>193</v>
      </c>
      <c r="L3" s="4" t="s">
        <v>194</v>
      </c>
      <c r="M3" s="4" t="s">
        <v>195</v>
      </c>
    </row>
    <row r="4" spans="1:13" ht="19.95" customHeight="1" x14ac:dyDescent="0.3">
      <c r="A4" s="334" t="s">
        <v>36</v>
      </c>
      <c r="B4" s="334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ht="19.95" customHeight="1" x14ac:dyDescent="0.3">
      <c r="A5" s="331" t="s">
        <v>49</v>
      </c>
      <c r="B5" s="331" t="s">
        <v>196</v>
      </c>
      <c r="C5" s="148">
        <v>0.59899999999999998</v>
      </c>
      <c r="D5" s="148">
        <v>0.45</v>
      </c>
      <c r="E5" s="148">
        <v>0.38</v>
      </c>
      <c r="F5" s="148">
        <v>0.3</v>
      </c>
      <c r="G5" s="148">
        <v>0.25</v>
      </c>
      <c r="H5" s="148">
        <v>0.22</v>
      </c>
      <c r="I5" s="148">
        <v>0.2</v>
      </c>
      <c r="J5" s="148">
        <v>0.18</v>
      </c>
      <c r="K5" s="148">
        <v>0.16</v>
      </c>
      <c r="L5" s="148">
        <v>0.14000000000000001</v>
      </c>
      <c r="M5" s="148">
        <v>0.12</v>
      </c>
    </row>
    <row r="6" spans="1:13" ht="19.95" customHeight="1" x14ac:dyDescent="0.3">
      <c r="A6" s="339" t="s">
        <v>148</v>
      </c>
      <c r="B6" s="339" t="s">
        <v>197</v>
      </c>
      <c r="C6" s="310">
        <f>750</f>
        <v>750</v>
      </c>
      <c r="D6" s="310">
        <f>C6*(1+D5)</f>
        <v>1087.5</v>
      </c>
      <c r="E6" s="310">
        <f t="shared" ref="E6:M6" si="0">D6*(1+E5)</f>
        <v>1500.7499999999998</v>
      </c>
      <c r="F6" s="310">
        <f t="shared" si="0"/>
        <v>1950.9749999999997</v>
      </c>
      <c r="G6" s="310">
        <f t="shared" si="0"/>
        <v>2438.7187499999995</v>
      </c>
      <c r="H6" s="310">
        <f t="shared" si="0"/>
        <v>2975.2368749999996</v>
      </c>
      <c r="I6" s="310">
        <f t="shared" si="0"/>
        <v>3570.2842499999992</v>
      </c>
      <c r="J6" s="310">
        <f t="shared" si="0"/>
        <v>4212.935414999999</v>
      </c>
      <c r="K6" s="310">
        <f t="shared" si="0"/>
        <v>4887.0050813999987</v>
      </c>
      <c r="L6" s="310">
        <f t="shared" si="0"/>
        <v>5571.1857927959991</v>
      </c>
      <c r="M6" s="310">
        <f t="shared" si="0"/>
        <v>6239.7280879315194</v>
      </c>
    </row>
    <row r="7" spans="1:13" ht="19.95" customHeight="1" x14ac:dyDescent="0.3">
      <c r="A7" s="341" t="s">
        <v>198</v>
      </c>
      <c r="B7" s="341" t="s">
        <v>199</v>
      </c>
      <c r="C7" s="150" t="s">
        <v>356</v>
      </c>
      <c r="D7" s="150" t="s">
        <v>357</v>
      </c>
      <c r="E7" s="150" t="s">
        <v>358</v>
      </c>
      <c r="F7" s="150" t="s">
        <v>359</v>
      </c>
      <c r="G7" s="150" t="s">
        <v>360</v>
      </c>
      <c r="H7" s="150" t="s">
        <v>361</v>
      </c>
      <c r="I7" s="150" t="s">
        <v>362</v>
      </c>
      <c r="J7" s="150" t="s">
        <v>363</v>
      </c>
      <c r="K7" s="150" t="s">
        <v>364</v>
      </c>
      <c r="L7" s="150" t="s">
        <v>364</v>
      </c>
      <c r="M7" s="150" t="s">
        <v>364</v>
      </c>
    </row>
    <row r="8" spans="1:13" ht="19.95" customHeight="1" x14ac:dyDescent="0.3">
      <c r="A8" s="322"/>
      <c r="B8" s="322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 ht="19.95" customHeight="1" x14ac:dyDescent="0.3">
      <c r="A9" s="336" t="s">
        <v>50</v>
      </c>
      <c r="B9" s="336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0" spans="1:13" ht="19.95" customHeight="1" x14ac:dyDescent="0.3">
      <c r="A10" s="331" t="s">
        <v>51</v>
      </c>
      <c r="B10" s="331" t="s">
        <v>200</v>
      </c>
      <c r="C10" s="148">
        <v>0.1</v>
      </c>
      <c r="D10" s="148">
        <v>0.1</v>
      </c>
      <c r="E10" s="148">
        <v>0.1</v>
      </c>
      <c r="F10" s="148">
        <v>0.105</v>
      </c>
      <c r="G10" s="148">
        <v>0.105</v>
      </c>
      <c r="H10" s="148">
        <v>0.11</v>
      </c>
      <c r="I10" s="148">
        <v>0.11</v>
      </c>
      <c r="J10" s="148">
        <v>0.115</v>
      </c>
      <c r="K10" s="148">
        <v>0.115</v>
      </c>
      <c r="L10" s="148">
        <v>0.12</v>
      </c>
      <c r="M10" s="148">
        <v>0.12</v>
      </c>
    </row>
    <row r="11" spans="1:13" ht="19.95" customHeight="1" x14ac:dyDescent="0.3">
      <c r="A11" s="331" t="s">
        <v>52</v>
      </c>
      <c r="B11" s="331" t="s">
        <v>200</v>
      </c>
      <c r="C11" s="148">
        <v>0.18</v>
      </c>
      <c r="D11" s="148">
        <v>0.18</v>
      </c>
      <c r="E11" s="148">
        <v>0.18</v>
      </c>
      <c r="F11" s="148">
        <v>0.17499999999999999</v>
      </c>
      <c r="G11" s="148">
        <v>0.17499999999999999</v>
      </c>
      <c r="H11" s="148">
        <v>0.17</v>
      </c>
      <c r="I11" s="148">
        <v>0.17</v>
      </c>
      <c r="J11" s="148">
        <v>0.16500000000000001</v>
      </c>
      <c r="K11" s="148">
        <v>0.16500000000000001</v>
      </c>
      <c r="L11" s="148">
        <v>0.16</v>
      </c>
      <c r="M11" s="148">
        <v>0.16</v>
      </c>
    </row>
    <row r="12" spans="1:13" ht="19.95" customHeight="1" x14ac:dyDescent="0.3">
      <c r="A12" s="331" t="s">
        <v>53</v>
      </c>
      <c r="B12" s="331" t="s">
        <v>200</v>
      </c>
      <c r="C12" s="148">
        <v>0.18</v>
      </c>
      <c r="D12" s="148">
        <v>0.17</v>
      </c>
      <c r="E12" s="148">
        <v>0.16</v>
      </c>
      <c r="F12" s="148">
        <v>0.155</v>
      </c>
      <c r="G12" s="148">
        <v>0.15</v>
      </c>
      <c r="H12" s="148">
        <v>0.14499999999999999</v>
      </c>
      <c r="I12" s="148">
        <v>0.14000000000000001</v>
      </c>
      <c r="J12" s="148">
        <v>0.13500000000000001</v>
      </c>
      <c r="K12" s="148">
        <v>0.13</v>
      </c>
      <c r="L12" s="148">
        <v>0.125</v>
      </c>
      <c r="M12" s="148">
        <v>0.12</v>
      </c>
    </row>
    <row r="13" spans="1:13" ht="19.95" customHeight="1" x14ac:dyDescent="0.3">
      <c r="A13" s="331" t="s">
        <v>54</v>
      </c>
      <c r="B13" s="331" t="s">
        <v>200</v>
      </c>
      <c r="C13" s="148">
        <v>0.09</v>
      </c>
      <c r="D13" s="148">
        <v>0.09</v>
      </c>
      <c r="E13" s="148">
        <v>8.5000000000000006E-2</v>
      </c>
      <c r="F13" s="148">
        <v>8.5000000000000006E-2</v>
      </c>
      <c r="G13" s="148">
        <v>0.08</v>
      </c>
      <c r="H13" s="148">
        <v>0.08</v>
      </c>
      <c r="I13" s="148">
        <v>7.4999999999999997E-2</v>
      </c>
      <c r="J13" s="148">
        <v>7.4999999999999997E-2</v>
      </c>
      <c r="K13" s="148">
        <v>7.0000000000000007E-2</v>
      </c>
      <c r="L13" s="148">
        <v>7.0000000000000007E-2</v>
      </c>
      <c r="M13" s="148">
        <v>6.5000000000000002E-2</v>
      </c>
    </row>
    <row r="14" spans="1:13" ht="19.95" customHeight="1" x14ac:dyDescent="0.3">
      <c r="A14" s="339" t="s">
        <v>55</v>
      </c>
      <c r="B14" s="339" t="s">
        <v>102</v>
      </c>
      <c r="C14" s="153">
        <f>1-C10-C11-C12-C13</f>
        <v>0.45000000000000007</v>
      </c>
      <c r="D14" s="153">
        <f t="shared" ref="D14:M14" si="1">1-D10-D11-D12-D13</f>
        <v>0.45999999999999996</v>
      </c>
      <c r="E14" s="153">
        <f>1-E10-E11-E12-E13</f>
        <v>0.47499999999999992</v>
      </c>
      <c r="F14" s="153">
        <f t="shared" si="1"/>
        <v>0.47999999999999993</v>
      </c>
      <c r="G14" s="153">
        <f t="shared" si="1"/>
        <v>0.48999999999999994</v>
      </c>
      <c r="H14" s="153">
        <f t="shared" si="1"/>
        <v>0.49499999999999994</v>
      </c>
      <c r="I14" s="153">
        <f t="shared" si="1"/>
        <v>0.505</v>
      </c>
      <c r="J14" s="153">
        <f t="shared" si="1"/>
        <v>0.51</v>
      </c>
      <c r="K14" s="153">
        <f t="shared" si="1"/>
        <v>0.52</v>
      </c>
      <c r="L14" s="153">
        <f t="shared" si="1"/>
        <v>0.52499999999999991</v>
      </c>
      <c r="M14" s="153">
        <f t="shared" si="1"/>
        <v>0.53499999999999992</v>
      </c>
    </row>
    <row r="15" spans="1:13" ht="19.95" customHeight="1" x14ac:dyDescent="0.3">
      <c r="A15" s="322"/>
      <c r="B15" s="322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ht="19.95" customHeight="1" x14ac:dyDescent="0.3">
      <c r="A16" s="331" t="s">
        <v>56</v>
      </c>
      <c r="B16" s="331" t="s">
        <v>200</v>
      </c>
      <c r="C16" s="148">
        <v>0.05</v>
      </c>
      <c r="D16" s="148">
        <v>0.05</v>
      </c>
      <c r="E16" s="148">
        <v>0.05</v>
      </c>
      <c r="F16" s="148">
        <v>4.8000000000000001E-2</v>
      </c>
      <c r="G16" s="148">
        <v>4.8000000000000001E-2</v>
      </c>
      <c r="H16" s="148">
        <v>4.5999999999999999E-2</v>
      </c>
      <c r="I16" s="148">
        <v>4.5999999999999999E-2</v>
      </c>
      <c r="J16" s="148">
        <v>4.4999999999999998E-2</v>
      </c>
      <c r="K16" s="148">
        <v>4.4999999999999998E-2</v>
      </c>
      <c r="L16" s="148">
        <v>4.3999999999999997E-2</v>
      </c>
      <c r="M16" s="148">
        <v>4.3999999999999997E-2</v>
      </c>
    </row>
    <row r="17" spans="1:13" ht="19.95" customHeight="1" x14ac:dyDescent="0.3">
      <c r="A17" s="331" t="s">
        <v>57</v>
      </c>
      <c r="B17" s="331" t="s">
        <v>58</v>
      </c>
      <c r="C17" s="148">
        <v>0.25</v>
      </c>
      <c r="D17" s="148">
        <v>0.25</v>
      </c>
      <c r="E17" s="148">
        <v>0.25</v>
      </c>
      <c r="F17" s="148">
        <v>0.25</v>
      </c>
      <c r="G17" s="148">
        <v>0.25</v>
      </c>
      <c r="H17" s="148">
        <v>0.25</v>
      </c>
      <c r="I17" s="148">
        <v>0.25</v>
      </c>
      <c r="J17" s="148">
        <v>0.25</v>
      </c>
      <c r="K17" s="148">
        <v>0.25</v>
      </c>
      <c r="L17" s="148">
        <v>0.25</v>
      </c>
      <c r="M17" s="148">
        <v>0.25</v>
      </c>
    </row>
    <row r="18" spans="1:13" ht="19.95" customHeight="1" x14ac:dyDescent="0.3">
      <c r="A18" s="342" t="s">
        <v>27</v>
      </c>
      <c r="B18" s="342" t="s">
        <v>201</v>
      </c>
      <c r="C18" s="154">
        <v>8</v>
      </c>
      <c r="D18" s="154">
        <v>10</v>
      </c>
      <c r="E18" s="154">
        <v>12</v>
      </c>
      <c r="F18" s="154">
        <v>14</v>
      </c>
      <c r="G18" s="154">
        <v>16</v>
      </c>
      <c r="H18" s="154">
        <v>18</v>
      </c>
      <c r="I18" s="154">
        <v>20</v>
      </c>
      <c r="J18" s="154">
        <v>22</v>
      </c>
      <c r="K18" s="154">
        <v>24</v>
      </c>
      <c r="L18" s="154">
        <v>26</v>
      </c>
      <c r="M18" s="154">
        <v>28</v>
      </c>
    </row>
    <row r="19" spans="1:13" ht="19.95" customHeight="1" x14ac:dyDescent="0.3">
      <c r="A19" s="342" t="s">
        <v>202</v>
      </c>
      <c r="B19" s="342" t="s">
        <v>201</v>
      </c>
      <c r="C19" s="154">
        <v>14</v>
      </c>
      <c r="D19" s="154">
        <v>12</v>
      </c>
      <c r="E19" s="154">
        <v>10</v>
      </c>
      <c r="F19" s="154">
        <v>8</v>
      </c>
      <c r="G19" s="154">
        <v>7</v>
      </c>
      <c r="H19" s="154">
        <v>6</v>
      </c>
      <c r="I19" s="154">
        <v>5</v>
      </c>
      <c r="J19" s="154">
        <v>5</v>
      </c>
      <c r="K19" s="154">
        <v>4</v>
      </c>
      <c r="L19" s="154">
        <v>4</v>
      </c>
      <c r="M19" s="154">
        <v>3</v>
      </c>
    </row>
    <row r="20" spans="1:13" ht="19.95" customHeight="1" x14ac:dyDescent="0.3">
      <c r="A20" s="338"/>
      <c r="B20" s="338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</row>
    <row r="21" spans="1:13" ht="19.95" customHeight="1" x14ac:dyDescent="0.3">
      <c r="A21" s="337" t="s">
        <v>121</v>
      </c>
      <c r="B21" s="337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</row>
    <row r="22" spans="1:13" ht="19.95" customHeight="1" x14ac:dyDescent="0.3">
      <c r="A22" s="342" t="s">
        <v>59</v>
      </c>
      <c r="B22" s="342" t="s">
        <v>60</v>
      </c>
      <c r="C22" s="157">
        <v>70</v>
      </c>
      <c r="D22" s="157">
        <v>68</v>
      </c>
      <c r="E22" s="157">
        <v>65</v>
      </c>
      <c r="F22" s="157">
        <v>62</v>
      </c>
      <c r="G22" s="157">
        <v>60</v>
      </c>
      <c r="H22" s="157">
        <v>58</v>
      </c>
      <c r="I22" s="157">
        <v>56</v>
      </c>
      <c r="J22" s="157">
        <v>55</v>
      </c>
      <c r="K22" s="157">
        <v>54</v>
      </c>
      <c r="L22" s="157">
        <v>53</v>
      </c>
      <c r="M22" s="157">
        <v>52</v>
      </c>
    </row>
    <row r="23" spans="1:13" ht="19.95" customHeight="1" x14ac:dyDescent="0.3">
      <c r="A23" s="342" t="s">
        <v>203</v>
      </c>
      <c r="B23" s="342" t="s">
        <v>204</v>
      </c>
      <c r="C23" s="157">
        <v>-60</v>
      </c>
      <c r="D23" s="157">
        <v>-70</v>
      </c>
      <c r="E23" s="157">
        <v>-85</v>
      </c>
      <c r="F23" s="157">
        <v>-100</v>
      </c>
      <c r="G23" s="157">
        <v>-125</v>
      </c>
      <c r="H23" s="157">
        <v>-145</v>
      </c>
      <c r="I23" s="157">
        <v>-170</v>
      </c>
      <c r="J23" s="157">
        <v>-195</v>
      </c>
      <c r="K23" s="157">
        <v>-225</v>
      </c>
      <c r="L23" s="157">
        <v>-250</v>
      </c>
      <c r="M23" s="157">
        <v>-280</v>
      </c>
    </row>
    <row r="24" spans="1:13" ht="19.95" customHeight="1" x14ac:dyDescent="0.3">
      <c r="A24" s="342" t="s">
        <v>205</v>
      </c>
      <c r="B24" s="342" t="s">
        <v>206</v>
      </c>
      <c r="C24" s="157">
        <v>-40</v>
      </c>
      <c r="D24" s="157">
        <v>-55</v>
      </c>
      <c r="E24" s="157">
        <v>-65</v>
      </c>
      <c r="F24" s="157">
        <v>-60</v>
      </c>
      <c r="G24" s="157">
        <v>-55</v>
      </c>
      <c r="H24" s="157">
        <v>-50</v>
      </c>
      <c r="I24" s="157">
        <v>-45</v>
      </c>
      <c r="J24" s="157">
        <v>-42</v>
      </c>
      <c r="K24" s="157">
        <v>-40</v>
      </c>
      <c r="L24" s="157">
        <v>-38</v>
      </c>
      <c r="M24" s="157">
        <v>-35</v>
      </c>
    </row>
    <row r="25" spans="1:13" ht="19.95" customHeight="1" x14ac:dyDescent="0.3">
      <c r="A25" s="342" t="s">
        <v>80</v>
      </c>
      <c r="B25" s="342" t="s">
        <v>200</v>
      </c>
      <c r="C25" s="158">
        <v>0.15</v>
      </c>
      <c r="D25" s="158">
        <v>0.15</v>
      </c>
      <c r="E25" s="158">
        <v>0.15</v>
      </c>
      <c r="F25" s="158">
        <v>0.15</v>
      </c>
      <c r="G25" s="158">
        <v>0.15</v>
      </c>
      <c r="H25" s="158">
        <v>0.15</v>
      </c>
      <c r="I25" s="158">
        <v>0.14000000000000001</v>
      </c>
      <c r="J25" s="158">
        <v>0.14000000000000001</v>
      </c>
      <c r="K25" s="158">
        <v>0.14000000000000001</v>
      </c>
      <c r="L25" s="158">
        <v>0.13</v>
      </c>
      <c r="M25" s="158">
        <v>0.13</v>
      </c>
    </row>
    <row r="26" spans="1:13" ht="19.95" customHeight="1" x14ac:dyDescent="0.3">
      <c r="A26" s="342" t="s">
        <v>79</v>
      </c>
      <c r="B26" s="342" t="s">
        <v>201</v>
      </c>
      <c r="C26" s="157">
        <v>70</v>
      </c>
      <c r="D26" s="157">
        <v>75</v>
      </c>
      <c r="E26" s="157">
        <v>78</v>
      </c>
      <c r="F26" s="157">
        <v>78</v>
      </c>
      <c r="G26" s="157">
        <v>75</v>
      </c>
      <c r="H26" s="157">
        <v>72</v>
      </c>
      <c r="I26" s="157">
        <v>70</v>
      </c>
      <c r="J26" s="157">
        <v>68</v>
      </c>
      <c r="K26" s="157">
        <v>65</v>
      </c>
      <c r="L26" s="157">
        <v>62</v>
      </c>
      <c r="M26" s="157">
        <v>60</v>
      </c>
    </row>
    <row r="27" spans="1:13" ht="19.95" customHeight="1" x14ac:dyDescent="0.3">
      <c r="A27" s="342" t="s">
        <v>122</v>
      </c>
      <c r="B27" s="342" t="s">
        <v>123</v>
      </c>
      <c r="C27" s="159">
        <v>0.88</v>
      </c>
      <c r="D27" s="159">
        <v>0.88</v>
      </c>
      <c r="E27" s="159">
        <v>0.88</v>
      </c>
      <c r="F27" s="159">
        <v>0.88</v>
      </c>
      <c r="G27" s="159">
        <v>0.87</v>
      </c>
      <c r="H27" s="159">
        <v>0.87</v>
      </c>
      <c r="I27" s="159">
        <v>0.86</v>
      </c>
      <c r="J27" s="159">
        <v>0.86</v>
      </c>
      <c r="K27" s="159">
        <v>0.85</v>
      </c>
      <c r="L27" s="159">
        <v>0.85</v>
      </c>
      <c r="M27" s="159">
        <v>0.85</v>
      </c>
    </row>
    <row r="28" spans="1:13" ht="19.95" customHeight="1" x14ac:dyDescent="0.3">
      <c r="A28" s="341" t="s">
        <v>207</v>
      </c>
      <c r="B28" s="341" t="s">
        <v>208</v>
      </c>
      <c r="C28" s="159">
        <f>1-C27</f>
        <v>0.12</v>
      </c>
      <c r="D28" s="159">
        <f t="shared" ref="D28:M28" si="2">1-D27</f>
        <v>0.12</v>
      </c>
      <c r="E28" s="159">
        <f t="shared" si="2"/>
        <v>0.12</v>
      </c>
      <c r="F28" s="159">
        <f t="shared" si="2"/>
        <v>0.12</v>
      </c>
      <c r="G28" s="159">
        <f t="shared" si="2"/>
        <v>0.13</v>
      </c>
      <c r="H28" s="159">
        <f t="shared" si="2"/>
        <v>0.13</v>
      </c>
      <c r="I28" s="159">
        <f t="shared" si="2"/>
        <v>0.14000000000000001</v>
      </c>
      <c r="J28" s="159">
        <f t="shared" si="2"/>
        <v>0.14000000000000001</v>
      </c>
      <c r="K28" s="159">
        <f t="shared" si="2"/>
        <v>0.15000000000000002</v>
      </c>
      <c r="L28" s="159">
        <f t="shared" si="2"/>
        <v>0.15000000000000002</v>
      </c>
      <c r="M28" s="159">
        <f t="shared" si="2"/>
        <v>0.15000000000000002</v>
      </c>
    </row>
    <row r="29" spans="1:13" ht="19.95" customHeight="1" x14ac:dyDescent="0.3">
      <c r="A29" s="342" t="s">
        <v>209</v>
      </c>
      <c r="B29" s="342" t="s">
        <v>201</v>
      </c>
      <c r="C29" s="157">
        <v>60</v>
      </c>
      <c r="D29" s="157">
        <v>70</v>
      </c>
      <c r="E29" s="157">
        <v>85</v>
      </c>
      <c r="F29" s="157">
        <v>100</v>
      </c>
      <c r="G29" s="157">
        <v>125</v>
      </c>
      <c r="H29" s="157">
        <v>145</v>
      </c>
      <c r="I29" s="157">
        <v>170</v>
      </c>
      <c r="J29" s="157">
        <v>195</v>
      </c>
      <c r="K29" s="157">
        <v>225</v>
      </c>
      <c r="L29" s="157">
        <v>250</v>
      </c>
      <c r="M29" s="157">
        <v>280</v>
      </c>
    </row>
    <row r="30" spans="1:13" ht="19.95" customHeight="1" x14ac:dyDescent="0.3">
      <c r="A30" s="342" t="s">
        <v>210</v>
      </c>
      <c r="B30" s="342" t="s">
        <v>201</v>
      </c>
      <c r="C30" s="157">
        <v>110</v>
      </c>
      <c r="D30" s="157">
        <v>130</v>
      </c>
      <c r="E30" s="157">
        <v>155</v>
      </c>
      <c r="F30" s="157">
        <v>175</v>
      </c>
      <c r="G30" s="157">
        <v>195</v>
      </c>
      <c r="H30" s="157">
        <v>215</v>
      </c>
      <c r="I30" s="157">
        <v>230</v>
      </c>
      <c r="J30" s="157">
        <v>245</v>
      </c>
      <c r="K30" s="157">
        <v>258</v>
      </c>
      <c r="L30" s="157">
        <v>270</v>
      </c>
      <c r="M30" s="157">
        <v>280</v>
      </c>
    </row>
    <row r="31" spans="1:13" ht="19.95" customHeight="1" x14ac:dyDescent="0.3">
      <c r="A31" s="342" t="s">
        <v>211</v>
      </c>
      <c r="B31" s="342" t="s">
        <v>201</v>
      </c>
      <c r="C31" s="157">
        <v>40</v>
      </c>
      <c r="D31" s="157">
        <v>50</v>
      </c>
      <c r="E31" s="157">
        <v>60</v>
      </c>
      <c r="F31" s="157">
        <v>70</v>
      </c>
      <c r="G31" s="157">
        <v>80</v>
      </c>
      <c r="H31" s="157">
        <v>90</v>
      </c>
      <c r="I31" s="157">
        <v>100</v>
      </c>
      <c r="J31" s="157">
        <v>108</v>
      </c>
      <c r="K31" s="157">
        <v>115</v>
      </c>
      <c r="L31" s="157">
        <v>122</v>
      </c>
      <c r="M31" s="157">
        <v>128</v>
      </c>
    </row>
    <row r="32" spans="1:13" ht="19.95" customHeight="1" x14ac:dyDescent="0.3">
      <c r="A32" s="342" t="s">
        <v>212</v>
      </c>
      <c r="B32" s="342" t="s">
        <v>201</v>
      </c>
      <c r="C32" s="157">
        <v>60</v>
      </c>
      <c r="D32" s="157">
        <v>82</v>
      </c>
      <c r="E32" s="157">
        <v>110</v>
      </c>
      <c r="F32" s="157">
        <v>140</v>
      </c>
      <c r="G32" s="157">
        <v>172</v>
      </c>
      <c r="H32" s="157">
        <v>205</v>
      </c>
      <c r="I32" s="157">
        <v>235</v>
      </c>
      <c r="J32" s="157">
        <v>262</v>
      </c>
      <c r="K32" s="157">
        <v>288</v>
      </c>
      <c r="L32" s="157">
        <v>312</v>
      </c>
      <c r="M32" s="157">
        <v>335</v>
      </c>
    </row>
    <row r="33" spans="1:13" ht="19.95" customHeight="1" x14ac:dyDescent="0.3">
      <c r="A33" s="336" t="s">
        <v>76</v>
      </c>
      <c r="B33" s="336" t="s">
        <v>201</v>
      </c>
      <c r="C33" s="160">
        <v>12.4</v>
      </c>
      <c r="D33" s="160">
        <v>12.4</v>
      </c>
      <c r="E33" s="160">
        <v>12.4</v>
      </c>
      <c r="F33" s="160">
        <v>12.4</v>
      </c>
      <c r="G33" s="160">
        <v>12.4</v>
      </c>
      <c r="H33" s="160">
        <v>12.4</v>
      </c>
      <c r="I33" s="160">
        <v>12.4</v>
      </c>
      <c r="J33" s="160">
        <v>12.4</v>
      </c>
      <c r="K33" s="160">
        <v>12.4</v>
      </c>
      <c r="L33" s="160">
        <v>12.4</v>
      </c>
      <c r="M33" s="160">
        <v>12.4</v>
      </c>
    </row>
    <row r="34" spans="1:13" ht="19.95" customHeight="1" x14ac:dyDescent="0.3">
      <c r="A34" s="322"/>
      <c r="B34" s="322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</row>
    <row r="35" spans="1:13" ht="19.95" customHeight="1" x14ac:dyDescent="0.3">
      <c r="A35" s="337" t="s">
        <v>124</v>
      </c>
      <c r="B35" s="337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  <row r="36" spans="1:13" ht="19.95" customHeight="1" x14ac:dyDescent="0.3">
      <c r="A36" s="342" t="s">
        <v>213</v>
      </c>
      <c r="B36" s="342" t="s">
        <v>214</v>
      </c>
      <c r="C36" s="157">
        <v>2800</v>
      </c>
      <c r="D36" s="157">
        <v>4000</v>
      </c>
      <c r="E36" s="157">
        <v>5500</v>
      </c>
      <c r="F36" s="157">
        <v>7000</v>
      </c>
      <c r="G36" s="157">
        <v>8500</v>
      </c>
      <c r="H36" s="157">
        <v>10000</v>
      </c>
      <c r="I36" s="157">
        <v>11200</v>
      </c>
      <c r="J36" s="157">
        <v>12200</v>
      </c>
      <c r="K36" s="157">
        <v>13200</v>
      </c>
      <c r="L36" s="157">
        <v>14200</v>
      </c>
      <c r="M36" s="157">
        <v>15000</v>
      </c>
    </row>
    <row r="37" spans="1:13" ht="19.95" customHeight="1" x14ac:dyDescent="0.3">
      <c r="A37" s="342" t="s">
        <v>108</v>
      </c>
      <c r="B37" s="342" t="s">
        <v>215</v>
      </c>
      <c r="C37" s="157">
        <v>48</v>
      </c>
      <c r="D37" s="157">
        <v>58</v>
      </c>
      <c r="E37" s="157">
        <v>70</v>
      </c>
      <c r="F37" s="157">
        <v>82</v>
      </c>
      <c r="G37" s="157">
        <v>95</v>
      </c>
      <c r="H37" s="157">
        <v>108</v>
      </c>
      <c r="I37" s="157">
        <v>118</v>
      </c>
      <c r="J37" s="157">
        <v>128</v>
      </c>
      <c r="K37" s="157">
        <v>138</v>
      </c>
      <c r="L37" s="157">
        <v>148</v>
      </c>
      <c r="M37" s="157">
        <v>155</v>
      </c>
    </row>
    <row r="38" spans="1:13" ht="19.95" customHeight="1" x14ac:dyDescent="0.3">
      <c r="A38" s="342" t="s">
        <v>216</v>
      </c>
      <c r="B38" s="342" t="s">
        <v>215</v>
      </c>
      <c r="C38" s="157">
        <v>90</v>
      </c>
      <c r="D38" s="157">
        <v>105</v>
      </c>
      <c r="E38" s="157">
        <v>120</v>
      </c>
      <c r="F38" s="157">
        <v>140</v>
      </c>
      <c r="G38" s="157">
        <v>160</v>
      </c>
      <c r="H38" s="157">
        <v>180</v>
      </c>
      <c r="I38" s="157">
        <v>195</v>
      </c>
      <c r="J38" s="157">
        <v>210</v>
      </c>
      <c r="K38" s="157">
        <v>220</v>
      </c>
      <c r="L38" s="157">
        <v>230</v>
      </c>
      <c r="M38" s="157">
        <v>240</v>
      </c>
    </row>
    <row r="39" spans="1:13" ht="19.95" customHeight="1" x14ac:dyDescent="0.3">
      <c r="A39" s="341" t="s">
        <v>217</v>
      </c>
      <c r="B39" s="341" t="s">
        <v>218</v>
      </c>
      <c r="C39" s="161">
        <f>(C6/C36)*100</f>
        <v>26.785714285714285</v>
      </c>
      <c r="D39" s="161">
        <f t="shared" ref="D39:M39" si="3">(D6/D36)*100</f>
        <v>27.187499999999996</v>
      </c>
      <c r="E39" s="161">
        <f t="shared" si="3"/>
        <v>27.286363636363632</v>
      </c>
      <c r="F39" s="161">
        <f t="shared" si="3"/>
        <v>27.871071428571426</v>
      </c>
      <c r="G39" s="161">
        <f t="shared" si="3"/>
        <v>28.690808823529405</v>
      </c>
      <c r="H39" s="161">
        <f t="shared" si="3"/>
        <v>29.752368749999995</v>
      </c>
      <c r="I39" s="161">
        <f t="shared" si="3"/>
        <v>31.877537946428564</v>
      </c>
      <c r="J39" s="161">
        <f t="shared" si="3"/>
        <v>34.532257499999993</v>
      </c>
      <c r="K39" s="161">
        <f t="shared" si="3"/>
        <v>37.022765768181806</v>
      </c>
      <c r="L39" s="161">
        <f t="shared" si="3"/>
        <v>39.23370276616901</v>
      </c>
      <c r="M39" s="161">
        <f t="shared" si="3"/>
        <v>41.598187252876798</v>
      </c>
    </row>
    <row r="40" spans="1:13" ht="19.95" customHeight="1" x14ac:dyDescent="0.3">
      <c r="A40" s="322"/>
      <c r="B40" s="322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</row>
    <row r="41" spans="1:13" ht="19.95" customHeight="1" x14ac:dyDescent="0.3">
      <c r="A41" s="337" t="s">
        <v>219</v>
      </c>
      <c r="B41" s="337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</row>
    <row r="42" spans="1:13" ht="19.95" customHeight="1" x14ac:dyDescent="0.3">
      <c r="A42" s="343" t="s">
        <v>37</v>
      </c>
      <c r="B42" s="343" t="s">
        <v>38</v>
      </c>
      <c r="C42" s="163">
        <v>0.17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</row>
    <row r="43" spans="1:13" ht="19.95" customHeight="1" x14ac:dyDescent="0.3">
      <c r="A43" s="342" t="s">
        <v>39</v>
      </c>
      <c r="B43" s="342" t="s">
        <v>40</v>
      </c>
      <c r="C43" s="158">
        <v>0.38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13" ht="19.95" customHeight="1" x14ac:dyDescent="0.3">
      <c r="A44" s="336" t="s">
        <v>39</v>
      </c>
      <c r="B44" s="336" t="s">
        <v>220</v>
      </c>
      <c r="C44" s="164">
        <v>750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1:13" ht="19.95" customHeight="1" x14ac:dyDescent="0.3">
      <c r="A45" s="342" t="s">
        <v>41</v>
      </c>
      <c r="B45" s="342" t="s">
        <v>221</v>
      </c>
      <c r="C45" s="157">
        <v>2290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</row>
    <row r="46" spans="1:13" ht="19.95" customHeight="1" x14ac:dyDescent="0.3">
      <c r="A46" s="343" t="s">
        <v>41</v>
      </c>
      <c r="B46" s="343" t="s">
        <v>42</v>
      </c>
      <c r="C46" s="165" t="s">
        <v>43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</row>
    <row r="47" spans="1:13" ht="19.95" customHeight="1" x14ac:dyDescent="0.3">
      <c r="A47" s="342" t="s">
        <v>41</v>
      </c>
      <c r="B47" s="342" t="s">
        <v>44</v>
      </c>
      <c r="C47" s="166" t="s">
        <v>45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</row>
    <row r="48" spans="1:13" ht="19.95" customHeight="1" x14ac:dyDescent="0.3">
      <c r="A48" s="344" t="s">
        <v>46</v>
      </c>
      <c r="B48" s="344" t="s">
        <v>47</v>
      </c>
      <c r="C48" s="168" t="s">
        <v>48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</row>
    <row r="49" spans="1:13" x14ac:dyDescent="0.3">
      <c r="A49" s="345" t="s">
        <v>125</v>
      </c>
      <c r="B49" s="345" t="s">
        <v>126</v>
      </c>
      <c r="C49" s="89" t="s">
        <v>222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</row>
    <row r="50" spans="1:13" x14ac:dyDescent="0.3">
      <c r="A50" s="346"/>
      <c r="B50" s="346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3">
      <c r="A51" s="2" t="s">
        <v>186</v>
      </c>
      <c r="B51" s="2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3">
      <c r="A52" s="347" t="s">
        <v>131</v>
      </c>
      <c r="B52" s="347" t="s">
        <v>187</v>
      </c>
      <c r="C52" s="10">
        <v>6.7000000000000004E-2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3">
      <c r="A53" s="348" t="s">
        <v>133</v>
      </c>
      <c r="B53" s="348" t="s">
        <v>188</v>
      </c>
      <c r="C53" s="11">
        <v>1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3">
      <c r="A54" s="347" t="s">
        <v>134</v>
      </c>
      <c r="B54" s="347" t="s">
        <v>187</v>
      </c>
      <c r="C54" s="10">
        <v>7.4999999999999997E-2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3">
      <c r="A55" s="345" t="s">
        <v>135</v>
      </c>
      <c r="B55" s="345" t="s">
        <v>187</v>
      </c>
      <c r="C55" s="90">
        <f>C52+C53*C54</f>
        <v>0.14200000000000002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</row>
    <row r="56" spans="1:13" x14ac:dyDescent="0.3">
      <c r="A56" s="347" t="s">
        <v>137</v>
      </c>
      <c r="B56" s="347" t="s">
        <v>187</v>
      </c>
      <c r="C56" s="7">
        <v>0.09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3">
      <c r="A57" s="348" t="s">
        <v>223</v>
      </c>
      <c r="B57" s="348" t="s">
        <v>481</v>
      </c>
      <c r="C57" s="12">
        <f>'DCF Valuation'!B46/('DCF Valuation'!B53*'DCF Valuation'!B52)</f>
        <v>1.4652500739536594E-2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3">
      <c r="A58" s="347" t="s">
        <v>141</v>
      </c>
      <c r="B58" s="347" t="s">
        <v>189</v>
      </c>
      <c r="C58" s="7">
        <f>('DCF Valuation'!B53*'DCF Valuation'!B52)/(('DCF Valuation'!B53*'DCF Valuation'!B52)+'DCF Valuation'!B46)</f>
        <v>0.98555909463697466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3">
      <c r="A59" s="348" t="s">
        <v>142</v>
      </c>
      <c r="B59" s="348" t="s">
        <v>189</v>
      </c>
      <c r="C59" s="12">
        <f>1-C58</f>
        <v>1.4440905363025336E-2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3">
      <c r="A60" s="77" t="s">
        <v>144</v>
      </c>
      <c r="B60" s="77" t="s">
        <v>187</v>
      </c>
      <c r="C60" s="13">
        <f>(C58*C55)+(C59*C56*(1-C17))</f>
        <v>0.14092415255045462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3">
      <c r="A61" s="348" t="s">
        <v>154</v>
      </c>
      <c r="B61" s="348" t="s">
        <v>187</v>
      </c>
      <c r="C61" s="14">
        <v>0.04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3">
      <c r="A62" s="347" t="s">
        <v>165</v>
      </c>
      <c r="B62" s="347" t="s">
        <v>188</v>
      </c>
      <c r="C62" s="15" t="s">
        <v>190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68E7-0281-47BC-8374-95779D4A7365}">
  <sheetPr>
    <tabColor rgb="FF1B5E20"/>
  </sheetPr>
  <dimension ref="A1:N49"/>
  <sheetViews>
    <sheetView workbookViewId="0">
      <selection sqref="A1:N1"/>
    </sheetView>
  </sheetViews>
  <sheetFormatPr defaultRowHeight="14.4" x14ac:dyDescent="0.3"/>
  <cols>
    <col min="1" max="1" width="37" customWidth="1"/>
    <col min="2" max="2" width="33.33203125" customWidth="1"/>
    <col min="3" max="3" width="18.5546875" customWidth="1"/>
    <col min="4" max="4" width="27.77734375" customWidth="1"/>
    <col min="5" max="8" width="20.33203125" customWidth="1"/>
    <col min="9" max="9" width="48.109375" customWidth="1"/>
  </cols>
  <sheetData>
    <row r="1" spans="1:14" ht="30" customHeight="1" x14ac:dyDescent="0.35">
      <c r="A1" s="110" t="s">
        <v>365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11" t="s">
        <v>366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thickBot="1" x14ac:dyDescent="0.35">
      <c r="A5" s="76" t="s">
        <v>367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9.95" customHeight="1" x14ac:dyDescent="0.3">
      <c r="A6" s="170" t="s">
        <v>98</v>
      </c>
      <c r="B6" s="170" t="s">
        <v>368</v>
      </c>
      <c r="C6" s="170" t="s">
        <v>369</v>
      </c>
      <c r="D6" s="170" t="s">
        <v>370</v>
      </c>
      <c r="E6" s="170" t="s">
        <v>371</v>
      </c>
      <c r="F6" s="170" t="s">
        <v>372</v>
      </c>
      <c r="G6" s="48" t="s">
        <v>373</v>
      </c>
      <c r="H6" s="48" t="s">
        <v>6</v>
      </c>
      <c r="I6" s="1"/>
      <c r="J6" s="1"/>
      <c r="K6" s="1"/>
      <c r="L6" s="1"/>
      <c r="M6" s="1"/>
      <c r="N6" s="1"/>
    </row>
    <row r="7" spans="1:14" ht="19.95" customHeight="1" x14ac:dyDescent="0.3">
      <c r="A7" s="162" t="s">
        <v>148</v>
      </c>
      <c r="B7" s="260">
        <v>750</v>
      </c>
      <c r="C7" s="232">
        <v>174.29</v>
      </c>
      <c r="D7" s="232">
        <v>189.85</v>
      </c>
      <c r="E7" s="232">
        <v>221.7</v>
      </c>
      <c r="F7" s="239">
        <f>C7+D7+E7</f>
        <v>585.83999999999992</v>
      </c>
      <c r="G7" s="78">
        <f>B7-F7</f>
        <v>164.16000000000008</v>
      </c>
      <c r="H7" s="79">
        <f>Assumptions!C6</f>
        <v>750</v>
      </c>
      <c r="I7" s="1"/>
      <c r="J7" s="1"/>
      <c r="K7" s="1"/>
      <c r="L7" s="1"/>
      <c r="M7" s="1"/>
      <c r="N7" s="1"/>
    </row>
    <row r="8" spans="1:14" ht="19.95" customHeight="1" x14ac:dyDescent="0.3">
      <c r="A8" s="120" t="s">
        <v>374</v>
      </c>
      <c r="B8" s="116"/>
      <c r="C8" s="227">
        <v>0.74</v>
      </c>
      <c r="D8" s="227">
        <v>0.66</v>
      </c>
      <c r="E8" s="227">
        <v>0.92</v>
      </c>
      <c r="F8" s="226">
        <v>0.78</v>
      </c>
      <c r="G8" s="1"/>
      <c r="H8" s="80">
        <f>Assumptions!C5</f>
        <v>0.59899999999999998</v>
      </c>
      <c r="I8" s="1"/>
      <c r="J8" s="1"/>
      <c r="K8" s="1"/>
      <c r="L8" s="1"/>
      <c r="M8" s="1"/>
      <c r="N8" s="1"/>
    </row>
    <row r="9" spans="1:14" ht="19.95" customHeight="1" x14ac:dyDescent="0.3">
      <c r="A9" s="162" t="s">
        <v>375</v>
      </c>
      <c r="B9" s="116"/>
      <c r="C9" s="116"/>
      <c r="D9" s="116"/>
      <c r="E9" s="116"/>
      <c r="F9" s="261">
        <f>F7/B7</f>
        <v>0.78111999999999993</v>
      </c>
      <c r="G9" s="1"/>
      <c r="H9" s="1"/>
      <c r="I9" s="1"/>
      <c r="J9" s="1"/>
      <c r="K9" s="1"/>
      <c r="L9" s="1"/>
      <c r="M9" s="1"/>
      <c r="N9" s="1"/>
    </row>
    <row r="10" spans="1:14" ht="19.95" customHeight="1" x14ac:dyDescent="0.3">
      <c r="A10" s="125" t="s">
        <v>376</v>
      </c>
      <c r="B10" s="116"/>
      <c r="C10" s="116"/>
      <c r="D10" s="116"/>
      <c r="E10" s="116"/>
      <c r="F10" s="262" t="str">
        <f>IF(F9&gt;=0.75,"✅ On Track","⚠️ At Risk")</f>
        <v>✅ On Track</v>
      </c>
      <c r="G10" s="1"/>
      <c r="H10" s="1"/>
      <c r="I10" s="1"/>
      <c r="J10" s="1"/>
      <c r="K10" s="1"/>
      <c r="L10" s="1"/>
      <c r="M10" s="1"/>
      <c r="N10" s="1"/>
    </row>
    <row r="11" spans="1:14" ht="19.95" customHeight="1" x14ac:dyDescent="0.3">
      <c r="A11" s="162" t="s">
        <v>23</v>
      </c>
      <c r="B11" s="116"/>
      <c r="C11" s="232">
        <v>78.790000000000006</v>
      </c>
      <c r="D11" s="232">
        <v>92.06</v>
      </c>
      <c r="E11" s="232">
        <v>100.8</v>
      </c>
      <c r="F11" s="239">
        <f>C11+D11+E11</f>
        <v>271.65000000000003</v>
      </c>
      <c r="G11" s="1"/>
      <c r="H11" s="1"/>
      <c r="I11" s="1"/>
      <c r="J11" s="1"/>
      <c r="K11" s="1"/>
      <c r="L11" s="1"/>
      <c r="M11" s="1"/>
      <c r="N11" s="1"/>
    </row>
    <row r="12" spans="1:14" ht="19.95" customHeight="1" x14ac:dyDescent="0.3">
      <c r="A12" s="162" t="s">
        <v>102</v>
      </c>
      <c r="B12" s="263" t="s">
        <v>377</v>
      </c>
      <c r="C12" s="227">
        <f>C11/C7</f>
        <v>0.45206265419702801</v>
      </c>
      <c r="D12" s="227">
        <f>D11/D7</f>
        <v>0.48490913879378461</v>
      </c>
      <c r="E12" s="227">
        <f>E11/E7</f>
        <v>0.4546684709066306</v>
      </c>
      <c r="F12" s="226">
        <f>F11/F7</f>
        <v>0.46369315854158144</v>
      </c>
      <c r="G12" s="1"/>
      <c r="H12" s="80">
        <f>Assumptions!C14</f>
        <v>0.45000000000000007</v>
      </c>
      <c r="I12" s="1"/>
      <c r="J12" s="1"/>
      <c r="K12" s="1"/>
      <c r="L12" s="1"/>
      <c r="M12" s="1"/>
      <c r="N12" s="1"/>
    </row>
    <row r="13" spans="1:14" ht="19.95" customHeight="1" x14ac:dyDescent="0.3">
      <c r="A13" s="162" t="s">
        <v>378</v>
      </c>
      <c r="B13" s="116"/>
      <c r="C13" s="232">
        <v>51.31</v>
      </c>
      <c r="D13" s="232">
        <v>58.78</v>
      </c>
      <c r="E13" s="232">
        <v>66.73</v>
      </c>
      <c r="F13" s="239">
        <f>C13+D13+E13</f>
        <v>176.82</v>
      </c>
      <c r="G13" s="1"/>
      <c r="H13" s="81">
        <f>'Income Statement'!F25</f>
        <v>220.5</v>
      </c>
      <c r="I13" s="1"/>
      <c r="J13" s="1"/>
      <c r="K13" s="1"/>
      <c r="L13" s="1"/>
      <c r="M13" s="1"/>
      <c r="N13" s="1"/>
    </row>
    <row r="14" spans="1:14" ht="19.95" customHeight="1" x14ac:dyDescent="0.3">
      <c r="A14" s="167" t="s">
        <v>103</v>
      </c>
      <c r="B14" s="264"/>
      <c r="C14" s="265">
        <f>C13/C7</f>
        <v>0.29439440013770157</v>
      </c>
      <c r="D14" s="265">
        <f>D13/D7</f>
        <v>0.30961285225177776</v>
      </c>
      <c r="E14" s="265">
        <f>E13/E7</f>
        <v>0.3009923319801534</v>
      </c>
      <c r="F14" s="266">
        <f>F13/F7</f>
        <v>0.30182302335108563</v>
      </c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5" thickBot="1" x14ac:dyDescent="0.35">
      <c r="A16" s="76" t="s">
        <v>379</v>
      </c>
      <c r="B16" s="76"/>
      <c r="C16" s="76"/>
      <c r="D16" s="76"/>
      <c r="E16" s="76"/>
      <c r="F16" s="76"/>
      <c r="G16" s="76"/>
      <c r="H16" s="76"/>
      <c r="I16" s="76"/>
      <c r="J16" s="112"/>
      <c r="K16" s="112"/>
      <c r="L16" s="112"/>
      <c r="M16" s="112"/>
      <c r="N16" s="112"/>
    </row>
    <row r="17" spans="1:14" ht="19.95" customHeight="1" x14ac:dyDescent="0.3">
      <c r="A17" s="170" t="s">
        <v>98</v>
      </c>
      <c r="B17" s="170" t="s">
        <v>380</v>
      </c>
      <c r="C17" s="170" t="s">
        <v>381</v>
      </c>
      <c r="D17" s="170" t="s">
        <v>382</v>
      </c>
      <c r="E17" s="170" t="s">
        <v>383</v>
      </c>
      <c r="F17" s="170" t="s">
        <v>7</v>
      </c>
      <c r="G17" s="170" t="s">
        <v>8</v>
      </c>
      <c r="H17" s="170" t="s">
        <v>9</v>
      </c>
      <c r="I17" s="170" t="s">
        <v>384</v>
      </c>
      <c r="J17" s="1"/>
      <c r="K17" s="1"/>
      <c r="L17" s="1"/>
      <c r="M17" s="1"/>
      <c r="N17" s="1"/>
    </row>
    <row r="18" spans="1:14" ht="19.95" customHeight="1" x14ac:dyDescent="0.3">
      <c r="A18" s="162" t="s">
        <v>214</v>
      </c>
      <c r="B18" s="165" t="s">
        <v>385</v>
      </c>
      <c r="C18" s="171" t="s">
        <v>386</v>
      </c>
      <c r="D18" s="267">
        <f>Assumptions!C45</f>
        <v>2290</v>
      </c>
      <c r="E18" s="267">
        <f>Assumptions!C36</f>
        <v>2800</v>
      </c>
      <c r="F18" s="268">
        <f>Assumptions!D36</f>
        <v>4000</v>
      </c>
      <c r="G18" s="268">
        <f>Assumptions!E36</f>
        <v>5500</v>
      </c>
      <c r="H18" s="268">
        <f>Assumptions!F36</f>
        <v>7000</v>
      </c>
      <c r="I18" s="162" t="str">
        <f>IF(H18&gt;=7000,"✅ Lower target met by FY29","⏳ On track - "&amp;TEXT(H18,"#,##0")&amp;" beds by FY29")</f>
        <v>✅ Lower target met by FY29</v>
      </c>
      <c r="J18" s="1"/>
      <c r="K18" s="1"/>
      <c r="L18" s="1"/>
      <c r="M18" s="1"/>
      <c r="N18" s="1"/>
    </row>
    <row r="19" spans="1:14" ht="19.95" customHeight="1" x14ac:dyDescent="0.3">
      <c r="A19" s="120" t="s">
        <v>108</v>
      </c>
      <c r="B19" s="263" t="s">
        <v>387</v>
      </c>
      <c r="C19" s="269" t="s">
        <v>388</v>
      </c>
      <c r="D19" s="270">
        <v>40</v>
      </c>
      <c r="E19" s="268">
        <f>Assumptions!C37</f>
        <v>48</v>
      </c>
      <c r="F19" s="268">
        <f>Assumptions!D37</f>
        <v>58</v>
      </c>
      <c r="G19" s="268">
        <f>Assumptions!E37</f>
        <v>70</v>
      </c>
      <c r="H19" s="268">
        <f>Assumptions!F37</f>
        <v>82</v>
      </c>
      <c r="I19" s="120" t="str">
        <f>"Adding ~"&amp;TEXT(E19-D19,"#,##0")&amp;" hospitals/yr"</f>
        <v>Adding ~8 hospitals/yr</v>
      </c>
      <c r="J19" s="1"/>
      <c r="K19" s="1"/>
      <c r="L19" s="1"/>
      <c r="M19" s="1"/>
      <c r="N19" s="1"/>
    </row>
    <row r="20" spans="1:14" ht="19.95" customHeight="1" x14ac:dyDescent="0.3">
      <c r="A20" s="162" t="s">
        <v>216</v>
      </c>
      <c r="B20" s="165" t="s">
        <v>389</v>
      </c>
      <c r="C20" s="171" t="s">
        <v>388</v>
      </c>
      <c r="D20" s="271">
        <v>80</v>
      </c>
      <c r="E20" s="267">
        <f>Assumptions!C38</f>
        <v>90</v>
      </c>
      <c r="F20" s="268">
        <f>Assumptions!D38</f>
        <v>105</v>
      </c>
      <c r="G20" s="268">
        <f>Assumptions!E38</f>
        <v>120</v>
      </c>
      <c r="H20" s="268">
        <f>Assumptions!F38</f>
        <v>140</v>
      </c>
      <c r="I20" s="162" t="s">
        <v>390</v>
      </c>
      <c r="J20" s="1"/>
      <c r="K20" s="1"/>
      <c r="L20" s="1"/>
      <c r="M20" s="1"/>
      <c r="N20" s="1"/>
    </row>
    <row r="21" spans="1:14" ht="19.95" customHeight="1" x14ac:dyDescent="0.3">
      <c r="A21" s="146" t="s">
        <v>391</v>
      </c>
      <c r="B21" s="264"/>
      <c r="C21" s="264"/>
      <c r="D21" s="272">
        <f>'Key Metrics'!E15</f>
        <v>22.878048780487806</v>
      </c>
      <c r="E21" s="272">
        <f>'Key Metrics'!F15</f>
        <v>26.785714285714285</v>
      </c>
      <c r="F21" s="264"/>
      <c r="G21" s="264"/>
      <c r="H21" s="264"/>
      <c r="I21" s="146" t="str">
        <f>IF(E21&gt;D21,"✅ Rev/bed improving","⚠️ Rev/bed declining")</f>
        <v>✅ Rev/bed improving</v>
      </c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" thickBot="1" x14ac:dyDescent="0.35">
      <c r="A23" s="76" t="s">
        <v>392</v>
      </c>
      <c r="B23" s="76"/>
      <c r="C23" s="76"/>
      <c r="D23" s="76"/>
      <c r="E23" s="76"/>
      <c r="F23" s="76"/>
      <c r="G23" s="76"/>
      <c r="H23" s="112"/>
      <c r="I23" s="112"/>
      <c r="J23" s="112"/>
      <c r="K23" s="112"/>
      <c r="L23" s="112"/>
      <c r="M23" s="112"/>
      <c r="N23" s="112"/>
    </row>
    <row r="24" spans="1:14" ht="22.05" customHeight="1" x14ac:dyDescent="0.3">
      <c r="A24" s="170" t="s">
        <v>393</v>
      </c>
      <c r="B24" s="170" t="s">
        <v>394</v>
      </c>
      <c r="C24" s="170" t="s">
        <v>381</v>
      </c>
      <c r="D24" s="170" t="s">
        <v>395</v>
      </c>
      <c r="E24" s="170" t="s">
        <v>396</v>
      </c>
      <c r="F24" s="170" t="s">
        <v>397</v>
      </c>
      <c r="G24" s="170" t="s">
        <v>398</v>
      </c>
      <c r="H24" s="1"/>
      <c r="I24" s="1"/>
      <c r="J24" s="1"/>
      <c r="K24" s="1"/>
      <c r="L24" s="1"/>
      <c r="M24" s="1"/>
      <c r="N24" s="1"/>
    </row>
    <row r="25" spans="1:14" ht="22.05" customHeight="1" x14ac:dyDescent="0.3">
      <c r="A25" s="273" t="s">
        <v>399</v>
      </c>
      <c r="B25" s="274" t="s">
        <v>400</v>
      </c>
      <c r="C25" s="275" t="s">
        <v>401</v>
      </c>
      <c r="D25" s="275" t="s">
        <v>402</v>
      </c>
      <c r="E25" s="275" t="s">
        <v>403</v>
      </c>
      <c r="F25" s="275" t="s">
        <v>404</v>
      </c>
      <c r="G25" s="275" t="s">
        <v>405</v>
      </c>
      <c r="H25" s="1"/>
      <c r="I25" s="1"/>
      <c r="J25" s="1"/>
      <c r="K25" s="1"/>
      <c r="L25" s="1"/>
      <c r="M25" s="1"/>
      <c r="N25" s="1"/>
    </row>
    <row r="26" spans="1:14" ht="22.05" customHeight="1" x14ac:dyDescent="0.3">
      <c r="A26" s="276" t="s">
        <v>406</v>
      </c>
      <c r="B26" s="277" t="s">
        <v>127</v>
      </c>
      <c r="C26" s="278" t="s">
        <v>407</v>
      </c>
      <c r="D26" s="278" t="s">
        <v>408</v>
      </c>
      <c r="E26" s="278" t="s">
        <v>409</v>
      </c>
      <c r="F26" s="278" t="s">
        <v>410</v>
      </c>
      <c r="G26" s="278" t="s">
        <v>411</v>
      </c>
      <c r="H26" s="1"/>
      <c r="I26" s="1"/>
      <c r="J26" s="1"/>
      <c r="K26" s="1"/>
      <c r="L26" s="1"/>
      <c r="M26" s="1"/>
      <c r="N26" s="1"/>
    </row>
    <row r="27" spans="1:14" ht="22.05" customHeight="1" x14ac:dyDescent="0.3">
      <c r="A27" s="273" t="s">
        <v>412</v>
      </c>
      <c r="B27" s="274" t="s">
        <v>413</v>
      </c>
      <c r="C27" s="275" t="s">
        <v>414</v>
      </c>
      <c r="D27" s="275" t="s">
        <v>415</v>
      </c>
      <c r="E27" s="279" t="str">
        <f>"FY30E: ₹"&amp;TEXT('Income Statement'!J25,"#,##0")&amp;" Cr | FY31E: ₹"&amp;TEXT('Income Statement'!K25,"#,##0")&amp;" Cr"</f>
        <v>FY30E: ₹815 Cr | FY31E: ₹1,011 Cr</v>
      </c>
      <c r="F27" s="275" t="s">
        <v>416</v>
      </c>
      <c r="G27" s="275" t="s">
        <v>417</v>
      </c>
      <c r="H27" s="1"/>
      <c r="I27" s="1"/>
      <c r="J27" s="1"/>
      <c r="K27" s="1"/>
      <c r="L27" s="1"/>
      <c r="M27" s="1"/>
      <c r="N27" s="1"/>
    </row>
    <row r="28" spans="1:14" ht="22.05" customHeight="1" x14ac:dyDescent="0.3">
      <c r="A28" s="276" t="s">
        <v>418</v>
      </c>
      <c r="B28" s="277" t="s">
        <v>419</v>
      </c>
      <c r="C28" s="278" t="s">
        <v>420</v>
      </c>
      <c r="D28" s="278" t="s">
        <v>421</v>
      </c>
      <c r="E28" s="278" t="s">
        <v>422</v>
      </c>
      <c r="F28" s="278" t="s">
        <v>423</v>
      </c>
      <c r="G28" s="278" t="s">
        <v>424</v>
      </c>
      <c r="H28" s="1"/>
      <c r="I28" s="1"/>
      <c r="J28" s="1"/>
      <c r="K28" s="1"/>
      <c r="L28" s="1"/>
      <c r="M28" s="1"/>
      <c r="N28" s="1"/>
    </row>
    <row r="29" spans="1:14" ht="22.05" customHeight="1" x14ac:dyDescent="0.3">
      <c r="A29" s="273" t="s">
        <v>425</v>
      </c>
      <c r="B29" s="274" t="s">
        <v>426</v>
      </c>
      <c r="C29" s="275" t="s">
        <v>388</v>
      </c>
      <c r="D29" s="275" t="s">
        <v>427</v>
      </c>
      <c r="E29" s="275" t="s">
        <v>428</v>
      </c>
      <c r="F29" s="275" t="s">
        <v>429</v>
      </c>
      <c r="G29" s="275" t="s">
        <v>430</v>
      </c>
      <c r="H29" s="1"/>
      <c r="I29" s="1"/>
      <c r="J29" s="1"/>
      <c r="K29" s="1"/>
      <c r="L29" s="1"/>
      <c r="M29" s="1"/>
      <c r="N29" s="1"/>
    </row>
    <row r="30" spans="1:14" ht="22.05" customHeight="1" x14ac:dyDescent="0.3">
      <c r="A30" s="276" t="s">
        <v>431</v>
      </c>
      <c r="B30" s="277" t="s">
        <v>432</v>
      </c>
      <c r="C30" s="278" t="s">
        <v>433</v>
      </c>
      <c r="D30" s="278" t="s">
        <v>434</v>
      </c>
      <c r="E30" s="278" t="s">
        <v>435</v>
      </c>
      <c r="F30" s="278" t="s">
        <v>436</v>
      </c>
      <c r="G30" s="278" t="s">
        <v>437</v>
      </c>
      <c r="H30" s="1"/>
      <c r="I30" s="1"/>
      <c r="J30" s="1"/>
      <c r="K30" s="1"/>
      <c r="L30" s="1"/>
      <c r="M30" s="1"/>
      <c r="N30" s="1"/>
    </row>
    <row r="31" spans="1:14" ht="22.05" customHeight="1" x14ac:dyDescent="0.3">
      <c r="A31" s="280" t="s">
        <v>438</v>
      </c>
      <c r="B31" s="281" t="s">
        <v>439</v>
      </c>
      <c r="C31" s="282" t="s">
        <v>440</v>
      </c>
      <c r="D31" s="282" t="s">
        <v>441</v>
      </c>
      <c r="E31" s="282" t="s">
        <v>442</v>
      </c>
      <c r="F31" s="282" t="s">
        <v>443</v>
      </c>
      <c r="G31" s="282" t="s">
        <v>444</v>
      </c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thickBot="1" x14ac:dyDescent="0.35">
      <c r="A33" s="76" t="s">
        <v>445</v>
      </c>
      <c r="B33" s="76"/>
      <c r="C33" s="76"/>
      <c r="D33" s="76"/>
      <c r="E33" s="76"/>
      <c r="F33" s="76"/>
      <c r="G33" s="76"/>
      <c r="H33" s="76"/>
      <c r="I33" s="112"/>
      <c r="J33" s="112"/>
      <c r="K33" s="112"/>
      <c r="L33" s="112"/>
      <c r="M33" s="112"/>
      <c r="N33" s="112"/>
    </row>
    <row r="34" spans="1:14" ht="19.95" customHeight="1" x14ac:dyDescent="0.3">
      <c r="A34" s="170" t="s">
        <v>98</v>
      </c>
      <c r="B34" s="170" t="s">
        <v>446</v>
      </c>
      <c r="C34" s="170" t="s">
        <v>6</v>
      </c>
      <c r="D34" s="170" t="s">
        <v>7</v>
      </c>
      <c r="E34" s="170" t="s">
        <v>8</v>
      </c>
      <c r="F34" s="170" t="s">
        <v>9</v>
      </c>
      <c r="G34" s="170" t="s">
        <v>10</v>
      </c>
      <c r="H34" s="170" t="s">
        <v>447</v>
      </c>
      <c r="I34" s="1"/>
      <c r="J34" s="1"/>
      <c r="K34" s="1"/>
      <c r="L34" s="1"/>
      <c r="M34" s="1"/>
      <c r="N34" s="1"/>
    </row>
    <row r="35" spans="1:14" ht="19.95" customHeight="1" x14ac:dyDescent="0.3">
      <c r="A35" s="162" t="s">
        <v>448</v>
      </c>
      <c r="B35" s="267">
        <f>'Income Statement'!E4</f>
        <v>469</v>
      </c>
      <c r="C35" s="267">
        <f>'Income Statement'!F4</f>
        <v>750</v>
      </c>
      <c r="D35" s="267">
        <f>'Income Statement'!G4</f>
        <v>1087.5</v>
      </c>
      <c r="E35" s="267">
        <f>'Income Statement'!H4</f>
        <v>1500.7499999999998</v>
      </c>
      <c r="F35" s="267">
        <f>'Income Statement'!I4</f>
        <v>1950.9749999999997</v>
      </c>
      <c r="G35" s="267">
        <f>'Income Statement'!J4</f>
        <v>2438.7187499999995</v>
      </c>
      <c r="H35" s="116"/>
      <c r="I35" s="1"/>
      <c r="J35" s="1"/>
      <c r="K35" s="1"/>
      <c r="L35" s="1"/>
      <c r="M35" s="1"/>
      <c r="N35" s="1"/>
    </row>
    <row r="36" spans="1:14" ht="19.95" customHeight="1" x14ac:dyDescent="0.3">
      <c r="A36" s="120" t="s">
        <v>449</v>
      </c>
      <c r="B36" s="268">
        <f>'Income Statement'!E25</f>
        <v>74.25</v>
      </c>
      <c r="C36" s="268">
        <f>'Income Statement'!F25</f>
        <v>220.5</v>
      </c>
      <c r="D36" s="268">
        <f>'Income Statement'!G25</f>
        <v>332.90625</v>
      </c>
      <c r="E36" s="268">
        <f>'Income Statement'!H25</f>
        <v>479.86406249999982</v>
      </c>
      <c r="F36" s="268">
        <f>'Income Statement'!I25</f>
        <v>636.61590000000001</v>
      </c>
      <c r="G36" s="268">
        <f>'Income Statement'!J25</f>
        <v>815.18526562499994</v>
      </c>
      <c r="H36" s="125" t="str">
        <f>IF(G36&gt;=1000,"✅ FY30E","⏳ FY31E: ₹"&amp;TEXT('Income Statement'!K25,"#,##0")&amp;" Cr")</f>
        <v>⏳ FY31E: ₹1,011 Cr</v>
      </c>
      <c r="I36" s="1"/>
      <c r="J36" s="1"/>
      <c r="K36" s="1"/>
      <c r="L36" s="1"/>
      <c r="M36" s="1"/>
      <c r="N36" s="1"/>
    </row>
    <row r="37" spans="1:14" ht="19.95" customHeight="1" x14ac:dyDescent="0.3">
      <c r="A37" s="162" t="s">
        <v>103</v>
      </c>
      <c r="B37" s="283">
        <f t="shared" ref="B37:G37" si="0">B36/B35</f>
        <v>0.15831556503198294</v>
      </c>
      <c r="C37" s="283">
        <f t="shared" si="0"/>
        <v>0.29399999999999998</v>
      </c>
      <c r="D37" s="283">
        <f t="shared" si="0"/>
        <v>0.30612068965517242</v>
      </c>
      <c r="E37" s="283">
        <f t="shared" si="0"/>
        <v>0.31974950024987497</v>
      </c>
      <c r="F37" s="283">
        <f t="shared" si="0"/>
        <v>0.3263065390381733</v>
      </c>
      <c r="G37" s="283">
        <f t="shared" si="0"/>
        <v>0.3342678468458079</v>
      </c>
      <c r="H37" s="116"/>
      <c r="I37" s="1"/>
      <c r="J37" s="1"/>
      <c r="K37" s="1"/>
      <c r="L37" s="1"/>
      <c r="M37" s="1"/>
      <c r="N37" s="1"/>
    </row>
    <row r="38" spans="1:14" ht="19.95" customHeight="1" x14ac:dyDescent="0.3">
      <c r="A38" s="120" t="s">
        <v>102</v>
      </c>
      <c r="B38" s="284">
        <f>'Key Metrics'!E6</f>
        <v>0.2857142857142857</v>
      </c>
      <c r="C38" s="284">
        <f>'Key Metrics'!F6</f>
        <v>0.45</v>
      </c>
      <c r="D38" s="284">
        <f>'Key Metrics'!G6</f>
        <v>0.46</v>
      </c>
      <c r="E38" s="284">
        <f>'Key Metrics'!H6</f>
        <v>0.47499999999999998</v>
      </c>
      <c r="F38" s="284">
        <f>'Key Metrics'!I6</f>
        <v>0.48000000000000004</v>
      </c>
      <c r="G38" s="284">
        <f>'Key Metrics'!J6</f>
        <v>0.4900000000000001</v>
      </c>
      <c r="H38" s="116"/>
      <c r="I38" s="1"/>
      <c r="J38" s="1"/>
      <c r="K38" s="1"/>
      <c r="L38" s="1"/>
      <c r="M38" s="1"/>
      <c r="N38" s="1"/>
    </row>
    <row r="39" spans="1:14" ht="19.95" customHeight="1" x14ac:dyDescent="0.3">
      <c r="A39" s="167" t="s">
        <v>214</v>
      </c>
      <c r="B39" s="285">
        <f>'Key Metrics'!E12</f>
        <v>2050</v>
      </c>
      <c r="C39" s="285">
        <f>'Key Metrics'!F12</f>
        <v>2800</v>
      </c>
      <c r="D39" s="285">
        <f>'Key Metrics'!G12</f>
        <v>4000</v>
      </c>
      <c r="E39" s="285">
        <f>'Key Metrics'!H12</f>
        <v>5500</v>
      </c>
      <c r="F39" s="285">
        <f>'Key Metrics'!I12</f>
        <v>7000</v>
      </c>
      <c r="G39" s="285">
        <f>'Key Metrics'!J12</f>
        <v>8500</v>
      </c>
      <c r="H39" s="264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" thickBot="1" x14ac:dyDescent="0.35">
      <c r="A41" s="76" t="s">
        <v>450</v>
      </c>
      <c r="B41" s="76"/>
      <c r="C41" s="76"/>
      <c r="D41" s="76"/>
      <c r="E41" s="112"/>
      <c r="F41" s="112"/>
      <c r="G41" s="112"/>
      <c r="H41" s="112"/>
      <c r="I41" s="112"/>
      <c r="J41" s="112"/>
      <c r="K41" s="112"/>
      <c r="L41" s="112"/>
      <c r="M41" s="112"/>
      <c r="N41" s="112"/>
    </row>
    <row r="42" spans="1:14" ht="19.95" customHeight="1" x14ac:dyDescent="0.3">
      <c r="A42" s="170" t="s">
        <v>451</v>
      </c>
      <c r="B42" s="170" t="s">
        <v>452</v>
      </c>
      <c r="C42" s="170" t="s">
        <v>453</v>
      </c>
      <c r="D42" s="170" t="s">
        <v>454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9.95" customHeight="1" x14ac:dyDescent="0.3">
      <c r="A43" s="273" t="s">
        <v>455</v>
      </c>
      <c r="B43" s="275" t="s">
        <v>478</v>
      </c>
      <c r="C43" s="275" t="s">
        <v>456</v>
      </c>
      <c r="D43" s="286" t="s">
        <v>457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9.95" customHeight="1" x14ac:dyDescent="0.3">
      <c r="A44" s="287" t="s">
        <v>458</v>
      </c>
      <c r="B44" s="288" t="s">
        <v>459</v>
      </c>
      <c r="C44" s="288" t="s">
        <v>456</v>
      </c>
      <c r="D44" s="289" t="s">
        <v>460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9.95" customHeight="1" x14ac:dyDescent="0.3">
      <c r="A45" s="273" t="s">
        <v>461</v>
      </c>
      <c r="B45" s="275" t="s">
        <v>462</v>
      </c>
      <c r="C45" s="275" t="s">
        <v>463</v>
      </c>
      <c r="D45" s="286" t="s">
        <v>464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9.95" customHeight="1" x14ac:dyDescent="0.3">
      <c r="A46" s="287" t="s">
        <v>465</v>
      </c>
      <c r="B46" s="288" t="s">
        <v>466</v>
      </c>
      <c r="C46" s="288" t="s">
        <v>467</v>
      </c>
      <c r="D46" s="289" t="s">
        <v>468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9.95" customHeight="1" x14ac:dyDescent="0.3">
      <c r="A47" s="273" t="s">
        <v>469</v>
      </c>
      <c r="B47" s="275" t="s">
        <v>470</v>
      </c>
      <c r="C47" s="275" t="s">
        <v>463</v>
      </c>
      <c r="D47" s="286" t="s">
        <v>477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9.95" customHeight="1" x14ac:dyDescent="0.3">
      <c r="A48" s="287" t="s">
        <v>406</v>
      </c>
      <c r="B48" s="288" t="s">
        <v>471</v>
      </c>
      <c r="C48" s="288" t="s">
        <v>472</v>
      </c>
      <c r="D48" s="289" t="s">
        <v>473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9.95" customHeight="1" x14ac:dyDescent="0.3">
      <c r="A49" s="280" t="s">
        <v>474</v>
      </c>
      <c r="B49" s="282" t="s">
        <v>475</v>
      </c>
      <c r="C49" s="282" t="s">
        <v>265</v>
      </c>
      <c r="D49" s="290" t="s">
        <v>476</v>
      </c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mergeCells count="7">
    <mergeCell ref="A41:N41"/>
    <mergeCell ref="A1:N1"/>
    <mergeCell ref="A3:N3"/>
    <mergeCell ref="A5:N5"/>
    <mergeCell ref="A16:N16"/>
    <mergeCell ref="A23:N23"/>
    <mergeCell ref="A33:N3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3651-946E-4286-BFF6-143A12D01F36}">
  <sheetPr>
    <tabColor rgb="FF1B5E20"/>
  </sheetPr>
  <dimension ref="A1:P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0.77734375" customWidth="1"/>
    <col min="2" max="16" width="13.88671875" customWidth="1"/>
  </cols>
  <sheetData>
    <row r="1" spans="1:16" ht="30" customHeight="1" x14ac:dyDescent="0.35">
      <c r="A1" s="8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05" customHeight="1" thickBot="1" x14ac:dyDescent="0.35">
      <c r="A2" s="86" t="s">
        <v>1</v>
      </c>
      <c r="B2" s="87" t="s">
        <v>2</v>
      </c>
      <c r="C2" s="87" t="s">
        <v>3</v>
      </c>
      <c r="D2" s="87" t="s">
        <v>4</v>
      </c>
      <c r="E2" s="87" t="s">
        <v>5</v>
      </c>
      <c r="F2" s="88" t="s">
        <v>6</v>
      </c>
      <c r="G2" s="88" t="s">
        <v>7</v>
      </c>
      <c r="H2" s="88" t="s">
        <v>8</v>
      </c>
      <c r="I2" s="88" t="s">
        <v>9</v>
      </c>
      <c r="J2" s="88" t="s">
        <v>10</v>
      </c>
      <c r="K2" s="88" t="s">
        <v>11</v>
      </c>
      <c r="L2" s="88" t="s">
        <v>191</v>
      </c>
      <c r="M2" s="88" t="s">
        <v>192</v>
      </c>
      <c r="N2" s="88" t="s">
        <v>193</v>
      </c>
      <c r="O2" s="88" t="s">
        <v>194</v>
      </c>
      <c r="P2" s="88" t="s">
        <v>195</v>
      </c>
    </row>
    <row r="3" spans="1:16" ht="16.05" customHeight="1" x14ac:dyDescent="0.3">
      <c r="A3" s="85"/>
      <c r="B3" s="84" t="s">
        <v>12</v>
      </c>
      <c r="C3" s="85"/>
      <c r="D3" s="85"/>
      <c r="E3" s="85"/>
      <c r="F3" s="84" t="s">
        <v>13</v>
      </c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ht="19.95" customHeight="1" x14ac:dyDescent="0.3">
      <c r="A4" s="320" t="s">
        <v>14</v>
      </c>
      <c r="B4" s="113">
        <v>130</v>
      </c>
      <c r="C4" s="113">
        <v>197</v>
      </c>
      <c r="D4" s="113">
        <v>324</v>
      </c>
      <c r="E4" s="113">
        <v>469</v>
      </c>
      <c r="F4" s="114">
        <f>Assumptions!C6</f>
        <v>750</v>
      </c>
      <c r="G4" s="114">
        <f>F4*(1+Assumptions!D5)</f>
        <v>1087.5</v>
      </c>
      <c r="H4" s="114">
        <f>G4*(1+Assumptions!E5)</f>
        <v>1500.7499999999998</v>
      </c>
      <c r="I4" s="114">
        <f>H4*(1+Assumptions!F5)</f>
        <v>1950.9749999999997</v>
      </c>
      <c r="J4" s="114">
        <f>I4*(1+Assumptions!G5)</f>
        <v>2438.7187499999995</v>
      </c>
      <c r="K4" s="114">
        <f>J4*(1+Assumptions!H5)</f>
        <v>2975.2368749999996</v>
      </c>
      <c r="L4" s="114">
        <f>K4*(1+Assumptions!I5)</f>
        <v>3570.2842499999992</v>
      </c>
      <c r="M4" s="114">
        <f>L4*(1+Assumptions!J5)</f>
        <v>4212.935414999999</v>
      </c>
      <c r="N4" s="114">
        <f>M4*(1+Assumptions!K5)</f>
        <v>4887.0050813999987</v>
      </c>
      <c r="O4" s="114">
        <f>N4*(1+Assumptions!L5)</f>
        <v>5571.1857927959991</v>
      </c>
      <c r="P4" s="114">
        <f>O4*(1+Assumptions!M5)</f>
        <v>6239.7280879315194</v>
      </c>
    </row>
    <row r="5" spans="1:16" ht="19.95" customHeight="1" x14ac:dyDescent="0.3">
      <c r="A5" s="321" t="s">
        <v>15</v>
      </c>
      <c r="B5" s="115"/>
      <c r="C5" s="115">
        <f t="shared" ref="C5:K5" si="0">(C4-B4)/B4</f>
        <v>0.51538461538461533</v>
      </c>
      <c r="D5" s="115">
        <f t="shared" si="0"/>
        <v>0.64467005076142136</v>
      </c>
      <c r="E5" s="115">
        <f t="shared" si="0"/>
        <v>0.44753086419753085</v>
      </c>
      <c r="F5" s="115">
        <f t="shared" si="0"/>
        <v>0.59914712153518124</v>
      </c>
      <c r="G5" s="115">
        <f t="shared" si="0"/>
        <v>0.45</v>
      </c>
      <c r="H5" s="115">
        <f t="shared" si="0"/>
        <v>0.37999999999999978</v>
      </c>
      <c r="I5" s="115">
        <f t="shared" si="0"/>
        <v>0.3</v>
      </c>
      <c r="J5" s="115">
        <f t="shared" si="0"/>
        <v>0.24999999999999997</v>
      </c>
      <c r="K5" s="115">
        <f t="shared" si="0"/>
        <v>0.22000000000000006</v>
      </c>
      <c r="L5" s="115">
        <f>(L4-K4)/K4</f>
        <v>0.1999999999999999</v>
      </c>
      <c r="M5" s="115">
        <f>(M4-L4)/L4</f>
        <v>0.17999999999999997</v>
      </c>
      <c r="N5" s="115">
        <f>(N4-M4)/M4</f>
        <v>0.15999999999999998</v>
      </c>
      <c r="O5" s="115">
        <f>(O4-N4)/N4</f>
        <v>0.1400000000000001</v>
      </c>
      <c r="P5" s="115">
        <f>(P4-O4)/O4</f>
        <v>0.12000000000000008</v>
      </c>
    </row>
    <row r="6" spans="1:16" ht="19.95" customHeight="1" x14ac:dyDescent="0.3">
      <c r="A6" s="322"/>
      <c r="B6" s="117"/>
      <c r="C6" s="117"/>
      <c r="D6" s="117"/>
      <c r="E6" s="117"/>
      <c r="F6" s="118"/>
      <c r="G6" s="118"/>
      <c r="H6" s="118"/>
      <c r="I6" s="118"/>
      <c r="J6" s="118"/>
      <c r="K6" s="118"/>
      <c r="L6" s="119"/>
      <c r="M6" s="119"/>
      <c r="N6" s="119"/>
      <c r="O6" s="119"/>
      <c r="P6" s="119"/>
    </row>
    <row r="7" spans="1:16" ht="19.95" customHeight="1" x14ac:dyDescent="0.3">
      <c r="A7" s="323" t="s">
        <v>16</v>
      </c>
      <c r="B7" s="311">
        <v>18.2</v>
      </c>
      <c r="C7" s="311">
        <v>28.4</v>
      </c>
      <c r="D7" s="311">
        <v>43.7</v>
      </c>
      <c r="E7" s="311">
        <v>56.3</v>
      </c>
      <c r="F7" s="312">
        <f>F4*Assumptions!C10</f>
        <v>75</v>
      </c>
      <c r="G7" s="312">
        <f>G4*Assumptions!D10</f>
        <v>108.75</v>
      </c>
      <c r="H7" s="312">
        <f>H4*Assumptions!E10</f>
        <v>150.07499999999999</v>
      </c>
      <c r="I7" s="312">
        <f>I4*Assumptions!F10</f>
        <v>204.85237499999997</v>
      </c>
      <c r="J7" s="312">
        <f>J4*Assumptions!G10</f>
        <v>256.06546874999992</v>
      </c>
      <c r="K7" s="312">
        <f>K4*Assumptions!H10</f>
        <v>327.27605624999995</v>
      </c>
      <c r="L7" s="312">
        <f>L4*Assumptions!I10</f>
        <v>392.73126749999994</v>
      </c>
      <c r="M7" s="312">
        <f>M4*Assumptions!J10</f>
        <v>484.48757272499989</v>
      </c>
      <c r="N7" s="312">
        <f>N4*Assumptions!K10</f>
        <v>562.00558436099993</v>
      </c>
      <c r="O7" s="312">
        <f>O4*Assumptions!L10</f>
        <v>668.54229513551991</v>
      </c>
      <c r="P7" s="312">
        <f>P4*Assumptions!M10</f>
        <v>748.76737055178228</v>
      </c>
    </row>
    <row r="8" spans="1:16" ht="19.95" customHeight="1" x14ac:dyDescent="0.3">
      <c r="A8" s="324" t="s">
        <v>17</v>
      </c>
      <c r="B8" s="314">
        <f t="shared" ref="B8:K8" si="1">B4-B7</f>
        <v>111.8</v>
      </c>
      <c r="C8" s="314">
        <f t="shared" si="1"/>
        <v>168.6</v>
      </c>
      <c r="D8" s="314">
        <f t="shared" si="1"/>
        <v>280.3</v>
      </c>
      <c r="E8" s="314">
        <f t="shared" si="1"/>
        <v>412.7</v>
      </c>
      <c r="F8" s="315">
        <f t="shared" si="1"/>
        <v>675</v>
      </c>
      <c r="G8" s="315">
        <f t="shared" si="1"/>
        <v>978.75</v>
      </c>
      <c r="H8" s="315">
        <f t="shared" si="1"/>
        <v>1350.6749999999997</v>
      </c>
      <c r="I8" s="315">
        <f t="shared" si="1"/>
        <v>1746.1226249999997</v>
      </c>
      <c r="J8" s="315">
        <f t="shared" si="1"/>
        <v>2182.6532812499995</v>
      </c>
      <c r="K8" s="315">
        <f t="shared" si="1"/>
        <v>2647.9608187499998</v>
      </c>
      <c r="L8" s="315">
        <f>L4-L7</f>
        <v>3177.5529824999994</v>
      </c>
      <c r="M8" s="315">
        <f>M4-M7</f>
        <v>3728.4478422749989</v>
      </c>
      <c r="N8" s="315">
        <f>N4-N7</f>
        <v>4324.9994970389989</v>
      </c>
      <c r="O8" s="315">
        <f>O4-O7</f>
        <v>4902.6434976604796</v>
      </c>
      <c r="P8" s="315">
        <f>P4-P7</f>
        <v>5490.9607173797376</v>
      </c>
    </row>
    <row r="9" spans="1:16" ht="19.95" customHeight="1" x14ac:dyDescent="0.3">
      <c r="A9" s="325" t="s">
        <v>18</v>
      </c>
      <c r="B9" s="313">
        <f t="shared" ref="B9:K9" si="2">B8/B4</f>
        <v>0.86</v>
      </c>
      <c r="C9" s="313">
        <f t="shared" si="2"/>
        <v>0.85583756345177664</v>
      </c>
      <c r="D9" s="313">
        <f t="shared" si="2"/>
        <v>0.86512345679012348</v>
      </c>
      <c r="E9" s="313">
        <f t="shared" si="2"/>
        <v>0.87995735607675907</v>
      </c>
      <c r="F9" s="313">
        <f t="shared" si="2"/>
        <v>0.9</v>
      </c>
      <c r="G9" s="313">
        <f t="shared" si="2"/>
        <v>0.9</v>
      </c>
      <c r="H9" s="313">
        <f t="shared" si="2"/>
        <v>0.89999999999999991</v>
      </c>
      <c r="I9" s="313">
        <f t="shared" si="2"/>
        <v>0.89500000000000002</v>
      </c>
      <c r="J9" s="313">
        <f t="shared" si="2"/>
        <v>0.89500000000000002</v>
      </c>
      <c r="K9" s="313">
        <f t="shared" si="2"/>
        <v>0.89</v>
      </c>
      <c r="L9" s="313">
        <f>L8/L4</f>
        <v>0.89</v>
      </c>
      <c r="M9" s="313">
        <f>M8/M4</f>
        <v>0.88500000000000001</v>
      </c>
      <c r="N9" s="313">
        <f>N8/N4</f>
        <v>0.88500000000000001</v>
      </c>
      <c r="O9" s="313">
        <f>O8/O4</f>
        <v>0.88000000000000012</v>
      </c>
      <c r="P9" s="313">
        <f>P8/P4</f>
        <v>0.88000000000000012</v>
      </c>
    </row>
    <row r="10" spans="1:16" ht="19.95" customHeight="1" x14ac:dyDescent="0.3">
      <c r="A10" s="326"/>
      <c r="B10" s="291"/>
      <c r="C10" s="291"/>
      <c r="D10" s="291"/>
      <c r="E10" s="291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</row>
    <row r="11" spans="1:16" ht="19.95" customHeight="1" x14ac:dyDescent="0.3">
      <c r="A11" s="327" t="s">
        <v>19</v>
      </c>
      <c r="B11" s="121">
        <v>24.7</v>
      </c>
      <c r="C11" s="121">
        <v>37.5</v>
      </c>
      <c r="D11" s="121">
        <v>62</v>
      </c>
      <c r="E11" s="121">
        <v>95</v>
      </c>
      <c r="F11" s="122">
        <f>F4*Assumptions!C11</f>
        <v>135</v>
      </c>
      <c r="G11" s="122">
        <f>G4*Assumptions!D11</f>
        <v>195.75</v>
      </c>
      <c r="H11" s="122">
        <f>H4*Assumptions!E11</f>
        <v>270.13499999999993</v>
      </c>
      <c r="I11" s="122">
        <f>I4*Assumptions!F11</f>
        <v>341.42062499999992</v>
      </c>
      <c r="J11" s="122">
        <f>J4*Assumptions!G11</f>
        <v>426.77578124999991</v>
      </c>
      <c r="K11" s="122">
        <f>K4*Assumptions!H11</f>
        <v>505.79026875</v>
      </c>
      <c r="L11" s="122">
        <f>L4*Assumptions!I11</f>
        <v>606.9483224999999</v>
      </c>
      <c r="M11" s="122">
        <f>M4*Assumptions!J11</f>
        <v>695.13434347499992</v>
      </c>
      <c r="N11" s="122">
        <f>N4*Assumptions!K11</f>
        <v>806.35583843099982</v>
      </c>
      <c r="O11" s="122">
        <f>O4*Assumptions!L11</f>
        <v>891.38972684735984</v>
      </c>
      <c r="P11" s="122">
        <f>P4*Assumptions!M11</f>
        <v>998.35649406904315</v>
      </c>
    </row>
    <row r="12" spans="1:16" ht="19.95" customHeight="1" x14ac:dyDescent="0.3">
      <c r="A12" s="328" t="s">
        <v>20</v>
      </c>
      <c r="B12" s="316">
        <v>39</v>
      </c>
      <c r="C12" s="316">
        <v>55</v>
      </c>
      <c r="D12" s="316">
        <v>78</v>
      </c>
      <c r="E12" s="316">
        <v>110</v>
      </c>
      <c r="F12" s="317">
        <f>F4*Assumptions!C12</f>
        <v>135</v>
      </c>
      <c r="G12" s="317">
        <f>G4*Assumptions!D12</f>
        <v>184.875</v>
      </c>
      <c r="H12" s="317">
        <f>H4*Assumptions!E12</f>
        <v>240.11999999999998</v>
      </c>
      <c r="I12" s="317">
        <f>I4*Assumptions!F12</f>
        <v>302.40112499999992</v>
      </c>
      <c r="J12" s="317">
        <f>J4*Assumptions!G12</f>
        <v>365.8078124999999</v>
      </c>
      <c r="K12" s="317">
        <f>K4*Assumptions!H12</f>
        <v>431.40934687499993</v>
      </c>
      <c r="L12" s="317">
        <f>L4*Assumptions!I12</f>
        <v>499.83979499999992</v>
      </c>
      <c r="M12" s="317">
        <f>M4*Assumptions!J12</f>
        <v>568.74628102499992</v>
      </c>
      <c r="N12" s="317">
        <f>N4*Assumptions!K12</f>
        <v>635.31066058199985</v>
      </c>
      <c r="O12" s="317">
        <f>O4*Assumptions!L12</f>
        <v>696.39822409949988</v>
      </c>
      <c r="P12" s="317">
        <f>P4*Assumptions!M12</f>
        <v>748.76737055178228</v>
      </c>
    </row>
    <row r="13" spans="1:16" ht="19.95" customHeight="1" x14ac:dyDescent="0.3">
      <c r="A13" s="324" t="s">
        <v>21</v>
      </c>
      <c r="B13" s="314">
        <v>30.1</v>
      </c>
      <c r="C13" s="314">
        <v>43.1</v>
      </c>
      <c r="D13" s="314">
        <v>55.3</v>
      </c>
      <c r="E13" s="314">
        <v>73.7</v>
      </c>
      <c r="F13" s="315">
        <f>F4*Assumptions!C13</f>
        <v>67.5</v>
      </c>
      <c r="G13" s="315">
        <f>G4*Assumptions!D13</f>
        <v>97.875</v>
      </c>
      <c r="H13" s="315">
        <f>H4*Assumptions!E13</f>
        <v>127.56374999999998</v>
      </c>
      <c r="I13" s="315">
        <f>I4*Assumptions!F13</f>
        <v>165.83287499999997</v>
      </c>
      <c r="J13" s="315">
        <f>J4*Assumptions!G13</f>
        <v>195.09749999999997</v>
      </c>
      <c r="K13" s="315">
        <f>K4*Assumptions!H13</f>
        <v>238.01894999999996</v>
      </c>
      <c r="L13" s="315">
        <f>L4*Assumptions!I13</f>
        <v>267.77131874999992</v>
      </c>
      <c r="M13" s="315">
        <f>M4*Assumptions!J13</f>
        <v>315.9701561249999</v>
      </c>
      <c r="N13" s="315">
        <f>N4*Assumptions!K13</f>
        <v>342.09035569799994</v>
      </c>
      <c r="O13" s="315">
        <f>O4*Assumptions!L13</f>
        <v>389.98300549571996</v>
      </c>
      <c r="P13" s="315">
        <f>P4*Assumptions!M13</f>
        <v>405.58232571554879</v>
      </c>
    </row>
    <row r="14" spans="1:16" ht="19.95" customHeight="1" x14ac:dyDescent="0.3">
      <c r="A14" s="320" t="s">
        <v>22</v>
      </c>
      <c r="B14" s="318">
        <f t="shared" ref="B14:K14" si="3">B7+B11+B12+B13</f>
        <v>112</v>
      </c>
      <c r="C14" s="318">
        <f t="shared" si="3"/>
        <v>164</v>
      </c>
      <c r="D14" s="318">
        <f t="shared" si="3"/>
        <v>239</v>
      </c>
      <c r="E14" s="318">
        <f t="shared" si="3"/>
        <v>335</v>
      </c>
      <c r="F14" s="319">
        <f t="shared" si="3"/>
        <v>412.5</v>
      </c>
      <c r="G14" s="319">
        <f t="shared" si="3"/>
        <v>587.25</v>
      </c>
      <c r="H14" s="319">
        <f t="shared" si="3"/>
        <v>787.89374999999995</v>
      </c>
      <c r="I14" s="319">
        <f t="shared" si="3"/>
        <v>1014.5069999999997</v>
      </c>
      <c r="J14" s="319">
        <f t="shared" si="3"/>
        <v>1243.7465624999995</v>
      </c>
      <c r="K14" s="319">
        <f t="shared" si="3"/>
        <v>1502.4946218749999</v>
      </c>
      <c r="L14" s="319">
        <f>L7+L11+L12+L13</f>
        <v>1767.2907037499997</v>
      </c>
      <c r="M14" s="319">
        <f>M7+M11+M12+M13</f>
        <v>2064.3383533499996</v>
      </c>
      <c r="N14" s="319">
        <f>N7+N11+N12+N13</f>
        <v>2345.7624390719993</v>
      </c>
      <c r="O14" s="319">
        <f>O7+O11+O12+O13</f>
        <v>2646.3132515780999</v>
      </c>
      <c r="P14" s="319">
        <f>P7+P11+P12+P13</f>
        <v>2901.4735608881565</v>
      </c>
    </row>
    <row r="15" spans="1:16" ht="19.95" customHeight="1" x14ac:dyDescent="0.3">
      <c r="A15" s="322"/>
      <c r="B15" s="117"/>
      <c r="C15" s="117"/>
      <c r="D15" s="117"/>
      <c r="E15" s="117"/>
      <c r="F15" s="118"/>
      <c r="G15" s="118"/>
      <c r="H15" s="118"/>
      <c r="I15" s="118"/>
      <c r="J15" s="118"/>
      <c r="K15" s="118"/>
      <c r="L15" s="119"/>
      <c r="M15" s="119"/>
      <c r="N15" s="119"/>
      <c r="O15" s="119"/>
      <c r="P15" s="119"/>
    </row>
    <row r="16" spans="1:16" ht="19.95" customHeight="1" x14ac:dyDescent="0.3">
      <c r="A16" s="329" t="s">
        <v>23</v>
      </c>
      <c r="B16" s="123">
        <f t="shared" ref="B16:K16" si="4">B4-B14</f>
        <v>18</v>
      </c>
      <c r="C16" s="123">
        <f t="shared" si="4"/>
        <v>33</v>
      </c>
      <c r="D16" s="123">
        <f t="shared" si="4"/>
        <v>85</v>
      </c>
      <c r="E16" s="123">
        <f t="shared" si="4"/>
        <v>134</v>
      </c>
      <c r="F16" s="124">
        <f t="shared" si="4"/>
        <v>337.5</v>
      </c>
      <c r="G16" s="124">
        <f t="shared" si="4"/>
        <v>500.25</v>
      </c>
      <c r="H16" s="124">
        <f t="shared" si="4"/>
        <v>712.85624999999982</v>
      </c>
      <c r="I16" s="124">
        <f t="shared" si="4"/>
        <v>936.46799999999996</v>
      </c>
      <c r="J16" s="124">
        <f t="shared" si="4"/>
        <v>1194.9721875</v>
      </c>
      <c r="K16" s="124">
        <f t="shared" si="4"/>
        <v>1472.7422531249997</v>
      </c>
      <c r="L16" s="124">
        <f>L4-L14</f>
        <v>1802.9935462499996</v>
      </c>
      <c r="M16" s="124">
        <f>M4-M14</f>
        <v>2148.5970616499994</v>
      </c>
      <c r="N16" s="124">
        <f>N4-N14</f>
        <v>2541.2426423279994</v>
      </c>
      <c r="O16" s="124">
        <f>O4-O14</f>
        <v>2924.8725412178992</v>
      </c>
      <c r="P16" s="124">
        <f>P4-P14</f>
        <v>3338.2545270433629</v>
      </c>
    </row>
    <row r="17" spans="1:16" ht="19.95" customHeight="1" x14ac:dyDescent="0.3">
      <c r="A17" s="321" t="s">
        <v>24</v>
      </c>
      <c r="B17" s="115">
        <f t="shared" ref="B17:K17" si="5">B16/B4</f>
        <v>0.13846153846153847</v>
      </c>
      <c r="C17" s="115">
        <f t="shared" si="5"/>
        <v>0.16751269035532995</v>
      </c>
      <c r="D17" s="115">
        <f t="shared" si="5"/>
        <v>0.26234567901234568</v>
      </c>
      <c r="E17" s="115">
        <f t="shared" si="5"/>
        <v>0.2857142857142857</v>
      </c>
      <c r="F17" s="115">
        <f t="shared" si="5"/>
        <v>0.45</v>
      </c>
      <c r="G17" s="115">
        <f t="shared" si="5"/>
        <v>0.46</v>
      </c>
      <c r="H17" s="115">
        <f t="shared" si="5"/>
        <v>0.47499999999999998</v>
      </c>
      <c r="I17" s="115">
        <f t="shared" si="5"/>
        <v>0.48000000000000004</v>
      </c>
      <c r="J17" s="115">
        <f t="shared" si="5"/>
        <v>0.4900000000000001</v>
      </c>
      <c r="K17" s="115">
        <f t="shared" si="5"/>
        <v>0.495</v>
      </c>
      <c r="L17" s="115">
        <f>L16/L4</f>
        <v>0.505</v>
      </c>
      <c r="M17" s="115">
        <f>M16/M4</f>
        <v>0.51</v>
      </c>
      <c r="N17" s="115">
        <f>N16/N4</f>
        <v>0.52</v>
      </c>
      <c r="O17" s="115">
        <f>O16/O4</f>
        <v>0.52499999999999991</v>
      </c>
      <c r="P17" s="115">
        <f>P16/P4</f>
        <v>0.53500000000000003</v>
      </c>
    </row>
    <row r="18" spans="1:16" ht="19.95" customHeight="1" x14ac:dyDescent="0.3">
      <c r="A18" s="322"/>
      <c r="B18" s="117"/>
      <c r="C18" s="117"/>
      <c r="D18" s="117"/>
      <c r="E18" s="117"/>
      <c r="F18" s="118"/>
      <c r="G18" s="118"/>
      <c r="H18" s="118"/>
      <c r="I18" s="118"/>
      <c r="J18" s="118"/>
      <c r="K18" s="118"/>
      <c r="L18" s="119"/>
      <c r="M18" s="119"/>
      <c r="N18" s="119"/>
      <c r="O18" s="119"/>
      <c r="P18" s="119"/>
    </row>
    <row r="19" spans="1:16" ht="19.95" customHeight="1" x14ac:dyDescent="0.3">
      <c r="A19" s="327" t="s">
        <v>25</v>
      </c>
      <c r="B19" s="121">
        <v>2.5</v>
      </c>
      <c r="C19" s="121">
        <v>5.8</v>
      </c>
      <c r="D19" s="121">
        <v>13.5</v>
      </c>
      <c r="E19" s="121">
        <v>28</v>
      </c>
      <c r="F19" s="122">
        <f>F4*Assumptions!C16</f>
        <v>37.5</v>
      </c>
      <c r="G19" s="122">
        <f>G4*Assumptions!D16</f>
        <v>54.375</v>
      </c>
      <c r="H19" s="122">
        <f>H4*Assumptions!E16</f>
        <v>75.037499999999994</v>
      </c>
      <c r="I19" s="122">
        <f>I4*Assumptions!F16</f>
        <v>93.646799999999985</v>
      </c>
      <c r="J19" s="122">
        <f>J4*Assumptions!G16</f>
        <v>117.05849999999998</v>
      </c>
      <c r="K19" s="122">
        <f>K4*Assumptions!H16</f>
        <v>136.86089624999997</v>
      </c>
      <c r="L19" s="122">
        <f>L4*Assumptions!I16</f>
        <v>164.23307549999996</v>
      </c>
      <c r="M19" s="122">
        <f>M4*Assumptions!J16</f>
        <v>189.58209367499995</v>
      </c>
      <c r="N19" s="122">
        <f>N4*Assumptions!K16</f>
        <v>219.91522866299994</v>
      </c>
      <c r="O19" s="122">
        <f>O4*Assumptions!L16</f>
        <v>245.13217488302394</v>
      </c>
      <c r="P19" s="122">
        <f>P4*Assumptions!M16</f>
        <v>274.54803586898686</v>
      </c>
    </row>
    <row r="20" spans="1:16" ht="19.95" customHeight="1" x14ac:dyDescent="0.3">
      <c r="A20" s="330" t="s">
        <v>26</v>
      </c>
      <c r="B20" s="133">
        <f t="shared" ref="B20:K20" si="6">B16-B19</f>
        <v>15.5</v>
      </c>
      <c r="C20" s="133">
        <f t="shared" si="6"/>
        <v>27.2</v>
      </c>
      <c r="D20" s="133">
        <f t="shared" si="6"/>
        <v>71.5</v>
      </c>
      <c r="E20" s="133">
        <f t="shared" si="6"/>
        <v>106</v>
      </c>
      <c r="F20" s="134">
        <f t="shared" si="6"/>
        <v>300</v>
      </c>
      <c r="G20" s="134">
        <f t="shared" si="6"/>
        <v>445.875</v>
      </c>
      <c r="H20" s="134">
        <f t="shared" si="6"/>
        <v>637.8187499999998</v>
      </c>
      <c r="I20" s="134">
        <f t="shared" si="6"/>
        <v>842.82119999999998</v>
      </c>
      <c r="J20" s="134">
        <f t="shared" si="6"/>
        <v>1077.9136874999999</v>
      </c>
      <c r="K20" s="134">
        <f t="shared" si="6"/>
        <v>1335.8813568749997</v>
      </c>
      <c r="L20" s="134">
        <f>L16-L19</f>
        <v>1638.7604707499995</v>
      </c>
      <c r="M20" s="134">
        <f>M16-M19</f>
        <v>1959.0149679749995</v>
      </c>
      <c r="N20" s="134">
        <f>N16-N19</f>
        <v>2321.3274136649993</v>
      </c>
      <c r="O20" s="134">
        <f>O16-O19</f>
        <v>2679.740366334875</v>
      </c>
      <c r="P20" s="134">
        <f>P16-P19</f>
        <v>3063.706491174376</v>
      </c>
    </row>
    <row r="21" spans="1:16" ht="19.95" customHeight="1" x14ac:dyDescent="0.3">
      <c r="A21" s="327" t="s">
        <v>27</v>
      </c>
      <c r="B21" s="121">
        <v>1</v>
      </c>
      <c r="C21" s="121">
        <v>1.5</v>
      </c>
      <c r="D21" s="121">
        <v>3.2</v>
      </c>
      <c r="E21" s="121">
        <v>5</v>
      </c>
      <c r="F21" s="122">
        <f>Assumptions!C18</f>
        <v>8</v>
      </c>
      <c r="G21" s="122">
        <f>Assumptions!D18</f>
        <v>10</v>
      </c>
      <c r="H21" s="122">
        <f>Assumptions!E18</f>
        <v>12</v>
      </c>
      <c r="I21" s="122">
        <f>Assumptions!F18</f>
        <v>14</v>
      </c>
      <c r="J21" s="122">
        <f>Assumptions!G18</f>
        <v>16</v>
      </c>
      <c r="K21" s="122">
        <f>Assumptions!H18</f>
        <v>18</v>
      </c>
      <c r="L21" s="122">
        <f>Assumptions!I18</f>
        <v>20</v>
      </c>
      <c r="M21" s="122">
        <f>Assumptions!J18</f>
        <v>22</v>
      </c>
      <c r="N21" s="122">
        <f>Assumptions!K18</f>
        <v>24</v>
      </c>
      <c r="O21" s="122">
        <f>Assumptions!L18</f>
        <v>26</v>
      </c>
      <c r="P21" s="122">
        <f>Assumptions!M18</f>
        <v>28</v>
      </c>
    </row>
    <row r="22" spans="1:16" ht="19.95" customHeight="1" x14ac:dyDescent="0.3">
      <c r="A22" s="327" t="s">
        <v>28</v>
      </c>
      <c r="B22" s="121">
        <v>1.2</v>
      </c>
      <c r="C22" s="121">
        <v>2</v>
      </c>
      <c r="D22" s="121">
        <v>5.5</v>
      </c>
      <c r="E22" s="121">
        <v>12</v>
      </c>
      <c r="F22" s="122">
        <f>Assumptions!C19</f>
        <v>14</v>
      </c>
      <c r="G22" s="122">
        <f>Assumptions!D19</f>
        <v>12</v>
      </c>
      <c r="H22" s="122">
        <f>Assumptions!E19</f>
        <v>10</v>
      </c>
      <c r="I22" s="122">
        <f>Assumptions!F19</f>
        <v>8</v>
      </c>
      <c r="J22" s="122">
        <f>Assumptions!G19</f>
        <v>7</v>
      </c>
      <c r="K22" s="122">
        <f>Assumptions!H19</f>
        <v>6</v>
      </c>
      <c r="L22" s="122">
        <f>Assumptions!I19</f>
        <v>5</v>
      </c>
      <c r="M22" s="122">
        <f>Assumptions!J19</f>
        <v>5</v>
      </c>
      <c r="N22" s="122">
        <f>Assumptions!K19</f>
        <v>4</v>
      </c>
      <c r="O22" s="122">
        <f>Assumptions!L19</f>
        <v>4</v>
      </c>
      <c r="P22" s="122">
        <f>Assumptions!M19</f>
        <v>3</v>
      </c>
    </row>
    <row r="23" spans="1:16" ht="19.95" customHeight="1" x14ac:dyDescent="0.3">
      <c r="A23" s="331" t="s">
        <v>29</v>
      </c>
      <c r="B23" s="126">
        <f t="shared" ref="B23:K23" si="7">B20+B21-B22</f>
        <v>15.3</v>
      </c>
      <c r="C23" s="126">
        <f t="shared" si="7"/>
        <v>26.7</v>
      </c>
      <c r="D23" s="126">
        <f t="shared" si="7"/>
        <v>69.2</v>
      </c>
      <c r="E23" s="126">
        <f t="shared" si="7"/>
        <v>99</v>
      </c>
      <c r="F23" s="127">
        <f t="shared" si="7"/>
        <v>294</v>
      </c>
      <c r="G23" s="127">
        <f t="shared" si="7"/>
        <v>443.875</v>
      </c>
      <c r="H23" s="127">
        <f t="shared" si="7"/>
        <v>639.8187499999998</v>
      </c>
      <c r="I23" s="127">
        <f t="shared" si="7"/>
        <v>848.82119999999998</v>
      </c>
      <c r="J23" s="127">
        <f t="shared" si="7"/>
        <v>1086.9136874999999</v>
      </c>
      <c r="K23" s="127">
        <f t="shared" si="7"/>
        <v>1347.8813568749997</v>
      </c>
      <c r="L23" s="127">
        <f>L20+L21-L22</f>
        <v>1653.7604707499995</v>
      </c>
      <c r="M23" s="127">
        <f>M20+M21-M22</f>
        <v>1976.0149679749995</v>
      </c>
      <c r="N23" s="127">
        <f>N20+N21-N22</f>
        <v>2341.3274136649993</v>
      </c>
      <c r="O23" s="127">
        <f>O20+O21-O22</f>
        <v>2701.740366334875</v>
      </c>
      <c r="P23" s="127">
        <f>P20+P21-P22</f>
        <v>3088.706491174376</v>
      </c>
    </row>
    <row r="24" spans="1:16" ht="19.95" customHeight="1" x14ac:dyDescent="0.3">
      <c r="A24" s="327" t="s">
        <v>30</v>
      </c>
      <c r="B24" s="121">
        <f>B23*Assumptions!C17</f>
        <v>3.8250000000000002</v>
      </c>
      <c r="C24" s="121">
        <f>C23*Assumptions!C17</f>
        <v>6.6749999999999998</v>
      </c>
      <c r="D24" s="121">
        <f>D23*Assumptions!C17</f>
        <v>17.3</v>
      </c>
      <c r="E24" s="121">
        <f>E23*Assumptions!C17</f>
        <v>24.75</v>
      </c>
      <c r="F24" s="122">
        <f>F23*Assumptions!C17</f>
        <v>73.5</v>
      </c>
      <c r="G24" s="122">
        <f>G23*Assumptions!D17</f>
        <v>110.96875</v>
      </c>
      <c r="H24" s="122">
        <f>H23*Assumptions!E17</f>
        <v>159.95468749999995</v>
      </c>
      <c r="I24" s="122">
        <f>I23*Assumptions!F17</f>
        <v>212.20529999999999</v>
      </c>
      <c r="J24" s="122">
        <f>J23*Assumptions!G17</f>
        <v>271.72842187499998</v>
      </c>
      <c r="K24" s="122">
        <f>K23*Assumptions!H17</f>
        <v>336.97033921874993</v>
      </c>
      <c r="L24" s="122">
        <f>L23*Assumptions!I17</f>
        <v>413.44011768749988</v>
      </c>
      <c r="M24" s="122">
        <f>M23*Assumptions!J17</f>
        <v>494.00374199374988</v>
      </c>
      <c r="N24" s="122">
        <f>N23*Assumptions!K17</f>
        <v>585.33185341624983</v>
      </c>
      <c r="O24" s="122">
        <f>O23*Assumptions!L17</f>
        <v>675.43509158371876</v>
      </c>
      <c r="P24" s="122">
        <f>P23*Assumptions!M17</f>
        <v>772.17662279359399</v>
      </c>
    </row>
    <row r="25" spans="1:16" ht="19.95" customHeight="1" x14ac:dyDescent="0.3">
      <c r="A25" s="332" t="s">
        <v>31</v>
      </c>
      <c r="B25" s="128">
        <f t="shared" ref="B25:K25" si="8">B23-B24</f>
        <v>11.475000000000001</v>
      </c>
      <c r="C25" s="128">
        <f t="shared" si="8"/>
        <v>20.024999999999999</v>
      </c>
      <c r="D25" s="128">
        <f t="shared" si="8"/>
        <v>51.900000000000006</v>
      </c>
      <c r="E25" s="128">
        <f t="shared" si="8"/>
        <v>74.25</v>
      </c>
      <c r="F25" s="129">
        <f t="shared" si="8"/>
        <v>220.5</v>
      </c>
      <c r="G25" s="129">
        <f t="shared" si="8"/>
        <v>332.90625</v>
      </c>
      <c r="H25" s="129">
        <f t="shared" si="8"/>
        <v>479.86406249999982</v>
      </c>
      <c r="I25" s="129">
        <f t="shared" si="8"/>
        <v>636.61590000000001</v>
      </c>
      <c r="J25" s="129">
        <f t="shared" si="8"/>
        <v>815.18526562499994</v>
      </c>
      <c r="K25" s="129">
        <f t="shared" si="8"/>
        <v>1010.9110176562498</v>
      </c>
      <c r="L25" s="129">
        <f>L23-L24</f>
        <v>1240.3203530624996</v>
      </c>
      <c r="M25" s="129">
        <f>M23-M24</f>
        <v>1482.0112259812497</v>
      </c>
      <c r="N25" s="129">
        <f>N23-N24</f>
        <v>1755.9955602487494</v>
      </c>
      <c r="O25" s="129">
        <f>O23-O24</f>
        <v>2026.3052747511563</v>
      </c>
      <c r="P25" s="129">
        <f>P23-P24</f>
        <v>2316.5298683807819</v>
      </c>
    </row>
    <row r="26" spans="1:16" ht="19.95" customHeight="1" x14ac:dyDescent="0.3">
      <c r="A26" s="333" t="s">
        <v>61</v>
      </c>
      <c r="B26" s="130">
        <f t="shared" ref="B26:K26" si="9">B25/B4</f>
        <v>8.826923076923078E-2</v>
      </c>
      <c r="C26" s="130">
        <f t="shared" si="9"/>
        <v>0.10164974619289339</v>
      </c>
      <c r="D26" s="130">
        <f t="shared" si="9"/>
        <v>0.16018518518518521</v>
      </c>
      <c r="E26" s="130">
        <f t="shared" si="9"/>
        <v>0.15831556503198294</v>
      </c>
      <c r="F26" s="130">
        <f t="shared" si="9"/>
        <v>0.29399999999999998</v>
      </c>
      <c r="G26" s="130">
        <f t="shared" si="9"/>
        <v>0.30612068965517242</v>
      </c>
      <c r="H26" s="130">
        <f t="shared" si="9"/>
        <v>0.31974950024987497</v>
      </c>
      <c r="I26" s="130">
        <f t="shared" si="9"/>
        <v>0.3263065390381733</v>
      </c>
      <c r="J26" s="130">
        <f t="shared" si="9"/>
        <v>0.3342678468458079</v>
      </c>
      <c r="K26" s="130">
        <f t="shared" si="9"/>
        <v>0.33977496923039108</v>
      </c>
      <c r="L26" s="130">
        <f>L25/L4</f>
        <v>0.34740100961499071</v>
      </c>
      <c r="M26" s="130">
        <f>M25/M4</f>
        <v>0.35177639341552785</v>
      </c>
      <c r="N26" s="130">
        <f>N25/N4</f>
        <v>0.35931936451879087</v>
      </c>
      <c r="O26" s="130">
        <f>O25/O4</f>
        <v>0.3637116675181315</v>
      </c>
      <c r="P26" s="130">
        <f>P25/P4</f>
        <v>0.3712549386344679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7306-72E3-4616-8879-DE14949B65E6}">
  <sheetPr>
    <tabColor rgb="FF1B5E20"/>
  </sheetPr>
  <dimension ref="A1:P2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0.77734375" customWidth="1"/>
    <col min="2" max="16" width="13.88671875" customWidth="1"/>
  </cols>
  <sheetData>
    <row r="1" spans="1:16" ht="30" customHeight="1" x14ac:dyDescent="0.35">
      <c r="A1" s="82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05" customHeight="1" thickBot="1" x14ac:dyDescent="0.3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191</v>
      </c>
      <c r="M2" s="4" t="s">
        <v>192</v>
      </c>
      <c r="N2" s="4" t="s">
        <v>193</v>
      </c>
      <c r="O2" s="4" t="s">
        <v>194</v>
      </c>
      <c r="P2" s="4" t="s">
        <v>195</v>
      </c>
    </row>
    <row r="3" spans="1:16" ht="19.95" customHeight="1" x14ac:dyDescent="0.3">
      <c r="A3" s="334" t="s">
        <v>63</v>
      </c>
      <c r="B3" s="293"/>
      <c r="C3" s="293"/>
      <c r="D3" s="293"/>
      <c r="E3" s="293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</row>
    <row r="4" spans="1:16" ht="19.95" customHeight="1" x14ac:dyDescent="0.3">
      <c r="A4" s="335" t="s">
        <v>64</v>
      </c>
      <c r="B4" s="295"/>
      <c r="C4" s="295"/>
      <c r="D4" s="295"/>
      <c r="E4" s="295"/>
      <c r="F4" s="296"/>
      <c r="G4" s="296"/>
      <c r="H4" s="296"/>
      <c r="I4" s="296"/>
      <c r="J4" s="296"/>
      <c r="K4" s="296"/>
      <c r="L4" s="297"/>
      <c r="M4" s="297"/>
      <c r="N4" s="297"/>
      <c r="O4" s="297"/>
      <c r="P4" s="297"/>
    </row>
    <row r="5" spans="1:16" ht="19.95" customHeight="1" x14ac:dyDescent="0.3">
      <c r="A5" s="327" t="s">
        <v>65</v>
      </c>
      <c r="B5" s="121">
        <v>15</v>
      </c>
      <c r="C5" s="121">
        <v>42</v>
      </c>
      <c r="D5" s="121">
        <v>105</v>
      </c>
      <c r="E5" s="121">
        <v>180</v>
      </c>
      <c r="F5" s="122">
        <f>E5+Assumptions!C29-'Income Statement'!F19</f>
        <v>202.5</v>
      </c>
      <c r="G5" s="122">
        <f>F5+Assumptions!D29-'Income Statement'!G19</f>
        <v>218.125</v>
      </c>
      <c r="H5" s="122">
        <f>G5+Assumptions!E29-'Income Statement'!H19</f>
        <v>228.08750000000001</v>
      </c>
      <c r="I5" s="122">
        <f>H5+Assumptions!F29-'Income Statement'!I19</f>
        <v>234.44069999999999</v>
      </c>
      <c r="J5" s="122">
        <f>I5+Assumptions!G29-'Income Statement'!J19</f>
        <v>242.38220000000001</v>
      </c>
      <c r="K5" s="122">
        <f>J5+Assumptions!H29-'Income Statement'!K19</f>
        <v>250.52130375000004</v>
      </c>
      <c r="L5" s="122">
        <f>K5+Assumptions!I29-'Income Statement'!L19</f>
        <v>256.28822825000009</v>
      </c>
      <c r="M5" s="122">
        <f>L5+Assumptions!J29-'Income Statement'!M19</f>
        <v>261.70613457500014</v>
      </c>
      <c r="N5" s="122">
        <f>M5+Assumptions!K29-'Income Statement'!N19</f>
        <v>266.7909059120002</v>
      </c>
      <c r="O5" s="122">
        <f>N5+Assumptions!L29-'Income Statement'!O19</f>
        <v>271.65873102897626</v>
      </c>
      <c r="P5" s="122">
        <f>O5+Assumptions!M29-'Income Statement'!P19</f>
        <v>277.1106951599894</v>
      </c>
    </row>
    <row r="6" spans="1:16" ht="19.95" customHeight="1" x14ac:dyDescent="0.3">
      <c r="A6" s="327" t="s">
        <v>66</v>
      </c>
      <c r="B6" s="121">
        <v>5</v>
      </c>
      <c r="C6" s="121">
        <v>18</v>
      </c>
      <c r="D6" s="121">
        <v>55</v>
      </c>
      <c r="E6" s="121">
        <v>90</v>
      </c>
      <c r="F6" s="122">
        <f>Assumptions!C30</f>
        <v>110</v>
      </c>
      <c r="G6" s="122">
        <f>Assumptions!D30</f>
        <v>130</v>
      </c>
      <c r="H6" s="122">
        <f>Assumptions!E30</f>
        <v>155</v>
      </c>
      <c r="I6" s="122">
        <f>Assumptions!F30</f>
        <v>175</v>
      </c>
      <c r="J6" s="122">
        <f>Assumptions!G30</f>
        <v>195</v>
      </c>
      <c r="K6" s="122">
        <f>Assumptions!H30</f>
        <v>215</v>
      </c>
      <c r="L6" s="122">
        <f>Assumptions!I30</f>
        <v>230</v>
      </c>
      <c r="M6" s="122">
        <f>Assumptions!J30</f>
        <v>245</v>
      </c>
      <c r="N6" s="122">
        <f>Assumptions!K30</f>
        <v>258</v>
      </c>
      <c r="O6" s="122">
        <f>Assumptions!L30</f>
        <v>270</v>
      </c>
      <c r="P6" s="122">
        <f>Assumptions!M30</f>
        <v>280</v>
      </c>
    </row>
    <row r="7" spans="1:16" ht="19.95" customHeight="1" x14ac:dyDescent="0.3">
      <c r="A7" s="327" t="s">
        <v>67</v>
      </c>
      <c r="B7" s="121">
        <v>8</v>
      </c>
      <c r="C7" s="121">
        <v>12</v>
      </c>
      <c r="D7" s="121">
        <v>20</v>
      </c>
      <c r="E7" s="121">
        <v>30</v>
      </c>
      <c r="F7" s="122">
        <f>Assumptions!C31</f>
        <v>40</v>
      </c>
      <c r="G7" s="122">
        <f>Assumptions!D31</f>
        <v>50</v>
      </c>
      <c r="H7" s="122">
        <f>Assumptions!E31</f>
        <v>60</v>
      </c>
      <c r="I7" s="122">
        <f>Assumptions!F31</f>
        <v>70</v>
      </c>
      <c r="J7" s="122">
        <f>Assumptions!G31</f>
        <v>80</v>
      </c>
      <c r="K7" s="122">
        <f>Assumptions!H31</f>
        <v>90</v>
      </c>
      <c r="L7" s="122">
        <f>Assumptions!I31</f>
        <v>100</v>
      </c>
      <c r="M7" s="122">
        <f>Assumptions!J31</f>
        <v>108</v>
      </c>
      <c r="N7" s="122">
        <f>Assumptions!K31</f>
        <v>115</v>
      </c>
      <c r="O7" s="122">
        <f>Assumptions!L31</f>
        <v>122</v>
      </c>
      <c r="P7" s="122">
        <f>Assumptions!M31</f>
        <v>128</v>
      </c>
    </row>
    <row r="8" spans="1:16" ht="19.95" customHeight="1" x14ac:dyDescent="0.3">
      <c r="A8" s="330" t="s">
        <v>68</v>
      </c>
      <c r="B8" s="133">
        <f t="shared" ref="B8:K8" si="0">SUM(B5:B7)</f>
        <v>28</v>
      </c>
      <c r="C8" s="133">
        <f t="shared" si="0"/>
        <v>72</v>
      </c>
      <c r="D8" s="133">
        <f t="shared" si="0"/>
        <v>180</v>
      </c>
      <c r="E8" s="133">
        <f t="shared" si="0"/>
        <v>300</v>
      </c>
      <c r="F8" s="134">
        <f t="shared" si="0"/>
        <v>352.5</v>
      </c>
      <c r="G8" s="134">
        <f t="shared" si="0"/>
        <v>398.125</v>
      </c>
      <c r="H8" s="134">
        <f t="shared" si="0"/>
        <v>443.08749999999998</v>
      </c>
      <c r="I8" s="134">
        <f t="shared" si="0"/>
        <v>479.44069999999999</v>
      </c>
      <c r="J8" s="134">
        <f t="shared" si="0"/>
        <v>517.38220000000001</v>
      </c>
      <c r="K8" s="134">
        <f t="shared" si="0"/>
        <v>555.52130375000002</v>
      </c>
      <c r="L8" s="134">
        <f>SUM(L5:L7)</f>
        <v>586.28822825000009</v>
      </c>
      <c r="M8" s="134">
        <f>SUM(M5:M7)</f>
        <v>614.70613457500008</v>
      </c>
      <c r="N8" s="134">
        <f>SUM(N5:N7)</f>
        <v>639.7909059120002</v>
      </c>
      <c r="O8" s="134">
        <f>SUM(O5:O7)</f>
        <v>663.65873102897626</v>
      </c>
      <c r="P8" s="134">
        <f>SUM(P5:P7)</f>
        <v>685.1106951599894</v>
      </c>
    </row>
    <row r="9" spans="1:16" ht="19.95" customHeight="1" x14ac:dyDescent="0.3">
      <c r="A9" s="322"/>
      <c r="B9" s="295"/>
      <c r="C9" s="295"/>
      <c r="D9" s="295"/>
      <c r="E9" s="295"/>
      <c r="F9" s="296"/>
      <c r="G9" s="296"/>
      <c r="H9" s="296"/>
      <c r="I9" s="296"/>
      <c r="J9" s="296"/>
      <c r="K9" s="296"/>
      <c r="L9" s="298"/>
      <c r="M9" s="297"/>
      <c r="N9" s="297"/>
      <c r="O9" s="297"/>
      <c r="P9" s="297"/>
    </row>
    <row r="10" spans="1:16" ht="19.95" customHeight="1" x14ac:dyDescent="0.3">
      <c r="A10" s="336" t="s">
        <v>69</v>
      </c>
      <c r="B10" s="299"/>
      <c r="C10" s="299"/>
      <c r="D10" s="299"/>
      <c r="E10" s="299"/>
      <c r="F10" s="300"/>
      <c r="G10" s="300"/>
      <c r="H10" s="300"/>
      <c r="I10" s="300"/>
      <c r="J10" s="300"/>
      <c r="K10" s="300"/>
      <c r="L10" s="141"/>
      <c r="M10" s="300"/>
      <c r="N10" s="300"/>
      <c r="O10" s="300"/>
      <c r="P10" s="300"/>
    </row>
    <row r="11" spans="1:16" ht="19.95" customHeight="1" x14ac:dyDescent="0.3">
      <c r="A11" s="327" t="s">
        <v>70</v>
      </c>
      <c r="B11" s="121">
        <v>25</v>
      </c>
      <c r="C11" s="121">
        <v>45</v>
      </c>
      <c r="D11" s="121">
        <v>130</v>
      </c>
      <c r="E11" s="121">
        <v>120</v>
      </c>
      <c r="F11" s="122">
        <f t="shared" ref="F11:P11" si="1">F20+F24-F8-F12-F13</f>
        <v>232.20438356164379</v>
      </c>
      <c r="G11" s="122">
        <f t="shared" si="1"/>
        <v>454.39476027397257</v>
      </c>
      <c r="H11" s="122">
        <f t="shared" si="1"/>
        <v>804.04602568493146</v>
      </c>
      <c r="I11" s="122">
        <f t="shared" si="1"/>
        <v>1301.3069238493149</v>
      </c>
      <c r="J11" s="122">
        <f t="shared" si="1"/>
        <v>1941.2513866211466</v>
      </c>
      <c r="K11" s="122">
        <f t="shared" si="1"/>
        <v>2755.190494516331</v>
      </c>
      <c r="L11" s="122">
        <f t="shared" si="1"/>
        <v>3737.6610654822716</v>
      </c>
      <c r="M11" s="122">
        <f t="shared" si="1"/>
        <v>4957.6877305052567</v>
      </c>
      <c r="N11" s="122">
        <f t="shared" si="1"/>
        <v>6402.3858521808979</v>
      </c>
      <c r="O11" s="122">
        <f t="shared" si="1"/>
        <v>8027.9932190573163</v>
      </c>
      <c r="P11" s="122">
        <f t="shared" si="1"/>
        <v>9957.5212823648453</v>
      </c>
    </row>
    <row r="12" spans="1:16" ht="19.95" customHeight="1" x14ac:dyDescent="0.3">
      <c r="A12" s="327" t="s">
        <v>71</v>
      </c>
      <c r="B12" s="121">
        <v>20</v>
      </c>
      <c r="C12" s="121">
        <v>30</v>
      </c>
      <c r="D12" s="121">
        <v>48</v>
      </c>
      <c r="E12" s="121">
        <v>98</v>
      </c>
      <c r="F12" s="122">
        <f>'Income Statement'!F4*Assumptions!C22/365</f>
        <v>143.83561643835617</v>
      </c>
      <c r="G12" s="122">
        <f>'Income Statement'!G4*Assumptions!D22/365</f>
        <v>202.60273972602741</v>
      </c>
      <c r="H12" s="122">
        <f>'Income Statement'!H4*Assumptions!E22/365</f>
        <v>267.25684931506845</v>
      </c>
      <c r="I12" s="122">
        <f>'Income Statement'!I4*Assumptions!F22/365</f>
        <v>331.39849315068489</v>
      </c>
      <c r="J12" s="122">
        <f>'Income Statement'!J4*Assumptions!G22/365</f>
        <v>400.88527397260265</v>
      </c>
      <c r="K12" s="122">
        <f>'Income Statement'!K4*Assumptions!H22/365</f>
        <v>472.77736643835613</v>
      </c>
      <c r="L12" s="122">
        <f>'Income Statement'!L4*Assumptions!I22/365</f>
        <v>547.76963835616425</v>
      </c>
      <c r="M12" s="122">
        <f>'Income Statement'!M4*Assumptions!J22/365</f>
        <v>634.82588445205465</v>
      </c>
      <c r="N12" s="122">
        <f>'Income Statement'!N4*Assumptions!K22/365</f>
        <v>723.00897094684922</v>
      </c>
      <c r="O12" s="122">
        <f>'Income Statement'!O4*Assumptions!L22/365</f>
        <v>808.96670415941901</v>
      </c>
      <c r="P12" s="122">
        <f>'Income Statement'!P4*Assumptions!M22/365</f>
        <v>888.94756321216175</v>
      </c>
    </row>
    <row r="13" spans="1:16" ht="19.95" customHeight="1" x14ac:dyDescent="0.3">
      <c r="A13" s="327" t="s">
        <v>72</v>
      </c>
      <c r="B13" s="121">
        <v>12</v>
      </c>
      <c r="C13" s="121">
        <v>18</v>
      </c>
      <c r="D13" s="121">
        <v>30</v>
      </c>
      <c r="E13" s="121">
        <v>45</v>
      </c>
      <c r="F13" s="122">
        <f>Assumptions!C32</f>
        <v>60</v>
      </c>
      <c r="G13" s="122">
        <f>Assumptions!D32</f>
        <v>82</v>
      </c>
      <c r="H13" s="122">
        <f>Assumptions!E32</f>
        <v>110</v>
      </c>
      <c r="I13" s="122">
        <f>Assumptions!F32</f>
        <v>140</v>
      </c>
      <c r="J13" s="122">
        <f>Assumptions!G32</f>
        <v>172</v>
      </c>
      <c r="K13" s="122">
        <f>Assumptions!H32</f>
        <v>205</v>
      </c>
      <c r="L13" s="122">
        <f>Assumptions!I32</f>
        <v>235</v>
      </c>
      <c r="M13" s="122">
        <f>Assumptions!J32</f>
        <v>262</v>
      </c>
      <c r="N13" s="122">
        <f>Assumptions!K32</f>
        <v>288</v>
      </c>
      <c r="O13" s="122">
        <f>Assumptions!L32</f>
        <v>312</v>
      </c>
      <c r="P13" s="122">
        <f>Assumptions!M32</f>
        <v>335</v>
      </c>
    </row>
    <row r="14" spans="1:16" ht="19.95" customHeight="1" x14ac:dyDescent="0.3">
      <c r="A14" s="330" t="s">
        <v>73</v>
      </c>
      <c r="B14" s="133">
        <f t="shared" ref="B14:K14" si="2">SUM(B11:B13)</f>
        <v>57</v>
      </c>
      <c r="C14" s="133">
        <f t="shared" si="2"/>
        <v>93</v>
      </c>
      <c r="D14" s="133">
        <f t="shared" si="2"/>
        <v>208</v>
      </c>
      <c r="E14" s="133">
        <f t="shared" si="2"/>
        <v>263</v>
      </c>
      <c r="F14" s="134">
        <f t="shared" si="2"/>
        <v>436.03999999999996</v>
      </c>
      <c r="G14" s="134">
        <f t="shared" si="2"/>
        <v>738.99749999999995</v>
      </c>
      <c r="H14" s="134">
        <f t="shared" si="2"/>
        <v>1181.3028749999999</v>
      </c>
      <c r="I14" s="134">
        <f t="shared" si="2"/>
        <v>1772.7054169999997</v>
      </c>
      <c r="J14" s="134">
        <f t="shared" si="2"/>
        <v>2514.1366605937492</v>
      </c>
      <c r="K14" s="134">
        <f t="shared" si="2"/>
        <v>3432.9678609546872</v>
      </c>
      <c r="L14" s="134">
        <f>SUM(L11:L13)</f>
        <v>4520.4307038384359</v>
      </c>
      <c r="M14" s="134">
        <f>SUM(M11:M13)</f>
        <v>5854.5136149573118</v>
      </c>
      <c r="N14" s="134">
        <f>SUM(N11:N13)</f>
        <v>7413.3948231277473</v>
      </c>
      <c r="O14" s="134">
        <f>SUM(O11:O13)</f>
        <v>9148.9599232167348</v>
      </c>
      <c r="P14" s="134">
        <f>SUM(P11:P13)</f>
        <v>11181.468845577007</v>
      </c>
    </row>
    <row r="15" spans="1:16" ht="19.95" customHeight="1" x14ac:dyDescent="0.3">
      <c r="A15" s="337" t="s">
        <v>74</v>
      </c>
      <c r="B15" s="139">
        <f t="shared" ref="B15:K15" si="3">B8+B14</f>
        <v>85</v>
      </c>
      <c r="C15" s="139">
        <f t="shared" si="3"/>
        <v>165</v>
      </c>
      <c r="D15" s="139">
        <f t="shared" si="3"/>
        <v>388</v>
      </c>
      <c r="E15" s="139">
        <f t="shared" si="3"/>
        <v>563</v>
      </c>
      <c r="F15" s="139">
        <f t="shared" si="3"/>
        <v>788.54</v>
      </c>
      <c r="G15" s="139">
        <f t="shared" si="3"/>
        <v>1137.1224999999999</v>
      </c>
      <c r="H15" s="139">
        <f t="shared" si="3"/>
        <v>1624.3903749999999</v>
      </c>
      <c r="I15" s="139">
        <f t="shared" si="3"/>
        <v>2252.1461169999998</v>
      </c>
      <c r="J15" s="139">
        <f t="shared" si="3"/>
        <v>3031.5188605937492</v>
      </c>
      <c r="K15" s="139">
        <f t="shared" si="3"/>
        <v>3988.489164704687</v>
      </c>
      <c r="L15" s="139">
        <f>L8+L14</f>
        <v>5106.7189320884363</v>
      </c>
      <c r="M15" s="139">
        <f>M8+M14</f>
        <v>6469.2197495323117</v>
      </c>
      <c r="N15" s="139">
        <f>N8+N14</f>
        <v>8053.1857290397475</v>
      </c>
      <c r="O15" s="139">
        <f>O8+O14</f>
        <v>9812.6186542457108</v>
      </c>
      <c r="P15" s="139">
        <f>P8+P14</f>
        <v>11866.579540736995</v>
      </c>
    </row>
    <row r="16" spans="1:16" ht="19.95" customHeight="1" x14ac:dyDescent="0.3">
      <c r="A16" s="338"/>
      <c r="B16" s="299"/>
      <c r="C16" s="299"/>
      <c r="D16" s="299"/>
      <c r="E16" s="299"/>
      <c r="F16" s="300"/>
      <c r="G16" s="300"/>
      <c r="H16" s="300"/>
      <c r="I16" s="300"/>
      <c r="J16" s="300"/>
      <c r="K16" s="300"/>
      <c r="L16" s="141"/>
      <c r="M16" s="300"/>
      <c r="N16" s="300"/>
      <c r="O16" s="300"/>
      <c r="P16" s="300"/>
    </row>
    <row r="17" spans="1:16" ht="19.95" customHeight="1" x14ac:dyDescent="0.3">
      <c r="A17" s="337" t="s">
        <v>75</v>
      </c>
      <c r="B17" s="301"/>
      <c r="C17" s="301"/>
      <c r="D17" s="301"/>
      <c r="E17" s="301"/>
      <c r="F17" s="302"/>
      <c r="G17" s="302"/>
      <c r="H17" s="302"/>
      <c r="I17" s="302"/>
      <c r="J17" s="302"/>
      <c r="K17" s="302"/>
      <c r="L17" s="303"/>
      <c r="M17" s="302"/>
      <c r="N17" s="302"/>
      <c r="O17" s="302"/>
      <c r="P17" s="302"/>
    </row>
    <row r="18" spans="1:16" ht="19.95" customHeight="1" x14ac:dyDescent="0.3">
      <c r="A18" s="336" t="s">
        <v>76</v>
      </c>
      <c r="B18" s="140">
        <v>12.1</v>
      </c>
      <c r="C18" s="140">
        <v>12.1</v>
      </c>
      <c r="D18" s="140">
        <v>12.1</v>
      </c>
      <c r="E18" s="140">
        <v>12.4</v>
      </c>
      <c r="F18" s="141">
        <f>Assumptions!C33</f>
        <v>12.4</v>
      </c>
      <c r="G18" s="141">
        <f>Assumptions!D33</f>
        <v>12.4</v>
      </c>
      <c r="H18" s="141">
        <f>Assumptions!E33</f>
        <v>12.4</v>
      </c>
      <c r="I18" s="141">
        <f>Assumptions!F33</f>
        <v>12.4</v>
      </c>
      <c r="J18" s="141">
        <f>Assumptions!G33</f>
        <v>12.4</v>
      </c>
      <c r="K18" s="141">
        <f>Assumptions!H33</f>
        <v>12.4</v>
      </c>
      <c r="L18" s="141">
        <f>Assumptions!I33</f>
        <v>12.4</v>
      </c>
      <c r="M18" s="141">
        <f>Assumptions!J33</f>
        <v>12.4</v>
      </c>
      <c r="N18" s="141">
        <f>Assumptions!K33</f>
        <v>12.4</v>
      </c>
      <c r="O18" s="141">
        <f>Assumptions!L33</f>
        <v>12.4</v>
      </c>
      <c r="P18" s="141">
        <f>Assumptions!M33</f>
        <v>12.4</v>
      </c>
    </row>
    <row r="19" spans="1:16" ht="19.95" customHeight="1" x14ac:dyDescent="0.3">
      <c r="A19" s="327" t="s">
        <v>77</v>
      </c>
      <c r="B19" s="121">
        <f>B15-B18-B22-B23</f>
        <v>27.900000000000006</v>
      </c>
      <c r="C19" s="121">
        <f>C15-C18-C22-C23</f>
        <v>90.9</v>
      </c>
      <c r="D19" s="121">
        <f>D15-D18-D22-D23</f>
        <v>255.89999999999998</v>
      </c>
      <c r="E19" s="121">
        <f>E15-E18-E22-E23</f>
        <v>399.6</v>
      </c>
      <c r="F19" s="122">
        <f>E19+'Income Statement'!F25*Assumptions!C27</f>
        <v>593.64</v>
      </c>
      <c r="G19" s="122">
        <f>F19+'Income Statement'!G25*Assumptions!D27</f>
        <v>886.59749999999997</v>
      </c>
      <c r="H19" s="122">
        <f>G19+'Income Statement'!H25*Assumptions!E27</f>
        <v>1308.8778749999997</v>
      </c>
      <c r="I19" s="122">
        <f>H19+'Income Statement'!I25*Assumptions!F27</f>
        <v>1869.0998669999997</v>
      </c>
      <c r="J19" s="122">
        <f>I19+'Income Statement'!J25*Assumptions!G27</f>
        <v>2578.3110480937494</v>
      </c>
      <c r="K19" s="122">
        <f>J19+'Income Statement'!K25*Assumptions!H27</f>
        <v>3457.8036334546869</v>
      </c>
      <c r="L19" s="122">
        <f>K19+'Income Statement'!L25*Assumptions!I27</f>
        <v>4524.4791370884368</v>
      </c>
      <c r="M19" s="122">
        <f>L19+'Income Statement'!M25*Assumptions!J27</f>
        <v>5799.0087914323112</v>
      </c>
      <c r="N19" s="122">
        <f>M19+'Income Statement'!N25*Assumptions!K27</f>
        <v>7291.6050176437484</v>
      </c>
      <c r="O19" s="122">
        <f>N19+'Income Statement'!O25*Assumptions!L27</f>
        <v>9013.9645011822322</v>
      </c>
      <c r="P19" s="122">
        <f>O19+'Income Statement'!P25*Assumptions!M27</f>
        <v>10983.014889305898</v>
      </c>
    </row>
    <row r="20" spans="1:16" ht="19.95" customHeight="1" x14ac:dyDescent="0.3">
      <c r="A20" s="337" t="s">
        <v>78</v>
      </c>
      <c r="B20" s="139">
        <f t="shared" ref="B20:K20" si="4">B18+B19</f>
        <v>40.000000000000007</v>
      </c>
      <c r="C20" s="139">
        <f t="shared" si="4"/>
        <v>103</v>
      </c>
      <c r="D20" s="139">
        <f t="shared" si="4"/>
        <v>268</v>
      </c>
      <c r="E20" s="139">
        <f t="shared" si="4"/>
        <v>412</v>
      </c>
      <c r="F20" s="139">
        <f t="shared" si="4"/>
        <v>606.04</v>
      </c>
      <c r="G20" s="139">
        <f t="shared" si="4"/>
        <v>898.99749999999995</v>
      </c>
      <c r="H20" s="139">
        <f t="shared" si="4"/>
        <v>1321.2778749999998</v>
      </c>
      <c r="I20" s="139">
        <f t="shared" si="4"/>
        <v>1881.4998669999998</v>
      </c>
      <c r="J20" s="139">
        <f t="shared" si="4"/>
        <v>2590.7110480937495</v>
      </c>
      <c r="K20" s="139">
        <f t="shared" si="4"/>
        <v>3470.203633454687</v>
      </c>
      <c r="L20" s="139">
        <f>L18+L19</f>
        <v>4536.8791370884364</v>
      </c>
      <c r="M20" s="139">
        <f>M18+M19</f>
        <v>5811.4087914323109</v>
      </c>
      <c r="N20" s="139">
        <f>N18+N19</f>
        <v>7304.005017643748</v>
      </c>
      <c r="O20" s="139">
        <f>O18+O19</f>
        <v>9026.3645011822318</v>
      </c>
      <c r="P20" s="139">
        <f>P18+P19</f>
        <v>10995.414889305897</v>
      </c>
    </row>
    <row r="21" spans="1:16" ht="19.95" customHeight="1" x14ac:dyDescent="0.3">
      <c r="A21" s="322"/>
      <c r="B21" s="295"/>
      <c r="C21" s="295"/>
      <c r="D21" s="295"/>
      <c r="E21" s="295"/>
      <c r="F21" s="296"/>
      <c r="G21" s="296"/>
      <c r="H21" s="296"/>
      <c r="I21" s="296"/>
      <c r="J21" s="296"/>
      <c r="K21" s="296"/>
      <c r="L21" s="298"/>
      <c r="M21" s="297"/>
      <c r="N21" s="297"/>
      <c r="O21" s="297"/>
      <c r="P21" s="297"/>
    </row>
    <row r="22" spans="1:16" ht="19.95" customHeight="1" x14ac:dyDescent="0.3">
      <c r="A22" s="327" t="s">
        <v>79</v>
      </c>
      <c r="B22" s="121">
        <v>8</v>
      </c>
      <c r="C22" s="121">
        <v>15</v>
      </c>
      <c r="D22" s="121">
        <v>48</v>
      </c>
      <c r="E22" s="121">
        <v>65</v>
      </c>
      <c r="F22" s="122">
        <f>Assumptions!C26</f>
        <v>70</v>
      </c>
      <c r="G22" s="122">
        <f>Assumptions!D26</f>
        <v>75</v>
      </c>
      <c r="H22" s="122">
        <f>Assumptions!E26</f>
        <v>78</v>
      </c>
      <c r="I22" s="122">
        <f>Assumptions!F26</f>
        <v>78</v>
      </c>
      <c r="J22" s="122">
        <f>Assumptions!G26</f>
        <v>75</v>
      </c>
      <c r="K22" s="122">
        <f>Assumptions!H26</f>
        <v>72</v>
      </c>
      <c r="L22" s="122">
        <f>Assumptions!I26</f>
        <v>70</v>
      </c>
      <c r="M22" s="122">
        <f>Assumptions!J26</f>
        <v>68</v>
      </c>
      <c r="N22" s="122">
        <f>Assumptions!K26</f>
        <v>65</v>
      </c>
      <c r="O22" s="122">
        <f>Assumptions!L26</f>
        <v>62</v>
      </c>
      <c r="P22" s="122">
        <f>Assumptions!M26</f>
        <v>60</v>
      </c>
    </row>
    <row r="23" spans="1:16" ht="19.95" customHeight="1" x14ac:dyDescent="0.3">
      <c r="A23" s="327" t="s">
        <v>80</v>
      </c>
      <c r="B23" s="121">
        <v>37</v>
      </c>
      <c r="C23" s="121">
        <v>47</v>
      </c>
      <c r="D23" s="121">
        <v>72</v>
      </c>
      <c r="E23" s="121">
        <v>86</v>
      </c>
      <c r="F23" s="122">
        <f>'Income Statement'!F4*Assumptions!C25</f>
        <v>112.5</v>
      </c>
      <c r="G23" s="122">
        <f>'Income Statement'!G4*Assumptions!D25</f>
        <v>163.125</v>
      </c>
      <c r="H23" s="122">
        <f>'Income Statement'!H4*Assumptions!E25</f>
        <v>225.11249999999995</v>
      </c>
      <c r="I23" s="122">
        <f>'Income Statement'!I4*Assumptions!F25</f>
        <v>292.64624999999995</v>
      </c>
      <c r="J23" s="122">
        <f>'Income Statement'!J4*Assumptions!G25</f>
        <v>365.8078124999999</v>
      </c>
      <c r="K23" s="122">
        <f>'Income Statement'!K4*Assumptions!H25</f>
        <v>446.28553124999991</v>
      </c>
      <c r="L23" s="122">
        <f>'Income Statement'!L4*Assumptions!I25</f>
        <v>499.83979499999992</v>
      </c>
      <c r="M23" s="122">
        <f>'Income Statement'!M4*Assumptions!J25</f>
        <v>589.81095809999988</v>
      </c>
      <c r="N23" s="122">
        <f>'Income Statement'!N4*Assumptions!K25</f>
        <v>684.18071139599988</v>
      </c>
      <c r="O23" s="122">
        <f>'Income Statement'!O4*Assumptions!L25</f>
        <v>724.25415306347986</v>
      </c>
      <c r="P23" s="122">
        <f>'Income Statement'!P4*Assumptions!M25</f>
        <v>811.16465143109758</v>
      </c>
    </row>
    <row r="24" spans="1:16" ht="19.95" customHeight="1" x14ac:dyDescent="0.3">
      <c r="A24" s="330" t="s">
        <v>81</v>
      </c>
      <c r="B24" s="133">
        <f t="shared" ref="B24:K24" si="5">B22+B23</f>
        <v>45</v>
      </c>
      <c r="C24" s="133">
        <f t="shared" si="5"/>
        <v>62</v>
      </c>
      <c r="D24" s="133">
        <f t="shared" si="5"/>
        <v>120</v>
      </c>
      <c r="E24" s="133">
        <f t="shared" si="5"/>
        <v>151</v>
      </c>
      <c r="F24" s="134">
        <f t="shared" si="5"/>
        <v>182.5</v>
      </c>
      <c r="G24" s="134">
        <f t="shared" si="5"/>
        <v>238.125</v>
      </c>
      <c r="H24" s="134">
        <f t="shared" si="5"/>
        <v>303.11249999999995</v>
      </c>
      <c r="I24" s="134">
        <f t="shared" si="5"/>
        <v>370.64624999999995</v>
      </c>
      <c r="J24" s="134">
        <f t="shared" si="5"/>
        <v>440.8078124999999</v>
      </c>
      <c r="K24" s="134">
        <f t="shared" si="5"/>
        <v>518.28553124999985</v>
      </c>
      <c r="L24" s="134">
        <f>L22+L23</f>
        <v>569.83979499999987</v>
      </c>
      <c r="M24" s="134">
        <f>M22+M23</f>
        <v>657.81095809999988</v>
      </c>
      <c r="N24" s="134">
        <f>N22+N23</f>
        <v>749.18071139599988</v>
      </c>
      <c r="O24" s="134">
        <f>O22+O23</f>
        <v>786.25415306347986</v>
      </c>
      <c r="P24" s="134">
        <f>P22+P23</f>
        <v>871.16465143109758</v>
      </c>
    </row>
    <row r="25" spans="1:16" ht="19.95" customHeight="1" x14ac:dyDescent="0.3">
      <c r="A25" s="322"/>
      <c r="B25" s="295"/>
      <c r="C25" s="295"/>
      <c r="D25" s="295"/>
      <c r="E25" s="295"/>
      <c r="F25" s="296"/>
      <c r="G25" s="296"/>
      <c r="H25" s="296"/>
      <c r="I25" s="296"/>
      <c r="J25" s="296"/>
      <c r="K25" s="296"/>
      <c r="L25" s="298"/>
      <c r="M25" s="297"/>
      <c r="N25" s="297"/>
      <c r="O25" s="297"/>
      <c r="P25" s="297"/>
    </row>
    <row r="26" spans="1:16" ht="19.95" customHeight="1" x14ac:dyDescent="0.3">
      <c r="A26" s="337" t="s">
        <v>82</v>
      </c>
      <c r="B26" s="139">
        <f t="shared" ref="B26:K26" si="6">B20+B24</f>
        <v>85</v>
      </c>
      <c r="C26" s="139">
        <f t="shared" si="6"/>
        <v>165</v>
      </c>
      <c r="D26" s="139">
        <f t="shared" si="6"/>
        <v>388</v>
      </c>
      <c r="E26" s="139">
        <f t="shared" si="6"/>
        <v>563</v>
      </c>
      <c r="F26" s="139">
        <f t="shared" si="6"/>
        <v>788.54</v>
      </c>
      <c r="G26" s="139">
        <f t="shared" si="6"/>
        <v>1137.1224999999999</v>
      </c>
      <c r="H26" s="139">
        <f t="shared" si="6"/>
        <v>1624.3903749999997</v>
      </c>
      <c r="I26" s="139">
        <f t="shared" si="6"/>
        <v>2252.1461169999998</v>
      </c>
      <c r="J26" s="139">
        <f t="shared" si="6"/>
        <v>3031.5188605937492</v>
      </c>
      <c r="K26" s="139">
        <f t="shared" si="6"/>
        <v>3988.489164704687</v>
      </c>
      <c r="L26" s="139">
        <f>L20+L24</f>
        <v>5106.7189320884363</v>
      </c>
      <c r="M26" s="139">
        <f>M20+M24</f>
        <v>6469.2197495323107</v>
      </c>
      <c r="N26" s="139">
        <f>N20+N24</f>
        <v>8053.1857290397475</v>
      </c>
      <c r="O26" s="139">
        <f>O20+O24</f>
        <v>9812.6186542457108</v>
      </c>
      <c r="P26" s="139">
        <f>P20+P24</f>
        <v>11866.579540736995</v>
      </c>
    </row>
    <row r="27" spans="1:16" ht="19.95" customHeight="1" x14ac:dyDescent="0.3">
      <c r="A27" s="333" t="s">
        <v>83</v>
      </c>
      <c r="B27" s="304">
        <f t="shared" ref="B27:K27" si="7">B15-B26</f>
        <v>0</v>
      </c>
      <c r="C27" s="304">
        <f t="shared" si="7"/>
        <v>0</v>
      </c>
      <c r="D27" s="304">
        <f t="shared" si="7"/>
        <v>0</v>
      </c>
      <c r="E27" s="304">
        <f t="shared" si="7"/>
        <v>0</v>
      </c>
      <c r="F27" s="305">
        <f t="shared" si="7"/>
        <v>0</v>
      </c>
      <c r="G27" s="305">
        <f t="shared" si="7"/>
        <v>0</v>
      </c>
      <c r="H27" s="305">
        <f t="shared" si="7"/>
        <v>0</v>
      </c>
      <c r="I27" s="305">
        <f t="shared" si="7"/>
        <v>0</v>
      </c>
      <c r="J27" s="305">
        <f t="shared" si="7"/>
        <v>0</v>
      </c>
      <c r="K27" s="305">
        <f t="shared" si="7"/>
        <v>0</v>
      </c>
      <c r="L27" s="305">
        <f>L15-L26</f>
        <v>0</v>
      </c>
      <c r="M27" s="305">
        <f>M15-M26</f>
        <v>0</v>
      </c>
      <c r="N27" s="305">
        <f>N15-N26</f>
        <v>0</v>
      </c>
      <c r="O27" s="305">
        <f>O15-O26</f>
        <v>0</v>
      </c>
      <c r="P27" s="305">
        <f>P15-P26</f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FB17-6C3E-42FF-BD0A-5C6048047F17}">
  <sheetPr>
    <tabColor rgb="FF1B5E20"/>
  </sheetPr>
  <dimension ref="A1:P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0.77734375" customWidth="1"/>
    <col min="2" max="16" width="13.88671875" customWidth="1"/>
  </cols>
  <sheetData>
    <row r="1" spans="1:16" ht="30" customHeight="1" x14ac:dyDescent="0.35">
      <c r="A1" s="82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05" customHeight="1" thickBot="1" x14ac:dyDescent="0.3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191</v>
      </c>
      <c r="M2" s="4" t="s">
        <v>192</v>
      </c>
      <c r="N2" s="4" t="s">
        <v>193</v>
      </c>
      <c r="O2" s="4" t="s">
        <v>194</v>
      </c>
      <c r="P2" s="4" t="s">
        <v>195</v>
      </c>
    </row>
    <row r="3" spans="1:16" ht="19.95" customHeight="1" x14ac:dyDescent="0.3">
      <c r="A3" s="334" t="s">
        <v>85</v>
      </c>
      <c r="B3" s="293"/>
      <c r="C3" s="293"/>
      <c r="D3" s="293"/>
      <c r="E3" s="293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</row>
    <row r="4" spans="1:16" ht="19.95" customHeight="1" x14ac:dyDescent="0.3">
      <c r="A4" s="327" t="s">
        <v>86</v>
      </c>
      <c r="B4" s="121">
        <f>'Income Statement'!B25</f>
        <v>11.475000000000001</v>
      </c>
      <c r="C4" s="121">
        <f>'Income Statement'!C25</f>
        <v>20.024999999999999</v>
      </c>
      <c r="D4" s="121">
        <f>'Income Statement'!D25</f>
        <v>51.900000000000006</v>
      </c>
      <c r="E4" s="121">
        <f>'Income Statement'!E25</f>
        <v>74.25</v>
      </c>
      <c r="F4" s="122">
        <f>'Income Statement'!F25</f>
        <v>220.5</v>
      </c>
      <c r="G4" s="122">
        <f>'Income Statement'!G25</f>
        <v>332.90625</v>
      </c>
      <c r="H4" s="122">
        <f>'Income Statement'!H25</f>
        <v>479.86406249999982</v>
      </c>
      <c r="I4" s="122">
        <f>'Income Statement'!I25</f>
        <v>636.61590000000001</v>
      </c>
      <c r="J4" s="122">
        <f>'Income Statement'!J25</f>
        <v>815.18526562499994</v>
      </c>
      <c r="K4" s="122">
        <f>'Income Statement'!K25</f>
        <v>1010.9110176562498</v>
      </c>
      <c r="L4" s="122">
        <f>'Income Statement'!L25</f>
        <v>1240.3203530624996</v>
      </c>
      <c r="M4" s="122">
        <f>'Income Statement'!M25</f>
        <v>1482.0112259812497</v>
      </c>
      <c r="N4" s="122">
        <f>'Income Statement'!N25</f>
        <v>1755.9955602487494</v>
      </c>
      <c r="O4" s="122">
        <f>'Income Statement'!O25</f>
        <v>2026.3052747511563</v>
      </c>
      <c r="P4" s="122">
        <f>'Income Statement'!P25</f>
        <v>2316.5298683807819</v>
      </c>
    </row>
    <row r="5" spans="1:16" ht="19.95" customHeight="1" x14ac:dyDescent="0.3">
      <c r="A5" s="327" t="s">
        <v>87</v>
      </c>
      <c r="B5" s="121">
        <f>'Income Statement'!B19</f>
        <v>2.5</v>
      </c>
      <c r="C5" s="121">
        <f>'Income Statement'!C19</f>
        <v>5.8</v>
      </c>
      <c r="D5" s="121">
        <f>'Income Statement'!D19</f>
        <v>13.5</v>
      </c>
      <c r="E5" s="121">
        <f>'Income Statement'!E19</f>
        <v>28</v>
      </c>
      <c r="F5" s="122">
        <f>'Income Statement'!F19</f>
        <v>37.5</v>
      </c>
      <c r="G5" s="122">
        <f>'Income Statement'!G19</f>
        <v>54.375</v>
      </c>
      <c r="H5" s="122">
        <f>'Income Statement'!H19</f>
        <v>75.037499999999994</v>
      </c>
      <c r="I5" s="122">
        <f>'Income Statement'!I19</f>
        <v>93.646799999999985</v>
      </c>
      <c r="J5" s="122">
        <f>'Income Statement'!J19</f>
        <v>117.05849999999998</v>
      </c>
      <c r="K5" s="122">
        <f>'Income Statement'!K19</f>
        <v>136.86089624999997</v>
      </c>
      <c r="L5" s="122">
        <f>'Income Statement'!L19</f>
        <v>164.23307549999996</v>
      </c>
      <c r="M5" s="122">
        <f>'Income Statement'!M19</f>
        <v>189.58209367499995</v>
      </c>
      <c r="N5" s="122">
        <f>'Income Statement'!N19</f>
        <v>219.91522866299994</v>
      </c>
      <c r="O5" s="122">
        <f>'Income Statement'!O19</f>
        <v>245.13217488302394</v>
      </c>
      <c r="P5" s="122">
        <f>'Income Statement'!P19</f>
        <v>274.54803586898686</v>
      </c>
    </row>
    <row r="6" spans="1:16" ht="19.95" customHeight="1" x14ac:dyDescent="0.3">
      <c r="A6" s="327" t="s">
        <v>88</v>
      </c>
      <c r="B6" s="121">
        <v>-8</v>
      </c>
      <c r="C6" s="121">
        <v>-12</v>
      </c>
      <c r="D6" s="121">
        <v>-25</v>
      </c>
      <c r="E6" s="121">
        <v>-55</v>
      </c>
      <c r="F6" s="122">
        <f>Assumptions!C24</f>
        <v>-40</v>
      </c>
      <c r="G6" s="122">
        <f>Assumptions!D24</f>
        <v>-55</v>
      </c>
      <c r="H6" s="122">
        <f>Assumptions!E24</f>
        <v>-65</v>
      </c>
      <c r="I6" s="122">
        <f>Assumptions!F24</f>
        <v>-60</v>
      </c>
      <c r="J6" s="122">
        <f>Assumptions!G24</f>
        <v>-55</v>
      </c>
      <c r="K6" s="122">
        <f>Assumptions!H24</f>
        <v>-50</v>
      </c>
      <c r="L6" s="122">
        <f>Assumptions!I24</f>
        <v>-45</v>
      </c>
      <c r="M6" s="122">
        <f>Assumptions!J24</f>
        <v>-42</v>
      </c>
      <c r="N6" s="122">
        <f>Assumptions!K24</f>
        <v>-40</v>
      </c>
      <c r="O6" s="122">
        <f>Assumptions!L24</f>
        <v>-38</v>
      </c>
      <c r="P6" s="122">
        <f>Assumptions!M24</f>
        <v>-35</v>
      </c>
    </row>
    <row r="7" spans="1:16" ht="19.95" customHeight="1" x14ac:dyDescent="0.3">
      <c r="A7" s="339" t="s">
        <v>89</v>
      </c>
      <c r="B7" s="128">
        <f t="shared" ref="B7:K7" si="0">B4+B5+B6</f>
        <v>5.9750000000000014</v>
      </c>
      <c r="C7" s="128">
        <f t="shared" si="0"/>
        <v>13.824999999999999</v>
      </c>
      <c r="D7" s="128">
        <f t="shared" si="0"/>
        <v>40.400000000000006</v>
      </c>
      <c r="E7" s="128">
        <f t="shared" si="0"/>
        <v>47.25</v>
      </c>
      <c r="F7" s="129">
        <f t="shared" si="0"/>
        <v>218</v>
      </c>
      <c r="G7" s="129">
        <f t="shared" si="0"/>
        <v>332.28125</v>
      </c>
      <c r="H7" s="129">
        <f t="shared" si="0"/>
        <v>489.90156249999984</v>
      </c>
      <c r="I7" s="129">
        <f t="shared" si="0"/>
        <v>670.2627</v>
      </c>
      <c r="J7" s="129">
        <f t="shared" si="0"/>
        <v>877.24376562499992</v>
      </c>
      <c r="K7" s="129">
        <f t="shared" si="0"/>
        <v>1097.7719139062497</v>
      </c>
      <c r="L7" s="129">
        <f>L4+L5+L6</f>
        <v>1359.5534285624997</v>
      </c>
      <c r="M7" s="129">
        <f>M4+M5+M6</f>
        <v>1629.5933196562496</v>
      </c>
      <c r="N7" s="129">
        <f>N4+N5+N6</f>
        <v>1935.9107889117493</v>
      </c>
      <c r="O7" s="129">
        <f>O4+O5+O6</f>
        <v>2233.4374496341802</v>
      </c>
      <c r="P7" s="129">
        <f>P4+P5+P6</f>
        <v>2556.0779042497688</v>
      </c>
    </row>
    <row r="8" spans="1:16" ht="19.95" customHeight="1" x14ac:dyDescent="0.3">
      <c r="A8" s="322"/>
      <c r="B8" s="295"/>
      <c r="C8" s="295"/>
      <c r="D8" s="295"/>
      <c r="E8" s="295"/>
      <c r="F8" s="296"/>
      <c r="G8" s="296"/>
      <c r="H8" s="296"/>
      <c r="I8" s="296"/>
      <c r="J8" s="296"/>
      <c r="K8" s="296"/>
      <c r="L8" s="298"/>
      <c r="M8" s="298"/>
      <c r="N8" s="298"/>
      <c r="O8" s="298"/>
      <c r="P8" s="298"/>
    </row>
    <row r="9" spans="1:16" ht="19.95" customHeight="1" x14ac:dyDescent="0.3">
      <c r="A9" s="336" t="s">
        <v>90</v>
      </c>
      <c r="B9" s="299"/>
      <c r="C9" s="299"/>
      <c r="D9" s="299"/>
      <c r="E9" s="299"/>
      <c r="F9" s="300"/>
      <c r="G9" s="300"/>
      <c r="H9" s="300"/>
      <c r="I9" s="300"/>
      <c r="J9" s="300"/>
      <c r="K9" s="300"/>
      <c r="L9" s="141"/>
      <c r="M9" s="141"/>
      <c r="N9" s="141"/>
      <c r="O9" s="141"/>
      <c r="P9" s="141"/>
    </row>
    <row r="10" spans="1:16" ht="19.95" customHeight="1" x14ac:dyDescent="0.3">
      <c r="A10" s="327" t="s">
        <v>91</v>
      </c>
      <c r="B10" s="121">
        <v>-15</v>
      </c>
      <c r="C10" s="121">
        <v>-40</v>
      </c>
      <c r="D10" s="121">
        <v>-80</v>
      </c>
      <c r="E10" s="121">
        <v>-100</v>
      </c>
      <c r="F10" s="122">
        <f>Assumptions!C23</f>
        <v>-60</v>
      </c>
      <c r="G10" s="122">
        <f>Assumptions!D23</f>
        <v>-70</v>
      </c>
      <c r="H10" s="122">
        <f>Assumptions!E23</f>
        <v>-85</v>
      </c>
      <c r="I10" s="122">
        <f>Assumptions!F23</f>
        <v>-100</v>
      </c>
      <c r="J10" s="122">
        <f>Assumptions!G23</f>
        <v>-125</v>
      </c>
      <c r="K10" s="122">
        <f>Assumptions!H23</f>
        <v>-145</v>
      </c>
      <c r="L10" s="122">
        <f>Assumptions!I23</f>
        <v>-170</v>
      </c>
      <c r="M10" s="122">
        <f>Assumptions!J23</f>
        <v>-195</v>
      </c>
      <c r="N10" s="122">
        <f>Assumptions!K23</f>
        <v>-225</v>
      </c>
      <c r="O10" s="122">
        <f>Assumptions!L23</f>
        <v>-250</v>
      </c>
      <c r="P10" s="122">
        <f>Assumptions!M23</f>
        <v>-280</v>
      </c>
    </row>
    <row r="11" spans="1:16" ht="19.95" customHeight="1" x14ac:dyDescent="0.3">
      <c r="A11" s="337" t="s">
        <v>92</v>
      </c>
      <c r="B11" s="139">
        <f t="shared" ref="B11:K11" si="1">B7+B10</f>
        <v>-9.0249999999999986</v>
      </c>
      <c r="C11" s="139">
        <f t="shared" si="1"/>
        <v>-26.175000000000001</v>
      </c>
      <c r="D11" s="139">
        <f t="shared" si="1"/>
        <v>-39.599999999999994</v>
      </c>
      <c r="E11" s="139">
        <f t="shared" si="1"/>
        <v>-52.75</v>
      </c>
      <c r="F11" s="139">
        <f t="shared" si="1"/>
        <v>158</v>
      </c>
      <c r="G11" s="139">
        <f t="shared" si="1"/>
        <v>262.28125</v>
      </c>
      <c r="H11" s="139">
        <f t="shared" si="1"/>
        <v>404.90156249999984</v>
      </c>
      <c r="I11" s="139">
        <f t="shared" si="1"/>
        <v>570.2627</v>
      </c>
      <c r="J11" s="139">
        <f t="shared" si="1"/>
        <v>752.24376562499992</v>
      </c>
      <c r="K11" s="139">
        <f t="shared" si="1"/>
        <v>952.77191390624967</v>
      </c>
      <c r="L11" s="139">
        <f>L7+L10</f>
        <v>1189.5534285624997</v>
      </c>
      <c r="M11" s="139">
        <f>M7+M10</f>
        <v>1434.5933196562496</v>
      </c>
      <c r="N11" s="139">
        <f>N7+N10</f>
        <v>1710.9107889117493</v>
      </c>
      <c r="O11" s="139">
        <f>O7+O10</f>
        <v>1983.4374496341802</v>
      </c>
      <c r="P11" s="139">
        <f>P7+P10</f>
        <v>2276.0779042497688</v>
      </c>
    </row>
    <row r="12" spans="1:16" ht="19.95" customHeight="1" x14ac:dyDescent="0.3">
      <c r="A12" s="338"/>
      <c r="B12" s="299"/>
      <c r="C12" s="299"/>
      <c r="D12" s="299"/>
      <c r="E12" s="299"/>
      <c r="F12" s="300"/>
      <c r="G12" s="300"/>
      <c r="H12" s="300"/>
      <c r="I12" s="300"/>
      <c r="J12" s="300"/>
      <c r="K12" s="300"/>
      <c r="L12" s="141"/>
      <c r="M12" s="141"/>
      <c r="N12" s="141"/>
      <c r="O12" s="141"/>
      <c r="P12" s="141"/>
    </row>
    <row r="13" spans="1:16" ht="19.95" customHeight="1" x14ac:dyDescent="0.3">
      <c r="A13" s="337" t="s">
        <v>93</v>
      </c>
      <c r="B13" s="301"/>
      <c r="C13" s="301"/>
      <c r="D13" s="301"/>
      <c r="E13" s="301"/>
      <c r="F13" s="302"/>
      <c r="G13" s="302"/>
      <c r="H13" s="302"/>
      <c r="I13" s="302"/>
      <c r="J13" s="302"/>
      <c r="K13" s="302"/>
      <c r="L13" s="303"/>
      <c r="M13" s="303"/>
      <c r="N13" s="303"/>
      <c r="O13" s="303"/>
      <c r="P13" s="303"/>
    </row>
    <row r="14" spans="1:16" ht="19.95" customHeight="1" x14ac:dyDescent="0.3">
      <c r="A14" s="327" t="s">
        <v>94</v>
      </c>
      <c r="B14" s="121">
        <v>-1</v>
      </c>
      <c r="C14" s="121">
        <v>-1.5</v>
      </c>
      <c r="D14" s="121">
        <v>-5</v>
      </c>
      <c r="E14" s="121">
        <v>-10</v>
      </c>
      <c r="F14" s="122">
        <f>-'Income Statement'!F25*(1-Assumptions!C27)</f>
        <v>-26.459999999999997</v>
      </c>
      <c r="G14" s="122">
        <f>-'Income Statement'!G25*(1-Assumptions!D27)</f>
        <v>-39.948749999999997</v>
      </c>
      <c r="H14" s="122">
        <f>-'Income Statement'!H25*(1-Assumptions!E27)</f>
        <v>-57.583687499999975</v>
      </c>
      <c r="I14" s="122">
        <f>-'Income Statement'!I25*(1-Assumptions!F27)</f>
        <v>-76.393907999999996</v>
      </c>
      <c r="J14" s="122">
        <f>-'Income Statement'!J25*(1-Assumptions!G27)</f>
        <v>-105.97408453125</v>
      </c>
      <c r="K14" s="122">
        <f>-'Income Statement'!K25*(1-Assumptions!H27)</f>
        <v>-131.41843229531247</v>
      </c>
      <c r="L14" s="122">
        <f>-'Income Statement'!L25*(1-Assumptions!I27)</f>
        <v>-173.64484942874998</v>
      </c>
      <c r="M14" s="122">
        <f>-'Income Statement'!M25*(1-Assumptions!J27)</f>
        <v>-207.48157163737497</v>
      </c>
      <c r="N14" s="122">
        <f>-'Income Statement'!N25*(1-Assumptions!K27)</f>
        <v>-263.39933403731243</v>
      </c>
      <c r="O14" s="122">
        <f>-'Income Statement'!O25*(1-Assumptions!L27)</f>
        <v>-303.9457912126735</v>
      </c>
      <c r="P14" s="122">
        <f>-'Income Statement'!P25*(1-Assumptions!M27)</f>
        <v>-347.47948025711736</v>
      </c>
    </row>
    <row r="15" spans="1:16" ht="19.95" customHeight="1" x14ac:dyDescent="0.3">
      <c r="A15" s="327" t="s">
        <v>95</v>
      </c>
      <c r="B15" s="121">
        <v>5</v>
      </c>
      <c r="C15" s="121">
        <v>8</v>
      </c>
      <c r="D15" s="121">
        <v>15</v>
      </c>
      <c r="E15" s="121">
        <v>-5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</row>
    <row r="16" spans="1:16" ht="19.95" customHeight="1" x14ac:dyDescent="0.3">
      <c r="A16" s="322"/>
      <c r="B16" s="295"/>
      <c r="C16" s="295"/>
      <c r="D16" s="295"/>
      <c r="E16" s="295"/>
      <c r="F16" s="296"/>
      <c r="G16" s="296"/>
      <c r="H16" s="296"/>
      <c r="I16" s="296"/>
      <c r="J16" s="296"/>
      <c r="K16" s="296"/>
      <c r="L16" s="298"/>
      <c r="M16" s="298"/>
      <c r="N16" s="298"/>
      <c r="O16" s="298"/>
      <c r="P16" s="298"/>
    </row>
    <row r="17" spans="1:16" ht="19.95" customHeight="1" thickBot="1" x14ac:dyDescent="0.35">
      <c r="A17" s="340" t="s">
        <v>96</v>
      </c>
      <c r="B17" s="306">
        <f t="shared" ref="B17:K17" si="2">B7+B10+B14+B15</f>
        <v>-5.0249999999999986</v>
      </c>
      <c r="C17" s="306">
        <f t="shared" si="2"/>
        <v>-19.675000000000001</v>
      </c>
      <c r="D17" s="306">
        <f t="shared" si="2"/>
        <v>-29.599999999999994</v>
      </c>
      <c r="E17" s="306">
        <f t="shared" si="2"/>
        <v>-67.75</v>
      </c>
      <c r="F17" s="306">
        <f t="shared" si="2"/>
        <v>131.54</v>
      </c>
      <c r="G17" s="306">
        <f t="shared" si="2"/>
        <v>222.33250000000001</v>
      </c>
      <c r="H17" s="306">
        <f t="shared" si="2"/>
        <v>347.31787499999984</v>
      </c>
      <c r="I17" s="306">
        <f t="shared" si="2"/>
        <v>493.86879199999998</v>
      </c>
      <c r="J17" s="306">
        <f t="shared" si="2"/>
        <v>646.26968109374991</v>
      </c>
      <c r="K17" s="306">
        <f t="shared" si="2"/>
        <v>821.35348161093725</v>
      </c>
      <c r="L17" s="306">
        <f>L7+L10+L14+L15</f>
        <v>1015.9085791337498</v>
      </c>
      <c r="M17" s="306">
        <f>M7+M10+M14+M15</f>
        <v>1227.1117480188746</v>
      </c>
      <c r="N17" s="306">
        <f>N7+N10+N14+N15</f>
        <v>1447.5114548744368</v>
      </c>
      <c r="O17" s="306">
        <f>O7+O10+O14+O15</f>
        <v>1679.4916584215066</v>
      </c>
      <c r="P17" s="306">
        <f>P7+P10+P14+P15</f>
        <v>1928.5984239926515</v>
      </c>
    </row>
    <row r="18" spans="1:16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A87C-85F1-4583-9785-2B1764835111}">
  <sheetPr>
    <tabColor rgb="FF1B5E20"/>
  </sheetPr>
  <dimension ref="A1:P2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0.77734375" customWidth="1"/>
    <col min="2" max="16" width="13.88671875" customWidth="1"/>
  </cols>
  <sheetData>
    <row r="1" spans="1:16" ht="30" customHeight="1" x14ac:dyDescent="0.35">
      <c r="A1" s="82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2.05" customHeight="1" thickBot="1" x14ac:dyDescent="0.35">
      <c r="A2" s="2" t="s">
        <v>98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191</v>
      </c>
      <c r="M2" s="4" t="s">
        <v>192</v>
      </c>
      <c r="N2" s="4" t="s">
        <v>193</v>
      </c>
      <c r="O2" s="4" t="s">
        <v>194</v>
      </c>
      <c r="P2" s="4" t="s">
        <v>195</v>
      </c>
    </row>
    <row r="3" spans="1:16" ht="19.95" customHeight="1" x14ac:dyDescent="0.3">
      <c r="A3" s="334" t="s">
        <v>99</v>
      </c>
      <c r="B3" s="131"/>
      <c r="C3" s="131"/>
      <c r="D3" s="131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19.95" customHeight="1" x14ac:dyDescent="0.3">
      <c r="A4" s="327" t="s">
        <v>100</v>
      </c>
      <c r="B4" s="307"/>
      <c r="C4" s="142">
        <f>'Income Statement'!C5</f>
        <v>0.51538461538461533</v>
      </c>
      <c r="D4" s="142">
        <f>'Income Statement'!D5</f>
        <v>0.64467005076142136</v>
      </c>
      <c r="E4" s="142">
        <f>'Income Statement'!E5</f>
        <v>0.44753086419753085</v>
      </c>
      <c r="F4" s="143">
        <f>'Income Statement'!F5</f>
        <v>0.59914712153518124</v>
      </c>
      <c r="G4" s="143">
        <f>'Income Statement'!G5</f>
        <v>0.45</v>
      </c>
      <c r="H4" s="143">
        <f>'Income Statement'!H5</f>
        <v>0.37999999999999978</v>
      </c>
      <c r="I4" s="143">
        <f>'Income Statement'!I5</f>
        <v>0.3</v>
      </c>
      <c r="J4" s="143">
        <f>'Income Statement'!J5</f>
        <v>0.24999999999999997</v>
      </c>
      <c r="K4" s="143">
        <f>'Income Statement'!K5</f>
        <v>0.22000000000000006</v>
      </c>
      <c r="L4" s="143">
        <f>'Income Statement'!L5</f>
        <v>0.1999999999999999</v>
      </c>
      <c r="M4" s="143">
        <f>'Income Statement'!M5</f>
        <v>0.17999999999999997</v>
      </c>
      <c r="N4" s="143">
        <f>'Income Statement'!N5</f>
        <v>0.15999999999999998</v>
      </c>
      <c r="O4" s="143">
        <f>'Income Statement'!O5</f>
        <v>0.1400000000000001</v>
      </c>
      <c r="P4" s="143">
        <f>'Income Statement'!P5</f>
        <v>0.12000000000000008</v>
      </c>
    </row>
    <row r="5" spans="1:16" ht="19.95" customHeight="1" x14ac:dyDescent="0.3">
      <c r="A5" s="327" t="s">
        <v>101</v>
      </c>
      <c r="B5" s="142">
        <f>'Income Statement'!B9</f>
        <v>0.86</v>
      </c>
      <c r="C5" s="142">
        <f>'Income Statement'!C9</f>
        <v>0.85583756345177664</v>
      </c>
      <c r="D5" s="142">
        <f>'Income Statement'!D9</f>
        <v>0.86512345679012348</v>
      </c>
      <c r="E5" s="142">
        <f>'Income Statement'!E9</f>
        <v>0.87995735607675907</v>
      </c>
      <c r="F5" s="143">
        <f>'Income Statement'!F9</f>
        <v>0.9</v>
      </c>
      <c r="G5" s="143">
        <f>'Income Statement'!G9</f>
        <v>0.9</v>
      </c>
      <c r="H5" s="143">
        <f>'Income Statement'!H9</f>
        <v>0.89999999999999991</v>
      </c>
      <c r="I5" s="143">
        <f>'Income Statement'!I9</f>
        <v>0.89500000000000002</v>
      </c>
      <c r="J5" s="143">
        <f>'Income Statement'!J9</f>
        <v>0.89500000000000002</v>
      </c>
      <c r="K5" s="143">
        <f>'Income Statement'!K9</f>
        <v>0.89</v>
      </c>
      <c r="L5" s="143">
        <f>'Income Statement'!L9</f>
        <v>0.89</v>
      </c>
      <c r="M5" s="143">
        <f>'Income Statement'!M9</f>
        <v>0.88500000000000001</v>
      </c>
      <c r="N5" s="143">
        <f>'Income Statement'!N9</f>
        <v>0.88500000000000001</v>
      </c>
      <c r="O5" s="143">
        <f>'Income Statement'!O9</f>
        <v>0.88000000000000012</v>
      </c>
      <c r="P5" s="143">
        <f>'Income Statement'!P9</f>
        <v>0.88000000000000012</v>
      </c>
    </row>
    <row r="6" spans="1:16" ht="19.95" customHeight="1" x14ac:dyDescent="0.3">
      <c r="A6" s="327" t="s">
        <v>102</v>
      </c>
      <c r="B6" s="142">
        <f>'Income Statement'!B17</f>
        <v>0.13846153846153847</v>
      </c>
      <c r="C6" s="142">
        <f>'Income Statement'!C17</f>
        <v>0.16751269035532995</v>
      </c>
      <c r="D6" s="142">
        <f>'Income Statement'!D17</f>
        <v>0.26234567901234568</v>
      </c>
      <c r="E6" s="142">
        <f>'Income Statement'!E17</f>
        <v>0.2857142857142857</v>
      </c>
      <c r="F6" s="143">
        <f>'Income Statement'!F17</f>
        <v>0.45</v>
      </c>
      <c r="G6" s="143">
        <f>'Income Statement'!G17</f>
        <v>0.46</v>
      </c>
      <c r="H6" s="143">
        <f>'Income Statement'!H17</f>
        <v>0.47499999999999998</v>
      </c>
      <c r="I6" s="143">
        <f>'Income Statement'!I17</f>
        <v>0.48000000000000004</v>
      </c>
      <c r="J6" s="143">
        <f>'Income Statement'!J17</f>
        <v>0.4900000000000001</v>
      </c>
      <c r="K6" s="143">
        <f>'Income Statement'!K17</f>
        <v>0.495</v>
      </c>
      <c r="L6" s="143">
        <f>'Income Statement'!L17</f>
        <v>0.505</v>
      </c>
      <c r="M6" s="143">
        <f>'Income Statement'!M17</f>
        <v>0.51</v>
      </c>
      <c r="N6" s="143">
        <f>'Income Statement'!N17</f>
        <v>0.52</v>
      </c>
      <c r="O6" s="143">
        <f>'Income Statement'!O17</f>
        <v>0.52499999999999991</v>
      </c>
      <c r="P6" s="143">
        <f>'Income Statement'!P17</f>
        <v>0.53500000000000003</v>
      </c>
    </row>
    <row r="7" spans="1:16" ht="19.95" customHeight="1" x14ac:dyDescent="0.3">
      <c r="A7" s="327" t="s">
        <v>103</v>
      </c>
      <c r="B7" s="142">
        <f>'Income Statement'!B26</f>
        <v>8.826923076923078E-2</v>
      </c>
      <c r="C7" s="142">
        <f>'Income Statement'!C26</f>
        <v>0.10164974619289339</v>
      </c>
      <c r="D7" s="142">
        <f>'Income Statement'!D26</f>
        <v>0.16018518518518521</v>
      </c>
      <c r="E7" s="142">
        <f>'Income Statement'!E26</f>
        <v>0.15831556503198294</v>
      </c>
      <c r="F7" s="143">
        <f>'Income Statement'!F26</f>
        <v>0.29399999999999998</v>
      </c>
      <c r="G7" s="143">
        <f>'Income Statement'!G26</f>
        <v>0.30612068965517242</v>
      </c>
      <c r="H7" s="143">
        <f>'Income Statement'!H26</f>
        <v>0.31974950024987497</v>
      </c>
      <c r="I7" s="143">
        <f>'Income Statement'!I26</f>
        <v>0.3263065390381733</v>
      </c>
      <c r="J7" s="143">
        <f>'Income Statement'!J26</f>
        <v>0.3342678468458079</v>
      </c>
      <c r="K7" s="143">
        <f>'Income Statement'!K26</f>
        <v>0.33977496923039108</v>
      </c>
      <c r="L7" s="143">
        <f>'Income Statement'!L26</f>
        <v>0.34740100961499071</v>
      </c>
      <c r="M7" s="143">
        <f>'Income Statement'!M26</f>
        <v>0.35177639341552785</v>
      </c>
      <c r="N7" s="143">
        <f>'Income Statement'!N26</f>
        <v>0.35931936451879087</v>
      </c>
      <c r="O7" s="143">
        <f>'Income Statement'!O26</f>
        <v>0.3637116675181315</v>
      </c>
      <c r="P7" s="143">
        <f>'Income Statement'!P26</f>
        <v>0.3712549386344679</v>
      </c>
    </row>
    <row r="8" spans="1:16" ht="19.95" customHeight="1" x14ac:dyDescent="0.3">
      <c r="A8" s="327" t="s">
        <v>104</v>
      </c>
      <c r="B8" s="142">
        <f>'Income Statement'!B25/'Balance Sheet'!B20</f>
        <v>0.28687499999999999</v>
      </c>
      <c r="C8" s="142">
        <f>'Income Statement'!C25/'Balance Sheet'!C20</f>
        <v>0.19441747572815532</v>
      </c>
      <c r="D8" s="142">
        <f>'Income Statement'!D25/'Balance Sheet'!D20</f>
        <v>0.19365671641791046</v>
      </c>
      <c r="E8" s="142">
        <f>'Income Statement'!E25/'Balance Sheet'!E20</f>
        <v>0.18021844660194175</v>
      </c>
      <c r="F8" s="143">
        <f>'Income Statement'!F25/'Balance Sheet'!F20</f>
        <v>0.363837370470596</v>
      </c>
      <c r="G8" s="143">
        <f>'Income Statement'!G25/'Balance Sheet'!G20</f>
        <v>0.37030831565160083</v>
      </c>
      <c r="H8" s="143">
        <f>'Income Statement'!H25/'Balance Sheet'!H20</f>
        <v>0.36318178906916149</v>
      </c>
      <c r="I8" s="143">
        <f>'Income Statement'!I25/'Balance Sheet'!I20</f>
        <v>0.33835553813515101</v>
      </c>
      <c r="J8" s="143">
        <f>'Income Statement'!J25/'Balance Sheet'!J20</f>
        <v>0.31465696115543834</v>
      </c>
      <c r="K8" s="143">
        <f>'Income Statement'!K25/'Balance Sheet'!K20</f>
        <v>0.29131172819672801</v>
      </c>
      <c r="L8" s="143">
        <f>'Income Statement'!L25/'Balance Sheet'!L20</f>
        <v>0.2733862453868412</v>
      </c>
      <c r="M8" s="143">
        <f>'Income Statement'!M25/'Balance Sheet'!M20</f>
        <v>0.25501754895751971</v>
      </c>
      <c r="N8" s="143">
        <f>'Income Statement'!N25/'Balance Sheet'!N20</f>
        <v>0.2404154372850128</v>
      </c>
      <c r="O8" s="143">
        <f>'Income Statement'!O25/'Balance Sheet'!O20</f>
        <v>0.22448741954590468</v>
      </c>
      <c r="P8" s="143">
        <f>'Income Statement'!P25/'Balance Sheet'!P20</f>
        <v>0.21068144237411457</v>
      </c>
    </row>
    <row r="9" spans="1:16" ht="19.95" customHeight="1" x14ac:dyDescent="0.3">
      <c r="A9" s="327" t="s">
        <v>105</v>
      </c>
      <c r="B9" s="142">
        <f>'Income Statement'!B20/'Balance Sheet'!B15</f>
        <v>0.18235294117647058</v>
      </c>
      <c r="C9" s="142">
        <f>'Income Statement'!C20/'Balance Sheet'!C15</f>
        <v>0.16484848484848486</v>
      </c>
      <c r="D9" s="142">
        <f>'Income Statement'!D20/'Balance Sheet'!D15</f>
        <v>0.18427835051546393</v>
      </c>
      <c r="E9" s="142">
        <f>'Income Statement'!E20/'Balance Sheet'!E15</f>
        <v>0.18827708703374779</v>
      </c>
      <c r="F9" s="143">
        <f>'Income Statement'!F20/'Balance Sheet'!F15</f>
        <v>0.38044994546884114</v>
      </c>
      <c r="G9" s="143">
        <f>'Income Statement'!G20/'Balance Sheet'!G15</f>
        <v>0.3921081501773116</v>
      </c>
      <c r="H9" s="143">
        <f>'Income Statement'!H20/'Balance Sheet'!H15</f>
        <v>0.39265115074324408</v>
      </c>
      <c r="I9" s="143">
        <f>'Income Statement'!I20/'Balance Sheet'!I15</f>
        <v>0.3742302480456689</v>
      </c>
      <c r="J9" s="143">
        <f>'Income Statement'!J20/'Balance Sheet'!J15</f>
        <v>0.35556885411851974</v>
      </c>
      <c r="K9" s="143">
        <f>'Income Statement'!K20/'Balance Sheet'!K15</f>
        <v>0.33493418227047134</v>
      </c>
      <c r="L9" s="143">
        <f>'Income Statement'!L20/'Balance Sheet'!L15</f>
        <v>0.32090281304747947</v>
      </c>
      <c r="M9" s="143">
        <f>'Income Statement'!M20/'Balance Sheet'!M15</f>
        <v>0.30282090326528566</v>
      </c>
      <c r="N9" s="143">
        <f>'Income Statement'!N20/'Balance Sheet'!N15</f>
        <v>0.28824958119298111</v>
      </c>
      <c r="O9" s="143">
        <f>'Income Statement'!O20/'Balance Sheet'!O15</f>
        <v>0.27309125736537293</v>
      </c>
      <c r="P9" s="143">
        <f>'Income Statement'!P20/'Balance Sheet'!P15</f>
        <v>0.25817940887320756</v>
      </c>
    </row>
    <row r="10" spans="1:16" ht="19.95" customHeight="1" x14ac:dyDescent="0.3">
      <c r="A10" s="322"/>
      <c r="B10" s="117"/>
      <c r="C10" s="117"/>
      <c r="D10" s="117"/>
      <c r="E10" s="117"/>
      <c r="F10" s="118"/>
      <c r="G10" s="118"/>
      <c r="H10" s="118"/>
      <c r="I10" s="118"/>
      <c r="J10" s="118"/>
      <c r="K10" s="118"/>
      <c r="L10" s="119"/>
      <c r="M10" s="119"/>
      <c r="N10" s="119"/>
      <c r="O10" s="119"/>
      <c r="P10" s="119"/>
    </row>
    <row r="11" spans="1:16" ht="19.95" customHeight="1" x14ac:dyDescent="0.3">
      <c r="A11" s="336" t="s">
        <v>106</v>
      </c>
      <c r="B11" s="135"/>
      <c r="C11" s="135"/>
      <c r="D11" s="135"/>
      <c r="E11" s="135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</row>
    <row r="12" spans="1:16" ht="19.95" customHeight="1" x14ac:dyDescent="0.3">
      <c r="A12" s="327" t="s">
        <v>107</v>
      </c>
      <c r="B12" s="144">
        <v>200</v>
      </c>
      <c r="C12" s="144">
        <v>460</v>
      </c>
      <c r="D12" s="144">
        <v>1270</v>
      </c>
      <c r="E12" s="144">
        <v>2050</v>
      </c>
      <c r="F12" s="145">
        <f>Assumptions!C36</f>
        <v>2800</v>
      </c>
      <c r="G12" s="145">
        <f>Assumptions!D36</f>
        <v>4000</v>
      </c>
      <c r="H12" s="145">
        <f>Assumptions!E36</f>
        <v>5500</v>
      </c>
      <c r="I12" s="145">
        <f>Assumptions!F36</f>
        <v>7000</v>
      </c>
      <c r="J12" s="145">
        <f>Assumptions!G36</f>
        <v>8500</v>
      </c>
      <c r="K12" s="145">
        <f>Assumptions!H36</f>
        <v>10000</v>
      </c>
      <c r="L12" s="145">
        <f>Assumptions!I36</f>
        <v>11200</v>
      </c>
      <c r="M12" s="145">
        <f>Assumptions!J36</f>
        <v>12200</v>
      </c>
      <c r="N12" s="145">
        <f>Assumptions!K36</f>
        <v>13200</v>
      </c>
      <c r="O12" s="145">
        <f>Assumptions!L36</f>
        <v>14200</v>
      </c>
      <c r="P12" s="145">
        <f>Assumptions!M36</f>
        <v>15000</v>
      </c>
    </row>
    <row r="13" spans="1:16" ht="19.95" customHeight="1" x14ac:dyDescent="0.3">
      <c r="A13" s="327" t="s">
        <v>108</v>
      </c>
      <c r="B13" s="144">
        <v>10</v>
      </c>
      <c r="C13" s="144">
        <v>20</v>
      </c>
      <c r="D13" s="144">
        <v>35</v>
      </c>
      <c r="E13" s="144">
        <v>40</v>
      </c>
      <c r="F13" s="145">
        <f>Assumptions!C37</f>
        <v>48</v>
      </c>
      <c r="G13" s="145">
        <f>Assumptions!D37</f>
        <v>58</v>
      </c>
      <c r="H13" s="145">
        <f>Assumptions!E37</f>
        <v>70</v>
      </c>
      <c r="I13" s="145">
        <f>Assumptions!F37</f>
        <v>82</v>
      </c>
      <c r="J13" s="145">
        <f>Assumptions!G37</f>
        <v>95</v>
      </c>
      <c r="K13" s="145">
        <f>Assumptions!H37</f>
        <v>108</v>
      </c>
      <c r="L13" s="145">
        <f>Assumptions!I37</f>
        <v>118</v>
      </c>
      <c r="M13" s="145">
        <f>Assumptions!J37</f>
        <v>128</v>
      </c>
      <c r="N13" s="145">
        <f>Assumptions!K37</f>
        <v>138</v>
      </c>
      <c r="O13" s="145">
        <f>Assumptions!L37</f>
        <v>148</v>
      </c>
      <c r="P13" s="145">
        <f>Assumptions!M37</f>
        <v>155</v>
      </c>
    </row>
    <row r="14" spans="1:16" ht="19.95" customHeight="1" x14ac:dyDescent="0.3">
      <c r="A14" s="327" t="s">
        <v>109</v>
      </c>
      <c r="B14" s="144">
        <v>30</v>
      </c>
      <c r="C14" s="144">
        <v>50</v>
      </c>
      <c r="D14" s="144">
        <v>79</v>
      </c>
      <c r="E14" s="144">
        <v>80</v>
      </c>
      <c r="F14" s="145">
        <f>Assumptions!C38</f>
        <v>90</v>
      </c>
      <c r="G14" s="145">
        <f>Assumptions!D38</f>
        <v>105</v>
      </c>
      <c r="H14" s="145">
        <f>Assumptions!E38</f>
        <v>120</v>
      </c>
      <c r="I14" s="145">
        <f>Assumptions!F38</f>
        <v>140</v>
      </c>
      <c r="J14" s="145">
        <f>Assumptions!G38</f>
        <v>160</v>
      </c>
      <c r="K14" s="145">
        <f>Assumptions!H38</f>
        <v>180</v>
      </c>
      <c r="L14" s="145">
        <f>Assumptions!I38</f>
        <v>195</v>
      </c>
      <c r="M14" s="145">
        <f>Assumptions!J38</f>
        <v>210</v>
      </c>
      <c r="N14" s="145">
        <f>Assumptions!K38</f>
        <v>220</v>
      </c>
      <c r="O14" s="145">
        <f>Assumptions!L38</f>
        <v>230</v>
      </c>
      <c r="P14" s="145">
        <f>Assumptions!M38</f>
        <v>240</v>
      </c>
    </row>
    <row r="15" spans="1:16" ht="19.95" customHeight="1" x14ac:dyDescent="0.3">
      <c r="A15" s="327" t="s">
        <v>110</v>
      </c>
      <c r="B15" s="121">
        <f>('Income Statement'!B4/B12)*100</f>
        <v>65</v>
      </c>
      <c r="C15" s="121">
        <f>('Income Statement'!C4/C12)*100</f>
        <v>42.826086956521742</v>
      </c>
      <c r="D15" s="121">
        <f>('Income Statement'!D4/D12)*100</f>
        <v>25.511811023622048</v>
      </c>
      <c r="E15" s="121">
        <f>('Income Statement'!E4/E12)*100</f>
        <v>22.878048780487806</v>
      </c>
      <c r="F15" s="122">
        <f>('Income Statement'!F4/F12)*100</f>
        <v>26.785714285714285</v>
      </c>
      <c r="G15" s="122">
        <f>('Income Statement'!G4/G12)*100</f>
        <v>27.187499999999996</v>
      </c>
      <c r="H15" s="122">
        <f>('Income Statement'!H4/H12)*100</f>
        <v>27.286363636363632</v>
      </c>
      <c r="I15" s="122">
        <f>('Income Statement'!I4/I12)*100</f>
        <v>27.871071428571426</v>
      </c>
      <c r="J15" s="122">
        <f>('Income Statement'!J4/J12)*100</f>
        <v>28.690808823529405</v>
      </c>
      <c r="K15" s="122">
        <f>('Income Statement'!K4/K12)*100</f>
        <v>29.752368749999995</v>
      </c>
      <c r="L15" s="122">
        <f>('Income Statement'!L4/L12)*100</f>
        <v>31.877537946428564</v>
      </c>
      <c r="M15" s="122">
        <f>('Income Statement'!M4/M12)*100</f>
        <v>34.532257499999993</v>
      </c>
      <c r="N15" s="122">
        <f>('Income Statement'!N4/N12)*100</f>
        <v>37.022765768181806</v>
      </c>
      <c r="O15" s="122">
        <f>('Income Statement'!O4/O12)*100</f>
        <v>39.23370276616901</v>
      </c>
      <c r="P15" s="122">
        <f>('Income Statement'!P4/P12)*100</f>
        <v>41.598187252876798</v>
      </c>
    </row>
    <row r="16" spans="1:16" ht="19.95" customHeight="1" x14ac:dyDescent="0.3">
      <c r="A16" s="338"/>
      <c r="B16" s="135"/>
      <c r="C16" s="135"/>
      <c r="D16" s="135"/>
      <c r="E16" s="135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</row>
    <row r="17" spans="1:16" ht="19.95" customHeight="1" x14ac:dyDescent="0.3">
      <c r="A17" s="337" t="s">
        <v>111</v>
      </c>
      <c r="B17" s="301"/>
      <c r="C17" s="301"/>
      <c r="D17" s="301"/>
      <c r="E17" s="301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</row>
    <row r="18" spans="1:16" ht="19.95" customHeight="1" x14ac:dyDescent="0.3">
      <c r="A18" s="327" t="s">
        <v>112</v>
      </c>
      <c r="B18" s="121">
        <f>'Cash Flow'!B7</f>
        <v>5.9750000000000014</v>
      </c>
      <c r="C18" s="121">
        <f>'Cash Flow'!C7</f>
        <v>13.824999999999999</v>
      </c>
      <c r="D18" s="121">
        <f>'Cash Flow'!D7</f>
        <v>40.400000000000006</v>
      </c>
      <c r="E18" s="121">
        <f>'Cash Flow'!E7</f>
        <v>47.25</v>
      </c>
      <c r="F18" s="122">
        <f>'Cash Flow'!F7</f>
        <v>218</v>
      </c>
      <c r="G18" s="122">
        <f>'Cash Flow'!G7</f>
        <v>332.28125</v>
      </c>
      <c r="H18" s="122">
        <f>'Cash Flow'!H7</f>
        <v>489.90156249999984</v>
      </c>
      <c r="I18" s="122">
        <f>'Cash Flow'!I7</f>
        <v>670.2627</v>
      </c>
      <c r="J18" s="122">
        <f>'Cash Flow'!J7</f>
        <v>877.24376562499992</v>
      </c>
      <c r="K18" s="122">
        <f>'Cash Flow'!K7</f>
        <v>1097.7719139062497</v>
      </c>
      <c r="L18" s="122">
        <f>'Cash Flow'!L7</f>
        <v>1359.5534285624997</v>
      </c>
      <c r="M18" s="122">
        <f>'Cash Flow'!M7</f>
        <v>1629.5933196562496</v>
      </c>
      <c r="N18" s="122">
        <f>'Cash Flow'!N7</f>
        <v>1935.9107889117493</v>
      </c>
      <c r="O18" s="122">
        <f>'Cash Flow'!O7</f>
        <v>2233.4374496341802</v>
      </c>
      <c r="P18" s="122">
        <f>'Cash Flow'!P7</f>
        <v>2556.0779042497688</v>
      </c>
    </row>
    <row r="19" spans="1:16" ht="19.95" customHeight="1" x14ac:dyDescent="0.3">
      <c r="A19" s="323" t="s">
        <v>113</v>
      </c>
      <c r="B19" s="308">
        <f>'Cash Flow'!B11</f>
        <v>-9.0249999999999986</v>
      </c>
      <c r="C19" s="308">
        <f>'Cash Flow'!C11</f>
        <v>-26.175000000000001</v>
      </c>
      <c r="D19" s="308">
        <f>'Cash Flow'!D11</f>
        <v>-39.599999999999994</v>
      </c>
      <c r="E19" s="308">
        <f>'Cash Flow'!E11</f>
        <v>-52.75</v>
      </c>
      <c r="F19" s="309">
        <f>'Cash Flow'!F11</f>
        <v>158</v>
      </c>
      <c r="G19" s="309">
        <f>'Cash Flow'!G11</f>
        <v>262.28125</v>
      </c>
      <c r="H19" s="309">
        <f>'Cash Flow'!H11</f>
        <v>404.90156249999984</v>
      </c>
      <c r="I19" s="309">
        <f>'Cash Flow'!I11</f>
        <v>570.2627</v>
      </c>
      <c r="J19" s="309">
        <f>'Cash Flow'!J11</f>
        <v>752.24376562499992</v>
      </c>
      <c r="K19" s="309">
        <f>'Cash Flow'!K11</f>
        <v>952.77191390624967</v>
      </c>
      <c r="L19" s="309">
        <f>'Cash Flow'!L11</f>
        <v>1189.5534285624997</v>
      </c>
      <c r="M19" s="309">
        <f>'Cash Flow'!M11</f>
        <v>1434.5933196562496</v>
      </c>
      <c r="N19" s="309">
        <f>'Cash Flow'!N11</f>
        <v>1710.9107889117493</v>
      </c>
      <c r="O19" s="309">
        <f>'Cash Flow'!O11</f>
        <v>1983.4374496341802</v>
      </c>
      <c r="P19" s="309">
        <f>'Cash Flow'!P11</f>
        <v>2276.0779042497688</v>
      </c>
    </row>
    <row r="20" spans="1:16" x14ac:dyDescent="0.3">
      <c r="A20" s="19" t="s">
        <v>114</v>
      </c>
      <c r="B20" s="25">
        <f>'Cash Flow'!B11/'Income Statement'!B25</f>
        <v>-0.78649237472766864</v>
      </c>
      <c r="C20" s="25">
        <f>'Cash Flow'!C11/'Income Statement'!C25</f>
        <v>-1.3071161048689139</v>
      </c>
      <c r="D20" s="25">
        <f>'Cash Flow'!D11/'Income Statement'!D25</f>
        <v>-0.76300578034682065</v>
      </c>
      <c r="E20" s="25">
        <f>'Cash Flow'!E11/'Income Statement'!E25</f>
        <v>-0.71043771043771042</v>
      </c>
      <c r="F20" s="25">
        <f>'Cash Flow'!F11/'Income Statement'!F25</f>
        <v>0.71655328798185947</v>
      </c>
      <c r="G20" s="25">
        <f>'Cash Flow'!G11/'Income Statement'!G25</f>
        <v>0.78785318689571016</v>
      </c>
      <c r="H20" s="25">
        <f>'Cash Flow'!H11/'Income Statement'!H25</f>
        <v>0.84378388410780392</v>
      </c>
      <c r="I20" s="25">
        <f>'Cash Flow'!I11/'Income Statement'!I25</f>
        <v>0.8957720031811961</v>
      </c>
      <c r="J20" s="25">
        <f>'Cash Flow'!J11/'Income Statement'!J25</f>
        <v>0.92278871729637679</v>
      </c>
      <c r="K20" s="25">
        <f>'Cash Flow'!K11/'Income Statement'!K25</f>
        <v>0.942488406264685</v>
      </c>
      <c r="L20" s="25">
        <f>'Cash Flow'!L11/'Income Statement'!L25</f>
        <v>0.95906950621696219</v>
      </c>
      <c r="M20" s="25">
        <f>'Cash Flow'!M11/'Income Statement'!M25</f>
        <v>0.96800435415487196</v>
      </c>
      <c r="N20" s="25">
        <f>'Cash Flow'!N11/'Income Statement'!N25</f>
        <v>0.97432523614660305</v>
      </c>
      <c r="O20" s="25">
        <f>'Cash Flow'!O11/'Income Statement'!O25</f>
        <v>0.97884434016377886</v>
      </c>
      <c r="P20" s="25">
        <f>'Cash Flow'!P11/'Income Statement'!P25</f>
        <v>0.98253768937618391</v>
      </c>
    </row>
    <row r="21" spans="1:1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8"/>
      <c r="M21" s="18"/>
      <c r="N21" s="18"/>
      <c r="O21" s="18"/>
      <c r="P21" s="18"/>
    </row>
    <row r="22" spans="1:16" x14ac:dyDescent="0.3">
      <c r="A22" s="5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x14ac:dyDescent="0.3">
      <c r="A23" s="19" t="s">
        <v>116</v>
      </c>
      <c r="B23" s="20">
        <f>'Balance Sheet'!B15</f>
        <v>85</v>
      </c>
      <c r="C23" s="20">
        <f>'Balance Sheet'!C15</f>
        <v>165</v>
      </c>
      <c r="D23" s="20">
        <f>'Balance Sheet'!D15</f>
        <v>388</v>
      </c>
      <c r="E23" s="20">
        <f>'Balance Sheet'!E15</f>
        <v>563</v>
      </c>
      <c r="F23" s="20">
        <f>'Balance Sheet'!F15</f>
        <v>788.54</v>
      </c>
      <c r="G23" s="20">
        <f>'Balance Sheet'!G15</f>
        <v>1137.1224999999999</v>
      </c>
      <c r="H23" s="20">
        <f>'Balance Sheet'!H15</f>
        <v>1624.3903749999999</v>
      </c>
      <c r="I23" s="20">
        <f>'Balance Sheet'!I15</f>
        <v>2252.1461169999998</v>
      </c>
      <c r="J23" s="20">
        <f>'Balance Sheet'!J15</f>
        <v>3031.5188605937492</v>
      </c>
      <c r="K23" s="20">
        <f>'Balance Sheet'!K15</f>
        <v>3988.489164704687</v>
      </c>
      <c r="L23" s="20">
        <f>'Balance Sheet'!L15</f>
        <v>5106.7189320884363</v>
      </c>
      <c r="M23" s="20">
        <f>'Balance Sheet'!M15</f>
        <v>6469.2197495323117</v>
      </c>
      <c r="N23" s="20">
        <f>'Balance Sheet'!N15</f>
        <v>8053.1857290397475</v>
      </c>
      <c r="O23" s="20">
        <f>'Balance Sheet'!O15</f>
        <v>9812.6186542457108</v>
      </c>
      <c r="P23" s="20">
        <f>'Balance Sheet'!P15</f>
        <v>11866.579540736995</v>
      </c>
    </row>
    <row r="24" spans="1:16" x14ac:dyDescent="0.3">
      <c r="A24" s="19" t="s">
        <v>117</v>
      </c>
      <c r="B24" s="23">
        <f>'Balance Sheet'!B11-'Balance Sheet'!B22</f>
        <v>17</v>
      </c>
      <c r="C24" s="23">
        <f>'Balance Sheet'!C11-'Balance Sheet'!C22</f>
        <v>30</v>
      </c>
      <c r="D24" s="23">
        <f>'Balance Sheet'!D11-'Balance Sheet'!D22</f>
        <v>82</v>
      </c>
      <c r="E24" s="23">
        <f>'Balance Sheet'!E11-'Balance Sheet'!E22</f>
        <v>55</v>
      </c>
      <c r="F24" s="23">
        <f>'Balance Sheet'!F11-'Balance Sheet'!F22</f>
        <v>162.20438356164379</v>
      </c>
      <c r="G24" s="23">
        <f>'Balance Sheet'!G11-'Balance Sheet'!G22</f>
        <v>379.39476027397257</v>
      </c>
      <c r="H24" s="23">
        <f>'Balance Sheet'!H11-'Balance Sheet'!H22</f>
        <v>726.04602568493146</v>
      </c>
      <c r="I24" s="23">
        <f>'Balance Sheet'!I11-'Balance Sheet'!I22</f>
        <v>1223.3069238493149</v>
      </c>
      <c r="J24" s="23">
        <f>'Balance Sheet'!J11-'Balance Sheet'!J22</f>
        <v>1866.2513866211466</v>
      </c>
      <c r="K24" s="23">
        <f>'Balance Sheet'!K11-'Balance Sheet'!K22</f>
        <v>2683.190494516331</v>
      </c>
      <c r="L24" s="23">
        <f>'Balance Sheet'!L11-'Balance Sheet'!L22</f>
        <v>3667.6610654822716</v>
      </c>
      <c r="M24" s="23">
        <f>'Balance Sheet'!M11-'Balance Sheet'!M22</f>
        <v>4889.6877305052567</v>
      </c>
      <c r="N24" s="23">
        <f>'Balance Sheet'!N11-'Balance Sheet'!N22</f>
        <v>6337.3858521808979</v>
      </c>
      <c r="O24" s="23">
        <f>'Balance Sheet'!O11-'Balance Sheet'!O22</f>
        <v>7965.9932190573163</v>
      </c>
      <c r="P24" s="23">
        <f>'Balance Sheet'!P11-'Balance Sheet'!P22</f>
        <v>9897.5212823648453</v>
      </c>
    </row>
    <row r="25" spans="1:16" x14ac:dyDescent="0.3">
      <c r="A25" s="19" t="s">
        <v>118</v>
      </c>
      <c r="B25" s="26">
        <f>'Balance Sheet'!B22/'Balance Sheet'!B20</f>
        <v>0.19999999999999996</v>
      </c>
      <c r="C25" s="26">
        <f>'Balance Sheet'!C22/'Balance Sheet'!C20</f>
        <v>0.14563106796116504</v>
      </c>
      <c r="D25" s="26">
        <f>'Balance Sheet'!D22/'Balance Sheet'!D20</f>
        <v>0.17910447761194029</v>
      </c>
      <c r="E25" s="26">
        <f>'Balance Sheet'!E22/'Balance Sheet'!E20</f>
        <v>0.15776699029126215</v>
      </c>
      <c r="F25" s="26">
        <f>'Balance Sheet'!F22/'Balance Sheet'!F20</f>
        <v>0.11550392713352255</v>
      </c>
      <c r="G25" s="26">
        <f>'Balance Sheet'!G22/'Balance Sheet'!G20</f>
        <v>8.3426260918411904E-2</v>
      </c>
      <c r="H25" s="26">
        <f>'Balance Sheet'!H22/'Balance Sheet'!H20</f>
        <v>5.9033759268844195E-2</v>
      </c>
      <c r="I25" s="26">
        <f>'Balance Sheet'!I22/'Balance Sheet'!I20</f>
        <v>4.1456287809559546E-2</v>
      </c>
      <c r="J25" s="26">
        <f>'Balance Sheet'!J22/'Balance Sheet'!J20</f>
        <v>2.8949581256923713E-2</v>
      </c>
      <c r="K25" s="26">
        <f>'Balance Sheet'!K22/'Balance Sheet'!K20</f>
        <v>2.0748061959788205E-2</v>
      </c>
      <c r="L25" s="26">
        <f>'Balance Sheet'!L22/'Balance Sheet'!L20</f>
        <v>1.5429108399154496E-2</v>
      </c>
      <c r="M25" s="26">
        <f>'Balance Sheet'!M22/'Balance Sheet'!M20</f>
        <v>1.1701121438961853E-2</v>
      </c>
      <c r="N25" s="26">
        <f>'Balance Sheet'!N22/'Balance Sheet'!N20</f>
        <v>8.8992271833034445E-3</v>
      </c>
      <c r="O25" s="26">
        <f>'Balance Sheet'!O22/'Balance Sheet'!O20</f>
        <v>6.8687675965090405E-3</v>
      </c>
      <c r="P25" s="26">
        <f>'Balance Sheet'!P22/'Balance Sheet'!P20</f>
        <v>5.4568200112535808E-3</v>
      </c>
    </row>
    <row r="26" spans="1:16" x14ac:dyDescent="0.3">
      <c r="A26" s="19" t="s">
        <v>119</v>
      </c>
      <c r="B26" s="26">
        <f>'Income Statement'!B4/'Balance Sheet'!B15</f>
        <v>1.5294117647058822</v>
      </c>
      <c r="C26" s="26">
        <f>'Income Statement'!C4/'Balance Sheet'!C15</f>
        <v>1.1939393939393939</v>
      </c>
      <c r="D26" s="26">
        <f>'Income Statement'!D4/'Balance Sheet'!D15</f>
        <v>0.83505154639175261</v>
      </c>
      <c r="E26" s="26">
        <f>'Income Statement'!E4/'Balance Sheet'!E15</f>
        <v>0.8330373001776199</v>
      </c>
      <c r="F26" s="26">
        <f>'Income Statement'!F4/'Balance Sheet'!F15</f>
        <v>0.95112486367210292</v>
      </c>
      <c r="G26" s="26">
        <f>'Income Statement'!G4/'Balance Sheet'!G15</f>
        <v>0.95636134189588196</v>
      </c>
      <c r="H26" s="26">
        <f>'Income Statement'!H4/'Balance Sheet'!H15</f>
        <v>0.92388506057233921</v>
      </c>
      <c r="I26" s="26">
        <f>'Income Statement'!I4/'Balance Sheet'!I15</f>
        <v>0.8662737223279372</v>
      </c>
      <c r="J26" s="26">
        <f>'Income Statement'!J4/'Balance Sheet'!J15</f>
        <v>0.80445442108262366</v>
      </c>
      <c r="K26" s="26">
        <f>'Income Statement'!K4/'Balance Sheet'!K15</f>
        <v>0.7459558625177537</v>
      </c>
      <c r="L26" s="26">
        <f>'Income Statement'!L4/'Balance Sheet'!L15</f>
        <v>0.69913466894875709</v>
      </c>
      <c r="M26" s="26">
        <f>'Income Statement'!M4/'Balance Sheet'!M15</f>
        <v>0.65122774895760349</v>
      </c>
      <c r="N26" s="26">
        <f>'Income Statement'!N4/'Balance Sheet'!N15</f>
        <v>0.6068412235641707</v>
      </c>
      <c r="O26" s="26">
        <f>'Income Statement'!O4/'Balance Sheet'!O15</f>
        <v>0.56775729181990231</v>
      </c>
      <c r="P26" s="26">
        <f>'Income Statement'!P4/'Balance Sheet'!P15</f>
        <v>0.52582364332628828</v>
      </c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8"/>
      <c r="M27" s="18"/>
      <c r="N27" s="18"/>
      <c r="O27" s="18"/>
      <c r="P27" s="18"/>
    </row>
    <row r="28" spans="1:16" x14ac:dyDescent="0.3">
      <c r="A28" s="5" t="s">
        <v>120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3">
      <c r="A29" s="19" t="s">
        <v>224</v>
      </c>
      <c r="B29" s="1"/>
      <c r="C29" s="1"/>
      <c r="D29" s="1"/>
      <c r="E29" s="1"/>
      <c r="F29" s="1"/>
      <c r="G29" s="1"/>
      <c r="H29" s="1"/>
      <c r="I29" s="1"/>
      <c r="J29" s="1"/>
      <c r="K29" s="27">
        <f>('Income Statement'!K4/'Income Statement'!F4)^(1/5)-1</f>
        <v>0.31732233997984771</v>
      </c>
      <c r="L29" s="1"/>
      <c r="M29" s="1"/>
      <c r="N29" s="1"/>
      <c r="O29" s="1"/>
      <c r="P29" s="27">
        <f>('Income Statement'!P4/'Income Statement'!F4)^(1/10)-1</f>
        <v>0.23597714507286605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14E7-5CAD-46F2-8EF9-6A4999143234}">
  <sheetPr>
    <tabColor rgb="FF1B5E20"/>
  </sheetPr>
  <dimension ref="A1:M98"/>
  <sheetViews>
    <sheetView tabSelected="1" workbookViewId="0"/>
  </sheetViews>
  <sheetFormatPr defaultRowHeight="14.4" x14ac:dyDescent="0.3"/>
  <cols>
    <col min="1" max="1" width="44.44140625" customWidth="1"/>
    <col min="2" max="2" width="16.6640625" customWidth="1"/>
    <col min="3" max="3" width="51.88671875" customWidth="1"/>
    <col min="4" max="8" width="18.5546875" customWidth="1"/>
  </cols>
  <sheetData>
    <row r="1" spans="1:13" ht="30" customHeight="1" x14ac:dyDescent="0.35">
      <c r="A1" s="83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35">
      <c r="A3" s="8" t="s">
        <v>129</v>
      </c>
      <c r="B3" s="92"/>
      <c r="C3" s="9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95" customHeight="1" x14ac:dyDescent="0.3">
      <c r="A4" s="219" t="s">
        <v>34</v>
      </c>
      <c r="B4" s="220" t="s">
        <v>35</v>
      </c>
      <c r="C4" s="219" t="s">
        <v>130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9.95" customHeight="1" x14ac:dyDescent="0.3">
      <c r="A5" s="221" t="s">
        <v>131</v>
      </c>
      <c r="B5" s="163">
        <f>Assumptions!C52</f>
        <v>6.7000000000000004E-2</v>
      </c>
      <c r="C5" s="222" t="s">
        <v>132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.95" customHeight="1" x14ac:dyDescent="0.3">
      <c r="A6" s="223" t="s">
        <v>133</v>
      </c>
      <c r="B6" s="224">
        <f>Assumptions!C53</f>
        <v>1</v>
      </c>
      <c r="C6" s="225" t="s">
        <v>479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9.95" customHeight="1" x14ac:dyDescent="0.3">
      <c r="A7" s="221" t="s">
        <v>134</v>
      </c>
      <c r="B7" s="163">
        <f>Assumptions!C54</f>
        <v>7.4999999999999997E-2</v>
      </c>
      <c r="C7" s="222" t="s">
        <v>480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9.95" customHeight="1" x14ac:dyDescent="0.3">
      <c r="A8" s="223" t="s">
        <v>135</v>
      </c>
      <c r="B8" s="226">
        <f>B5+B6*B7</f>
        <v>0.14200000000000002</v>
      </c>
      <c r="C8" s="225" t="s">
        <v>136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95" customHeight="1" x14ac:dyDescent="0.3">
      <c r="A9" s="221" t="s">
        <v>137</v>
      </c>
      <c r="B9" s="163">
        <f>Assumptions!C56</f>
        <v>0.09</v>
      </c>
      <c r="C9" s="222" t="s">
        <v>138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9.95" customHeight="1" x14ac:dyDescent="0.3">
      <c r="A10" s="223" t="s">
        <v>139</v>
      </c>
      <c r="B10" s="163">
        <f>Assumptions!C17</f>
        <v>0.25</v>
      </c>
      <c r="C10" s="225" t="s">
        <v>140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9.95" customHeight="1" x14ac:dyDescent="0.3">
      <c r="A11" s="221" t="s">
        <v>141</v>
      </c>
      <c r="B11" s="163">
        <f>Assumptions!C58</f>
        <v>0.98555909463697466</v>
      </c>
      <c r="C11" s="222" t="s">
        <v>482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9.95" customHeight="1" x14ac:dyDescent="0.3">
      <c r="A12" s="223" t="s">
        <v>142</v>
      </c>
      <c r="B12" s="227">
        <f>1-B11</f>
        <v>1.4440905363025336E-2</v>
      </c>
      <c r="C12" s="225" t="s">
        <v>143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9.95" customHeight="1" thickBot="1" x14ac:dyDescent="0.35">
      <c r="A13" s="228" t="s">
        <v>144</v>
      </c>
      <c r="B13" s="229">
        <f>(B11*B8)+(B12*B9*(1-B10))</f>
        <v>0.14092415255045462</v>
      </c>
      <c r="C13" s="228" t="s">
        <v>145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" thickTop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">
      <c r="A15" s="8" t="s">
        <v>146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1:13" ht="19.95" customHeight="1" x14ac:dyDescent="0.3">
      <c r="A16" s="230" t="s">
        <v>1</v>
      </c>
      <c r="B16" s="231" t="s">
        <v>6</v>
      </c>
      <c r="C16" s="231" t="s">
        <v>7</v>
      </c>
      <c r="D16" s="231" t="s">
        <v>8</v>
      </c>
      <c r="E16" s="231" t="s">
        <v>9</v>
      </c>
      <c r="F16" s="231" t="s">
        <v>10</v>
      </c>
      <c r="G16" s="231" t="s">
        <v>11</v>
      </c>
      <c r="H16" s="231" t="s">
        <v>191</v>
      </c>
      <c r="I16" s="231" t="s">
        <v>192</v>
      </c>
      <c r="J16" s="231" t="s">
        <v>193</v>
      </c>
      <c r="K16" s="231" t="s">
        <v>194</v>
      </c>
      <c r="L16" s="231" t="s">
        <v>195</v>
      </c>
      <c r="M16" s="35" t="s">
        <v>147</v>
      </c>
    </row>
    <row r="17" spans="1:13" ht="19.95" customHeight="1" x14ac:dyDescent="0.3">
      <c r="A17" s="162" t="s">
        <v>148</v>
      </c>
      <c r="B17" s="232">
        <f>'Income Statement'!F4</f>
        <v>750</v>
      </c>
      <c r="C17" s="232">
        <f>'Income Statement'!G4</f>
        <v>1087.5</v>
      </c>
      <c r="D17" s="232">
        <f>'Income Statement'!H4</f>
        <v>1500.7499999999998</v>
      </c>
      <c r="E17" s="232">
        <f>'Income Statement'!I4</f>
        <v>1950.9749999999997</v>
      </c>
      <c r="F17" s="232">
        <f>'Income Statement'!J4</f>
        <v>2438.7187499999995</v>
      </c>
      <c r="G17" s="232">
        <f>'Income Statement'!K4</f>
        <v>2975.2368749999996</v>
      </c>
      <c r="H17" s="232">
        <f>'Income Statement'!L4</f>
        <v>3570.2842499999992</v>
      </c>
      <c r="I17" s="232">
        <f>'Income Statement'!M4</f>
        <v>4212.935414999999</v>
      </c>
      <c r="J17" s="232">
        <f>'Income Statement'!N4</f>
        <v>4887.0050813999987</v>
      </c>
      <c r="K17" s="232">
        <f>'Income Statement'!O4</f>
        <v>5571.1857927959991</v>
      </c>
      <c r="L17" s="232">
        <f>'Income Statement'!P4</f>
        <v>6239.7280879315194</v>
      </c>
      <c r="M17" s="1"/>
    </row>
    <row r="18" spans="1:13" ht="19.95" customHeight="1" x14ac:dyDescent="0.3">
      <c r="A18" s="120" t="s">
        <v>23</v>
      </c>
      <c r="B18" s="233">
        <f>'Income Statement'!F16</f>
        <v>337.5</v>
      </c>
      <c r="C18" s="233">
        <f>'Income Statement'!G16</f>
        <v>500.25</v>
      </c>
      <c r="D18" s="233">
        <f>'Income Statement'!H16</f>
        <v>712.85624999999982</v>
      </c>
      <c r="E18" s="233">
        <f>'Income Statement'!I16</f>
        <v>936.46799999999996</v>
      </c>
      <c r="F18" s="233">
        <f>'Income Statement'!J16</f>
        <v>1194.9721875</v>
      </c>
      <c r="G18" s="233">
        <f>'Income Statement'!K16</f>
        <v>1472.7422531249997</v>
      </c>
      <c r="H18" s="233">
        <f>'Income Statement'!L16</f>
        <v>1802.9935462499996</v>
      </c>
      <c r="I18" s="233">
        <f>'Income Statement'!M16</f>
        <v>2148.5970616499994</v>
      </c>
      <c r="J18" s="233">
        <f>'Income Statement'!N16</f>
        <v>2541.2426423279994</v>
      </c>
      <c r="K18" s="233">
        <f>'Income Statement'!O16</f>
        <v>2924.8725412178992</v>
      </c>
      <c r="L18" s="233">
        <f>'Income Statement'!P16</f>
        <v>3338.2545270433629</v>
      </c>
      <c r="M18" s="1"/>
    </row>
    <row r="19" spans="1:13" ht="19.95" customHeight="1" x14ac:dyDescent="0.3">
      <c r="A19" s="162" t="s">
        <v>112</v>
      </c>
      <c r="B19" s="232">
        <f>'Cash Flow'!F7</f>
        <v>218</v>
      </c>
      <c r="C19" s="232">
        <f>'Cash Flow'!G7</f>
        <v>332.28125</v>
      </c>
      <c r="D19" s="232">
        <f>'Cash Flow'!H7</f>
        <v>489.90156249999984</v>
      </c>
      <c r="E19" s="232">
        <f>'Cash Flow'!I7</f>
        <v>670.2627</v>
      </c>
      <c r="F19" s="232">
        <f>'Cash Flow'!J7</f>
        <v>877.24376562499992</v>
      </c>
      <c r="G19" s="232">
        <f>'Cash Flow'!K7</f>
        <v>1097.7719139062497</v>
      </c>
      <c r="H19" s="232">
        <f>'Cash Flow'!L7</f>
        <v>1359.5534285624997</v>
      </c>
      <c r="I19" s="232">
        <f>'Cash Flow'!M7</f>
        <v>1629.5933196562496</v>
      </c>
      <c r="J19" s="232">
        <f>'Cash Flow'!N7</f>
        <v>1935.9107889117493</v>
      </c>
      <c r="K19" s="232">
        <f>'Cash Flow'!O7</f>
        <v>2233.4374496341802</v>
      </c>
      <c r="L19" s="232">
        <f>'Cash Flow'!P7</f>
        <v>2556.0779042497688</v>
      </c>
      <c r="M19" s="1"/>
    </row>
    <row r="20" spans="1:13" ht="19.95" customHeight="1" x14ac:dyDescent="0.3">
      <c r="A20" s="120" t="s">
        <v>149</v>
      </c>
      <c r="B20" s="233">
        <f>'Cash Flow'!F10</f>
        <v>-60</v>
      </c>
      <c r="C20" s="233">
        <f>'Cash Flow'!G10</f>
        <v>-70</v>
      </c>
      <c r="D20" s="233">
        <f>'Cash Flow'!H10</f>
        <v>-85</v>
      </c>
      <c r="E20" s="233">
        <f>'Cash Flow'!I10</f>
        <v>-100</v>
      </c>
      <c r="F20" s="233">
        <f>'Cash Flow'!J10</f>
        <v>-125</v>
      </c>
      <c r="G20" s="233">
        <f>'Cash Flow'!K10</f>
        <v>-145</v>
      </c>
      <c r="H20" s="233">
        <f>'Cash Flow'!L10</f>
        <v>-170</v>
      </c>
      <c r="I20" s="233">
        <f>'Cash Flow'!M10</f>
        <v>-195</v>
      </c>
      <c r="J20" s="233">
        <f>'Cash Flow'!N10</f>
        <v>-225</v>
      </c>
      <c r="K20" s="233">
        <f>'Cash Flow'!O10</f>
        <v>-250</v>
      </c>
      <c r="L20" s="233">
        <f>'Cash Flow'!P10</f>
        <v>-280</v>
      </c>
      <c r="M20" s="1"/>
    </row>
    <row r="21" spans="1:13" ht="19.95" customHeight="1" x14ac:dyDescent="0.3">
      <c r="A21" s="138" t="s">
        <v>92</v>
      </c>
      <c r="B21" s="139">
        <f t="shared" ref="B21:G21" si="0">B19+B20</f>
        <v>158</v>
      </c>
      <c r="C21" s="139">
        <f t="shared" si="0"/>
        <v>262.28125</v>
      </c>
      <c r="D21" s="139">
        <f t="shared" si="0"/>
        <v>404.90156249999984</v>
      </c>
      <c r="E21" s="139">
        <f t="shared" si="0"/>
        <v>570.2627</v>
      </c>
      <c r="F21" s="139">
        <f t="shared" si="0"/>
        <v>752.24376562499992</v>
      </c>
      <c r="G21" s="139">
        <f t="shared" si="0"/>
        <v>952.77191390624967</v>
      </c>
      <c r="H21" s="139">
        <f>H19+H20</f>
        <v>1189.5534285624997</v>
      </c>
      <c r="I21" s="139">
        <f>I19+I20</f>
        <v>1434.5933196562496</v>
      </c>
      <c r="J21" s="139">
        <f>J19+J20</f>
        <v>1710.9107889117493</v>
      </c>
      <c r="K21" s="139">
        <f>K19+K20</f>
        <v>1983.4374496341802</v>
      </c>
      <c r="L21" s="139">
        <f>L19+L20</f>
        <v>2276.0779042497688</v>
      </c>
      <c r="M21" s="1"/>
    </row>
    <row r="22" spans="1:13" ht="19.95" customHeight="1" x14ac:dyDescent="0.3">
      <c r="A22" s="162" t="s">
        <v>150</v>
      </c>
      <c r="B22" s="171">
        <v>1</v>
      </c>
      <c r="C22" s="171">
        <v>2</v>
      </c>
      <c r="D22" s="171">
        <v>3</v>
      </c>
      <c r="E22" s="171">
        <v>4</v>
      </c>
      <c r="F22" s="171">
        <v>5</v>
      </c>
      <c r="G22" s="171">
        <v>6</v>
      </c>
      <c r="H22" s="171">
        <v>7</v>
      </c>
      <c r="I22" s="171">
        <v>8</v>
      </c>
      <c r="J22" s="171">
        <v>9</v>
      </c>
      <c r="K22" s="171">
        <v>10</v>
      </c>
      <c r="L22" s="171">
        <v>11</v>
      </c>
      <c r="M22" s="37">
        <v>11</v>
      </c>
    </row>
    <row r="23" spans="1:13" ht="19.95" customHeight="1" x14ac:dyDescent="0.3">
      <c r="A23" s="120" t="s">
        <v>151</v>
      </c>
      <c r="B23" s="234">
        <f t="shared" ref="B23:M23" si="1">1/(1+$B$13)^B22</f>
        <v>0.87648245307505446</v>
      </c>
      <c r="C23" s="234">
        <f t="shared" si="1"/>
        <v>0.768221490548465</v>
      </c>
      <c r="D23" s="234">
        <f t="shared" si="1"/>
        <v>0.67333265654089336</v>
      </c>
      <c r="E23" s="234">
        <f t="shared" si="1"/>
        <v>0.59016425854050536</v>
      </c>
      <c r="F23" s="234">
        <f t="shared" si="1"/>
        <v>0.51726861704280269</v>
      </c>
      <c r="G23" s="234">
        <f t="shared" si="1"/>
        <v>0.4533768663644166</v>
      </c>
      <c r="H23" s="234">
        <f t="shared" si="1"/>
        <v>0.39737686799856503</v>
      </c>
      <c r="I23" s="234">
        <f t="shared" si="1"/>
        <v>0.34829385205866437</v>
      </c>
      <c r="J23" s="234">
        <f t="shared" si="1"/>
        <v>0.30527344984333826</v>
      </c>
      <c r="K23" s="234">
        <f t="shared" si="1"/>
        <v>0.26756682217737371</v>
      </c>
      <c r="L23" s="234">
        <f t="shared" si="1"/>
        <v>0.23451762466352136</v>
      </c>
      <c r="M23" s="38">
        <f t="shared" si="1"/>
        <v>0.23451762466352136</v>
      </c>
    </row>
    <row r="24" spans="1:13" ht="19.95" customHeight="1" x14ac:dyDescent="0.3">
      <c r="A24" s="235" t="s">
        <v>152</v>
      </c>
      <c r="B24" s="236">
        <f t="shared" ref="B24:L24" si="2">B21*B23</f>
        <v>138.4842275858586</v>
      </c>
      <c r="C24" s="236">
        <f t="shared" si="2"/>
        <v>201.49009281791459</v>
      </c>
      <c r="D24" s="236">
        <f t="shared" si="2"/>
        <v>272.63344471568348</v>
      </c>
      <c r="E24" s="236">
        <f t="shared" si="2"/>
        <v>336.54866351880662</v>
      </c>
      <c r="F24" s="236">
        <f t="shared" si="2"/>
        <v>389.11209232391388</v>
      </c>
      <c r="G24" s="236">
        <f t="shared" si="2"/>
        <v>431.96474468684318</v>
      </c>
      <c r="H24" s="236">
        <f t="shared" si="2"/>
        <v>472.70101575912088</v>
      </c>
      <c r="I24" s="236">
        <f t="shared" si="2"/>
        <v>499.66003344070202</v>
      </c>
      <c r="J24" s="236">
        <f t="shared" si="2"/>
        <v>522.2956389052772</v>
      </c>
      <c r="K24" s="236">
        <f t="shared" si="2"/>
        <v>530.70205538621235</v>
      </c>
      <c r="L24" s="236">
        <f t="shared" si="2"/>
        <v>533.78038365378154</v>
      </c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8" t="s">
        <v>153</v>
      </c>
      <c r="B26" s="92"/>
      <c r="C26" s="9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9" t="s">
        <v>34</v>
      </c>
      <c r="B27" s="30" t="s">
        <v>35</v>
      </c>
      <c r="C27" s="29" t="s">
        <v>130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31" t="s">
        <v>154</v>
      </c>
      <c r="B28" s="7">
        <f>Assumptions!C61</f>
        <v>0.04</v>
      </c>
      <c r="C28" s="32" t="s">
        <v>155</v>
      </c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33" t="s">
        <v>156</v>
      </c>
      <c r="B29" s="20">
        <f>L21</f>
        <v>2276.0779042497688</v>
      </c>
      <c r="C29" s="34" t="s">
        <v>157</v>
      </c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39" t="s">
        <v>158</v>
      </c>
      <c r="B31" s="16"/>
      <c r="C31" s="16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31" t="s">
        <v>159</v>
      </c>
      <c r="B32" s="22">
        <f>(B29*(1+B28))/(B13-B28)</f>
        <v>23454.455257737973</v>
      </c>
      <c r="C32" s="32" t="s">
        <v>160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5" t="s">
        <v>161</v>
      </c>
      <c r="B33" s="36">
        <f>B32*M23</f>
        <v>5500.4831348215494</v>
      </c>
      <c r="C33" s="5" t="s">
        <v>162</v>
      </c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39" t="s">
        <v>483</v>
      </c>
      <c r="B35" s="16"/>
      <c r="C35" s="16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31" t="s">
        <v>163</v>
      </c>
      <c r="B36" s="17">
        <f>L18</f>
        <v>3338.2545270433629</v>
      </c>
      <c r="C36" s="32" t="s">
        <v>164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33" t="s">
        <v>165</v>
      </c>
      <c r="B37" s="40">
        <v>15</v>
      </c>
      <c r="C37" s="34" t="s">
        <v>166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31" t="s">
        <v>513</v>
      </c>
      <c r="B38" s="22">
        <f>B36*B37</f>
        <v>50073.817905650445</v>
      </c>
      <c r="C38" s="41" t="s">
        <v>514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thickBot="1" x14ac:dyDescent="0.35">
      <c r="A41" s="8" t="s">
        <v>167</v>
      </c>
      <c r="B41" s="35" t="s">
        <v>484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9.95" customHeight="1" x14ac:dyDescent="0.3">
      <c r="A42" s="237" t="s">
        <v>168</v>
      </c>
      <c r="B42" s="238">
        <f>SUM(B24:L24)</f>
        <v>4329.3723927941146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9.95" customHeight="1" x14ac:dyDescent="0.3">
      <c r="A43" s="223" t="s">
        <v>169</v>
      </c>
      <c r="B43" s="233">
        <f>B33</f>
        <v>5500.4831348215494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9.95" customHeight="1" x14ac:dyDescent="0.3">
      <c r="A44" s="138" t="s">
        <v>170</v>
      </c>
      <c r="B44" s="139">
        <f>B42+B43</f>
        <v>9829.855527615664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.95" customHeight="1" x14ac:dyDescent="0.3">
      <c r="A45" s="120"/>
      <c r="B45" s="11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9.95" customHeight="1" x14ac:dyDescent="0.3">
      <c r="A46" s="162" t="s">
        <v>509</v>
      </c>
      <c r="B46" s="232">
        <v>106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9.95" customHeight="1" x14ac:dyDescent="0.3">
      <c r="A47" s="120" t="s">
        <v>171</v>
      </c>
      <c r="B47" s="233">
        <v>120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9.95" customHeight="1" x14ac:dyDescent="0.3">
      <c r="A48" s="221" t="s">
        <v>172</v>
      </c>
      <c r="B48" s="239">
        <f>B46-B47</f>
        <v>-14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9.95" customHeight="1" x14ac:dyDescent="0.3">
      <c r="A49" s="120"/>
      <c r="B49" s="11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9.95" customHeight="1" x14ac:dyDescent="0.3">
      <c r="A50" s="240" t="s">
        <v>173</v>
      </c>
      <c r="B50" s="241">
        <f>B44-B48</f>
        <v>9843.855527615664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9.95" customHeight="1" x14ac:dyDescent="0.3">
      <c r="A51" s="120"/>
      <c r="B51" s="11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9.95" customHeight="1" x14ac:dyDescent="0.3">
      <c r="A52" s="162" t="s">
        <v>174</v>
      </c>
      <c r="B52" s="242">
        <v>12.43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9.95" customHeight="1" x14ac:dyDescent="0.3">
      <c r="A53" s="120" t="s">
        <v>175</v>
      </c>
      <c r="B53" s="243">
        <v>582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9.95" customHeight="1" x14ac:dyDescent="0.3">
      <c r="A54" s="120"/>
      <c r="B54" s="11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9.95" customHeight="1" x14ac:dyDescent="0.3">
      <c r="A55" s="244" t="s">
        <v>485</v>
      </c>
      <c r="B55" s="245">
        <f>B50/B52</f>
        <v>791.94332482829157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9.95" customHeight="1" thickBot="1" x14ac:dyDescent="0.35">
      <c r="A56" s="246" t="s">
        <v>176</v>
      </c>
      <c r="B56" s="247">
        <f>(B55/B53)-1</f>
        <v>0.36072736224792368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thickTop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thickBot="1" x14ac:dyDescent="0.35">
      <c r="A58" s="93" t="s">
        <v>486</v>
      </c>
      <c r="B58" s="94"/>
      <c r="C58" s="94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A59" s="42" t="s">
        <v>487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s="43" t="s">
        <v>488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9.95" customHeight="1" x14ac:dyDescent="0.3">
      <c r="A62" s="248" t="s">
        <v>34</v>
      </c>
      <c r="B62" s="248" t="s">
        <v>35</v>
      </c>
      <c r="C62" s="248" t="s">
        <v>261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9.95" customHeight="1" x14ac:dyDescent="0.3">
      <c r="A63" s="249" t="s">
        <v>489</v>
      </c>
      <c r="B63" s="141">
        <f>B36</f>
        <v>3338.2545270433629</v>
      </c>
      <c r="C63" s="222" t="s">
        <v>490</v>
      </c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9.95" customHeight="1" x14ac:dyDescent="0.3">
      <c r="A64" s="250" t="s">
        <v>165</v>
      </c>
      <c r="B64" s="251">
        <f>B37</f>
        <v>15</v>
      </c>
      <c r="C64" s="149" t="s">
        <v>491</v>
      </c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9.95" customHeight="1" x14ac:dyDescent="0.3">
      <c r="A65" s="138" t="s">
        <v>492</v>
      </c>
      <c r="B65" s="139">
        <f>B38</f>
        <v>50073.817905650445</v>
      </c>
      <c r="C65" s="138" t="s">
        <v>510</v>
      </c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9.95" customHeight="1" x14ac:dyDescent="0.3">
      <c r="A66" s="249" t="s">
        <v>493</v>
      </c>
      <c r="B66" s="141">
        <f>'Balance Sheet'!P22-'Balance Sheet'!P11</f>
        <v>-9897.5212823648453</v>
      </c>
      <c r="C66" s="222" t="s">
        <v>494</v>
      </c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9.95" customHeight="1" x14ac:dyDescent="0.3">
      <c r="A67" s="221" t="s">
        <v>495</v>
      </c>
      <c r="B67" s="134">
        <f>B65-B66</f>
        <v>59971.339188015292</v>
      </c>
      <c r="C67" s="222" t="s">
        <v>511</v>
      </c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9.95" customHeight="1" x14ac:dyDescent="0.3">
      <c r="A68" s="240" t="s">
        <v>496</v>
      </c>
      <c r="B68" s="252">
        <f>B67/B52</f>
        <v>4824.7255983922196</v>
      </c>
      <c r="C68" s="253" t="s">
        <v>497</v>
      </c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9.95" customHeight="1" x14ac:dyDescent="0.3">
      <c r="A69" s="250" t="s">
        <v>175</v>
      </c>
      <c r="B69" s="254">
        <f>B53</f>
        <v>582</v>
      </c>
      <c r="C69" s="149" t="s">
        <v>498</v>
      </c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9.95" customHeight="1" x14ac:dyDescent="0.3">
      <c r="A70" s="249" t="s">
        <v>499</v>
      </c>
      <c r="B70" s="137">
        <v>11</v>
      </c>
      <c r="C70" s="222" t="s">
        <v>500</v>
      </c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9.95" customHeight="1" x14ac:dyDescent="0.3">
      <c r="A71" s="255" t="s">
        <v>501</v>
      </c>
      <c r="B71" s="256">
        <f>(B68/B69)^(1/B70)-1</f>
        <v>0.2120052809716817</v>
      </c>
      <c r="C71" s="255" t="s">
        <v>512</v>
      </c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9.95" customHeight="1" x14ac:dyDescent="0.3">
      <c r="A72" s="257" t="s">
        <v>502</v>
      </c>
      <c r="B72" s="258">
        <f>B68/B69</f>
        <v>8.2899065264471119</v>
      </c>
      <c r="C72" s="259" t="s">
        <v>503</v>
      </c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3">
      <c r="A74" s="8" t="s">
        <v>177</v>
      </c>
      <c r="B74" s="92"/>
      <c r="C74" s="92"/>
      <c r="D74" s="92"/>
      <c r="E74" s="92"/>
      <c r="F74" s="92"/>
      <c r="G74" s="92"/>
      <c r="H74" s="92"/>
      <c r="I74" s="1"/>
      <c r="J74" s="1"/>
      <c r="K74" s="1"/>
      <c r="L74" s="1"/>
      <c r="M74" s="1"/>
    </row>
    <row r="75" spans="1:13" x14ac:dyDescent="0.3">
      <c r="A75" s="100" t="s">
        <v>178</v>
      </c>
      <c r="B75" s="98">
        <v>0.02</v>
      </c>
      <c r="C75" s="98">
        <v>2.5000000000000001E-2</v>
      </c>
      <c r="D75" s="98">
        <v>0.03</v>
      </c>
      <c r="E75" s="98">
        <v>3.5000000000000003E-2</v>
      </c>
      <c r="F75" s="98">
        <v>0.04</v>
      </c>
      <c r="G75" s="98">
        <v>4.4999999999999998E-2</v>
      </c>
      <c r="H75" s="103">
        <v>0.05</v>
      </c>
      <c r="I75" s="1"/>
      <c r="J75" s="1"/>
      <c r="K75" s="1"/>
      <c r="L75" s="1"/>
      <c r="M75" s="1"/>
    </row>
    <row r="76" spans="1:13" x14ac:dyDescent="0.3">
      <c r="A76" s="101">
        <v>0.12</v>
      </c>
      <c r="B76" s="95">
        <f>($B$42+(($B$29*(1+B$75))/($A76-B$75))*(1/(1+$A76)^11)+$B$47-$B$46)/$B$52</f>
        <v>886.35688494719307</v>
      </c>
      <c r="C76" s="95">
        <f>($B$42+(($B$29*(1+C$75))/($A76-C$75))*(1/(1+$A76)^11)+$B$47-$B$46)/$B$52</f>
        <v>917.38691287469737</v>
      </c>
      <c r="D76" s="95">
        <f>($B$42+(($B$29*(1+D$75))/($A76-D$75))*(1/(1+$A76)^11)+$B$47-$B$46)/$B$52</f>
        <v>951.86472168303533</v>
      </c>
      <c r="E76" s="95">
        <f>($B$42+(($B$29*(1+E$75))/($A76-E$75))*(1/(1+$A76)^11)+$B$47-$B$46)/$B$52</f>
        <v>990.39874329235431</v>
      </c>
      <c r="F76" s="95">
        <f>($B$42+(($B$29*(1+F$75))/($A76-F$75))*(1/(1+$A76)^11)+$B$47-$B$46)/$B$52</f>
        <v>1033.7495176028381</v>
      </c>
      <c r="G76" s="95">
        <f>($B$42+(($B$29*(1+G$75))/($A76-G$75))*(1/(1+$A76)^11)+$B$47-$B$46)/$B$52</f>
        <v>1082.8803951547195</v>
      </c>
      <c r="H76" s="104">
        <f>($B$42+(($B$29*(1+H$75))/($A76-H$75))*(1/(1+$A76)^11)+$B$47-$B$46)/$B$52</f>
        <v>1139.0299694997273</v>
      </c>
      <c r="I76" s="1"/>
      <c r="J76" s="1"/>
      <c r="K76" s="1"/>
      <c r="L76" s="1"/>
      <c r="M76" s="1"/>
    </row>
    <row r="77" spans="1:13" x14ac:dyDescent="0.3">
      <c r="A77" s="101">
        <v>0.125</v>
      </c>
      <c r="B77" s="95">
        <f>($B$42+(($B$29*(1+B$75))/($A77-B$75))*(1/(1+$A77)^11)+$B$47-$B$46)/$B$52</f>
        <v>836.33705770958738</v>
      </c>
      <c r="C77" s="95">
        <f>($B$42+(($B$29*(1+C$75))/($A77-C$75))*(1/(1+$A77)^11)+$B$47-$B$46)/$B$52</f>
        <v>863.18873845057237</v>
      </c>
      <c r="D77" s="95">
        <f>($B$42+(($B$29*(1+D$75))/($A77-D$75))*(1/(1+$A77)^11)+$B$47-$B$46)/$B$52</f>
        <v>892.86691190113481</v>
      </c>
      <c r="E77" s="95">
        <f>($B$42+(($B$29*(1+E$75))/($A77-E$75))*(1/(1+$A77)^11)+$B$47-$B$46)/$B$52</f>
        <v>925.84266017953757</v>
      </c>
      <c r="F77" s="95">
        <f>($B$42+(($B$29*(1+F$75))/($A77-F$75))*(1/(1+$A77)^11)+$B$47-$B$46)/$B$52</f>
        <v>962.69790825539951</v>
      </c>
      <c r="G77" s="95">
        <f>($B$42+(($B$29*(1+G$75))/($A77-G$75))*(1/(1+$A77)^11)+$B$47-$B$46)/$B$52</f>
        <v>1004.1600623407438</v>
      </c>
      <c r="H77" s="104">
        <f>($B$42+(($B$29*(1+H$75))/($A77-H$75))*(1/(1+$A77)^11)+$B$47-$B$46)/$B$52</f>
        <v>1051.1505036374679</v>
      </c>
      <c r="I77" s="1"/>
      <c r="J77" s="1"/>
      <c r="K77" s="1"/>
      <c r="L77" s="1"/>
      <c r="M77" s="1"/>
    </row>
    <row r="78" spans="1:13" x14ac:dyDescent="0.3">
      <c r="A78" s="101">
        <v>0.13</v>
      </c>
      <c r="B78" s="95">
        <f>($B$42+(($B$29*(1+B$75))/($A78-B$75))*(1/(1+$A78)^11)+$B$47-$B$46)/$B$52</f>
        <v>792.07671668924922</v>
      </c>
      <c r="C78" s="95">
        <f>($B$42+(($B$29*(1+C$75))/($A78-C$75))*(1/(1+$A78)^11)+$B$47-$B$46)/$B$52</f>
        <v>815.42847458608844</v>
      </c>
      <c r="D78" s="95">
        <f>($B$42+(($B$29*(1+D$75))/($A78-D$75))*(1/(1+$A78)^11)+$B$47-$B$46)/$B$52</f>
        <v>841.1154082726116</v>
      </c>
      <c r="E78" s="95">
        <f>($B$42+(($B$29*(1+E$75))/($A78-E$75))*(1/(1+$A78)^11)+$B$47-$B$46)/$B$52</f>
        <v>869.50622971561074</v>
      </c>
      <c r="F78" s="95">
        <f>($B$42+(($B$29*(1+F$75))/($A78-F$75))*(1/(1+$A78)^11)+$B$47-$B$46)/$B$52</f>
        <v>901.05158687449887</v>
      </c>
      <c r="G78" s="95">
        <f>($B$42+(($B$29*(1+G$75))/($A78-G$75))*(1/(1+$A78)^11)+$B$47-$B$46)/$B$52</f>
        <v>936.30816252266789</v>
      </c>
      <c r="H78" s="104">
        <f>($B$42+(($B$29*(1+H$75))/($A78-H$75))*(1/(1+$A78)^11)+$B$47-$B$46)/$B$52</f>
        <v>975.97181012685803</v>
      </c>
      <c r="I78" s="1"/>
      <c r="J78" s="1"/>
      <c r="K78" s="1"/>
      <c r="L78" s="1"/>
      <c r="M78" s="1"/>
    </row>
    <row r="79" spans="1:13" x14ac:dyDescent="0.3">
      <c r="A79" s="101">
        <v>0.13500000000000001</v>
      </c>
      <c r="B79" s="95">
        <f>($B$42+(($B$29*(1+B$75))/($A79-B$75))*(1/(1+$A79)^11)+$B$47-$B$46)/$B$52</f>
        <v>752.75966573551682</v>
      </c>
      <c r="C79" s="95">
        <f>($B$42+(($B$29*(1+C$75))/($A79-C$75))*(1/(1+$A79)^11)+$B$47-$B$46)/$B$52</f>
        <v>773.15997999576155</v>
      </c>
      <c r="D79" s="95">
        <f>($B$42+(($B$29*(1+D$75))/($A79-D$75))*(1/(1+$A79)^11)+$B$47-$B$46)/$B$52</f>
        <v>795.50318132841039</v>
      </c>
      <c r="E79" s="95">
        <f>($B$42+(($B$29*(1+E$75))/($A79-E$75))*(1/(1+$A79)^11)+$B$47-$B$46)/$B$52</f>
        <v>820.08070279432422</v>
      </c>
      <c r="F79" s="95">
        <f>($B$42+(($B$29*(1+F$75))/($A79-F$75))*(1/(1+$A79)^11)+$B$47-$B$46)/$B$52</f>
        <v>847.24533178296576</v>
      </c>
      <c r="G79" s="95">
        <f>($B$42+(($B$29*(1+G$75))/($A79-G$75))*(1/(1+$A79)^11)+$B$47-$B$46)/$B$52</f>
        <v>877.42825288145627</v>
      </c>
      <c r="H79" s="104">
        <f>($B$42+(($B$29*(1+H$75))/($A79-H$75))*(1/(1+$A79)^11)+$B$47-$B$46)/$B$52</f>
        <v>911.1621058738873</v>
      </c>
      <c r="I79" s="1"/>
      <c r="J79" s="1"/>
      <c r="K79" s="1"/>
      <c r="L79" s="1"/>
      <c r="M79" s="1"/>
    </row>
    <row r="80" spans="1:13" x14ac:dyDescent="0.3">
      <c r="A80" s="101">
        <f>B13</f>
        <v>0.14092415255045462</v>
      </c>
      <c r="B80" s="96">
        <f>($B$42+(($B$29*(1+B$75))/($A80-B$75))*(1/(1+$A80)^11)+$B$47-$B$46)/$B$52</f>
        <v>711.65172959109566</v>
      </c>
      <c r="C80" s="96">
        <f>($B$42+(($B$29*(1+C$75))/($A80-C$75))*(1/(1+$A80)^11)+$B$47-$B$46)/$B$52</f>
        <v>729.12729664928747</v>
      </c>
      <c r="D80" s="96">
        <f>($B$42+(($B$29*(1+D$75))/($A80-D$75))*(1/(1+$A80)^11)+$B$47-$B$46)/$B$52</f>
        <v>748.17831564074902</v>
      </c>
      <c r="E80" s="96">
        <f>($B$42+(($B$29*(1+E$75))/($A80-E$75))*(1/(1+$A80)^11)+$B$47-$B$46)/$B$52</f>
        <v>769.0278875148864</v>
      </c>
      <c r="F80" s="97">
        <f>($B$42+(($B$29*(1+F$75))/($A80-F$75))*(1/(1+$A80)^11)+$B$47-$B$46)/$B$52</f>
        <v>791.94332482829157</v>
      </c>
      <c r="G80" s="96">
        <f>($B$42+(($B$29*(1+G$75))/($A80-G$75))*(1/(1+$A80)^11)+$B$47-$B$46)/$B$52</f>
        <v>817.24767428781672</v>
      </c>
      <c r="H80" s="105">
        <f>($B$42+(($B$29*(1+H$75))/($A80-H$75))*(1/(1+$A80)^11)+$B$47-$B$46)/$B$52</f>
        <v>845.33504110298725</v>
      </c>
      <c r="I80" s="1"/>
      <c r="J80" s="1"/>
      <c r="K80" s="1"/>
      <c r="L80" s="1"/>
      <c r="M80" s="1"/>
    </row>
    <row r="81" spans="1:13" x14ac:dyDescent="0.3">
      <c r="A81" s="101">
        <v>0.15</v>
      </c>
      <c r="B81" s="95">
        <f>($B$42+(($B$29*(1+B$75))/($A81-B$75))*(1/(1+$A81)^11)+$B$47-$B$46)/$B$52</f>
        <v>658.24028798199447</v>
      </c>
      <c r="C81" s="95">
        <f>($B$42+(($B$29*(1+C$75))/($A81-C$75))*(1/(1+$A81)^11)+$B$47-$B$46)/$B$52</f>
        <v>672.16718068259354</v>
      </c>
      <c r="D81" s="95">
        <f>($B$42+(($B$29*(1+D$75))/($A81-D$75))*(1/(1+$A81)^11)+$B$47-$B$46)/$B$52</f>
        <v>687.25464777490913</v>
      </c>
      <c r="E81" s="95">
        <f>($B$42+(($B$29*(1+E$75))/($A81-E$75))*(1/(1+$A81)^11)+$B$47-$B$46)/$B$52</f>
        <v>703.65406852742626</v>
      </c>
      <c r="F81" s="95">
        <f>($B$42+(($B$29*(1+F$75))/($A81-F$75))*(1/(1+$A81)^11)+$B$47-$B$46)/$B$52</f>
        <v>721.54434571199045</v>
      </c>
      <c r="G81" s="95">
        <f>($B$42+(($B$29*(1+G$75))/($A81-G$75))*(1/(1+$A81)^11)+$B$47-$B$46)/$B$52</f>
        <v>741.13845881889392</v>
      </c>
      <c r="H81" s="104">
        <f>($B$42+(($B$29*(1+H$75))/($A81-H$75))*(1/(1+$A81)^11)+$B$47-$B$46)/$B$52</f>
        <v>762.69198323648777</v>
      </c>
      <c r="I81" s="1"/>
      <c r="J81" s="1"/>
      <c r="K81" s="1"/>
      <c r="L81" s="1"/>
      <c r="M81" s="1"/>
    </row>
    <row r="82" spans="1:13" x14ac:dyDescent="0.3">
      <c r="A82" s="101">
        <v>0.16</v>
      </c>
      <c r="B82" s="95">
        <f>($B$42+(($B$29*(1+B$75))/($A82-B$75))*(1/(1+$A82)^11)+$B$47-$B$46)/$B$52</f>
        <v>610.13211346692833</v>
      </c>
      <c r="C82" s="95">
        <f>($B$42+(($B$29*(1+C$75))/($A82-C$75))*(1/(1+$A82)^11)+$B$47-$B$46)/$B$52</f>
        <v>621.11317441481833</v>
      </c>
      <c r="D82" s="95">
        <f>($B$42+(($B$29*(1+D$75))/($A82-D$75))*(1/(1+$A82)^11)+$B$47-$B$46)/$B$52</f>
        <v>632.93893235869973</v>
      </c>
      <c r="E82" s="95">
        <f>($B$42+(($B$29*(1+E$75))/($A82-E$75))*(1/(1+$A82)^11)+$B$47-$B$46)/$B$52</f>
        <v>645.71075093809179</v>
      </c>
      <c r="F82" s="95">
        <f>($B$42+(($B$29*(1+F$75))/($A82-F$75))*(1/(1+$A82)^11)+$B$47-$B$46)/$B$52</f>
        <v>659.54688773243311</v>
      </c>
      <c r="G82" s="95">
        <f>($B$42+(($B$29*(1+G$75))/($A82-G$75))*(1/(1+$A82)^11)+$B$47-$B$46)/$B$52</f>
        <v>674.58616685671723</v>
      </c>
      <c r="H82" s="104">
        <f>($B$42+(($B$29*(1+H$75))/($A82-H$75))*(1/(1+$A82)^11)+$B$47-$B$46)/$B$52</f>
        <v>690.992653174118</v>
      </c>
      <c r="I82" s="1"/>
      <c r="J82" s="1"/>
      <c r="K82" s="1"/>
      <c r="L82" s="1"/>
      <c r="M82" s="1"/>
    </row>
    <row r="83" spans="1:13" x14ac:dyDescent="0.3">
      <c r="A83" s="102">
        <v>0.17</v>
      </c>
      <c r="B83" s="99">
        <f>($B$42+(($B$29*(1+B$75))/($A83-B$75))*(1/(1+$A83)^11)+$B$47-$B$46)/$B$52</f>
        <v>570.8280133378538</v>
      </c>
      <c r="C83" s="99">
        <f>($B$42+(($B$29*(1+C$75))/($A83-C$75))*(1/(1+$A83)^11)+$B$47-$B$46)/$B$52</f>
        <v>579.58527083230308</v>
      </c>
      <c r="D83" s="99">
        <f>($B$42+(($B$29*(1+D$75))/($A83-D$75))*(1/(1+$A83)^11)+$B$47-$B$46)/$B$52</f>
        <v>588.96804671921302</v>
      </c>
      <c r="E83" s="99">
        <f>($B$42+(($B$29*(1+E$75))/($A83-E$75))*(1/(1+$A83)^11)+$B$47-$B$46)/$B$52</f>
        <v>599.04584304219043</v>
      </c>
      <c r="F83" s="99">
        <f>($B$42+(($B$29*(1+F$75))/($A83-F$75))*(1/(1+$A83)^11)+$B$47-$B$46)/$B$52</f>
        <v>609.89885446693529</v>
      </c>
      <c r="G83" s="99">
        <f>($B$42+(($B$29*(1+G$75))/($A83-G$75))*(1/(1+$A83)^11)+$B$47-$B$46)/$B$52</f>
        <v>621.62010680565982</v>
      </c>
      <c r="H83" s="106">
        <f>($B$42+(($B$29*(1+H$75))/($A83-H$75))*(1/(1+$A83)^11)+$B$47-$B$46)/$B$52</f>
        <v>634.31813017261129</v>
      </c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8" t="s">
        <v>179</v>
      </c>
      <c r="B85" s="28"/>
      <c r="C85" s="28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6" t="s">
        <v>168</v>
      </c>
      <c r="B86" s="17">
        <f>B42</f>
        <v>4329.3723927941146</v>
      </c>
      <c r="C86" s="44">
        <f>B42/B44</f>
        <v>0.44043092806718492</v>
      </c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9" t="s">
        <v>180</v>
      </c>
      <c r="B87" s="20">
        <f>B43</f>
        <v>5500.4831348215494</v>
      </c>
      <c r="C87" s="25">
        <f>B43/B44</f>
        <v>0.55956907193281502</v>
      </c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5" t="s">
        <v>181</v>
      </c>
      <c r="B88" s="36">
        <f>B44</f>
        <v>9829.855527615664</v>
      </c>
      <c r="C88" s="45">
        <f>B44/B44</f>
        <v>1</v>
      </c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9" t="s">
        <v>182</v>
      </c>
      <c r="B90" s="46">
        <f>B44/B18</f>
        <v>29.125497859601968</v>
      </c>
      <c r="C90" s="32" t="s">
        <v>183</v>
      </c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8" t="s">
        <v>184</v>
      </c>
      <c r="B92" s="92"/>
      <c r="C92" s="92"/>
      <c r="D92" s="92"/>
      <c r="E92" s="92"/>
      <c r="F92" s="92"/>
      <c r="G92" s="92"/>
      <c r="H92" s="92"/>
      <c r="I92" s="1"/>
      <c r="J92" s="1"/>
      <c r="K92" s="1"/>
      <c r="L92" s="1"/>
      <c r="M92" s="1"/>
    </row>
    <row r="93" spans="1:13" x14ac:dyDescent="0.3">
      <c r="A93" s="107" t="s">
        <v>504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07" t="s">
        <v>505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07" t="s">
        <v>506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07" t="s">
        <v>507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07" t="s">
        <v>508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08" t="s">
        <v>185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BB06-2130-46A6-BD8F-19470AEF5039}">
  <sheetPr>
    <tabColor rgb="FF1B5E20"/>
  </sheetPr>
  <dimension ref="A1:N70"/>
  <sheetViews>
    <sheetView workbookViewId="0">
      <pane ySplit="4" topLeftCell="A5" activePane="bottomLeft" state="frozen"/>
      <selection pane="bottomLeft"/>
    </sheetView>
  </sheetViews>
  <sheetFormatPr defaultRowHeight="14.4" x14ac:dyDescent="0.3"/>
  <cols>
    <col min="1" max="1" width="37" customWidth="1"/>
    <col min="2" max="3" width="25.88671875" customWidth="1"/>
    <col min="4" max="11" width="14.77734375" customWidth="1"/>
    <col min="12" max="14" width="19.44140625" customWidth="1"/>
  </cols>
  <sheetData>
    <row r="1" spans="1:14" ht="30" customHeight="1" x14ac:dyDescent="0.35">
      <c r="A1" s="83" t="s">
        <v>225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thickBot="1" x14ac:dyDescent="0.35">
      <c r="A3" s="8" t="s">
        <v>226</v>
      </c>
      <c r="B3" s="8"/>
      <c r="C3" s="8"/>
      <c r="D3" s="8"/>
      <c r="E3" s="8"/>
      <c r="F3" s="8"/>
      <c r="G3" s="8"/>
      <c r="H3" s="8"/>
      <c r="I3" s="8"/>
      <c r="J3" s="8"/>
      <c r="K3" s="8"/>
      <c r="L3" s="47"/>
      <c r="M3" s="47"/>
      <c r="N3" s="47"/>
    </row>
    <row r="4" spans="1:14" ht="19.95" customHeight="1" x14ac:dyDescent="0.3">
      <c r="A4" s="172" t="s">
        <v>39</v>
      </c>
      <c r="B4" s="173" t="s">
        <v>227</v>
      </c>
      <c r="C4" s="173" t="s">
        <v>228</v>
      </c>
      <c r="D4" s="174" t="s">
        <v>229</v>
      </c>
      <c r="E4" s="174" t="s">
        <v>230</v>
      </c>
      <c r="F4" s="175" t="s">
        <v>231</v>
      </c>
      <c r="G4" s="174" t="s">
        <v>232</v>
      </c>
      <c r="H4" s="175" t="s">
        <v>233</v>
      </c>
      <c r="I4" s="174" t="s">
        <v>234</v>
      </c>
      <c r="J4" s="175" t="s">
        <v>235</v>
      </c>
      <c r="K4" s="176" t="s">
        <v>236</v>
      </c>
      <c r="L4" s="50" t="s">
        <v>237</v>
      </c>
      <c r="M4" s="49" t="s">
        <v>238</v>
      </c>
      <c r="N4" s="50" t="s">
        <v>239</v>
      </c>
    </row>
    <row r="5" spans="1:14" ht="19.95" customHeight="1" x14ac:dyDescent="0.3">
      <c r="A5" s="177" t="s">
        <v>240</v>
      </c>
      <c r="B5" s="178" t="s">
        <v>241</v>
      </c>
      <c r="C5" s="178" t="s">
        <v>242</v>
      </c>
      <c r="D5" s="179">
        <v>469</v>
      </c>
      <c r="E5" s="179">
        <v>134</v>
      </c>
      <c r="F5" s="180">
        <f>E5/D5</f>
        <v>0.2857142857142857</v>
      </c>
      <c r="G5" s="181">
        <v>74.25</v>
      </c>
      <c r="H5" s="180">
        <f>G5/D5</f>
        <v>0.15831556503198294</v>
      </c>
      <c r="I5" s="179">
        <v>7663</v>
      </c>
      <c r="J5" s="182">
        <f>(I5+65-120)/D5</f>
        <v>16.221748400852878</v>
      </c>
      <c r="K5" s="183">
        <f>(I5+65-120)/E5</f>
        <v>56.776119402985074</v>
      </c>
      <c r="L5" s="54">
        <f>I5/G5</f>
        <v>103.20538720538721</v>
      </c>
      <c r="M5" s="53">
        <v>0.44750000000000001</v>
      </c>
      <c r="N5" s="53">
        <v>0.1802</v>
      </c>
    </row>
    <row r="6" spans="1:14" ht="19.95" customHeight="1" x14ac:dyDescent="0.3">
      <c r="A6" s="184" t="s">
        <v>243</v>
      </c>
      <c r="B6" s="185" t="s">
        <v>244</v>
      </c>
      <c r="C6" s="185" t="s">
        <v>245</v>
      </c>
      <c r="D6" s="186">
        <v>128</v>
      </c>
      <c r="E6" s="187">
        <v>-20.8</v>
      </c>
      <c r="F6" s="188">
        <f>E6/D6</f>
        <v>-0.16250000000000001</v>
      </c>
      <c r="G6" s="187">
        <v>-24.3</v>
      </c>
      <c r="H6" s="188">
        <f>G6/D6</f>
        <v>-0.18984375000000001</v>
      </c>
      <c r="I6" s="186">
        <v>236</v>
      </c>
      <c r="J6" s="189" t="s">
        <v>246</v>
      </c>
      <c r="K6" s="190" t="s">
        <v>246</v>
      </c>
      <c r="L6" s="37" t="s">
        <v>246</v>
      </c>
      <c r="M6" s="56">
        <v>0.27</v>
      </c>
      <c r="N6" s="56">
        <v>-0.54600000000000004</v>
      </c>
    </row>
    <row r="7" spans="1:14" ht="19.95" customHeight="1" x14ac:dyDescent="0.3">
      <c r="A7" s="191" t="s">
        <v>247</v>
      </c>
      <c r="B7" s="192" t="s">
        <v>241</v>
      </c>
      <c r="C7" s="192" t="s">
        <v>248</v>
      </c>
      <c r="D7" s="193">
        <v>76.599999999999994</v>
      </c>
      <c r="E7" s="193">
        <v>18.100000000000001</v>
      </c>
      <c r="F7" s="194">
        <f>E7/D7</f>
        <v>0.23629242819843346</v>
      </c>
      <c r="G7" s="193">
        <v>12.1</v>
      </c>
      <c r="H7" s="194">
        <f>G7/D7</f>
        <v>0.15796344647519583</v>
      </c>
      <c r="I7" s="195">
        <v>420</v>
      </c>
      <c r="J7" s="196">
        <f>(I7+31.2-2)/D7</f>
        <v>5.8642297650130555</v>
      </c>
      <c r="K7" s="197">
        <f>(I7+31.2-2)/E7</f>
        <v>24.817679558011047</v>
      </c>
      <c r="L7" s="59">
        <f>I7/G7</f>
        <v>34.710743801652896</v>
      </c>
      <c r="M7" s="57">
        <v>0.14000000000000001</v>
      </c>
      <c r="N7" s="57">
        <v>0.67859999999999998</v>
      </c>
    </row>
    <row r="8" spans="1:14" ht="19.95" customHeight="1" x14ac:dyDescent="0.3">
      <c r="A8" s="198" t="s">
        <v>249</v>
      </c>
      <c r="B8" s="199" t="s">
        <v>250</v>
      </c>
      <c r="C8" s="199" t="s">
        <v>251</v>
      </c>
      <c r="D8" s="200">
        <v>12563</v>
      </c>
      <c r="E8" s="200">
        <v>2700</v>
      </c>
      <c r="F8" s="201">
        <f>E8/D8</f>
        <v>0.21491681923107539</v>
      </c>
      <c r="G8" s="200">
        <v>1811</v>
      </c>
      <c r="H8" s="201">
        <f>G8/D8</f>
        <v>0.14415346652869537</v>
      </c>
      <c r="I8" s="200">
        <v>95000</v>
      </c>
      <c r="J8" s="202">
        <f>(I8+3000-5000)/D8</f>
        <v>7.4026904401814857</v>
      </c>
      <c r="K8" s="203">
        <f>(I8+3000-5000)/E8</f>
        <v>34.444444444444443</v>
      </c>
      <c r="L8" s="60">
        <f>I8/G8</f>
        <v>52.457205963556049</v>
      </c>
      <c r="M8" s="56">
        <v>7.0000000000000007E-2</v>
      </c>
      <c r="N8" s="56">
        <v>0.22</v>
      </c>
    </row>
    <row r="9" spans="1:14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3">
      <c r="A10" s="5" t="s">
        <v>252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6"/>
      <c r="M10" s="16"/>
      <c r="N10" s="16"/>
    </row>
    <row r="11" spans="1:14" x14ac:dyDescent="0.3">
      <c r="A11" s="61" t="s">
        <v>253</v>
      </c>
      <c r="B11" s="62"/>
      <c r="C11" s="62"/>
      <c r="D11" s="62"/>
      <c r="E11" s="62"/>
      <c r="F11" s="63">
        <f>AVERAGE(F7,F8)</f>
        <v>0.22560462371475443</v>
      </c>
      <c r="G11" s="62"/>
      <c r="H11" s="63">
        <f>AVERAGE(H7,H8)</f>
        <v>0.1510584565019456</v>
      </c>
      <c r="I11" s="62"/>
      <c r="J11" s="64">
        <f>AVERAGE(J7,J8)</f>
        <v>6.6334601025972706</v>
      </c>
      <c r="K11" s="64">
        <f>AVERAGE(K7,K8)</f>
        <v>29.631062001227747</v>
      </c>
      <c r="L11" s="64">
        <f>AVERAGE(L7,L8)</f>
        <v>43.583974882604473</v>
      </c>
      <c r="M11" s="63">
        <f>AVERAGE(M7,M8)</f>
        <v>0.10500000000000001</v>
      </c>
      <c r="N11" s="63">
        <f>AVERAGE(N7,N8)</f>
        <v>0.44929999999999998</v>
      </c>
    </row>
    <row r="12" spans="1:14" x14ac:dyDescent="0.3">
      <c r="A12" s="61" t="s">
        <v>254</v>
      </c>
      <c r="B12" s="62"/>
      <c r="C12" s="62"/>
      <c r="D12" s="62"/>
      <c r="E12" s="62"/>
      <c r="F12" s="63">
        <f>MEDIAN(F7,F8)</f>
        <v>0.22560462371475443</v>
      </c>
      <c r="G12" s="62"/>
      <c r="H12" s="63">
        <f>MEDIAN(H7,H8)</f>
        <v>0.1510584565019456</v>
      </c>
      <c r="I12" s="62"/>
      <c r="J12" s="64">
        <f>MEDIAN(J7,J8)</f>
        <v>6.6334601025972706</v>
      </c>
      <c r="K12" s="64">
        <f>MEDIAN(K7,K8)</f>
        <v>29.631062001227747</v>
      </c>
      <c r="L12" s="64">
        <f>MEDIAN(L7,L8)</f>
        <v>43.583974882604473</v>
      </c>
      <c r="M12" s="63">
        <f>MEDIAN(M7,M8)</f>
        <v>0.10500000000000001</v>
      </c>
      <c r="N12" s="63">
        <f>MEDIAN(N7,N8)</f>
        <v>0.44930000000000003</v>
      </c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65" t="s">
        <v>255</v>
      </c>
      <c r="B14" s="65"/>
      <c r="C14" s="65"/>
      <c r="D14" s="65"/>
      <c r="E14" s="65"/>
      <c r="F14" s="65"/>
      <c r="G14" s="65"/>
      <c r="H14" s="65"/>
      <c r="I14" s="65"/>
      <c r="J14" s="67">
        <f>J5/J12-1</f>
        <v>1.4454429739467947</v>
      </c>
      <c r="K14" s="67">
        <f>K5/K12-1</f>
        <v>0.9161014006393895</v>
      </c>
      <c r="L14" s="67">
        <f>L5/L12-1</f>
        <v>1.367966379463458</v>
      </c>
      <c r="M14" s="66"/>
      <c r="N14" s="66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8" t="s">
        <v>256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47"/>
      <c r="M16" s="47"/>
      <c r="N16" s="47"/>
    </row>
    <row r="17" spans="1:14" ht="19.95" customHeight="1" x14ac:dyDescent="0.3">
      <c r="A17" s="204" t="s">
        <v>39</v>
      </c>
      <c r="B17" s="205" t="s">
        <v>227</v>
      </c>
      <c r="C17" s="205" t="s">
        <v>228</v>
      </c>
      <c r="D17" s="206" t="s">
        <v>229</v>
      </c>
      <c r="E17" s="206" t="s">
        <v>257</v>
      </c>
      <c r="F17" s="206" t="s">
        <v>231</v>
      </c>
      <c r="G17" s="206" t="s">
        <v>258</v>
      </c>
      <c r="H17" s="206" t="s">
        <v>233</v>
      </c>
      <c r="I17" s="206" t="s">
        <v>259</v>
      </c>
      <c r="J17" s="206" t="s">
        <v>235</v>
      </c>
      <c r="K17" s="207" t="s">
        <v>236</v>
      </c>
      <c r="L17" s="49" t="s">
        <v>238</v>
      </c>
      <c r="M17" s="49" t="s">
        <v>260</v>
      </c>
      <c r="N17" s="49" t="s">
        <v>261</v>
      </c>
    </row>
    <row r="18" spans="1:14" ht="19.95" customHeight="1" x14ac:dyDescent="0.3">
      <c r="A18" s="184" t="s">
        <v>262</v>
      </c>
      <c r="B18" s="185" t="s">
        <v>263</v>
      </c>
      <c r="C18" s="185" t="s">
        <v>264</v>
      </c>
      <c r="D18" s="187">
        <v>93.1</v>
      </c>
      <c r="E18" s="187">
        <v>3.6</v>
      </c>
      <c r="F18" s="188">
        <f>E18/D18</f>
        <v>3.8668098818474765E-2</v>
      </c>
      <c r="G18" s="187">
        <v>3.3</v>
      </c>
      <c r="H18" s="188">
        <f>G18/D18</f>
        <v>3.5445757250268529E-2</v>
      </c>
      <c r="I18" s="185" t="s">
        <v>265</v>
      </c>
      <c r="J18" s="185" t="s">
        <v>265</v>
      </c>
      <c r="K18" s="208" t="s">
        <v>265</v>
      </c>
      <c r="L18" s="56">
        <v>0.03</v>
      </c>
      <c r="M18" s="6">
        <v>1948</v>
      </c>
      <c r="N18" s="6" t="s">
        <v>266</v>
      </c>
    </row>
    <row r="19" spans="1:14" ht="19.95" customHeight="1" x14ac:dyDescent="0.3">
      <c r="A19" s="191" t="s">
        <v>267</v>
      </c>
      <c r="B19" s="192" t="s">
        <v>263</v>
      </c>
      <c r="C19" s="192" t="s">
        <v>268</v>
      </c>
      <c r="D19" s="195">
        <v>565</v>
      </c>
      <c r="E19" s="195">
        <v>85</v>
      </c>
      <c r="F19" s="194">
        <f>E19/D19</f>
        <v>0.15044247787610621</v>
      </c>
      <c r="G19" s="195">
        <v>40</v>
      </c>
      <c r="H19" s="194">
        <f>G19/D19</f>
        <v>7.0796460176991149E-2</v>
      </c>
      <c r="I19" s="192" t="s">
        <v>265</v>
      </c>
      <c r="J19" s="192" t="s">
        <v>265</v>
      </c>
      <c r="K19" s="209" t="s">
        <v>265</v>
      </c>
      <c r="L19" s="57">
        <v>7.0000000000000007E-2</v>
      </c>
      <c r="M19" s="19">
        <v>1984</v>
      </c>
      <c r="N19" s="19" t="s">
        <v>269</v>
      </c>
    </row>
    <row r="20" spans="1:14" ht="19.95" customHeight="1" x14ac:dyDescent="0.3">
      <c r="A20" s="184" t="s">
        <v>270</v>
      </c>
      <c r="B20" s="185" t="s">
        <v>271</v>
      </c>
      <c r="C20" s="185" t="s">
        <v>272</v>
      </c>
      <c r="D20" s="186">
        <v>350</v>
      </c>
      <c r="E20" s="186">
        <v>35</v>
      </c>
      <c r="F20" s="188">
        <f>E20/D20</f>
        <v>0.1</v>
      </c>
      <c r="G20" s="185" t="s">
        <v>265</v>
      </c>
      <c r="H20" s="185" t="s">
        <v>265</v>
      </c>
      <c r="I20" s="185" t="s">
        <v>265</v>
      </c>
      <c r="J20" s="185" t="s">
        <v>265</v>
      </c>
      <c r="K20" s="208" t="s">
        <v>265</v>
      </c>
      <c r="L20" s="56">
        <v>0.05</v>
      </c>
      <c r="M20" s="6">
        <v>1902</v>
      </c>
      <c r="N20" s="6" t="s">
        <v>273</v>
      </c>
    </row>
    <row r="21" spans="1:14" ht="19.95" customHeight="1" x14ac:dyDescent="0.3">
      <c r="A21" s="191" t="s">
        <v>274</v>
      </c>
      <c r="B21" s="192" t="s">
        <v>275</v>
      </c>
      <c r="C21" s="192" t="s">
        <v>276</v>
      </c>
      <c r="D21" s="195">
        <v>700</v>
      </c>
      <c r="E21" s="195">
        <v>84</v>
      </c>
      <c r="F21" s="194">
        <f>E21/D21</f>
        <v>0.12</v>
      </c>
      <c r="G21" s="195">
        <v>42</v>
      </c>
      <c r="H21" s="194">
        <f>G21/D21</f>
        <v>0.06</v>
      </c>
      <c r="I21" s="192" t="s">
        <v>265</v>
      </c>
      <c r="J21" s="192" t="s">
        <v>265</v>
      </c>
      <c r="K21" s="209" t="s">
        <v>265</v>
      </c>
      <c r="L21" s="57">
        <v>0.08</v>
      </c>
      <c r="M21" s="19">
        <v>1917</v>
      </c>
      <c r="N21" s="19" t="s">
        <v>277</v>
      </c>
    </row>
    <row r="22" spans="1:14" ht="19.95" customHeight="1" x14ac:dyDescent="0.3">
      <c r="A22" s="198" t="s">
        <v>278</v>
      </c>
      <c r="B22" s="199" t="s">
        <v>275</v>
      </c>
      <c r="C22" s="199" t="s">
        <v>279</v>
      </c>
      <c r="D22" s="200">
        <v>3000</v>
      </c>
      <c r="E22" s="200">
        <v>450</v>
      </c>
      <c r="F22" s="201">
        <f>E22/D22</f>
        <v>0.15</v>
      </c>
      <c r="G22" s="200">
        <v>250</v>
      </c>
      <c r="H22" s="201">
        <f>G22/D22</f>
        <v>8.3333333333333329E-2</v>
      </c>
      <c r="I22" s="199" t="s">
        <v>265</v>
      </c>
      <c r="J22" s="199" t="s">
        <v>265</v>
      </c>
      <c r="K22" s="210" t="s">
        <v>265</v>
      </c>
      <c r="L22" s="56">
        <v>0.12</v>
      </c>
      <c r="M22" s="6">
        <v>1930</v>
      </c>
      <c r="N22" s="6" t="s">
        <v>280</v>
      </c>
    </row>
    <row r="23" spans="1:14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3">
      <c r="A24" s="8" t="s">
        <v>281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47"/>
      <c r="M24" s="47"/>
      <c r="N24" s="47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9.95" customHeight="1" x14ac:dyDescent="0.3">
      <c r="A26" s="204" t="s">
        <v>282</v>
      </c>
      <c r="B26" s="206" t="s">
        <v>283</v>
      </c>
      <c r="C26" s="206" t="s">
        <v>284</v>
      </c>
      <c r="D26" s="206" t="s">
        <v>285</v>
      </c>
      <c r="E26" s="206" t="s">
        <v>286</v>
      </c>
      <c r="F26" s="206" t="s">
        <v>287</v>
      </c>
      <c r="G26" s="207" t="s">
        <v>288</v>
      </c>
      <c r="H26" s="1"/>
      <c r="I26" s="1"/>
      <c r="J26" s="1"/>
      <c r="K26" s="1"/>
      <c r="L26" s="1"/>
      <c r="M26" s="1"/>
      <c r="N26" s="1"/>
    </row>
    <row r="27" spans="1:14" ht="19.95" customHeight="1" x14ac:dyDescent="0.3">
      <c r="A27" s="211" t="s">
        <v>289</v>
      </c>
      <c r="B27" s="195">
        <f>D5</f>
        <v>469</v>
      </c>
      <c r="C27" s="196">
        <f>J11</f>
        <v>6.6334601025972706</v>
      </c>
      <c r="D27" s="195">
        <f>B27*C27</f>
        <v>3111.0927881181201</v>
      </c>
      <c r="E27" s="212">
        <v>-55</v>
      </c>
      <c r="F27" s="213">
        <f>D27-E27</f>
        <v>3166.0927881181201</v>
      </c>
      <c r="G27" s="214">
        <f>F27/12.43</f>
        <v>254.71382044393565</v>
      </c>
      <c r="H27" s="1"/>
      <c r="I27" s="1"/>
      <c r="J27" s="1"/>
      <c r="K27" s="1"/>
      <c r="L27" s="1"/>
      <c r="M27" s="1"/>
      <c r="N27" s="1"/>
    </row>
    <row r="28" spans="1:14" ht="19.95" customHeight="1" x14ac:dyDescent="0.3">
      <c r="A28" s="211" t="s">
        <v>290</v>
      </c>
      <c r="B28" s="195">
        <f>E5</f>
        <v>134</v>
      </c>
      <c r="C28" s="196">
        <f>K11</f>
        <v>29.631062001227747</v>
      </c>
      <c r="D28" s="195">
        <f>B28*C28</f>
        <v>3970.5623081645181</v>
      </c>
      <c r="E28" s="212">
        <v>-55</v>
      </c>
      <c r="F28" s="213">
        <f>D28-E28</f>
        <v>4025.5623081645181</v>
      </c>
      <c r="G28" s="214">
        <f>F28/12.43</f>
        <v>323.8585927726885</v>
      </c>
      <c r="H28" s="1"/>
      <c r="I28" s="1"/>
      <c r="J28" s="1"/>
      <c r="K28" s="1"/>
      <c r="L28" s="1"/>
      <c r="M28" s="1"/>
      <c r="N28" s="1"/>
    </row>
    <row r="29" spans="1:14" ht="19.95" customHeight="1" x14ac:dyDescent="0.3">
      <c r="A29" s="211" t="s">
        <v>291</v>
      </c>
      <c r="B29" s="193">
        <f>G5</f>
        <v>74.25</v>
      </c>
      <c r="C29" s="196">
        <f>L11</f>
        <v>43.583974882604473</v>
      </c>
      <c r="D29" s="192" t="s">
        <v>292</v>
      </c>
      <c r="E29" s="192" t="s">
        <v>265</v>
      </c>
      <c r="F29" s="213">
        <f>B29*C29</f>
        <v>3236.110135033382</v>
      </c>
      <c r="G29" s="214">
        <f>F29/12.43</f>
        <v>260.34675261732758</v>
      </c>
      <c r="H29" s="1"/>
      <c r="I29" s="1"/>
      <c r="J29" s="1"/>
      <c r="K29" s="1"/>
      <c r="L29" s="1"/>
      <c r="M29" s="1"/>
      <c r="N29" s="1"/>
    </row>
    <row r="30" spans="1:14" ht="19.95" customHeight="1" x14ac:dyDescent="0.3">
      <c r="A30" s="215" t="s">
        <v>293</v>
      </c>
      <c r="B30" s="216"/>
      <c r="C30" s="216"/>
      <c r="D30" s="216"/>
      <c r="E30" s="216"/>
      <c r="F30" s="217">
        <f>I5</f>
        <v>7663</v>
      </c>
      <c r="G30" s="218">
        <v>616</v>
      </c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8" t="s">
        <v>294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7.6" x14ac:dyDescent="0.3">
      <c r="A34" s="48" t="s">
        <v>295</v>
      </c>
      <c r="B34" s="48" t="s">
        <v>296</v>
      </c>
      <c r="C34" s="49" t="s">
        <v>297</v>
      </c>
      <c r="D34" s="49" t="s">
        <v>285</v>
      </c>
      <c r="E34" s="49" t="s">
        <v>298</v>
      </c>
      <c r="F34" s="49" t="s">
        <v>287</v>
      </c>
      <c r="G34" s="49" t="s">
        <v>288</v>
      </c>
      <c r="H34" s="1"/>
      <c r="I34" s="1"/>
      <c r="J34" s="1"/>
      <c r="K34" s="1"/>
      <c r="L34" s="1"/>
      <c r="M34" s="1"/>
      <c r="N34" s="1"/>
    </row>
    <row r="35" spans="1:14" x14ac:dyDescent="0.3">
      <c r="A35" s="21" t="s">
        <v>299</v>
      </c>
      <c r="B35" s="71">
        <f>'Income Statement'!F4</f>
        <v>750</v>
      </c>
      <c r="C35" s="72">
        <v>6.6</v>
      </c>
      <c r="D35" s="58">
        <f>B35*C35</f>
        <v>4950</v>
      </c>
      <c r="E35" s="68">
        <v>-55</v>
      </c>
      <c r="F35" s="69">
        <f>D35-E35</f>
        <v>5005</v>
      </c>
      <c r="G35" s="69">
        <f>F35/12.43</f>
        <v>402.6548672566372</v>
      </c>
      <c r="H35" s="1"/>
      <c r="I35" s="1"/>
      <c r="J35" s="1"/>
      <c r="K35" s="1"/>
      <c r="L35" s="1"/>
      <c r="M35" s="1"/>
      <c r="N35" s="1"/>
    </row>
    <row r="36" spans="1:14" x14ac:dyDescent="0.3">
      <c r="A36" s="21" t="s">
        <v>300</v>
      </c>
      <c r="B36" s="71">
        <f>'Income Statement'!F16</f>
        <v>337.5</v>
      </c>
      <c r="C36" s="72">
        <v>20</v>
      </c>
      <c r="D36" s="58">
        <f>B36*C36</f>
        <v>6750</v>
      </c>
      <c r="E36" s="68">
        <v>-55</v>
      </c>
      <c r="F36" s="69">
        <f>D36-E36</f>
        <v>6805</v>
      </c>
      <c r="G36" s="69">
        <f>F36/12.43</f>
        <v>547.46580852775548</v>
      </c>
      <c r="H36" s="1"/>
      <c r="I36" s="1"/>
      <c r="J36" s="1"/>
      <c r="K36" s="1"/>
      <c r="L36" s="1"/>
      <c r="M36" s="1"/>
      <c r="N36" s="1"/>
    </row>
    <row r="37" spans="1:14" x14ac:dyDescent="0.3">
      <c r="A37" s="21" t="s">
        <v>301</v>
      </c>
      <c r="B37" s="73">
        <f>'Income Statement'!F25</f>
        <v>220.5</v>
      </c>
      <c r="C37" s="72">
        <v>35</v>
      </c>
      <c r="D37" s="19" t="s">
        <v>292</v>
      </c>
      <c r="E37" s="19" t="s">
        <v>265</v>
      </c>
      <c r="F37" s="69">
        <f>B37*C37</f>
        <v>7717.5</v>
      </c>
      <c r="G37" s="69">
        <f>F37/12.43</f>
        <v>620.87691069991956</v>
      </c>
      <c r="H37" s="1"/>
      <c r="I37" s="1"/>
      <c r="J37" s="1"/>
      <c r="K37" s="1"/>
      <c r="L37" s="1"/>
      <c r="M37" s="1"/>
      <c r="N37" s="1"/>
    </row>
    <row r="38" spans="1:14" x14ac:dyDescent="0.3">
      <c r="A38" s="51" t="s">
        <v>302</v>
      </c>
      <c r="B38" s="52"/>
      <c r="C38" s="52"/>
      <c r="D38" s="52"/>
      <c r="E38" s="52"/>
      <c r="F38" s="70">
        <f>I5</f>
        <v>7663</v>
      </c>
      <c r="G38" s="70">
        <v>616</v>
      </c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8" t="s">
        <v>303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5" t="s">
        <v>34</v>
      </c>
      <c r="B42" s="5" t="s">
        <v>304</v>
      </c>
      <c r="C42" s="5" t="s">
        <v>305</v>
      </c>
      <c r="D42" s="5" t="s">
        <v>306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6" t="s">
        <v>307</v>
      </c>
      <c r="B43" s="6" t="s">
        <v>308</v>
      </c>
      <c r="C43" s="6" t="s">
        <v>309</v>
      </c>
      <c r="D43" s="6" t="s">
        <v>310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9" t="s">
        <v>49</v>
      </c>
      <c r="B44" s="19" t="s">
        <v>311</v>
      </c>
      <c r="C44" s="19" t="s">
        <v>312</v>
      </c>
      <c r="D44" s="19" t="s">
        <v>313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6" t="s">
        <v>102</v>
      </c>
      <c r="B45" s="6" t="s">
        <v>314</v>
      </c>
      <c r="C45" s="6" t="s">
        <v>315</v>
      </c>
      <c r="D45" s="6" t="s">
        <v>316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9" t="s">
        <v>228</v>
      </c>
      <c r="B46" s="19" t="s">
        <v>317</v>
      </c>
      <c r="C46" s="19" t="s">
        <v>318</v>
      </c>
      <c r="D46" s="19" t="s">
        <v>319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6" t="s">
        <v>320</v>
      </c>
      <c r="B47" s="6" t="s">
        <v>321</v>
      </c>
      <c r="C47" s="6" t="s">
        <v>322</v>
      </c>
      <c r="D47" s="6" t="s">
        <v>323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9" t="s">
        <v>324</v>
      </c>
      <c r="B48" s="19" t="s">
        <v>325</v>
      </c>
      <c r="C48" s="19" t="s">
        <v>326</v>
      </c>
      <c r="D48" s="19" t="s">
        <v>327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6" t="s">
        <v>328</v>
      </c>
      <c r="B49" s="6" t="s">
        <v>329</v>
      </c>
      <c r="C49" s="6" t="s">
        <v>330</v>
      </c>
      <c r="D49" s="6" t="s">
        <v>331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9" t="s">
        <v>332</v>
      </c>
      <c r="B50" s="19" t="s">
        <v>333</v>
      </c>
      <c r="C50" s="19" t="s">
        <v>334</v>
      </c>
      <c r="D50" s="19" t="s">
        <v>335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9"/>
      <c r="B51" s="19"/>
      <c r="C51" s="19"/>
      <c r="D51" s="19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8" t="s">
        <v>336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1: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5" t="s">
        <v>337</v>
      </c>
      <c r="B54" s="5" t="s">
        <v>338</v>
      </c>
      <c r="C54" s="5" t="s">
        <v>339</v>
      </c>
      <c r="D54" s="5" t="s">
        <v>340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6" t="s">
        <v>341</v>
      </c>
      <c r="B55" s="55">
        <f t="shared" ref="B55:C57" si="0">F27</f>
        <v>3166.0927881181201</v>
      </c>
      <c r="C55" s="55">
        <f t="shared" si="0"/>
        <v>254.71382044393565</v>
      </c>
      <c r="D55" s="56">
        <f t="shared" ref="D55:D60" si="1">C55/616-1</f>
        <v>-0.58650353824036427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9" t="s">
        <v>342</v>
      </c>
      <c r="B56" s="58">
        <f t="shared" si="0"/>
        <v>4025.5623081645181</v>
      </c>
      <c r="C56" s="58">
        <f t="shared" si="0"/>
        <v>323.8585927726885</v>
      </c>
      <c r="D56" s="57">
        <f t="shared" si="1"/>
        <v>-0.47425553121316799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6" t="s">
        <v>343</v>
      </c>
      <c r="B57" s="55">
        <f t="shared" si="0"/>
        <v>3236.110135033382</v>
      </c>
      <c r="C57" s="55">
        <f t="shared" si="0"/>
        <v>260.34675261732758</v>
      </c>
      <c r="D57" s="56">
        <f t="shared" si="1"/>
        <v>-0.57735916782901364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9" t="s">
        <v>344</v>
      </c>
      <c r="B58" s="58">
        <f t="shared" ref="B58:C60" si="2">F35</f>
        <v>5005</v>
      </c>
      <c r="C58" s="58">
        <f t="shared" si="2"/>
        <v>402.6548672566372</v>
      </c>
      <c r="D58" s="57">
        <f t="shared" si="1"/>
        <v>-0.34633950120675783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6" t="s">
        <v>345</v>
      </c>
      <c r="B59" s="55">
        <f t="shared" si="2"/>
        <v>6805</v>
      </c>
      <c r="C59" s="55">
        <f t="shared" si="2"/>
        <v>547.46580852775548</v>
      </c>
      <c r="D59" s="56">
        <f t="shared" si="1"/>
        <v>-0.11125680433805929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9" t="s">
        <v>346</v>
      </c>
      <c r="B60" s="58">
        <f t="shared" si="2"/>
        <v>7717.5</v>
      </c>
      <c r="C60" s="58">
        <f t="shared" si="2"/>
        <v>620.87691069991956</v>
      </c>
      <c r="D60" s="57">
        <f t="shared" si="1"/>
        <v>7.9170628245448516E-3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s="21" t="s">
        <v>347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x14ac:dyDescent="0.3">
      <c r="A63" s="19" t="s">
        <v>348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x14ac:dyDescent="0.3">
      <c r="A64" s="19" t="s">
        <v>349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x14ac:dyDescent="0.3">
      <c r="A65" s="19" t="s">
        <v>350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x14ac:dyDescent="0.3">
      <c r="A66" s="19" t="s">
        <v>351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x14ac:dyDescent="0.3">
      <c r="A67" s="19" t="s">
        <v>352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x14ac:dyDescent="0.3">
      <c r="A68" s="19" t="s">
        <v>353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x14ac:dyDescent="0.3">
      <c r="A69" s="19" t="s">
        <v>354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x14ac:dyDescent="0.3">
      <c r="A70" s="19" t="s">
        <v>355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Mgmt Walk the Talk</vt:lpstr>
      <vt:lpstr>Income Statement</vt:lpstr>
      <vt:lpstr>Balance Sheet</vt:lpstr>
      <vt:lpstr>Cash Flow</vt:lpstr>
      <vt:lpstr>Key Metrics</vt:lpstr>
      <vt:lpstr>DCF Valuation</vt:lpstr>
      <vt:lpstr>Comps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Vijay</dc:creator>
  <cp:lastModifiedBy>Harsh Vijay</cp:lastModifiedBy>
  <dcterms:created xsi:type="dcterms:W3CDTF">2026-02-18T08:46:18Z</dcterms:created>
  <dcterms:modified xsi:type="dcterms:W3CDTF">2026-03-15T17:09:11Z</dcterms:modified>
</cp:coreProperties>
</file>