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come Statement" sheetId="5" r:id="rId1"/>
    <sheet name="Balance Sheet" sheetId="1" r:id="rId2"/>
    <sheet name="Loan Growth" sheetId="9" r:id="rId3"/>
    <sheet name="Net Income" sheetId="8" r:id="rId4"/>
    <sheet name="Costs Incurred" sheetId="4" r:id="rId5"/>
    <sheet name="Current Loans and NPA-COVID" sheetId="2" r:id="rId6"/>
  </sheets>
  <calcPr calcId="124519" iterate="1" iterateCount="1000"/>
</workbook>
</file>

<file path=xl/calcChain.xml><?xml version="1.0" encoding="utf-8"?>
<calcChain xmlns="http://schemas.openxmlformats.org/spreadsheetml/2006/main">
  <c r="D19" i="2"/>
  <c r="G24" i="4"/>
  <c r="F24"/>
  <c r="E24"/>
  <c r="D24"/>
  <c r="D26"/>
  <c r="E26" s="1"/>
  <c r="F26" s="1"/>
  <c r="G26" s="1"/>
  <c r="E25"/>
  <c r="F25" s="1"/>
  <c r="G25" s="1"/>
  <c r="D25"/>
  <c r="G23"/>
  <c r="F23"/>
  <c r="E23"/>
  <c r="D23"/>
  <c r="D22"/>
  <c r="E22" s="1"/>
  <c r="F22" s="1"/>
  <c r="G22" s="1"/>
  <c r="D21"/>
  <c r="E21" s="1"/>
  <c r="F21" s="1"/>
  <c r="G21" s="1"/>
  <c r="G20"/>
  <c r="F20"/>
  <c r="E20"/>
  <c r="D20"/>
  <c r="G18"/>
  <c r="F18"/>
  <c r="E18"/>
  <c r="D18"/>
  <c r="G17"/>
  <c r="F17"/>
  <c r="E17"/>
  <c r="D17"/>
  <c r="G16"/>
  <c r="F16"/>
  <c r="E16"/>
  <c r="D16"/>
  <c r="C6" i="1"/>
  <c r="D6" s="1"/>
  <c r="E6" s="1"/>
  <c r="F6" s="1"/>
  <c r="B12"/>
  <c r="F14"/>
  <c r="E14"/>
  <c r="D14"/>
  <c r="C14"/>
  <c r="C13"/>
  <c r="B10"/>
  <c r="B18"/>
  <c r="C7"/>
  <c r="D7" s="1"/>
  <c r="E7" s="1"/>
  <c r="F7" s="1"/>
  <c r="E23" i="5"/>
  <c r="F23"/>
  <c r="B21"/>
  <c r="F17"/>
  <c r="E17"/>
  <c r="D17"/>
  <c r="C17"/>
  <c r="B17"/>
  <c r="B6"/>
  <c r="B19" s="1"/>
  <c r="D17" i="8"/>
  <c r="D12"/>
  <c r="B2" i="5" s="1"/>
  <c r="B15" s="1"/>
  <c r="F15" i="8"/>
  <c r="G15" s="1"/>
  <c r="H15" s="1"/>
  <c r="H17" s="1"/>
  <c r="E15"/>
  <c r="E17" s="1"/>
  <c r="D19" i="9"/>
  <c r="E12" i="8" s="1"/>
  <c r="C2" i="5" s="1"/>
  <c r="C15" s="1"/>
  <c r="G19" i="4"/>
  <c r="F19"/>
  <c r="E19"/>
  <c r="D19"/>
  <c r="C19"/>
  <c r="C28" s="1"/>
  <c r="J9"/>
  <c r="J8"/>
  <c r="J7"/>
  <c r="D12"/>
  <c r="E12" s="1"/>
  <c r="F12" s="1"/>
  <c r="G12" s="1"/>
  <c r="E17" i="9"/>
  <c r="F17" s="1"/>
  <c r="G17" s="1"/>
  <c r="E16"/>
  <c r="F16" s="1"/>
  <c r="G16" s="1"/>
  <c r="F13" i="1" s="1"/>
  <c r="C9" i="2"/>
  <c r="F9" s="1"/>
  <c r="E35"/>
  <c r="C6" s="1"/>
  <c r="F6" s="1"/>
  <c r="D35"/>
  <c r="D36" s="1"/>
  <c r="G17" i="8" l="1"/>
  <c r="F17"/>
  <c r="C12" i="1"/>
  <c r="C18"/>
  <c r="F18"/>
  <c r="F12"/>
  <c r="E13"/>
  <c r="D13"/>
  <c r="E36" i="2"/>
  <c r="C11" s="1"/>
  <c r="F11" s="1"/>
  <c r="C8"/>
  <c r="F8" s="1"/>
  <c r="C7"/>
  <c r="F7" s="1"/>
  <c r="C12"/>
  <c r="F12" s="1"/>
  <c r="B3" i="5"/>
  <c r="C3"/>
  <c r="G19" i="9"/>
  <c r="E19"/>
  <c r="F19"/>
  <c r="E28" i="4"/>
  <c r="D6" i="5" s="1"/>
  <c r="D28" i="4"/>
  <c r="C6" i="5" s="1"/>
  <c r="C19" s="1"/>
  <c r="G12" i="8" l="1"/>
  <c r="D21" i="2"/>
  <c r="H12" i="8"/>
  <c r="D22" i="2"/>
  <c r="E18" i="1"/>
  <c r="E12"/>
  <c r="F12" i="8"/>
  <c r="D20" i="2"/>
  <c r="D18" i="1"/>
  <c r="D12"/>
  <c r="B5" i="5"/>
  <c r="B16"/>
  <c r="D19"/>
  <c r="C5"/>
  <c r="C16"/>
  <c r="C10" i="2"/>
  <c r="F10" s="1"/>
  <c r="F15" s="1"/>
  <c r="C19" s="1"/>
  <c r="C14"/>
  <c r="F14" s="1"/>
  <c r="C13"/>
  <c r="F13" s="1"/>
  <c r="G28" i="4"/>
  <c r="F6" i="5" s="1"/>
  <c r="F28" i="4"/>
  <c r="E6" i="5" s="1"/>
  <c r="E3" l="1"/>
  <c r="E16" s="1"/>
  <c r="E2"/>
  <c r="D3"/>
  <c r="D16" s="1"/>
  <c r="D2"/>
  <c r="F3"/>
  <c r="F16" s="1"/>
  <c r="F2"/>
  <c r="F19"/>
  <c r="B7"/>
  <c r="B18"/>
  <c r="E19"/>
  <c r="C7"/>
  <c r="C18"/>
  <c r="E22" i="2"/>
  <c r="F8" i="5" s="1"/>
  <c r="F21" s="1"/>
  <c r="E19" i="2"/>
  <c r="C8" i="5" s="1"/>
  <c r="C21" s="1"/>
  <c r="C20" i="2"/>
  <c r="E20" s="1"/>
  <c r="D8" i="5" s="1"/>
  <c r="D21" s="1"/>
  <c r="E21" i="2"/>
  <c r="E8" i="5" s="1"/>
  <c r="E21" s="1"/>
  <c r="F15" l="1"/>
  <c r="F5"/>
  <c r="E15"/>
  <c r="E5"/>
  <c r="D15"/>
  <c r="D5"/>
  <c r="C20"/>
  <c r="C9"/>
  <c r="B20"/>
  <c r="B9"/>
  <c r="D18" l="1"/>
  <c r="D7"/>
  <c r="F18"/>
  <c r="F7"/>
  <c r="E18"/>
  <c r="E7"/>
  <c r="B10"/>
  <c r="B23" s="1"/>
  <c r="B22"/>
  <c r="C10"/>
  <c r="C23" s="1"/>
  <c r="C22"/>
  <c r="E9" l="1"/>
  <c r="E20"/>
  <c r="D9"/>
  <c r="D20"/>
  <c r="F9"/>
  <c r="F20"/>
  <c r="B11"/>
  <c r="B24" s="1"/>
  <c r="C11"/>
  <c r="C24" s="1"/>
  <c r="C27" s="1"/>
  <c r="F11" l="1"/>
  <c r="F24" s="1"/>
  <c r="F22"/>
  <c r="E11"/>
  <c r="E24" s="1"/>
  <c r="E22"/>
  <c r="D22"/>
  <c r="D10"/>
  <c r="C4" i="1"/>
  <c r="C8" s="1"/>
  <c r="C10" s="1"/>
  <c r="D23" i="5" l="1"/>
  <c r="D11"/>
  <c r="D24" s="1"/>
  <c r="D27" s="1"/>
  <c r="D4" i="1" s="1"/>
  <c r="D8" s="1"/>
  <c r="D10" s="1"/>
  <c r="E27" i="5" l="1"/>
  <c r="E4" i="1" s="1"/>
  <c r="E8" s="1"/>
  <c r="E10" s="1"/>
  <c r="F27" i="5" l="1"/>
  <c r="F4" i="1" s="1"/>
  <c r="F8" s="1"/>
  <c r="F10" s="1"/>
</calcChain>
</file>

<file path=xl/sharedStrings.xml><?xml version="1.0" encoding="utf-8"?>
<sst xmlns="http://schemas.openxmlformats.org/spreadsheetml/2006/main" count="215" uniqueCount="160">
  <si>
    <t>Stressed Pool</t>
  </si>
  <si>
    <t>Loan Breakup:</t>
  </si>
  <si>
    <t>Using RBI's Financial Stability Report Baseline Increase in GNPA Modelled and If Sector is More Affected then GNPA to be higher</t>
  </si>
  <si>
    <t>Rationale</t>
  </si>
  <si>
    <t>FY 21</t>
  </si>
  <si>
    <t>FY 22</t>
  </si>
  <si>
    <t>FY 23</t>
  </si>
  <si>
    <t>Mortgage Loans</t>
  </si>
  <si>
    <t>Consumer Loans</t>
  </si>
  <si>
    <t>MSME Loans</t>
  </si>
  <si>
    <t>Rural Micro Finance</t>
  </si>
  <si>
    <t>Emerging Large Corporates</t>
  </si>
  <si>
    <t>Large Corporates</t>
  </si>
  <si>
    <t>Financial Institutions</t>
  </si>
  <si>
    <t>Infrastructure</t>
  </si>
  <si>
    <t>Others</t>
  </si>
  <si>
    <t>Type</t>
  </si>
  <si>
    <t>Quantum</t>
  </si>
  <si>
    <t>Expected GNPA</t>
  </si>
  <si>
    <t>LGD</t>
  </si>
  <si>
    <t>RBI Projection of GNPA movement- July 2020 Financial Stability Report</t>
  </si>
  <si>
    <t>GNPA Model</t>
  </si>
  <si>
    <t>Erstwhile Capital First has had a very stable GNPA and NNPA profile over a very seasoned portfolio</t>
  </si>
  <si>
    <t>PVBs=</t>
  </si>
  <si>
    <t>Private Sector Banks</t>
  </si>
  <si>
    <t>Overall PVB GNPA=</t>
  </si>
  <si>
    <t>Retail Portfolio of CF/IDFC First Bank=</t>
  </si>
  <si>
    <t>Overall GNPA</t>
  </si>
  <si>
    <t>Retail Portfolio GNPA</t>
  </si>
  <si>
    <t>BaseCase</t>
  </si>
  <si>
    <t>Overall PVB</t>
  </si>
  <si>
    <t>WholeSale Portfolio=</t>
  </si>
  <si>
    <t>Expected GDP Growth Rate for India</t>
  </si>
  <si>
    <t>FY21=</t>
  </si>
  <si>
    <t>FY22=</t>
  </si>
  <si>
    <t>FY23=</t>
  </si>
  <si>
    <t>FY24=</t>
  </si>
  <si>
    <t>( Average of Projections by IMF and other Investment Banks)</t>
  </si>
  <si>
    <t>Bank Advances Growth Rate</t>
  </si>
  <si>
    <t>( Management has guided that they expect this to be a lost year for Loan Growth)</t>
  </si>
  <si>
    <t>1) Private Sector Banks Consistently Taking Market Share Away From PSU Banks</t>
  </si>
  <si>
    <t>2) IDFC First's CRAR at 15% gives ample room for Growing the Loan Book unless there is a large hit to the Equity Value</t>
  </si>
  <si>
    <t>3) PSU Banks will not be in a position to lend much given their already high Stressed Loan Book</t>
  </si>
  <si>
    <t>Higher than Overall Banking Growth Modelled Due to:</t>
  </si>
  <si>
    <t>Retail Portfolio</t>
  </si>
  <si>
    <t>Major Costs Incurred by the Bank fall under the following Headers:</t>
  </si>
  <si>
    <t>Credit Quality Deterioration in the Retail Loanbook are Expected to be less severe than what the RBI expects for the overall Private Sector Banks</t>
  </si>
  <si>
    <t>(Collateralized Loans)</t>
  </si>
  <si>
    <t>(No collateral)</t>
  </si>
  <si>
    <t>Provisions for Current Book</t>
  </si>
  <si>
    <t>Total=</t>
  </si>
  <si>
    <t>Note: Expected Calculated taking both Base and Bear Case to have 50% Probability</t>
  </si>
  <si>
    <t>Loan Portfolio:</t>
  </si>
  <si>
    <t>Retail</t>
  </si>
  <si>
    <t>WholeSale</t>
  </si>
  <si>
    <t>(Recovering Economy and hit to Capital Adequcy to Lead to Tepid Loan Growth)</t>
  </si>
  <si>
    <t>Assuming the Wholesale Portfolio will rundown by 15% per year. It has been reduced by 30% over the last year but that might not be sustainable)</t>
  </si>
  <si>
    <t>No of Employees=</t>
  </si>
  <si>
    <t>(Annual Report)</t>
  </si>
  <si>
    <t>Assuming Wage Increase to be Constant at 10% for coming years</t>
  </si>
  <si>
    <t>Growth in No of Employees=</t>
  </si>
  <si>
    <t>(Assumed to be so due to the growing stage of the bank)</t>
  </si>
  <si>
    <t>Salary Costs=</t>
  </si>
  <si>
    <t>FY21</t>
  </si>
  <si>
    <t>FY22</t>
  </si>
  <si>
    <t>FY23</t>
  </si>
  <si>
    <t>FY24</t>
  </si>
  <si>
    <t>(Will Assume similiar Wage Inflation Going Ahead)</t>
  </si>
  <si>
    <t>2) Other Expenditures(Schedule 16 and 18.1 in AR)</t>
  </si>
  <si>
    <t>1) Employee Costs(Schdule 16)</t>
  </si>
  <si>
    <t>Employee Cost=</t>
  </si>
  <si>
    <t>Rent,Lighting</t>
  </si>
  <si>
    <t>Stationary</t>
  </si>
  <si>
    <t>Advertisement</t>
  </si>
  <si>
    <t>Depreciation</t>
  </si>
  <si>
    <t>Director's Fees</t>
  </si>
  <si>
    <t>Auditor's Fees</t>
  </si>
  <si>
    <t>Law Charges</t>
  </si>
  <si>
    <t>Postage,Telegrams and Telephones</t>
  </si>
  <si>
    <t>Repairs</t>
  </si>
  <si>
    <t>Insurance</t>
  </si>
  <si>
    <t>Other</t>
  </si>
  <si>
    <t>FY19</t>
  </si>
  <si>
    <t>FY20</t>
  </si>
  <si>
    <t>Assumption:</t>
  </si>
  <si>
    <t>Employee Cost</t>
  </si>
  <si>
    <t>Depreciation- Modelled After Schedule 10</t>
  </si>
  <si>
    <t>Heightened Repairs due to Merger- Will take Base as FY19</t>
  </si>
  <si>
    <t>Depreciation Charge:</t>
  </si>
  <si>
    <t>(Assuming 10% Increase)</t>
  </si>
  <si>
    <t>Income</t>
  </si>
  <si>
    <t>Basic Sources of Revenue for the Bank are:</t>
  </si>
  <si>
    <t>1) Interest Income</t>
  </si>
  <si>
    <t>2) Other Income(Fees,Trade Channel etc)</t>
  </si>
  <si>
    <t>3) Treasury Gain/Loss</t>
  </si>
  <si>
    <t>4) Sale of Securities Held</t>
  </si>
  <si>
    <t>For Interest Income:</t>
  </si>
  <si>
    <t>Net Interest Margin=</t>
  </si>
  <si>
    <t>(Management Has Guided for 5-5.5% NIMs over the medium term and has already reached NIM of 4.53% in Q1-21)</t>
  </si>
  <si>
    <t>Net Income=</t>
  </si>
  <si>
    <t xml:space="preserve">Total </t>
  </si>
  <si>
    <t>OTHER(PSL Buyout etc)</t>
  </si>
  <si>
    <t>Other Income</t>
  </si>
  <si>
    <t>Other Income=</t>
  </si>
  <si>
    <t>( Schedule 14- in AR)- Taking Only the Commission,Exchange and Brokerage Income, Assuming other MTM gains=0</t>
  </si>
  <si>
    <t>(Assuming Other Income to grow at 15%- Since the Bank is expanding on branch network Pan India to improve Services for Businesses and also getting involved with Consumer Lending etc which have good fees)</t>
  </si>
  <si>
    <t>Net Interest Income</t>
  </si>
  <si>
    <t>Trading Gains</t>
  </si>
  <si>
    <t>Operating Income</t>
  </si>
  <si>
    <t>Operating Expense</t>
  </si>
  <si>
    <t>PreProvisioning Profit</t>
  </si>
  <si>
    <t>Provisions</t>
  </si>
  <si>
    <t>PBT</t>
  </si>
  <si>
    <t>Tax</t>
  </si>
  <si>
    <t>Profit After Tax</t>
  </si>
  <si>
    <t>Income from Investments=</t>
  </si>
  <si>
    <t>Total Other Income=</t>
  </si>
  <si>
    <t>(Assuming Trading Gains/Losses will Even Out)</t>
  </si>
  <si>
    <t>(Income from Invesments in Mainly Government Securities)</t>
  </si>
  <si>
    <t>FY 24</t>
  </si>
  <si>
    <t>(FIGURES IN CRORES)</t>
  </si>
  <si>
    <t>COVID Losses</t>
  </si>
  <si>
    <t>Very Severe Case</t>
  </si>
  <si>
    <t>(Deferred Tax Assets are there)</t>
  </si>
  <si>
    <t>ShareHolder's Equity=</t>
  </si>
  <si>
    <t>Capital Raise</t>
  </si>
  <si>
    <t>Balance Sheet</t>
  </si>
  <si>
    <t>Shareholder's Funds</t>
  </si>
  <si>
    <t>Deposits-</t>
  </si>
  <si>
    <t>Wholesale</t>
  </si>
  <si>
    <t>Borrowings</t>
  </si>
  <si>
    <t>Other Provisions</t>
  </si>
  <si>
    <t>Total Liabilities</t>
  </si>
  <si>
    <t>Cash with RBI</t>
  </si>
  <si>
    <t>Net Funded Assets-</t>
  </si>
  <si>
    <t>Retail Assets</t>
  </si>
  <si>
    <t>Wholsesale Assets</t>
  </si>
  <si>
    <t>Investments</t>
  </si>
  <si>
    <t>Fixed Assets</t>
  </si>
  <si>
    <t>Other Assets</t>
  </si>
  <si>
    <t>As per Strategy Management will degrow the Wholesale Deposits</t>
  </si>
  <si>
    <t>Total Assets</t>
  </si>
  <si>
    <t>Assuming Retail Deposits Growing at 30%- Very High rate of Interest Provided by IDFC First</t>
  </si>
  <si>
    <t>Normalised Provisions</t>
  </si>
  <si>
    <t>These have been taken to Make the Model Conservative and to account for Ongoing Business Credit Losses</t>
  </si>
  <si>
    <t>No Growth Assumed Till FY21</t>
  </si>
  <si>
    <t>Wage Inflation for Current Year=</t>
  </si>
  <si>
    <t>All Expenses to go up by 7% Annually Other than:</t>
  </si>
  <si>
    <t>Assumed as 2% of Loan Book</t>
  </si>
  <si>
    <t>These are in line with Provisions done by Capital First in the last 2 years of existence.</t>
  </si>
  <si>
    <t>Income Statement</t>
  </si>
  <si>
    <t>Out of the Bank's Legacy Watchilist Provisions for 50% of the exposure have been done. I expect this to be suffcient</t>
  </si>
  <si>
    <t>Deferred Tax Assets- Hence no Tax Outlay when in Profit</t>
  </si>
  <si>
    <t>In Crore</t>
  </si>
  <si>
    <t>Historical Figures before FY20 are not Comparable</t>
  </si>
  <si>
    <t>Covid Provisioning %</t>
  </si>
  <si>
    <t>Provisioning for the Loan Losses to be as follows( Most Covid Losses to be front loaded while Some part of the Book's Stress will reflect later)</t>
  </si>
  <si>
    <t>Normal Provisions(See A76 for Details)</t>
  </si>
  <si>
    <t>Yet we will assume it to be equal to the PVB GNPA for conservatism and since Retail Loans are expected to be heavily affected</t>
  </si>
  <si>
    <t>Due to Covid Stress Expected GNPA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</si>
</sst>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3" fillId="0" borderId="0" xfId="0" applyFont="1"/>
    <xf numFmtId="10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8" xfId="0" applyFill="1" applyBorder="1"/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2" fontId="0" fillId="2" borderId="1" xfId="0" applyNumberFormat="1" applyFill="1" applyBorder="1"/>
    <xf numFmtId="0" fontId="1" fillId="0" borderId="1" xfId="0" applyFont="1" applyBorder="1"/>
    <xf numFmtId="10" fontId="0" fillId="0" borderId="1" xfId="0" applyNumberFormat="1" applyBorder="1"/>
    <xf numFmtId="10" fontId="0" fillId="2" borderId="1" xfId="0" applyNumberFormat="1" applyFill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228599</xdr:colOff>
      <xdr:row>1</xdr:row>
      <xdr:rowOff>49160</xdr:rowOff>
    </xdr:from>
    <xdr:to>
      <xdr:col>19</xdr:col>
      <xdr:colOff>542924</xdr:colOff>
      <xdr:row>17</xdr:row>
      <xdr:rowOff>166169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799" y="239660"/>
          <a:ext cx="4848225" cy="32126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571500</xdr:colOff>
      <xdr:row>21</xdr:row>
      <xdr:rowOff>19050</xdr:rowOff>
    </xdr:from>
    <xdr:to>
      <xdr:col>16</xdr:col>
      <xdr:colOff>28575</xdr:colOff>
      <xdr:row>45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24975" y="4114800"/>
          <a:ext cx="4943475" cy="466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36</xdr:row>
      <xdr:rowOff>85725</xdr:rowOff>
    </xdr:from>
    <xdr:to>
      <xdr:col>4</xdr:col>
      <xdr:colOff>314325</xdr:colOff>
      <xdr:row>53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6619875"/>
          <a:ext cx="6524625" cy="3305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55</xdr:row>
      <xdr:rowOff>104775</xdr:rowOff>
    </xdr:from>
    <xdr:to>
      <xdr:col>4</xdr:col>
      <xdr:colOff>238125</xdr:colOff>
      <xdr:row>73</xdr:row>
      <xdr:rowOff>104775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0258425"/>
          <a:ext cx="6448425" cy="3429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55</xdr:row>
      <xdr:rowOff>50517</xdr:rowOff>
    </xdr:from>
    <xdr:to>
      <xdr:col>16</xdr:col>
      <xdr:colOff>314325</xdr:colOff>
      <xdr:row>68</xdr:row>
      <xdr:rowOff>85725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782050" y="10642317"/>
          <a:ext cx="5772150" cy="25117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2" workbookViewId="0">
      <selection activeCell="H14" sqref="H14"/>
    </sheetView>
  </sheetViews>
  <sheetFormatPr defaultRowHeight="15"/>
  <cols>
    <col min="1" max="1" width="23" bestFit="1" customWidth="1"/>
    <col min="2" max="2" width="16.5703125" bestFit="1" customWidth="1"/>
    <col min="3" max="6" width="16.85546875" bestFit="1" customWidth="1"/>
  </cols>
  <sheetData>
    <row r="1" spans="1:8" hidden="1">
      <c r="B1" t="s">
        <v>83</v>
      </c>
      <c r="C1" t="s">
        <v>63</v>
      </c>
      <c r="D1" t="s">
        <v>64</v>
      </c>
      <c r="E1" t="s">
        <v>65</v>
      </c>
      <c r="F1" t="s">
        <v>66</v>
      </c>
    </row>
    <row r="2" spans="1:8" ht="15.75" hidden="1">
      <c r="A2" s="4" t="s">
        <v>106</v>
      </c>
      <c r="B2" s="7">
        <f>'Net Income'!D12</f>
        <v>45369696000</v>
      </c>
      <c r="C2" s="7">
        <f>'Net Income'!E12</f>
        <v>49423750000</v>
      </c>
      <c r="D2" s="7">
        <f>'Net Income'!F12</f>
        <v>54784700000</v>
      </c>
      <c r="E2" s="7">
        <f>'Net Income'!G12</f>
        <v>63811902000</v>
      </c>
      <c r="F2" s="7">
        <f>'Net Income'!H12</f>
        <v>78460460650</v>
      </c>
    </row>
    <row r="3" spans="1:8" ht="15.75" hidden="1">
      <c r="A3" s="4" t="s">
        <v>102</v>
      </c>
      <c r="B3" s="7">
        <f>'Net Income'!D17</f>
        <v>24201187000</v>
      </c>
      <c r="C3" s="7">
        <f>'Net Income'!E17</f>
        <v>26331365050</v>
      </c>
      <c r="D3" s="7">
        <f>'Net Income'!F17</f>
        <v>28781069807.499996</v>
      </c>
      <c r="E3" s="7">
        <f>'Net Income'!G17</f>
        <v>31598230278.624992</v>
      </c>
      <c r="F3" s="7">
        <f>'Net Income'!H17</f>
        <v>34837964820.418739</v>
      </c>
    </row>
    <row r="4" spans="1:8" ht="15.75" hidden="1">
      <c r="A4" s="4" t="s">
        <v>107</v>
      </c>
      <c r="B4">
        <v>0</v>
      </c>
      <c r="C4">
        <v>0</v>
      </c>
      <c r="D4">
        <v>0</v>
      </c>
      <c r="E4">
        <v>0</v>
      </c>
      <c r="F4">
        <v>0</v>
      </c>
      <c r="H4" t="s">
        <v>117</v>
      </c>
    </row>
    <row r="5" spans="1:8" ht="15.75" hidden="1">
      <c r="A5" s="4" t="s">
        <v>108</v>
      </c>
      <c r="B5" s="7">
        <f>SUM(B2:B4)</f>
        <v>69570883000</v>
      </c>
      <c r="C5" s="7">
        <f t="shared" ref="C5:F5" si="0">SUM(C2:C4)</f>
        <v>75755115050</v>
      </c>
      <c r="D5" s="7">
        <f t="shared" si="0"/>
        <v>83565769807.5</v>
      </c>
      <c r="E5" s="7">
        <f t="shared" si="0"/>
        <v>95410132278.625</v>
      </c>
      <c r="F5" s="7">
        <f t="shared" si="0"/>
        <v>113298425470.41873</v>
      </c>
    </row>
    <row r="6" spans="1:8" ht="15.75" hidden="1">
      <c r="A6" s="4" t="s">
        <v>109</v>
      </c>
      <c r="B6" s="7">
        <f>'Costs Incurred'!C28</f>
        <v>54207326000</v>
      </c>
      <c r="C6" s="7">
        <f>'Costs Incurred'!D28</f>
        <v>57327413980</v>
      </c>
      <c r="D6" s="7">
        <f>'Costs Incurred'!E28</f>
        <v>62496994664.480011</v>
      </c>
      <c r="E6" s="7">
        <f>'Costs Incurred'!F28</f>
        <v>68180011575.927536</v>
      </c>
      <c r="F6" s="7">
        <f>'Costs Incurred'!G28</f>
        <v>74432372328.870132</v>
      </c>
    </row>
    <row r="7" spans="1:8" ht="15.75" hidden="1">
      <c r="A7" s="4" t="s">
        <v>110</v>
      </c>
      <c r="B7" s="7">
        <f>B5-B6</f>
        <v>15363557000</v>
      </c>
      <c r="C7" s="7">
        <f t="shared" ref="C7:F7" si="1">C5-C6</f>
        <v>18427701070</v>
      </c>
      <c r="D7" s="7">
        <f t="shared" si="1"/>
        <v>21068775143.019989</v>
      </c>
      <c r="E7" s="7">
        <f t="shared" si="1"/>
        <v>27230120702.697464</v>
      </c>
      <c r="F7" s="7">
        <f t="shared" si="1"/>
        <v>38866053141.548599</v>
      </c>
    </row>
    <row r="8" spans="1:8" ht="15.75" hidden="1">
      <c r="A8" s="4" t="s">
        <v>111</v>
      </c>
      <c r="B8">
        <v>48000000000</v>
      </c>
      <c r="C8">
        <f>'Current Loans and NPA-COVID'!E19*10000000</f>
        <v>38278119999.999992</v>
      </c>
      <c r="D8">
        <f>'Current Loans and NPA-COVID'!E20*10000000</f>
        <v>25726449999.999996</v>
      </c>
      <c r="E8">
        <f>'Current Loans and NPA-COVID'!E21*10000000</f>
        <v>24309296000</v>
      </c>
      <c r="F8">
        <f>'Current Loans and NPA-COVID'!E22*10000000</f>
        <v>28531076600</v>
      </c>
    </row>
    <row r="9" spans="1:8" ht="15.75" hidden="1">
      <c r="A9" s="4" t="s">
        <v>112</v>
      </c>
      <c r="B9" s="7">
        <f>B7-B8</f>
        <v>-32636443000</v>
      </c>
      <c r="C9" s="7">
        <f t="shared" ref="C9:F9" si="2">C7-C8</f>
        <v>-19850418929.999992</v>
      </c>
      <c r="D9" s="7">
        <f t="shared" si="2"/>
        <v>-4657674856.9800072</v>
      </c>
      <c r="E9" s="7">
        <f t="shared" si="2"/>
        <v>2920824702.697464</v>
      </c>
      <c r="F9" s="7">
        <f t="shared" si="2"/>
        <v>10334976541.548599</v>
      </c>
    </row>
    <row r="10" spans="1:8" ht="15.75" hidden="1">
      <c r="A10" s="4" t="s">
        <v>113</v>
      </c>
      <c r="B10">
        <f>0.25*B9</f>
        <v>-8159110750</v>
      </c>
      <c r="C10">
        <f t="shared" ref="C10:D10" si="3">0.25*C9</f>
        <v>-4962604732.4999981</v>
      </c>
      <c r="D10">
        <f t="shared" si="3"/>
        <v>-1164418714.2450018</v>
      </c>
      <c r="E10">
        <v>0</v>
      </c>
      <c r="F10">
        <v>0</v>
      </c>
      <c r="H10" t="s">
        <v>123</v>
      </c>
    </row>
    <row r="11" spans="1:8" ht="15.75" hidden="1">
      <c r="A11" s="4" t="s">
        <v>114</v>
      </c>
      <c r="B11" s="7">
        <f>SUM(B9-B10)</f>
        <v>-24477332250</v>
      </c>
      <c r="C11" s="7">
        <f t="shared" ref="C11:F11" si="4">SUM(C9-C10)</f>
        <v>-14887814197.499994</v>
      </c>
      <c r="D11" s="7">
        <f t="shared" si="4"/>
        <v>-3493256142.7350054</v>
      </c>
      <c r="E11" s="7">
        <f t="shared" si="4"/>
        <v>2920824702.697464</v>
      </c>
      <c r="F11" s="7">
        <f t="shared" si="4"/>
        <v>10334976541.548599</v>
      </c>
    </row>
    <row r="12" spans="1:8" ht="15.75" thickBot="1"/>
    <row r="13" spans="1:8" ht="21.75" thickBot="1">
      <c r="A13" s="22"/>
      <c r="B13" s="24"/>
      <c r="C13" s="23" t="s">
        <v>150</v>
      </c>
      <c r="D13" s="23"/>
      <c r="E13" s="24"/>
      <c r="F13" s="25"/>
      <c r="H13" t="s">
        <v>154</v>
      </c>
    </row>
    <row r="14" spans="1:8" ht="15.75">
      <c r="A14" s="14"/>
      <c r="B14" s="21" t="s">
        <v>83</v>
      </c>
      <c r="C14" s="21" t="s">
        <v>63</v>
      </c>
      <c r="D14" s="21" t="s">
        <v>64</v>
      </c>
      <c r="E14" s="21" t="s">
        <v>65</v>
      </c>
      <c r="F14" s="21" t="s">
        <v>66</v>
      </c>
    </row>
    <row r="15" spans="1:8" ht="15.75">
      <c r="A15" s="11" t="s">
        <v>106</v>
      </c>
      <c r="B15" s="10">
        <f>B2/10000000</f>
        <v>4536.9696000000004</v>
      </c>
      <c r="C15" s="10">
        <f t="shared" ref="C15:F15" si="5">C2/10000000</f>
        <v>4942.375</v>
      </c>
      <c r="D15" s="10">
        <f t="shared" si="5"/>
        <v>5478.47</v>
      </c>
      <c r="E15" s="10">
        <f t="shared" si="5"/>
        <v>6381.1902</v>
      </c>
      <c r="F15" s="10">
        <f t="shared" si="5"/>
        <v>7846.0460650000005</v>
      </c>
    </row>
    <row r="16" spans="1:8" ht="15.75">
      <c r="A16" s="11" t="s">
        <v>102</v>
      </c>
      <c r="B16" s="10">
        <f t="shared" ref="B16:F16" si="6">B3/10000000</f>
        <v>2420.1187</v>
      </c>
      <c r="C16" s="10">
        <f t="shared" si="6"/>
        <v>2633.1365049999999</v>
      </c>
      <c r="D16" s="10">
        <f t="shared" si="6"/>
        <v>2878.1069807499998</v>
      </c>
      <c r="E16" s="10">
        <f t="shared" si="6"/>
        <v>3159.8230278624992</v>
      </c>
      <c r="F16" s="10">
        <f t="shared" si="6"/>
        <v>3483.7964820418738</v>
      </c>
    </row>
    <row r="17" spans="1:7" ht="15.75">
      <c r="A17" s="11" t="s">
        <v>107</v>
      </c>
      <c r="B17" s="10">
        <f t="shared" ref="B17:F17" si="7">B4/10000000</f>
        <v>0</v>
      </c>
      <c r="C17" s="10">
        <f t="shared" si="7"/>
        <v>0</v>
      </c>
      <c r="D17" s="10">
        <f t="shared" si="7"/>
        <v>0</v>
      </c>
      <c r="E17" s="10">
        <f t="shared" si="7"/>
        <v>0</v>
      </c>
      <c r="F17" s="10">
        <f t="shared" si="7"/>
        <v>0</v>
      </c>
    </row>
    <row r="18" spans="1:7" ht="15.75">
      <c r="A18" s="11" t="s">
        <v>108</v>
      </c>
      <c r="B18" s="10">
        <f t="shared" ref="B18:F18" si="8">B5/10000000</f>
        <v>6957.0883000000003</v>
      </c>
      <c r="C18" s="10">
        <f t="shared" si="8"/>
        <v>7575.5115050000004</v>
      </c>
      <c r="D18" s="10">
        <f t="shared" si="8"/>
        <v>8356.5769807500001</v>
      </c>
      <c r="E18" s="10">
        <f t="shared" si="8"/>
        <v>9541.0132278625006</v>
      </c>
      <c r="F18" s="10">
        <f t="shared" si="8"/>
        <v>11329.842547041873</v>
      </c>
    </row>
    <row r="19" spans="1:7" ht="15.75">
      <c r="A19" s="11" t="s">
        <v>109</v>
      </c>
      <c r="B19" s="10">
        <f t="shared" ref="B19:F19" si="9">B6/10000000</f>
        <v>5420.7326000000003</v>
      </c>
      <c r="C19" s="10">
        <f t="shared" si="9"/>
        <v>5732.7413980000001</v>
      </c>
      <c r="D19" s="10">
        <f t="shared" si="9"/>
        <v>6249.6994664480007</v>
      </c>
      <c r="E19" s="10">
        <f t="shared" si="9"/>
        <v>6818.0011575927538</v>
      </c>
      <c r="F19" s="10">
        <f t="shared" si="9"/>
        <v>7443.2372328870133</v>
      </c>
    </row>
    <row r="20" spans="1:7" ht="15.75">
      <c r="A20" s="11" t="s">
        <v>110</v>
      </c>
      <c r="B20" s="10">
        <f t="shared" ref="B20:F20" si="10">B7/10000000</f>
        <v>1536.3557000000001</v>
      </c>
      <c r="C20" s="10">
        <f t="shared" si="10"/>
        <v>1842.7701070000001</v>
      </c>
      <c r="D20" s="10">
        <f t="shared" si="10"/>
        <v>2106.8775143019989</v>
      </c>
      <c r="E20" s="10">
        <f t="shared" si="10"/>
        <v>2723.0120702697463</v>
      </c>
      <c r="F20" s="10">
        <f t="shared" si="10"/>
        <v>3886.60531415486</v>
      </c>
    </row>
    <row r="21" spans="1:7" ht="15.75">
      <c r="A21" s="11" t="s">
        <v>111</v>
      </c>
      <c r="B21" s="10">
        <f t="shared" ref="B21:F21" si="11">B8/10000000</f>
        <v>4800</v>
      </c>
      <c r="C21" s="10">
        <f t="shared" si="11"/>
        <v>3827.8119999999994</v>
      </c>
      <c r="D21" s="10">
        <f t="shared" si="11"/>
        <v>2572.6449999999995</v>
      </c>
      <c r="E21" s="10">
        <f t="shared" si="11"/>
        <v>2430.9295999999999</v>
      </c>
      <c r="F21" s="10">
        <f t="shared" si="11"/>
        <v>2853.1076600000001</v>
      </c>
    </row>
    <row r="22" spans="1:7" ht="15.75">
      <c r="A22" s="11" t="s">
        <v>112</v>
      </c>
      <c r="B22" s="10">
        <f t="shared" ref="B22:F22" si="12">B9/10000000</f>
        <v>-3263.6442999999999</v>
      </c>
      <c r="C22" s="10">
        <f t="shared" si="12"/>
        <v>-1985.0418929999992</v>
      </c>
      <c r="D22" s="10">
        <f t="shared" si="12"/>
        <v>-465.76748569800071</v>
      </c>
      <c r="E22" s="10">
        <f t="shared" si="12"/>
        <v>292.08247026974641</v>
      </c>
      <c r="F22" s="10">
        <f t="shared" si="12"/>
        <v>1033.4976541548599</v>
      </c>
    </row>
    <row r="23" spans="1:7" ht="15.75">
      <c r="A23" s="11" t="s">
        <v>113</v>
      </c>
      <c r="B23" s="10">
        <f t="shared" ref="B23:F23" si="13">B10/10000000</f>
        <v>-815.91107499999998</v>
      </c>
      <c r="C23" s="10">
        <f t="shared" si="13"/>
        <v>-496.26047324999979</v>
      </c>
      <c r="D23" s="10">
        <f t="shared" si="13"/>
        <v>-116.44187142450018</v>
      </c>
      <c r="E23" s="10">
        <f t="shared" si="13"/>
        <v>0</v>
      </c>
      <c r="F23" s="10">
        <f t="shared" si="13"/>
        <v>0</v>
      </c>
      <c r="G23" t="s">
        <v>152</v>
      </c>
    </row>
    <row r="24" spans="1:7" ht="15.75">
      <c r="A24" s="11" t="s">
        <v>114</v>
      </c>
      <c r="B24" s="27">
        <f t="shared" ref="B24:F24" si="14">B11/10000000</f>
        <v>-2447.7332249999999</v>
      </c>
      <c r="C24" s="27">
        <f t="shared" si="14"/>
        <v>-1488.7814197499995</v>
      </c>
      <c r="D24" s="27">
        <f t="shared" si="14"/>
        <v>-349.32561427350055</v>
      </c>
      <c r="E24" s="27">
        <f t="shared" si="14"/>
        <v>292.08247026974641</v>
      </c>
      <c r="F24" s="27">
        <f t="shared" si="14"/>
        <v>1033.4976541548599</v>
      </c>
    </row>
    <row r="25" spans="1:7" ht="15.75">
      <c r="A25" s="12"/>
      <c r="B25" s="9"/>
      <c r="C25" s="9"/>
      <c r="D25" s="9"/>
      <c r="E25" s="9"/>
      <c r="F25" s="9"/>
    </row>
    <row r="26" spans="1:7" ht="15.75">
      <c r="A26" s="11" t="s">
        <v>125</v>
      </c>
      <c r="B26" s="10"/>
      <c r="C26" s="27">
        <v>2000</v>
      </c>
      <c r="D26" s="10"/>
      <c r="E26" s="10"/>
      <c r="F26" s="10"/>
    </row>
    <row r="27" spans="1:7" ht="15.75">
      <c r="A27" s="11" t="s">
        <v>124</v>
      </c>
      <c r="B27" s="27">
        <v>15343</v>
      </c>
      <c r="C27" s="27">
        <f>B27+C26+C24</f>
        <v>15854.218580250001</v>
      </c>
      <c r="D27" s="27">
        <f>C27+D24</f>
        <v>15504.8929659765</v>
      </c>
      <c r="E27" s="27">
        <f>D27+E24</f>
        <v>15796.975436246246</v>
      </c>
      <c r="F27" s="27">
        <f>E27+F24</f>
        <v>16830.473090401105</v>
      </c>
    </row>
    <row r="28" spans="1:7">
      <c r="A28" s="9"/>
      <c r="B28" s="9"/>
      <c r="C28" s="9"/>
      <c r="D28" s="9"/>
      <c r="E28" s="9"/>
      <c r="F28" s="9"/>
    </row>
  </sheetData>
  <mergeCells count="1">
    <mergeCell ref="C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C23" sqref="C23"/>
    </sheetView>
  </sheetViews>
  <sheetFormatPr defaultRowHeight="15"/>
  <cols>
    <col min="1" max="1" width="19.140625" bestFit="1" customWidth="1"/>
    <col min="3" max="3" width="11" bestFit="1" customWidth="1"/>
  </cols>
  <sheetData>
    <row r="1" spans="1:8" ht="15.75" thickBot="1"/>
    <row r="2" spans="1:8" ht="19.5" thickBot="1">
      <c r="A2" s="18" t="s">
        <v>126</v>
      </c>
      <c r="B2" s="19"/>
      <c r="C2" s="19"/>
      <c r="D2" s="19"/>
      <c r="E2" s="19"/>
      <c r="F2" s="20"/>
      <c r="H2" t="s">
        <v>153</v>
      </c>
    </row>
    <row r="3" spans="1:8">
      <c r="A3" s="14"/>
      <c r="B3" s="26" t="s">
        <v>83</v>
      </c>
      <c r="C3" s="26" t="s">
        <v>63</v>
      </c>
      <c r="D3" s="26" t="s">
        <v>64</v>
      </c>
      <c r="E3" s="26" t="s">
        <v>65</v>
      </c>
      <c r="F3" s="26" t="s">
        <v>66</v>
      </c>
    </row>
    <row r="4" spans="1:8">
      <c r="A4" s="27" t="s">
        <v>127</v>
      </c>
      <c r="B4" s="10">
        <v>15343</v>
      </c>
      <c r="C4" s="10">
        <f>'Income Statement'!C27</f>
        <v>15854.218580250001</v>
      </c>
      <c r="D4" s="10">
        <f>'Income Statement'!D27</f>
        <v>15504.8929659765</v>
      </c>
      <c r="E4" s="10">
        <f>'Income Statement'!E27</f>
        <v>15796.975436246246</v>
      </c>
      <c r="F4" s="10">
        <f>'Income Statement'!F27</f>
        <v>16830.473090401105</v>
      </c>
    </row>
    <row r="5" spans="1:8">
      <c r="A5" s="27" t="s">
        <v>128</v>
      </c>
      <c r="B5" s="10"/>
      <c r="C5" s="10"/>
      <c r="D5" s="10"/>
      <c r="E5" s="10"/>
      <c r="F5" s="10"/>
    </row>
    <row r="6" spans="1:8">
      <c r="A6" s="27" t="s">
        <v>53</v>
      </c>
      <c r="B6" s="10">
        <v>33924</v>
      </c>
      <c r="C6" s="10">
        <f>B6*1.3</f>
        <v>44101.200000000004</v>
      </c>
      <c r="D6" s="10">
        <f t="shared" ref="D6:F6" si="0">C6*1.3</f>
        <v>57331.560000000005</v>
      </c>
      <c r="E6" s="10">
        <f t="shared" si="0"/>
        <v>74531.028000000006</v>
      </c>
      <c r="F6" s="10">
        <f t="shared" si="0"/>
        <v>96890.336400000015</v>
      </c>
      <c r="H6" t="s">
        <v>142</v>
      </c>
    </row>
    <row r="7" spans="1:8">
      <c r="A7" s="27" t="s">
        <v>129</v>
      </c>
      <c r="B7" s="10">
        <v>31184</v>
      </c>
      <c r="C7" s="10">
        <f>B7*0.8</f>
        <v>24947.200000000001</v>
      </c>
      <c r="D7" s="10">
        <f t="shared" ref="D7:F7" si="1">C7*0.8</f>
        <v>19957.760000000002</v>
      </c>
      <c r="E7" s="10">
        <f t="shared" si="1"/>
        <v>15966.208000000002</v>
      </c>
      <c r="F7" s="10">
        <f t="shared" si="1"/>
        <v>12772.966400000003</v>
      </c>
      <c r="H7" t="s">
        <v>140</v>
      </c>
    </row>
    <row r="8" spans="1:8">
      <c r="A8" s="27" t="s">
        <v>130</v>
      </c>
      <c r="B8" s="10">
        <v>57397</v>
      </c>
      <c r="C8" s="10">
        <f>C18-C9-C4-C6-C7</f>
        <v>49663.381419750003</v>
      </c>
      <c r="D8" s="10">
        <f>D18-D9-D4-D6-D7</f>
        <v>47291.187034023525</v>
      </c>
      <c r="E8" s="10">
        <f>E18-E9-E4-E6-E7</f>
        <v>45768.268563753722</v>
      </c>
      <c r="F8" s="10">
        <f>F18-F9-F4-F6-F7</f>
        <v>46677.607109598888</v>
      </c>
    </row>
    <row r="9" spans="1:8" ht="15.75" thickBot="1">
      <c r="A9" s="28" t="s">
        <v>131</v>
      </c>
      <c r="B9" s="13">
        <v>11353</v>
      </c>
      <c r="C9" s="13">
        <v>11353</v>
      </c>
      <c r="D9" s="13">
        <v>11353</v>
      </c>
      <c r="E9" s="13">
        <v>11353</v>
      </c>
      <c r="F9" s="13">
        <v>11353</v>
      </c>
    </row>
    <row r="10" spans="1:8" ht="15.75" thickBot="1">
      <c r="A10" s="15" t="s">
        <v>132</v>
      </c>
      <c r="B10" s="16">
        <f>SUM(B4,B6:B9)</f>
        <v>149201</v>
      </c>
      <c r="C10" s="16">
        <f t="shared" ref="C10:F10" si="2">SUM(C4,C6:C9)</f>
        <v>145919</v>
      </c>
      <c r="D10" s="16">
        <f t="shared" si="2"/>
        <v>151438.40000000002</v>
      </c>
      <c r="E10" s="16">
        <f t="shared" si="2"/>
        <v>163415.47999999998</v>
      </c>
      <c r="F10" s="17">
        <f t="shared" si="2"/>
        <v>184524.38300000003</v>
      </c>
    </row>
    <row r="11" spans="1:8">
      <c r="A11" s="26" t="s">
        <v>133</v>
      </c>
      <c r="B11" s="14">
        <v>4191</v>
      </c>
      <c r="C11" s="14">
        <v>5000</v>
      </c>
      <c r="D11" s="14">
        <v>5000</v>
      </c>
      <c r="E11" s="14">
        <v>5000</v>
      </c>
      <c r="F11" s="14">
        <v>5000</v>
      </c>
    </row>
    <row r="12" spans="1:8">
      <c r="A12" s="27" t="s">
        <v>134</v>
      </c>
      <c r="B12" s="10">
        <f>SUM(B13:B14)</f>
        <v>98062</v>
      </c>
      <c r="C12" s="10">
        <f t="shared" ref="C12:F12" si="3">SUM(C13:C14)</f>
        <v>93971</v>
      </c>
      <c r="D12" s="10">
        <f t="shared" si="3"/>
        <v>99490.400000000009</v>
      </c>
      <c r="E12" s="10">
        <f t="shared" si="3"/>
        <v>111467.48</v>
      </c>
      <c r="F12" s="10">
        <f t="shared" si="3"/>
        <v>132576.383</v>
      </c>
    </row>
    <row r="13" spans="1:8">
      <c r="A13" s="27" t="s">
        <v>135</v>
      </c>
      <c r="B13" s="10">
        <v>54848</v>
      </c>
      <c r="C13" s="10">
        <f>'Loan Growth'!D16/10000000</f>
        <v>56043</v>
      </c>
      <c r="D13" s="10">
        <f>'Loan Growth'!E16/10000000</f>
        <v>67251.600000000006</v>
      </c>
      <c r="E13" s="10">
        <f>'Loan Growth'!F16/10000000</f>
        <v>84064.5</v>
      </c>
      <c r="F13" s="10">
        <f>'Loan Growth'!G16/10000000</f>
        <v>109283.85</v>
      </c>
    </row>
    <row r="14" spans="1:8">
      <c r="A14" s="27" t="s">
        <v>136</v>
      </c>
      <c r="B14" s="10">
        <v>43214</v>
      </c>
      <c r="C14" s="10">
        <f>'Loan Growth'!D17/10000000</f>
        <v>37928</v>
      </c>
      <c r="D14" s="10">
        <f>'Loan Growth'!E17/10000000</f>
        <v>32238.799999999999</v>
      </c>
      <c r="E14" s="10">
        <f>'Loan Growth'!F17/10000000</f>
        <v>27402.98</v>
      </c>
      <c r="F14" s="10">
        <f>'Loan Growth'!G17/10000000</f>
        <v>23292.532999999999</v>
      </c>
    </row>
    <row r="15" spans="1:8">
      <c r="A15" s="27" t="s">
        <v>137</v>
      </c>
      <c r="B15" s="10">
        <v>35841</v>
      </c>
      <c r="C15" s="10">
        <v>35841</v>
      </c>
      <c r="D15" s="10">
        <v>35841</v>
      </c>
      <c r="E15" s="10">
        <v>35841</v>
      </c>
      <c r="F15" s="10">
        <v>35841</v>
      </c>
    </row>
    <row r="16" spans="1:8">
      <c r="A16" s="27" t="s">
        <v>138</v>
      </c>
      <c r="B16" s="10">
        <v>1038</v>
      </c>
      <c r="C16" s="10">
        <v>1038</v>
      </c>
      <c r="D16" s="10">
        <v>1038</v>
      </c>
      <c r="E16" s="10">
        <v>1038</v>
      </c>
      <c r="F16" s="10">
        <v>1038</v>
      </c>
    </row>
    <row r="17" spans="1:6" ht="15.75" thickBot="1">
      <c r="A17" s="28" t="s">
        <v>139</v>
      </c>
      <c r="B17" s="13">
        <v>10069</v>
      </c>
      <c r="C17" s="13">
        <v>10069</v>
      </c>
      <c r="D17" s="13">
        <v>10069</v>
      </c>
      <c r="E17" s="13">
        <v>10069</v>
      </c>
      <c r="F17" s="13">
        <v>10069</v>
      </c>
    </row>
    <row r="18" spans="1:6" ht="15.75" thickBot="1">
      <c r="A18" s="15" t="s">
        <v>141</v>
      </c>
      <c r="B18" s="16">
        <f>SUM(B11,B13:B17)</f>
        <v>149201</v>
      </c>
      <c r="C18" s="16">
        <f t="shared" ref="C18:F18" si="4">SUM(C11,C13:C17)</f>
        <v>145919</v>
      </c>
      <c r="D18" s="16">
        <f t="shared" si="4"/>
        <v>151438.40000000002</v>
      </c>
      <c r="E18" s="16">
        <f t="shared" si="4"/>
        <v>163415.47999999998</v>
      </c>
      <c r="F18" s="17">
        <f t="shared" si="4"/>
        <v>184524.383</v>
      </c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15" sqref="A15:G19"/>
    </sheetView>
  </sheetViews>
  <sheetFormatPr defaultRowHeight="15"/>
  <cols>
    <col min="1" max="1" width="14" customWidth="1"/>
    <col min="3" max="7" width="16.7109375" bestFit="1" customWidth="1"/>
  </cols>
  <sheetData>
    <row r="1" spans="1:13">
      <c r="A1" t="s">
        <v>32</v>
      </c>
      <c r="J1" t="s">
        <v>38</v>
      </c>
    </row>
    <row r="2" spans="1:13">
      <c r="J2" t="s">
        <v>44</v>
      </c>
      <c r="M2" t="s">
        <v>56</v>
      </c>
    </row>
    <row r="3" spans="1:13">
      <c r="A3" t="s">
        <v>33</v>
      </c>
      <c r="B3">
        <v>-0.06</v>
      </c>
      <c r="C3" t="s">
        <v>37</v>
      </c>
      <c r="J3">
        <v>0</v>
      </c>
      <c r="K3" t="s">
        <v>39</v>
      </c>
    </row>
    <row r="4" spans="1:13">
      <c r="A4" t="s">
        <v>34</v>
      </c>
      <c r="B4">
        <v>0.08</v>
      </c>
      <c r="J4">
        <v>0.2</v>
      </c>
      <c r="K4" t="s">
        <v>55</v>
      </c>
    </row>
    <row r="5" spans="1:13">
      <c r="A5" t="s">
        <v>35</v>
      </c>
      <c r="B5">
        <v>0.05</v>
      </c>
      <c r="J5">
        <v>0.25</v>
      </c>
    </row>
    <row r="6" spans="1:13">
      <c r="A6" t="s">
        <v>36</v>
      </c>
      <c r="B6">
        <v>0.05</v>
      </c>
      <c r="J6">
        <v>0.3</v>
      </c>
    </row>
    <row r="8" spans="1:13">
      <c r="J8" t="s">
        <v>43</v>
      </c>
    </row>
    <row r="9" spans="1:13">
      <c r="J9" t="s">
        <v>40</v>
      </c>
    </row>
    <row r="10" spans="1:13">
      <c r="J10" t="s">
        <v>41</v>
      </c>
    </row>
    <row r="11" spans="1:13">
      <c r="J11" t="s">
        <v>42</v>
      </c>
    </row>
    <row r="15" spans="1:13">
      <c r="A15" s="10" t="s">
        <v>52</v>
      </c>
      <c r="B15" s="10"/>
      <c r="C15" s="10">
        <v>2020</v>
      </c>
      <c r="D15" s="10">
        <v>2021</v>
      </c>
      <c r="E15" s="10">
        <v>2022</v>
      </c>
      <c r="F15" s="10">
        <v>2023</v>
      </c>
      <c r="G15" s="10">
        <v>2024</v>
      </c>
      <c r="I15" t="s">
        <v>145</v>
      </c>
    </row>
    <row r="16" spans="1:13">
      <c r="A16" s="10" t="s">
        <v>53</v>
      </c>
      <c r="B16" s="10"/>
      <c r="C16" s="10"/>
      <c r="D16" s="29">
        <v>560430000000</v>
      </c>
      <c r="E16" s="29">
        <f>D16*(1+J4)</f>
        <v>672516000000</v>
      </c>
      <c r="F16" s="29">
        <f>E16*(1+J5)</f>
        <v>840645000000</v>
      </c>
      <c r="G16" s="29">
        <f>F16*(1+J6)</f>
        <v>1092838500000</v>
      </c>
    </row>
    <row r="17" spans="1:7">
      <c r="A17" s="10" t="s">
        <v>54</v>
      </c>
      <c r="B17" s="10"/>
      <c r="C17" s="10"/>
      <c r="D17" s="29">
        <v>379280000000</v>
      </c>
      <c r="E17" s="29">
        <f>D17*0.85</f>
        <v>322388000000</v>
      </c>
      <c r="F17" s="29">
        <f>E17*0.85</f>
        <v>274029800000</v>
      </c>
      <c r="G17" s="29">
        <f>F17*0.85</f>
        <v>232925330000</v>
      </c>
    </row>
    <row r="18" spans="1:7">
      <c r="A18" s="10" t="s">
        <v>101</v>
      </c>
      <c r="B18" s="10"/>
      <c r="C18" s="10"/>
      <c r="D18" s="29">
        <v>100790000000</v>
      </c>
      <c r="E18" s="29">
        <v>100790000000</v>
      </c>
      <c r="F18" s="29">
        <v>100790000000</v>
      </c>
      <c r="G18" s="29">
        <v>100790000000</v>
      </c>
    </row>
    <row r="19" spans="1:7">
      <c r="A19" s="10" t="s">
        <v>100</v>
      </c>
      <c r="B19" s="10"/>
      <c r="C19" s="29">
        <v>1070040000000</v>
      </c>
      <c r="D19" s="29">
        <f>SUM(D16:D18)</f>
        <v>1040500000000</v>
      </c>
      <c r="E19" s="29">
        <f t="shared" ref="E19:G19" si="0">SUM(E16:E18)</f>
        <v>1095694000000</v>
      </c>
      <c r="F19" s="29">
        <f t="shared" si="0"/>
        <v>1215464800000</v>
      </c>
      <c r="G19" s="29">
        <f t="shared" si="0"/>
        <v>1426553830000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C14" sqref="C14:H14"/>
    </sheetView>
  </sheetViews>
  <sheetFormatPr defaultRowHeight="15"/>
  <cols>
    <col min="1" max="1" width="12.5703125" customWidth="1"/>
    <col min="3" max="3" width="11" bestFit="1" customWidth="1"/>
    <col min="4" max="8" width="12" bestFit="1" customWidth="1"/>
  </cols>
  <sheetData>
    <row r="2" spans="1:10" ht="18.75">
      <c r="A2" s="2" t="s">
        <v>90</v>
      </c>
    </row>
    <row r="3" spans="1:10">
      <c r="A3" t="s">
        <v>91</v>
      </c>
    </row>
    <row r="4" spans="1:10">
      <c r="A4" t="s">
        <v>92</v>
      </c>
    </row>
    <row r="5" spans="1:10">
      <c r="A5" t="s">
        <v>93</v>
      </c>
    </row>
    <row r="6" spans="1:10">
      <c r="A6" t="s">
        <v>94</v>
      </c>
    </row>
    <row r="7" spans="1:10">
      <c r="A7" t="s">
        <v>95</v>
      </c>
    </row>
    <row r="9" spans="1:10">
      <c r="A9" t="s">
        <v>96</v>
      </c>
    </row>
    <row r="10" spans="1:10">
      <c r="A10" s="10"/>
      <c r="B10" s="10"/>
      <c r="C10" s="10"/>
      <c r="D10" s="27" t="s">
        <v>83</v>
      </c>
      <c r="E10" s="27" t="s">
        <v>63</v>
      </c>
      <c r="F10" s="27" t="s">
        <v>64</v>
      </c>
      <c r="G10" s="27" t="s">
        <v>65</v>
      </c>
      <c r="H10" s="27" t="s">
        <v>66</v>
      </c>
    </row>
    <row r="11" spans="1:10">
      <c r="A11" s="27" t="s">
        <v>97</v>
      </c>
      <c r="B11" s="10"/>
      <c r="C11" s="10"/>
      <c r="D11" s="32">
        <v>4.24E-2</v>
      </c>
      <c r="E11" s="32">
        <v>4.7500000000000001E-2</v>
      </c>
      <c r="F11" s="32">
        <v>0.05</v>
      </c>
      <c r="G11" s="32">
        <v>5.2499999999999998E-2</v>
      </c>
      <c r="H11" s="32">
        <v>5.5E-2</v>
      </c>
      <c r="J11" t="s">
        <v>98</v>
      </c>
    </row>
    <row r="12" spans="1:10">
      <c r="A12" s="27" t="s">
        <v>99</v>
      </c>
      <c r="B12" s="10"/>
      <c r="C12" s="10"/>
      <c r="D12" s="10">
        <f>D11*'Loan Growth'!C19</f>
        <v>45369696000</v>
      </c>
      <c r="E12" s="10">
        <f>E11*'Loan Growth'!D19</f>
        <v>49423750000</v>
      </c>
      <c r="F12" s="10">
        <f>F11*'Loan Growth'!E19</f>
        <v>54784700000</v>
      </c>
      <c r="G12" s="10">
        <f>G11*'Loan Growth'!F19</f>
        <v>63811902000</v>
      </c>
      <c r="H12" s="10">
        <f>H11*'Loan Growth'!G19</f>
        <v>78460460650</v>
      </c>
    </row>
    <row r="13" spans="1:10">
      <c r="A13" s="1"/>
    </row>
    <row r="14" spans="1:10">
      <c r="A14" s="10"/>
      <c r="B14" s="10"/>
      <c r="C14" s="27" t="s">
        <v>82</v>
      </c>
      <c r="D14" s="27" t="s">
        <v>83</v>
      </c>
      <c r="E14" s="27" t="s">
        <v>63</v>
      </c>
      <c r="F14" s="27" t="s">
        <v>64</v>
      </c>
      <c r="G14" s="27" t="s">
        <v>65</v>
      </c>
      <c r="H14" s="27" t="s">
        <v>66</v>
      </c>
    </row>
    <row r="15" spans="1:10">
      <c r="A15" s="27" t="s">
        <v>103</v>
      </c>
      <c r="B15" s="10"/>
      <c r="C15" s="10">
        <v>7616172000</v>
      </c>
      <c r="D15" s="10">
        <v>14201187000</v>
      </c>
      <c r="E15" s="10">
        <f>D15*1.15</f>
        <v>16331365049.999998</v>
      </c>
      <c r="F15" s="10">
        <f t="shared" ref="F15:H15" si="0">E15*1.15</f>
        <v>18781069807.499996</v>
      </c>
      <c r="G15" s="10">
        <f t="shared" si="0"/>
        <v>21598230278.624992</v>
      </c>
      <c r="H15" s="10">
        <f t="shared" si="0"/>
        <v>24837964820.418739</v>
      </c>
      <c r="J15" t="s">
        <v>104</v>
      </c>
    </row>
    <row r="16" spans="1:10">
      <c r="A16" s="27" t="s">
        <v>115</v>
      </c>
      <c r="B16" s="10"/>
      <c r="C16" s="10"/>
      <c r="D16" s="10">
        <v>10000000000</v>
      </c>
      <c r="E16" s="10">
        <v>10000000000</v>
      </c>
      <c r="F16" s="10">
        <v>10000000000</v>
      </c>
      <c r="G16" s="10">
        <v>10000000000</v>
      </c>
      <c r="H16" s="10">
        <v>10000000000</v>
      </c>
      <c r="J16" t="s">
        <v>105</v>
      </c>
    </row>
    <row r="17" spans="1:10">
      <c r="A17" s="27" t="s">
        <v>116</v>
      </c>
      <c r="B17" s="10"/>
      <c r="C17" s="10"/>
      <c r="D17" s="10">
        <f>D15+D16</f>
        <v>24201187000</v>
      </c>
      <c r="E17" s="10">
        <f t="shared" ref="E17:H17" si="1">E15+E16</f>
        <v>26331365050</v>
      </c>
      <c r="F17" s="10">
        <f t="shared" si="1"/>
        <v>28781069807.499996</v>
      </c>
      <c r="G17" s="10">
        <f t="shared" si="1"/>
        <v>31598230278.624992</v>
      </c>
      <c r="H17" s="10">
        <f t="shared" si="1"/>
        <v>34837964820.418739</v>
      </c>
      <c r="J1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G1" sqref="G1"/>
    </sheetView>
  </sheetViews>
  <sheetFormatPr defaultRowHeight="15"/>
  <cols>
    <col min="1" max="1" width="61.140625" bestFit="1" customWidth="1"/>
    <col min="2" max="2" width="13.85546875" bestFit="1" customWidth="1"/>
    <col min="3" max="3" width="15.140625" customWidth="1"/>
    <col min="4" max="7" width="12" bestFit="1" customWidth="1"/>
    <col min="9" max="9" width="12.7109375" bestFit="1" customWidth="1"/>
    <col min="10" max="10" width="11" bestFit="1" customWidth="1"/>
  </cols>
  <sheetData>
    <row r="2" spans="1:11" ht="18.75">
      <c r="A2" s="2" t="s">
        <v>45</v>
      </c>
    </row>
    <row r="3" spans="1:11">
      <c r="I3" s="7"/>
    </row>
    <row r="4" spans="1:11" ht="15.75">
      <c r="A4" s="4" t="s">
        <v>69</v>
      </c>
      <c r="I4" t="s">
        <v>88</v>
      </c>
      <c r="J4" s="6"/>
      <c r="K4" t="s">
        <v>89</v>
      </c>
    </row>
    <row r="5" spans="1:11">
      <c r="A5" t="s">
        <v>57</v>
      </c>
      <c r="B5">
        <v>20222</v>
      </c>
      <c r="C5" t="s">
        <v>58</v>
      </c>
    </row>
    <row r="6" spans="1:11">
      <c r="A6" t="s">
        <v>70</v>
      </c>
      <c r="B6">
        <v>15275824000</v>
      </c>
      <c r="I6" t="s">
        <v>83</v>
      </c>
      <c r="J6">
        <v>3054447000</v>
      </c>
    </row>
    <row r="7" spans="1:11">
      <c r="I7" t="s">
        <v>63</v>
      </c>
      <c r="J7">
        <f>J6*1.1</f>
        <v>3359891700.0000005</v>
      </c>
    </row>
    <row r="8" spans="1:11">
      <c r="A8" t="s">
        <v>146</v>
      </c>
      <c r="B8" s="3">
        <v>0.08</v>
      </c>
      <c r="C8" t="s">
        <v>67</v>
      </c>
      <c r="I8" t="s">
        <v>64</v>
      </c>
      <c r="J8">
        <f t="shared" ref="J8:J9" si="0">J7*1.1</f>
        <v>3695880870.000001</v>
      </c>
    </row>
    <row r="9" spans="1:11">
      <c r="A9" t="s">
        <v>60</v>
      </c>
      <c r="B9" s="3">
        <v>0.05</v>
      </c>
      <c r="C9" t="s">
        <v>61</v>
      </c>
      <c r="I9" t="s">
        <v>65</v>
      </c>
      <c r="J9">
        <f t="shared" si="0"/>
        <v>4065468957.0000014</v>
      </c>
    </row>
    <row r="10" spans="1:11">
      <c r="A10" s="1" t="s">
        <v>59</v>
      </c>
    </row>
    <row r="11" spans="1:11">
      <c r="C11" t="s">
        <v>83</v>
      </c>
      <c r="D11" t="s">
        <v>63</v>
      </c>
      <c r="E11" t="s">
        <v>64</v>
      </c>
      <c r="F11" t="s">
        <v>65</v>
      </c>
      <c r="G11" t="s">
        <v>66</v>
      </c>
    </row>
    <row r="12" spans="1:11">
      <c r="A12" s="1" t="s">
        <v>62</v>
      </c>
      <c r="C12">
        <v>15275824000</v>
      </c>
      <c r="D12">
        <f>B6*(1+B8)</f>
        <v>16497889920.000002</v>
      </c>
      <c r="E12">
        <f>D12*(1+B9)*(1+B8)</f>
        <v>18708607169.280006</v>
      </c>
      <c r="F12">
        <f>E12*(1+B9)*(1+B8)</f>
        <v>21215560529.963528</v>
      </c>
      <c r="G12">
        <f>F12*(1+B8)*(1+B9)</f>
        <v>24058445640.978642</v>
      </c>
    </row>
    <row r="15" spans="1:11">
      <c r="A15" s="1" t="s">
        <v>68</v>
      </c>
      <c r="B15" t="s">
        <v>82</v>
      </c>
      <c r="C15" t="s">
        <v>83</v>
      </c>
      <c r="D15" t="s">
        <v>63</v>
      </c>
      <c r="E15" t="s">
        <v>64</v>
      </c>
      <c r="F15" t="s">
        <v>65</v>
      </c>
      <c r="G15" t="s">
        <v>66</v>
      </c>
      <c r="I15" t="s">
        <v>84</v>
      </c>
    </row>
    <row r="16" spans="1:11">
      <c r="A16" t="s">
        <v>71</v>
      </c>
      <c r="B16">
        <v>1706489000</v>
      </c>
      <c r="C16">
        <v>2785191000</v>
      </c>
      <c r="D16">
        <f>C16*(1.07)</f>
        <v>2980154370</v>
      </c>
      <c r="E16">
        <f t="shared" ref="E16:G16" si="1">D16*(1.07)</f>
        <v>3188765175.9000001</v>
      </c>
      <c r="F16">
        <f t="shared" si="1"/>
        <v>3411978738.2130003</v>
      </c>
      <c r="G16">
        <f t="shared" si="1"/>
        <v>3650817249.8879104</v>
      </c>
      <c r="I16" t="s">
        <v>147</v>
      </c>
    </row>
    <row r="17" spans="1:9">
      <c r="A17" t="s">
        <v>72</v>
      </c>
      <c r="B17">
        <v>342429000</v>
      </c>
      <c r="C17">
        <v>582771000</v>
      </c>
      <c r="D17">
        <f t="shared" ref="D17:G17" si="2">C17*(1.07)</f>
        <v>623564970</v>
      </c>
      <c r="E17">
        <f t="shared" si="2"/>
        <v>667214517.9000001</v>
      </c>
      <c r="F17">
        <f t="shared" si="2"/>
        <v>713919534.15300012</v>
      </c>
      <c r="G17">
        <f t="shared" si="2"/>
        <v>763893901.54371011</v>
      </c>
      <c r="I17" t="s">
        <v>86</v>
      </c>
    </row>
    <row r="18" spans="1:9">
      <c r="A18" t="s">
        <v>73</v>
      </c>
      <c r="B18">
        <v>611840000</v>
      </c>
      <c r="C18">
        <v>1391236000</v>
      </c>
      <c r="D18">
        <f t="shared" ref="D18:G26" si="3">C18*(1.07)</f>
        <v>1488622520</v>
      </c>
      <c r="E18">
        <f t="shared" si="3"/>
        <v>1592826096.4000001</v>
      </c>
      <c r="F18">
        <f t="shared" si="3"/>
        <v>1704323923.1480002</v>
      </c>
      <c r="G18">
        <f t="shared" si="3"/>
        <v>1823626597.7683604</v>
      </c>
      <c r="I18" t="s">
        <v>85</v>
      </c>
    </row>
    <row r="19" spans="1:9">
      <c r="A19" t="s">
        <v>74</v>
      </c>
      <c r="C19">
        <f>J6</f>
        <v>3054447000</v>
      </c>
      <c r="D19">
        <f>J7</f>
        <v>3359891700.0000005</v>
      </c>
      <c r="E19">
        <f>J8</f>
        <v>3695880870.000001</v>
      </c>
      <c r="F19">
        <f>J9</f>
        <v>4065468957.0000014</v>
      </c>
      <c r="G19">
        <f>F19*1.1</f>
        <v>4472015852.7000017</v>
      </c>
    </row>
    <row r="20" spans="1:9">
      <c r="A20" t="s">
        <v>75</v>
      </c>
      <c r="C20">
        <v>17197000</v>
      </c>
      <c r="D20">
        <f t="shared" si="3"/>
        <v>18400790</v>
      </c>
      <c r="E20">
        <f t="shared" si="3"/>
        <v>19688845.300000001</v>
      </c>
      <c r="F20">
        <f t="shared" si="3"/>
        <v>21067064.471000001</v>
      </c>
      <c r="G20">
        <f t="shared" si="3"/>
        <v>22541758.983970001</v>
      </c>
    </row>
    <row r="21" spans="1:9">
      <c r="A21" t="s">
        <v>76</v>
      </c>
      <c r="C21">
        <v>35680000</v>
      </c>
      <c r="D21">
        <f t="shared" si="3"/>
        <v>38177600</v>
      </c>
      <c r="E21">
        <f t="shared" si="3"/>
        <v>40850032</v>
      </c>
      <c r="F21">
        <f t="shared" si="3"/>
        <v>43709534.240000002</v>
      </c>
      <c r="G21">
        <f t="shared" si="3"/>
        <v>46769201.636800006</v>
      </c>
    </row>
    <row r="22" spans="1:9">
      <c r="A22" t="s">
        <v>77</v>
      </c>
      <c r="C22">
        <v>73853000</v>
      </c>
      <c r="D22">
        <f t="shared" si="3"/>
        <v>79022710</v>
      </c>
      <c r="E22">
        <f t="shared" si="3"/>
        <v>84554299.700000003</v>
      </c>
      <c r="F22">
        <f t="shared" si="3"/>
        <v>90473100.679000005</v>
      </c>
      <c r="G22">
        <f t="shared" si="3"/>
        <v>96806217.726530015</v>
      </c>
    </row>
    <row r="23" spans="1:9">
      <c r="A23" t="s">
        <v>78</v>
      </c>
      <c r="C23">
        <v>846885000</v>
      </c>
      <c r="D23">
        <f t="shared" si="3"/>
        <v>906166950</v>
      </c>
      <c r="E23">
        <f t="shared" si="3"/>
        <v>969598636.5</v>
      </c>
      <c r="F23">
        <f t="shared" si="3"/>
        <v>1037470541.0550001</v>
      </c>
      <c r="G23">
        <f t="shared" si="3"/>
        <v>1110093478.9288502</v>
      </c>
    </row>
    <row r="24" spans="1:9">
      <c r="A24" t="s">
        <v>79</v>
      </c>
      <c r="B24">
        <v>942142000</v>
      </c>
      <c r="C24">
        <v>1800849000</v>
      </c>
      <c r="D24">
        <f>B24*(1.07)</f>
        <v>1008091940</v>
      </c>
      <c r="E24">
        <f>D24*(1.07)</f>
        <v>1078658375.8</v>
      </c>
      <c r="F24">
        <f>E24*(1.07)</f>
        <v>1154164462.1059999</v>
      </c>
      <c r="G24">
        <f>F24*(1.07)</f>
        <v>1234955974.4534199</v>
      </c>
      <c r="I24" t="s">
        <v>87</v>
      </c>
    </row>
    <row r="25" spans="1:9">
      <c r="A25" t="s">
        <v>80</v>
      </c>
      <c r="C25">
        <v>536293000</v>
      </c>
      <c r="D25">
        <f t="shared" si="3"/>
        <v>573833510</v>
      </c>
      <c r="E25">
        <f t="shared" si="3"/>
        <v>614001855.70000005</v>
      </c>
      <c r="F25">
        <f t="shared" si="3"/>
        <v>656981985.5990001</v>
      </c>
      <c r="G25">
        <f t="shared" si="3"/>
        <v>702970724.5909301</v>
      </c>
    </row>
    <row r="26" spans="1:9">
      <c r="A26" t="s">
        <v>81</v>
      </c>
      <c r="C26">
        <v>27807100000</v>
      </c>
      <c r="D26">
        <f t="shared" si="3"/>
        <v>29753597000</v>
      </c>
      <c r="E26">
        <f t="shared" si="3"/>
        <v>31836348790</v>
      </c>
      <c r="F26">
        <f t="shared" si="3"/>
        <v>34064893205.300003</v>
      </c>
      <c r="G26">
        <f t="shared" si="3"/>
        <v>36449435729.671005</v>
      </c>
    </row>
    <row r="28" spans="1:9">
      <c r="A28" t="s">
        <v>50</v>
      </c>
      <c r="C28">
        <f>SUM(C12,C16:C26)</f>
        <v>54207326000</v>
      </c>
      <c r="D28">
        <f>SUM(D12,D16:D26)</f>
        <v>57327413980</v>
      </c>
      <c r="E28">
        <f>SUM(E12,E16:E26)</f>
        <v>62496994664.480011</v>
      </c>
      <c r="F28">
        <f>SUM(F12,F16:F26)</f>
        <v>68180011575.927536</v>
      </c>
      <c r="G28">
        <f>SUM(G12,G16:G26)</f>
        <v>74432372328.870132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workbookViewId="0"/>
  </sheetViews>
  <sheetFormatPr defaultRowHeight="15"/>
  <cols>
    <col min="1" max="1" width="23.85546875" customWidth="1"/>
    <col min="3" max="3" width="14.85546875" bestFit="1" customWidth="1"/>
    <col min="4" max="4" width="45.28515625" customWidth="1"/>
    <col min="5" max="5" width="19.7109375" customWidth="1"/>
    <col min="7" max="7" width="9.28515625" customWidth="1"/>
    <col min="17" max="17" width="13.140625" bestFit="1" customWidth="1"/>
  </cols>
  <sheetData>
    <row r="1" spans="1:17" ht="18.75">
      <c r="C1" s="2" t="s">
        <v>120</v>
      </c>
      <c r="Q1" t="s">
        <v>0</v>
      </c>
    </row>
    <row r="2" spans="1:17" ht="18.75">
      <c r="A2" s="2" t="s">
        <v>1</v>
      </c>
      <c r="C2" t="s">
        <v>51</v>
      </c>
    </row>
    <row r="3" spans="1:17">
      <c r="A3" t="s">
        <v>3</v>
      </c>
    </row>
    <row r="4" spans="1:17">
      <c r="A4" t="s">
        <v>2</v>
      </c>
    </row>
    <row r="5" spans="1:17">
      <c r="A5" s="30" t="s">
        <v>16</v>
      </c>
      <c r="B5" s="30" t="s">
        <v>17</v>
      </c>
      <c r="C5" s="30" t="s">
        <v>18</v>
      </c>
      <c r="D5" s="30" t="s">
        <v>19</v>
      </c>
      <c r="E5" s="30"/>
      <c r="F5" s="30" t="s">
        <v>49</v>
      </c>
    </row>
    <row r="6" spans="1:17">
      <c r="A6" s="30" t="s">
        <v>7</v>
      </c>
      <c r="B6" s="8">
        <v>20288</v>
      </c>
      <c r="C6" s="31">
        <f>AVERAGE($D$35:$E$35)</f>
        <v>7.9999999999999988E-2</v>
      </c>
      <c r="D6" s="8">
        <v>0.1</v>
      </c>
      <c r="E6" s="8" t="s">
        <v>47</v>
      </c>
      <c r="F6" s="8">
        <f>B6*C6*D6</f>
        <v>162.30399999999997</v>
      </c>
    </row>
    <row r="7" spans="1:17">
      <c r="A7" s="30" t="s">
        <v>8</v>
      </c>
      <c r="B7" s="8">
        <v>19211</v>
      </c>
      <c r="C7" s="31">
        <f>AVERAGE($D$35:$E$35)</f>
        <v>7.9999999999999988E-2</v>
      </c>
      <c r="D7" s="8">
        <v>0.75</v>
      </c>
      <c r="E7" s="8" t="s">
        <v>48</v>
      </c>
      <c r="F7" s="8">
        <f t="shared" ref="F7:F14" si="0">B7*C7*D7</f>
        <v>1152.6599999999999</v>
      </c>
    </row>
    <row r="8" spans="1:17">
      <c r="A8" s="30" t="s">
        <v>9</v>
      </c>
      <c r="B8" s="8">
        <v>9775</v>
      </c>
      <c r="C8" s="31">
        <f>AVERAGE($D$35:$E$35)</f>
        <v>7.9999999999999988E-2</v>
      </c>
      <c r="D8" s="8">
        <v>0.3</v>
      </c>
      <c r="E8" s="8" t="s">
        <v>47</v>
      </c>
      <c r="F8" s="8">
        <f t="shared" si="0"/>
        <v>234.59999999999997</v>
      </c>
    </row>
    <row r="9" spans="1:17">
      <c r="A9" s="30" t="s">
        <v>10</v>
      </c>
      <c r="B9" s="8">
        <v>6769</v>
      </c>
      <c r="C9" s="31">
        <f>AVERAGE($D$35:$E$35)</f>
        <v>7.9999999999999988E-2</v>
      </c>
      <c r="D9" s="8">
        <v>0.75</v>
      </c>
      <c r="E9" s="8" t="s">
        <v>48</v>
      </c>
      <c r="F9" s="8">
        <f t="shared" si="0"/>
        <v>406.13999999999987</v>
      </c>
    </row>
    <row r="10" spans="1:17">
      <c r="A10" s="30" t="s">
        <v>11</v>
      </c>
      <c r="B10" s="8">
        <v>6411</v>
      </c>
      <c r="C10" s="31">
        <f>AVERAGE($D$36:$E$36)</f>
        <v>7.9999999999999988E-2</v>
      </c>
      <c r="D10" s="8">
        <v>0.3</v>
      </c>
      <c r="E10" s="8" t="s">
        <v>47</v>
      </c>
      <c r="F10" s="8">
        <f t="shared" si="0"/>
        <v>153.86399999999995</v>
      </c>
    </row>
    <row r="11" spans="1:17">
      <c r="A11" s="30" t="s">
        <v>12</v>
      </c>
      <c r="B11" s="8">
        <v>1832</v>
      </c>
      <c r="C11" s="31">
        <f>AVERAGE($D$36:$E$36)</f>
        <v>7.9999999999999988E-2</v>
      </c>
      <c r="D11" s="8">
        <v>0.3</v>
      </c>
      <c r="E11" s="8" t="s">
        <v>47</v>
      </c>
      <c r="F11" s="8">
        <f t="shared" si="0"/>
        <v>43.967999999999989</v>
      </c>
    </row>
    <row r="12" spans="1:17">
      <c r="A12" s="30" t="s">
        <v>13</v>
      </c>
      <c r="B12" s="8">
        <v>12036</v>
      </c>
      <c r="C12" s="31">
        <f>AVERAGE($D$36:$E$36)</f>
        <v>7.9999999999999988E-2</v>
      </c>
      <c r="D12" s="8">
        <v>0.75</v>
      </c>
      <c r="E12" s="8" t="s">
        <v>48</v>
      </c>
      <c r="F12" s="8">
        <f t="shared" si="0"/>
        <v>722.15999999999985</v>
      </c>
    </row>
    <row r="13" spans="1:17">
      <c r="A13" s="30" t="s">
        <v>14</v>
      </c>
      <c r="B13" s="8">
        <v>13416</v>
      </c>
      <c r="C13" s="31">
        <f>AVERAGE($D$36:$E$36)</f>
        <v>7.9999999999999988E-2</v>
      </c>
      <c r="D13" s="8">
        <v>0.25</v>
      </c>
      <c r="E13" s="8" t="s">
        <v>47</v>
      </c>
      <c r="F13" s="8">
        <f t="shared" si="0"/>
        <v>268.31999999999994</v>
      </c>
    </row>
    <row r="14" spans="1:17">
      <c r="A14" s="30" t="s">
        <v>15</v>
      </c>
      <c r="B14" s="8">
        <v>14310</v>
      </c>
      <c r="C14" s="31">
        <f>AVERAGE($D$36:$E$36)</f>
        <v>7.9999999999999988E-2</v>
      </c>
      <c r="D14" s="8">
        <v>0.5</v>
      </c>
      <c r="E14" s="8" t="s">
        <v>48</v>
      </c>
      <c r="F14" s="8">
        <f t="shared" si="0"/>
        <v>572.39999999999986</v>
      </c>
    </row>
    <row r="15" spans="1:17">
      <c r="A15" s="8"/>
      <c r="B15" s="8"/>
      <c r="C15" s="8"/>
      <c r="D15" s="8"/>
      <c r="E15" s="8" t="s">
        <v>50</v>
      </c>
      <c r="F15" s="8">
        <f>SUM(F6:F14)</f>
        <v>3716.4159999999993</v>
      </c>
    </row>
    <row r="17" spans="1:9">
      <c r="A17" t="s">
        <v>156</v>
      </c>
    </row>
    <row r="18" spans="1:9">
      <c r="A18" s="30"/>
      <c r="B18" s="30" t="s">
        <v>155</v>
      </c>
      <c r="C18" s="30" t="s">
        <v>121</v>
      </c>
      <c r="D18" s="30" t="s">
        <v>157</v>
      </c>
      <c r="E18" s="30" t="s">
        <v>50</v>
      </c>
    </row>
    <row r="19" spans="1:9">
      <c r="A19" s="30" t="s">
        <v>4</v>
      </c>
      <c r="B19" s="33">
        <v>0.75</v>
      </c>
      <c r="C19" s="30">
        <f>0.75*F15</f>
        <v>2787.3119999999994</v>
      </c>
      <c r="D19" s="30">
        <f>0.01*'Loan Growth'!D19/10000000</f>
        <v>1040.5</v>
      </c>
      <c r="E19" s="30">
        <f>SUM(C19:D19)</f>
        <v>3827.8119999999994</v>
      </c>
    </row>
    <row r="20" spans="1:9">
      <c r="A20" s="30" t="s">
        <v>5</v>
      </c>
      <c r="B20" s="33">
        <v>0.25</v>
      </c>
      <c r="C20" s="30">
        <f>0.25*F15</f>
        <v>929.10399999999981</v>
      </c>
      <c r="D20" s="30">
        <f>0.015*'Loan Growth'!E19/10000000</f>
        <v>1643.5409999999999</v>
      </c>
      <c r="E20" s="30">
        <f t="shared" ref="E20:E22" si="1">SUM(C20:D20)</f>
        <v>2572.6449999999995</v>
      </c>
      <c r="I20" s="1" t="s">
        <v>20</v>
      </c>
    </row>
    <row r="21" spans="1:9">
      <c r="A21" s="30" t="s">
        <v>6</v>
      </c>
      <c r="B21" s="33">
        <v>0</v>
      </c>
      <c r="C21" s="30">
        <v>0</v>
      </c>
      <c r="D21" s="30">
        <f>0.02*'Loan Growth'!F19/10000000</f>
        <v>2430.9295999999999</v>
      </c>
      <c r="E21" s="30">
        <f t="shared" si="1"/>
        <v>2430.9295999999999</v>
      </c>
    </row>
    <row r="22" spans="1:9">
      <c r="A22" s="30" t="s">
        <v>119</v>
      </c>
      <c r="B22" s="33">
        <v>0</v>
      </c>
      <c r="C22" s="30">
        <v>0</v>
      </c>
      <c r="D22" s="30">
        <f>0.02*'Loan Growth'!G19/10000000</f>
        <v>2853.1076600000001</v>
      </c>
      <c r="E22" s="30">
        <f t="shared" si="1"/>
        <v>2853.1076600000001</v>
      </c>
    </row>
    <row r="25" spans="1:9" ht="15.75">
      <c r="A25" s="4" t="s">
        <v>21</v>
      </c>
    </row>
    <row r="26" spans="1:9">
      <c r="A26" s="1" t="s">
        <v>22</v>
      </c>
    </row>
    <row r="27" spans="1:9">
      <c r="A27" s="1" t="s">
        <v>46</v>
      </c>
    </row>
    <row r="28" spans="1:9">
      <c r="A28" s="1" t="s">
        <v>158</v>
      </c>
    </row>
    <row r="29" spans="1:9">
      <c r="A29" s="1" t="s">
        <v>25</v>
      </c>
      <c r="B29" s="5"/>
      <c r="D29" s="5">
        <v>4.2000000000000003E-2</v>
      </c>
    </row>
    <row r="30" spans="1:9">
      <c r="A30" s="1"/>
      <c r="D30" s="5"/>
    </row>
    <row r="31" spans="1:9">
      <c r="A31" s="1"/>
      <c r="D31" s="5"/>
    </row>
    <row r="32" spans="1:9">
      <c r="A32" s="1"/>
    </row>
    <row r="33" spans="1:10">
      <c r="A33" s="1" t="s">
        <v>159</v>
      </c>
      <c r="D33" t="s">
        <v>29</v>
      </c>
      <c r="E33" t="s">
        <v>122</v>
      </c>
    </row>
    <row r="34" spans="1:10">
      <c r="A34" s="1" t="s">
        <v>30</v>
      </c>
      <c r="D34" s="5">
        <v>7.2999999999999995E-2</v>
      </c>
      <c r="E34" s="5">
        <v>8.6999999999999994E-2</v>
      </c>
      <c r="F34" s="3"/>
    </row>
    <row r="35" spans="1:10">
      <c r="A35" s="1" t="s">
        <v>26</v>
      </c>
      <c r="D35" s="5">
        <f>D34</f>
        <v>7.2999999999999995E-2</v>
      </c>
      <c r="E35" s="5">
        <f t="shared" ref="E35:E36" si="2">E34</f>
        <v>8.6999999999999994E-2</v>
      </c>
      <c r="F35" s="5"/>
    </row>
    <row r="36" spans="1:10">
      <c r="A36" s="1" t="s">
        <v>31</v>
      </c>
      <c r="D36" s="5">
        <f>D35</f>
        <v>7.2999999999999995E-2</v>
      </c>
      <c r="E36" s="5">
        <f t="shared" si="2"/>
        <v>8.6999999999999994E-2</v>
      </c>
      <c r="F36" s="5"/>
    </row>
    <row r="44" spans="1:10">
      <c r="A44" s="1"/>
    </row>
    <row r="48" spans="1:10">
      <c r="I48" t="s">
        <v>23</v>
      </c>
      <c r="J48" t="s">
        <v>24</v>
      </c>
    </row>
    <row r="55" spans="1:9" ht="15.75">
      <c r="A55" s="4" t="s">
        <v>27</v>
      </c>
      <c r="I55" s="1" t="s">
        <v>28</v>
      </c>
    </row>
    <row r="76" spans="1:1">
      <c r="A76" s="1" t="s">
        <v>143</v>
      </c>
    </row>
    <row r="77" spans="1:1">
      <c r="A77" t="s">
        <v>148</v>
      </c>
    </row>
    <row r="78" spans="1:1">
      <c r="A78" t="s">
        <v>144</v>
      </c>
    </row>
    <row r="79" spans="1:1">
      <c r="A79" t="s">
        <v>149</v>
      </c>
    </row>
    <row r="80" spans="1:1">
      <c r="A80" t="s">
        <v>151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Balance Sheet</vt:lpstr>
      <vt:lpstr>Loan Growth</vt:lpstr>
      <vt:lpstr>Net Income</vt:lpstr>
      <vt:lpstr>Costs Incurred</vt:lpstr>
      <vt:lpstr>Current Loans and NPA-COVID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2020-08-31T13:26:55Z</dcterms:modified>
</cp:coreProperties>
</file>