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Sonal minhas\Google Drive\Backup\Investments -deals\icici pru\"/>
    </mc:Choice>
  </mc:AlternateContent>
  <xr:revisionPtr revIDLastSave="0" documentId="13_ncr:1_{83C03D8B-C0EC-43B4-BF7D-B64B14FECB80}" xr6:coauthVersionLast="45" xr6:coauthVersionMax="45" xr10:uidLastSave="{00000000-0000-0000-0000-000000000000}"/>
  <bookViews>
    <workbookView xWindow="-113" yWindow="-113" windowWidth="24267" windowHeight="13148" xr2:uid="{018CC842-1B25-47CB-B7C2-97A6511F6352}"/>
  </bookViews>
  <sheets>
    <sheet name="Summary" sheetId="1" r:id="rId1"/>
    <sheet name="International Comps" sheetId="4" r:id="rId2"/>
    <sheet name="Sept 2019 mkt data"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1" l="1"/>
  <c r="F59" i="1"/>
  <c r="F57" i="1"/>
  <c r="F56" i="1"/>
  <c r="F44" i="1"/>
  <c r="F47" i="1"/>
  <c r="F52" i="1"/>
  <c r="F53" i="1" s="1"/>
  <c r="F4" i="1"/>
  <c r="F16" i="1"/>
  <c r="F3" i="1"/>
  <c r="B3" i="1" l="1"/>
  <c r="D3" i="1"/>
  <c r="C3" i="1"/>
  <c r="F17" i="4"/>
  <c r="K21" i="4"/>
  <c r="J21" i="4"/>
  <c r="I21" i="4"/>
  <c r="H21" i="4"/>
  <c r="E21" i="4"/>
  <c r="E17" i="4"/>
  <c r="D17" i="4"/>
  <c r="C17" i="4"/>
  <c r="B21" i="4"/>
  <c r="B17" i="4"/>
  <c r="K17" i="4"/>
  <c r="J17" i="4"/>
  <c r="I17" i="4"/>
  <c r="H17" i="4"/>
  <c r="J19" i="4"/>
  <c r="I19" i="4"/>
  <c r="H19" i="4"/>
  <c r="Q15" i="4"/>
  <c r="Q10" i="4"/>
  <c r="Q12" i="4"/>
  <c r="Q4" i="4"/>
  <c r="Q7" i="4"/>
  <c r="P17" i="4"/>
  <c r="P15" i="4"/>
  <c r="P7" i="4"/>
  <c r="P10" i="4"/>
  <c r="P12" i="4"/>
  <c r="P4" i="4"/>
  <c r="O15" i="4"/>
  <c r="O12" i="4"/>
  <c r="O7" i="4"/>
  <c r="O10" i="4"/>
  <c r="O4" i="4"/>
  <c r="N15" i="4"/>
  <c r="N12" i="4"/>
  <c r="N10" i="4"/>
  <c r="N7" i="4"/>
  <c r="N4" i="4"/>
  <c r="F10" i="4"/>
  <c r="F7" i="4"/>
  <c r="F4" i="4"/>
  <c r="K10" i="4"/>
  <c r="J10" i="4"/>
  <c r="I10" i="4"/>
  <c r="H10" i="4"/>
  <c r="K8" i="4"/>
  <c r="J8" i="4"/>
  <c r="I8" i="4"/>
  <c r="H8" i="4"/>
  <c r="J6" i="4"/>
  <c r="I6" i="4"/>
  <c r="H6" i="4"/>
  <c r="K3" i="4"/>
  <c r="J3" i="4"/>
  <c r="I3" i="4"/>
  <c r="H3" i="4"/>
  <c r="J2" i="4"/>
  <c r="I2" i="4"/>
  <c r="H2" i="4"/>
  <c r="H4" i="4" s="1"/>
  <c r="E10" i="4"/>
  <c r="E4" i="4"/>
  <c r="D10" i="4"/>
  <c r="B10" i="4"/>
  <c r="B4" i="4"/>
  <c r="E7" i="4"/>
  <c r="C7" i="4"/>
  <c r="B7" i="4"/>
  <c r="D7" i="4"/>
  <c r="C4" i="4"/>
  <c r="D4" i="4"/>
  <c r="I7" i="4" l="1"/>
  <c r="J7" i="4"/>
  <c r="H7" i="4"/>
  <c r="I4" i="4"/>
  <c r="J4" i="4"/>
  <c r="D68" i="1"/>
  <c r="C68" i="1"/>
  <c r="B68" i="1"/>
  <c r="E67" i="1"/>
  <c r="C67" i="1"/>
  <c r="D67" i="1"/>
  <c r="B67" i="1"/>
  <c r="D12" i="1"/>
  <c r="C12" i="1"/>
  <c r="E12" i="1"/>
  <c r="E59" i="1"/>
  <c r="E57" i="1"/>
  <c r="M7" i="1"/>
  <c r="L2" i="1"/>
  <c r="M2" i="1" s="1"/>
  <c r="C5" i="1"/>
  <c r="I15" i="4" s="1"/>
  <c r="E52" i="1"/>
  <c r="E56" i="1" s="1"/>
  <c r="E51" i="1"/>
  <c r="E53" i="1" s="1"/>
  <c r="E65" i="1" s="1"/>
  <c r="E43" i="1"/>
  <c r="E44" i="1" s="1"/>
  <c r="E63" i="1" s="1"/>
  <c r="E39" i="1"/>
  <c r="E37" i="1"/>
  <c r="E36" i="1" s="1"/>
  <c r="E40" i="1"/>
  <c r="E35" i="1"/>
  <c r="E17" i="1"/>
  <c r="E16" i="1"/>
  <c r="E42" i="1"/>
  <c r="D59" i="1"/>
  <c r="D57" i="1"/>
  <c r="B57" i="1"/>
  <c r="B59" i="1" s="1"/>
  <c r="C59" i="1"/>
  <c r="C57" i="1"/>
  <c r="N1" i="1"/>
  <c r="O1" i="1" s="1"/>
  <c r="P1" i="1" s="1"/>
  <c r="Q1" i="1" s="1"/>
  <c r="R1" i="1" s="1"/>
  <c r="S1" i="1" s="1"/>
  <c r="T1" i="1" s="1"/>
  <c r="U1" i="1" s="1"/>
  <c r="V1" i="1" s="1"/>
  <c r="W1" i="1" s="1"/>
  <c r="X1" i="1" s="1"/>
  <c r="Y1" i="1" s="1"/>
  <c r="Z1" i="1" s="1"/>
  <c r="AA1" i="1" s="1"/>
  <c r="AB1" i="1" s="1"/>
  <c r="D52" i="1"/>
  <c r="D53" i="1" s="1"/>
  <c r="C52" i="1"/>
  <c r="C53" i="1" s="1"/>
  <c r="B52" i="1"/>
  <c r="B62" i="1" s="1"/>
  <c r="B51" i="1"/>
  <c r="B47" i="1"/>
  <c r="B48" i="1" s="1"/>
  <c r="D47" i="1"/>
  <c r="D48" i="1" s="1"/>
  <c r="C47" i="1"/>
  <c r="C48" i="1" s="1"/>
  <c r="C46" i="1"/>
  <c r="D6" i="1"/>
  <c r="C6" i="1"/>
  <c r="D5" i="1"/>
  <c r="J15" i="4" s="1"/>
  <c r="B5" i="1"/>
  <c r="H15" i="4" s="1"/>
  <c r="C28" i="1"/>
  <c r="C36" i="1"/>
  <c r="C35" i="1" s="1"/>
  <c r="C44" i="1"/>
  <c r="C63" i="1" s="1"/>
  <c r="C17" i="1"/>
  <c r="C14" i="1"/>
  <c r="D44" i="1"/>
  <c r="D63" i="1" s="1"/>
  <c r="D17" i="1"/>
  <c r="D36" i="1"/>
  <c r="D35" i="1" s="1"/>
  <c r="D28" i="1"/>
  <c r="B43" i="1"/>
  <c r="B44" i="1" s="1"/>
  <c r="B63" i="1" s="1"/>
  <c r="B36" i="1"/>
  <c r="B28" i="1"/>
  <c r="B14" i="1"/>
  <c r="B12" i="1"/>
  <c r="B17" i="1"/>
  <c r="C9" i="1"/>
  <c r="D9" i="1"/>
  <c r="B9" i="1"/>
  <c r="D64" i="1" l="1"/>
  <c r="B64" i="1"/>
  <c r="E4" i="1"/>
  <c r="K2" i="4" s="1"/>
  <c r="K4" i="4" s="1"/>
  <c r="B65" i="1"/>
  <c r="D65" i="1"/>
  <c r="E62" i="1"/>
  <c r="D62" i="1"/>
  <c r="E64" i="1"/>
  <c r="C62" i="1"/>
  <c r="B53" i="1"/>
  <c r="C64" i="1"/>
  <c r="C65" i="1"/>
  <c r="M4" i="1"/>
  <c r="M5" i="1" s="1"/>
  <c r="N2" i="1"/>
  <c r="O2" i="1" s="1"/>
  <c r="P2" i="1" s="1"/>
  <c r="Q2" i="1" s="1"/>
  <c r="R2" i="1" s="1"/>
  <c r="S2" i="1" s="1"/>
  <c r="T2" i="1" s="1"/>
  <c r="U2" i="1" s="1"/>
  <c r="V2" i="1" s="1"/>
  <c r="W2" i="1" s="1"/>
  <c r="X2" i="1" s="1"/>
  <c r="Y2" i="1" s="1"/>
  <c r="Z2" i="1" s="1"/>
  <c r="AA2" i="1" s="1"/>
  <c r="AB2" i="1" s="1"/>
  <c r="AB4" i="1" s="1"/>
  <c r="AB5" i="1" s="1"/>
  <c r="B6" i="1"/>
  <c r="E47" i="1" l="1"/>
  <c r="E68" i="1"/>
  <c r="AA4" i="1"/>
  <c r="AA5" i="1" s="1"/>
  <c r="O4" i="1"/>
  <c r="O5" i="1" s="1"/>
  <c r="N4" i="1"/>
  <c r="N5" i="1" s="1"/>
  <c r="Z4" i="1"/>
  <c r="Z5" i="1" s="1"/>
  <c r="Y4" i="1"/>
  <c r="Y5" i="1" s="1"/>
  <c r="Q4" i="1"/>
  <c r="Q5" i="1" s="1"/>
  <c r="W4" i="1"/>
  <c r="W5" i="1" s="1"/>
  <c r="U4" i="1"/>
  <c r="U5" i="1" s="1"/>
  <c r="V4" i="1"/>
  <c r="V5" i="1" s="1"/>
  <c r="X4" i="1"/>
  <c r="X5" i="1" s="1"/>
  <c r="S4" i="1"/>
  <c r="S5" i="1" s="1"/>
  <c r="T4" i="1"/>
  <c r="T5" i="1" s="1"/>
  <c r="R4" i="1"/>
  <c r="R5" i="1" s="1"/>
  <c r="P4" i="1"/>
  <c r="P5" i="1" s="1"/>
  <c r="M6" i="1" l="1"/>
</calcChain>
</file>

<file path=xl/sharedStrings.xml><?xml version="1.0" encoding="utf-8"?>
<sst xmlns="http://schemas.openxmlformats.org/spreadsheetml/2006/main" count="629" uniqueCount="134">
  <si>
    <t>HDFC Life</t>
  </si>
  <si>
    <t>SBI Life</t>
  </si>
  <si>
    <t>ICICI Pru</t>
  </si>
  <si>
    <t>VNB Margins</t>
  </si>
  <si>
    <t>AUM</t>
  </si>
  <si>
    <t>% Equity</t>
  </si>
  <si>
    <t>Persietency Ratio</t>
  </si>
  <si>
    <t>13th month</t>
  </si>
  <si>
    <t>Distribution</t>
  </si>
  <si>
    <t>Banca</t>
  </si>
  <si>
    <t>Brokers</t>
  </si>
  <si>
    <t>Agency</t>
  </si>
  <si>
    <t>Direct</t>
  </si>
  <si>
    <t>Protection</t>
  </si>
  <si>
    <t>ULIP</t>
  </si>
  <si>
    <t>Non Par</t>
  </si>
  <si>
    <t>Group</t>
  </si>
  <si>
    <t>Par</t>
  </si>
  <si>
    <t>Expense Ratio</t>
  </si>
  <si>
    <t>Income from Investments</t>
  </si>
  <si>
    <t>Yield on Investments</t>
  </si>
  <si>
    <t>FY 19</t>
  </si>
  <si>
    <r>
      <t>New Business Statement of Life Insurers for the Period ended ended </t>
    </r>
    <r>
      <rPr>
        <b/>
        <i/>
        <sz val="10"/>
        <color rgb="FF000000"/>
        <rFont val="Inherit"/>
      </rPr>
      <t>30th September</t>
    </r>
    <r>
      <rPr>
        <b/>
        <sz val="10"/>
        <color rgb="FF000000"/>
        <rFont val="Arial Black"/>
        <family val="2"/>
      </rPr>
      <t>, 2019 </t>
    </r>
    <r>
      <rPr>
        <b/>
        <i/>
        <sz val="10"/>
        <color rgb="FF000000"/>
        <rFont val="Arial"/>
        <family val="2"/>
      </rPr>
      <t>(Premium &amp; Sum Assured in Rs.Crore)</t>
    </r>
  </si>
  <si>
    <t>(Premium &amp; Sum Assured in Rs.Crore)</t>
  </si>
  <si>
    <t>Sl No.</t>
  </si>
  <si>
    <t>Insurer</t>
  </si>
  <si>
    <t>First Year Premium</t>
  </si>
  <si>
    <t>No. of Policies / Schemes</t>
  </si>
  <si>
    <t>No. of lives covered under Group Schemes</t>
  </si>
  <si>
    <t>Sum Assured</t>
  </si>
  <si>
    <t>For September, 2018</t>
  </si>
  <si>
    <t>For September, 2019</t>
  </si>
  <si>
    <t>Growth in %</t>
  </si>
  <si>
    <r>
      <t>Up to </t>
    </r>
    <r>
      <rPr>
        <b/>
        <i/>
        <sz val="10"/>
        <color rgb="FF000000"/>
        <rFont val="Inherit"/>
      </rPr>
      <t>30th September</t>
    </r>
    <r>
      <rPr>
        <b/>
        <sz val="10"/>
        <color rgb="FF000000"/>
        <rFont val="Century Gothic"/>
        <family val="2"/>
      </rPr>
      <t>, 2018</t>
    </r>
  </si>
  <si>
    <r>
      <t>Up to </t>
    </r>
    <r>
      <rPr>
        <b/>
        <i/>
        <sz val="10"/>
        <color rgb="FF000000"/>
        <rFont val="Inherit"/>
      </rPr>
      <t>30th September</t>
    </r>
    <r>
      <rPr>
        <b/>
        <sz val="10"/>
        <color rgb="FF000000"/>
        <rFont val="Century Gothic"/>
        <family val="2"/>
      </rPr>
      <t>, 2019</t>
    </r>
  </si>
  <si>
    <t>Market Share</t>
  </si>
  <si>
    <t>Aditya Birla Sun Life</t>
  </si>
  <si>
    <t>Individual Single Premium</t>
  </si>
  <si>
    <t>NA</t>
  </si>
  <si>
    <t>Individual Non-Single Premium</t>
  </si>
  <si>
    <t>Group Single Premium</t>
  </si>
  <si>
    <t>Group Non-Single Premium</t>
  </si>
  <si>
    <t>Group Yearly Renewable Premium</t>
  </si>
  <si>
    <t>Aegon Life</t>
  </si>
  <si>
    <t>Aviva Life</t>
  </si>
  <si>
    <t>Bajaj Allianz Life</t>
  </si>
  <si>
    <t>Bharti Axa Life</t>
  </si>
  <si>
    <t>Canara HSBC OBC Life</t>
  </si>
  <si>
    <t>DHFL Pramerica Life</t>
  </si>
  <si>
    <t>Edleweiss Tokio Life</t>
  </si>
  <si>
    <t>Exide Life</t>
  </si>
  <si>
    <t>Future Generali Life</t>
  </si>
  <si>
    <t>ICICI Prudential Life</t>
  </si>
  <si>
    <t>IDBI Federal Life</t>
  </si>
  <si>
    <t>India First Life</t>
  </si>
  <si>
    <t>Kotak Mahindra Life</t>
  </si>
  <si>
    <t>Max Life</t>
  </si>
  <si>
    <t>PNB Met Life</t>
  </si>
  <si>
    <t>Reliance Nippon Life</t>
  </si>
  <si>
    <t>Sahara Life</t>
  </si>
  <si>
    <t>Shriram Life</t>
  </si>
  <si>
    <t>Star Union Dai-ichi Life</t>
  </si>
  <si>
    <t>Tata AIA Life</t>
  </si>
  <si>
    <t>Private Total</t>
  </si>
  <si>
    <t>LIC of India</t>
  </si>
  <si>
    <t>Grand Total</t>
  </si>
  <si>
    <t>VNB- INR Bn</t>
  </si>
  <si>
    <t xml:space="preserve">% YOY Growth </t>
  </si>
  <si>
    <t>Definition</t>
  </si>
  <si>
    <t>VNB is the present value of expected future earnings
from new policies written during a specified period and it
reflects the additional value to shareholders expected to
be generated through the activity of writing new policies
during a specified period.</t>
  </si>
  <si>
    <t>3 year CAGR</t>
  </si>
  <si>
    <t>Embedded Value- INR Bn</t>
  </si>
  <si>
    <t>EV is similar to the Book Value of companies in other industries. It is the
sum of the Company’s net worth and the present value of all future profits
to shareholders from the existing book of the Company (including new
business written in the year). Future profits are computed on the basis of
assumptions such as persistency, mortality, morbidity and external factors
like interest rates and capital market performance.</t>
  </si>
  <si>
    <t>AUM- INR Bn</t>
  </si>
  <si>
    <t>61th month</t>
  </si>
  <si>
    <t xml:space="preserve">No of lives covered- Cr </t>
  </si>
  <si>
    <t>New  Business APE</t>
  </si>
  <si>
    <t>An annual premium equivalent (APE) is a common sales measure calculation used by insurance companies, where the sales of a given insurance company are estimated by taking the value of regular premiums, plus 10 percent of any new single premiums written for the fiscal year.</t>
  </si>
  <si>
    <t xml:space="preserve">Savings </t>
  </si>
  <si>
    <t>Individual</t>
  </si>
  <si>
    <t>Claims Settlement ratio</t>
  </si>
  <si>
    <t>Settement time</t>
  </si>
  <si>
    <t>4 days</t>
  </si>
  <si>
    <t>2.4 days</t>
  </si>
  <si>
    <t xml:space="preserve">2.8 days </t>
  </si>
  <si>
    <t>Product Mix-  % of NBP</t>
  </si>
  <si>
    <t>Group Saving</t>
  </si>
  <si>
    <t>M Cap</t>
  </si>
  <si>
    <t>M Cap/EV</t>
  </si>
  <si>
    <t>M Cap to AUM</t>
  </si>
  <si>
    <t>CFO</t>
  </si>
  <si>
    <t>M Cap/CFO</t>
  </si>
  <si>
    <t>Payment of claims</t>
  </si>
  <si>
    <t>% Paid</t>
  </si>
  <si>
    <t>Discount rate</t>
  </si>
  <si>
    <t>CAGR</t>
  </si>
  <si>
    <t>NPV</t>
  </si>
  <si>
    <t>ROA</t>
  </si>
  <si>
    <t>Debt/Equity</t>
  </si>
  <si>
    <t>ROE</t>
  </si>
  <si>
    <t>Return on AUM</t>
  </si>
  <si>
    <t>Cost off ops</t>
  </si>
  <si>
    <t>Payments</t>
  </si>
  <si>
    <t>Renewal premium</t>
  </si>
  <si>
    <t>LIC</t>
  </si>
  <si>
    <t>Investment Income</t>
  </si>
  <si>
    <t>LIC assumed based on Comps</t>
  </si>
  <si>
    <t>M Cap INR Bn</t>
  </si>
  <si>
    <t>Unit Economics- AUM %</t>
  </si>
  <si>
    <t>SBI</t>
  </si>
  <si>
    <t xml:space="preserve"> </t>
  </si>
  <si>
    <t>Total Income</t>
  </si>
  <si>
    <t>M Cap/ Income</t>
  </si>
  <si>
    <t>Negligible</t>
  </si>
  <si>
    <t>Metlife</t>
  </si>
  <si>
    <t>AIG</t>
  </si>
  <si>
    <t>Zurich</t>
  </si>
  <si>
    <t>Alianz</t>
  </si>
  <si>
    <t>M Cap - Bn</t>
  </si>
  <si>
    <t>TTM Sales</t>
  </si>
  <si>
    <t>M Cap /Sales</t>
  </si>
  <si>
    <t>Asset Base</t>
  </si>
  <si>
    <t>USD Bn</t>
  </si>
  <si>
    <t>AXA</t>
  </si>
  <si>
    <t>China Pacific</t>
  </si>
  <si>
    <t>REV CAGR</t>
  </si>
  <si>
    <t>EV</t>
  </si>
  <si>
    <t>CNY B</t>
  </si>
  <si>
    <t>Investment Yeild</t>
  </si>
  <si>
    <t>New China Life</t>
  </si>
  <si>
    <t>New Business Margin</t>
  </si>
  <si>
    <t>China Life</t>
  </si>
  <si>
    <t>&gt;30%</t>
  </si>
  <si>
    <t>Ping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</si>
</sst>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_ * #,##0_ ;_ * \-#,##0_ ;_ * &quot;-&quot;??_ ;_ @_ "/>
  </numFmts>
  <fonts count="1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rgb="FF000000"/>
      <name val="Arial Black"/>
      <family val="2"/>
    </font>
    <font>
      <b/>
      <i/>
      <sz val="10"/>
      <color rgb="FF000000"/>
      <name val="Inherit"/>
    </font>
    <font>
      <b/>
      <i/>
      <sz val="10"/>
      <color rgb="FF000000"/>
      <name val="Arial"/>
      <family val="2"/>
    </font>
    <font>
      <b/>
      <i/>
      <sz val="11"/>
      <color rgb="FF000000"/>
      <name val="Arial"/>
      <family val="2"/>
    </font>
    <font>
      <b/>
      <sz val="10"/>
      <color rgb="FF000000"/>
      <name val="Century Gothic"/>
      <family val="2"/>
    </font>
    <font>
      <b/>
      <i/>
      <sz val="10"/>
      <color rgb="FF000000"/>
      <name val="Century Gothic"/>
      <family val="2"/>
    </font>
    <font>
      <b/>
      <sz val="10"/>
      <color rgb="FF000000"/>
      <name val="Times New Roman"/>
      <family val="1"/>
    </font>
    <font>
      <b/>
      <sz val="10"/>
      <color rgb="FF000000"/>
      <name val="Arial"/>
      <family val="2"/>
    </font>
    <font>
      <b/>
      <i/>
      <sz val="10"/>
      <color rgb="FF000000"/>
      <name val="Times New Roman"/>
      <family val="1"/>
    </font>
    <font>
      <sz val="10"/>
      <color rgb="FF000000"/>
      <name val="Arial"/>
      <family val="2"/>
    </font>
    <font>
      <sz val="10"/>
      <color rgb="FF000000"/>
      <name val="Times New Roman"/>
      <family val="1"/>
    </font>
    <font>
      <i/>
      <sz val="10"/>
      <color rgb="FF000000"/>
      <name val="Times New Roman"/>
      <family val="1"/>
    </font>
  </fonts>
  <fills count="7">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rgb="FFFFC000"/>
        <bgColor indexed="64"/>
      </patternFill>
    </fill>
    <fill>
      <patternFill patternType="solid">
        <fgColor theme="6"/>
        <bgColor indexed="64"/>
      </patternFill>
    </fill>
    <fill>
      <patternFill patternType="solid">
        <fgColor rgb="FFFFFF00"/>
        <bgColor indexed="64"/>
      </patternFill>
    </fill>
  </fills>
  <borders count="9">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horizontal="left"/>
    </xf>
    <xf numFmtId="0" fontId="8" fillId="2" borderId="4" xfId="0" applyFont="1" applyFill="1" applyBorder="1" applyAlignment="1">
      <alignment vertical="center" wrapText="1"/>
    </xf>
    <xf numFmtId="0" fontId="9" fillId="2" borderId="4" xfId="0" applyFont="1" applyFill="1" applyBorder="1" applyAlignment="1">
      <alignment horizontal="center" vertical="center" wrapText="1"/>
    </xf>
    <xf numFmtId="0" fontId="10" fillId="3" borderId="3" xfId="0" applyFont="1" applyFill="1" applyBorder="1" applyAlignment="1">
      <alignment horizontal="center" vertical="center"/>
    </xf>
    <xf numFmtId="0" fontId="4" fillId="3" borderId="4" xfId="0" applyFont="1" applyFill="1" applyBorder="1" applyAlignment="1">
      <alignment vertical="center"/>
    </xf>
    <xf numFmtId="0" fontId="11" fillId="2" borderId="4" xfId="0" applyFont="1" applyFill="1" applyBorder="1" applyAlignment="1">
      <alignment horizontal="right" vertical="center"/>
    </xf>
    <xf numFmtId="0" fontId="12" fillId="3" borderId="4" xfId="0" applyFont="1" applyFill="1" applyBorder="1" applyAlignment="1">
      <alignment horizontal="right" vertical="center"/>
    </xf>
    <xf numFmtId="0" fontId="12" fillId="2" borderId="4" xfId="0" applyFont="1" applyFill="1" applyBorder="1" applyAlignment="1">
      <alignment horizontal="right" vertical="center"/>
    </xf>
    <xf numFmtId="0" fontId="10" fillId="2" borderId="4" xfId="0" applyFont="1" applyFill="1" applyBorder="1" applyAlignment="1">
      <alignment horizontal="right" vertical="center"/>
    </xf>
    <xf numFmtId="0" fontId="13" fillId="3" borderId="3" xfId="0" applyFont="1" applyFill="1" applyBorder="1" applyAlignment="1">
      <alignment horizontal="center" vertical="center"/>
    </xf>
    <xf numFmtId="0" fontId="13" fillId="3" borderId="4" xfId="0" applyFont="1" applyFill="1" applyBorder="1" applyAlignment="1">
      <alignment vertical="center"/>
    </xf>
    <xf numFmtId="0" fontId="14" fillId="3" borderId="4" xfId="0" applyFont="1" applyFill="1" applyBorder="1" applyAlignment="1">
      <alignment horizontal="right" vertical="center"/>
    </xf>
    <xf numFmtId="0" fontId="14" fillId="2" borderId="4" xfId="0" applyFont="1" applyFill="1" applyBorder="1" applyAlignment="1">
      <alignment horizontal="right" vertical="center"/>
    </xf>
    <xf numFmtId="0" fontId="15" fillId="3" borderId="4" xfId="0" applyFont="1" applyFill="1" applyBorder="1" applyAlignment="1">
      <alignment horizontal="right" vertical="center"/>
    </xf>
    <xf numFmtId="0" fontId="15" fillId="2" borderId="4" xfId="0" applyFont="1" applyFill="1" applyBorder="1" applyAlignment="1">
      <alignment horizontal="right" vertical="center"/>
    </xf>
    <xf numFmtId="0" fontId="13" fillId="2" borderId="4" xfId="0" applyFont="1" applyFill="1" applyBorder="1" applyAlignment="1">
      <alignment horizontal="right" vertical="center"/>
    </xf>
    <xf numFmtId="0" fontId="13" fillId="3" borderId="4" xfId="0" applyFont="1" applyFill="1" applyBorder="1" applyAlignment="1">
      <alignment horizontal="right" vertical="center"/>
    </xf>
    <xf numFmtId="0" fontId="14" fillId="3" borderId="4" xfId="0" applyFont="1" applyFill="1" applyBorder="1" applyAlignment="1">
      <alignment vertical="center"/>
    </xf>
    <xf numFmtId="0" fontId="13" fillId="2" borderId="4" xfId="0" applyFont="1" applyFill="1" applyBorder="1" applyAlignment="1">
      <alignment vertical="center"/>
    </xf>
    <xf numFmtId="0" fontId="14" fillId="2" borderId="4" xfId="0" applyFont="1" applyFill="1" applyBorder="1" applyAlignment="1">
      <alignment vertical="center"/>
    </xf>
    <xf numFmtId="0" fontId="15" fillId="3" borderId="4" xfId="0" applyFont="1" applyFill="1" applyBorder="1" applyAlignment="1">
      <alignment vertical="center"/>
    </xf>
    <xf numFmtId="0" fontId="15" fillId="2" borderId="4" xfId="0" applyFont="1" applyFill="1" applyBorder="1" applyAlignment="1">
      <alignment vertical="center"/>
    </xf>
    <xf numFmtId="0" fontId="10" fillId="3" borderId="3" xfId="0" applyFont="1" applyFill="1" applyBorder="1" applyAlignment="1">
      <alignment horizontal="center" vertical="center" wrapText="1"/>
    </xf>
    <xf numFmtId="0" fontId="4" fillId="3" borderId="4" xfId="0" applyFont="1" applyFill="1" applyBorder="1" applyAlignment="1">
      <alignment vertical="center" wrapText="1"/>
    </xf>
    <xf numFmtId="0" fontId="14" fillId="3" borderId="3" xfId="0" applyFont="1" applyFill="1" applyBorder="1" applyAlignment="1">
      <alignment horizontal="center" vertical="center"/>
    </xf>
    <xf numFmtId="0" fontId="10" fillId="3" borderId="3" xfId="0" applyFont="1" applyFill="1" applyBorder="1" applyAlignment="1">
      <alignment vertical="center"/>
    </xf>
    <xf numFmtId="0" fontId="13" fillId="3" borderId="3" xfId="0" applyFont="1" applyFill="1" applyBorder="1" applyAlignment="1">
      <alignment vertical="center"/>
    </xf>
    <xf numFmtId="0" fontId="11" fillId="3" borderId="4" xfId="0" applyFont="1" applyFill="1" applyBorder="1" applyAlignment="1">
      <alignment horizontal="right" vertical="center"/>
    </xf>
    <xf numFmtId="0" fontId="10" fillId="3" borderId="4" xfId="0" applyFont="1" applyFill="1" applyBorder="1" applyAlignment="1">
      <alignment horizontal="right" vertical="center"/>
    </xf>
    <xf numFmtId="9" fontId="0" fillId="0" borderId="0" xfId="0" applyNumberFormat="1"/>
    <xf numFmtId="10" fontId="0" fillId="0" borderId="0" xfId="0" applyNumberFormat="1"/>
    <xf numFmtId="0" fontId="0" fillId="0" borderId="0" xfId="0" applyAlignment="1"/>
    <xf numFmtId="0" fontId="3" fillId="0" borderId="0" xfId="0" applyFont="1" applyAlignment="1"/>
    <xf numFmtId="0" fontId="3" fillId="4" borderId="0" xfId="0" applyFont="1" applyFill="1"/>
    <xf numFmtId="0" fontId="3" fillId="4" borderId="0" xfId="0" applyFont="1" applyFill="1" applyAlignment="1"/>
    <xf numFmtId="4" fontId="0" fillId="0" borderId="0" xfId="0" applyNumberFormat="1"/>
    <xf numFmtId="0" fontId="3" fillId="0" borderId="0" xfId="0" applyFont="1" applyAlignment="1">
      <alignment horizontal="left" indent="2"/>
    </xf>
    <xf numFmtId="9" fontId="0" fillId="5" borderId="0" xfId="0" applyNumberFormat="1" applyFill="1"/>
    <xf numFmtId="0" fontId="0" fillId="0" borderId="0" xfId="0" applyAlignment="1">
      <alignment horizontal="left" indent="1"/>
    </xf>
    <xf numFmtId="0" fontId="0" fillId="0" borderId="0" xfId="0" applyFont="1" applyAlignment="1">
      <alignment horizontal="left" indent="1"/>
    </xf>
    <xf numFmtId="10" fontId="0" fillId="5" borderId="0" xfId="0" applyNumberFormat="1" applyFill="1"/>
    <xf numFmtId="9" fontId="0" fillId="0" borderId="0" xfId="0" applyNumberFormat="1" applyAlignment="1">
      <alignment horizontal="center"/>
    </xf>
    <xf numFmtId="10" fontId="0" fillId="0" borderId="0" xfId="0" applyNumberFormat="1" applyAlignment="1">
      <alignment horizontal="center"/>
    </xf>
    <xf numFmtId="164" fontId="0" fillId="0" borderId="0" xfId="0" applyNumberFormat="1"/>
    <xf numFmtId="0" fontId="0" fillId="0" borderId="0" xfId="0" applyAlignment="1">
      <alignment horizontal="center"/>
    </xf>
    <xf numFmtId="3" fontId="0" fillId="0" borderId="0" xfId="0" applyNumberFormat="1"/>
    <xf numFmtId="10" fontId="0" fillId="0" borderId="0" xfId="0" applyNumberFormat="1" applyAlignment="1"/>
    <xf numFmtId="2" fontId="0" fillId="0" borderId="0" xfId="0" applyNumberFormat="1"/>
    <xf numFmtId="165" fontId="0" fillId="0" borderId="0" xfId="0" applyNumberFormat="1"/>
    <xf numFmtId="1" fontId="0" fillId="0" borderId="0" xfId="0" applyNumberFormat="1"/>
    <xf numFmtId="9" fontId="0" fillId="0" borderId="0" xfId="0" applyNumberFormat="1" applyAlignment="1"/>
    <xf numFmtId="9" fontId="0" fillId="0" borderId="0" xfId="0" applyNumberFormat="1" applyFont="1"/>
    <xf numFmtId="9" fontId="2" fillId="0" borderId="0" xfId="0" applyNumberFormat="1" applyFont="1"/>
    <xf numFmtId="43" fontId="0" fillId="0" borderId="0" xfId="1" applyFont="1"/>
    <xf numFmtId="0" fontId="0" fillId="4" borderId="0" xfId="0" applyFill="1" applyAlignment="1"/>
    <xf numFmtId="0" fontId="8" fillId="4" borderId="4" xfId="0" applyFont="1" applyFill="1" applyBorder="1" applyAlignment="1">
      <alignment vertical="center" wrapText="1"/>
    </xf>
    <xf numFmtId="0" fontId="10" fillId="4" borderId="4" xfId="0" applyFont="1" applyFill="1" applyBorder="1" applyAlignment="1">
      <alignment horizontal="right" vertical="center"/>
    </xf>
    <xf numFmtId="0" fontId="14" fillId="4" borderId="4" xfId="0" applyFont="1" applyFill="1" applyBorder="1" applyAlignment="1">
      <alignment horizontal="right" vertical="center"/>
    </xf>
    <xf numFmtId="0" fontId="14" fillId="4" borderId="4" xfId="0" applyFont="1" applyFill="1" applyBorder="1" applyAlignment="1">
      <alignment vertical="center"/>
    </xf>
    <xf numFmtId="0" fontId="0" fillId="4" borderId="0" xfId="0" applyFill="1"/>
    <xf numFmtId="166" fontId="10" fillId="4" borderId="4" xfId="1" applyNumberFormat="1" applyFont="1" applyFill="1" applyBorder="1" applyAlignment="1">
      <alignment horizontal="right" vertical="center"/>
    </xf>
    <xf numFmtId="0" fontId="9" fillId="4" borderId="4" xfId="0" applyFont="1" applyFill="1" applyBorder="1" applyAlignment="1">
      <alignment horizontal="center" vertical="center" wrapText="1"/>
    </xf>
    <xf numFmtId="0" fontId="12" fillId="4" borderId="4" xfId="0" applyFont="1" applyFill="1" applyBorder="1" applyAlignment="1">
      <alignment horizontal="right" vertical="center"/>
    </xf>
    <xf numFmtId="0" fontId="15" fillId="4" borderId="4" xfId="0" applyFont="1" applyFill="1" applyBorder="1" applyAlignment="1">
      <alignment horizontal="right" vertical="center"/>
    </xf>
    <xf numFmtId="0" fontId="15" fillId="4" borderId="4" xfId="0" applyFont="1" applyFill="1" applyBorder="1" applyAlignment="1">
      <alignment vertical="center"/>
    </xf>
    <xf numFmtId="166" fontId="0" fillId="0" borderId="0" xfId="1" applyNumberFormat="1" applyFont="1"/>
    <xf numFmtId="0" fontId="0" fillId="6" borderId="0" xfId="0" applyFill="1"/>
    <xf numFmtId="0" fontId="3" fillId="6" borderId="0" xfId="0" applyFont="1" applyFill="1"/>
    <xf numFmtId="10" fontId="0" fillId="0" borderId="0" xfId="0" applyNumberFormat="1" applyAlignment="1">
      <alignment horizontal="right"/>
    </xf>
    <xf numFmtId="0" fontId="10" fillId="6" borderId="3" xfId="0" applyFont="1" applyFill="1" applyBorder="1" applyAlignment="1">
      <alignment horizontal="center" vertical="center"/>
    </xf>
    <xf numFmtId="0" fontId="4" fillId="6" borderId="4" xfId="0" applyFont="1" applyFill="1" applyBorder="1" applyAlignment="1">
      <alignment vertical="center"/>
    </xf>
    <xf numFmtId="0" fontId="11" fillId="6" borderId="4" xfId="0" applyFont="1" applyFill="1" applyBorder="1" applyAlignment="1">
      <alignment horizontal="right" vertical="center"/>
    </xf>
    <xf numFmtId="0" fontId="12" fillId="6" borderId="4" xfId="0" applyFont="1" applyFill="1" applyBorder="1" applyAlignment="1">
      <alignment horizontal="right" vertical="center"/>
    </xf>
    <xf numFmtId="0" fontId="10" fillId="6" borderId="4" xfId="0" applyFont="1" applyFill="1" applyBorder="1" applyAlignment="1">
      <alignment horizontal="right" vertical="center"/>
    </xf>
    <xf numFmtId="0" fontId="3" fillId="4" borderId="0" xfId="0" applyFont="1" applyFill="1" applyAlignment="1">
      <alignment horizontal="center"/>
    </xf>
    <xf numFmtId="4" fontId="0" fillId="6" borderId="0" xfId="0" applyNumberFormat="1" applyFill="1"/>
    <xf numFmtId="0" fontId="4" fillId="2" borderId="1" xfId="0" applyFont="1" applyFill="1" applyBorder="1" applyAlignment="1">
      <alignment vertical="center"/>
    </xf>
    <xf numFmtId="0" fontId="4" fillId="2" borderId="2" xfId="0" applyFont="1" applyFill="1" applyBorder="1" applyAlignment="1">
      <alignment vertical="center"/>
    </xf>
    <xf numFmtId="0" fontId="7" fillId="2" borderId="2" xfId="0" applyFont="1" applyFill="1" applyBorder="1" applyAlignment="1">
      <alignment horizontal="right"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58A7B-5E59-49BE-A169-25506C350572}">
  <dimension ref="A1:AB68"/>
  <sheetViews>
    <sheetView tabSelected="1" workbookViewId="0">
      <selection activeCell="C13" sqref="C13"/>
    </sheetView>
  </sheetViews>
  <sheetFormatPr defaultRowHeight="15.05"/>
  <cols>
    <col min="1" max="1" width="22.44140625" bestFit="1" customWidth="1"/>
    <col min="2" max="2" width="10.44140625" bestFit="1" customWidth="1"/>
    <col min="4" max="4" width="10" bestFit="1" customWidth="1"/>
    <col min="5" max="5" width="8.6640625" customWidth="1"/>
    <col min="6" max="6" width="10" customWidth="1"/>
    <col min="7" max="7" width="12.88671875" style="34" bestFit="1" customWidth="1"/>
    <col min="8" max="8" width="12.88671875" style="34" customWidth="1"/>
    <col min="9" max="9" width="8.44140625" customWidth="1"/>
    <col min="11" max="11" width="16.77734375" bestFit="1" customWidth="1"/>
  </cols>
  <sheetData>
    <row r="1" spans="1:28">
      <c r="A1" s="36" t="s">
        <v>21</v>
      </c>
      <c r="B1" s="77" t="s">
        <v>0</v>
      </c>
      <c r="C1" s="77" t="s">
        <v>1</v>
      </c>
      <c r="D1" s="77" t="s">
        <v>2</v>
      </c>
      <c r="E1" s="77" t="s">
        <v>104</v>
      </c>
      <c r="F1" s="77" t="s">
        <v>50</v>
      </c>
      <c r="G1" s="37" t="s">
        <v>68</v>
      </c>
      <c r="H1" s="37"/>
      <c r="K1" s="57" t="s">
        <v>109</v>
      </c>
      <c r="L1" s="35">
        <v>2019</v>
      </c>
      <c r="M1" s="1">
        <v>2020</v>
      </c>
      <c r="N1" s="1">
        <f>M1+1</f>
        <v>2021</v>
      </c>
      <c r="O1" s="1">
        <f t="shared" ref="O1:AB1" si="0">N1+1</f>
        <v>2022</v>
      </c>
      <c r="P1" s="1">
        <f t="shared" si="0"/>
        <v>2023</v>
      </c>
      <c r="Q1" s="1">
        <f t="shared" si="0"/>
        <v>2024</v>
      </c>
      <c r="R1" s="1">
        <f t="shared" si="0"/>
        <v>2025</v>
      </c>
      <c r="S1" s="1">
        <f t="shared" si="0"/>
        <v>2026</v>
      </c>
      <c r="T1" s="1">
        <f t="shared" si="0"/>
        <v>2027</v>
      </c>
      <c r="U1" s="1">
        <f t="shared" si="0"/>
        <v>2028</v>
      </c>
      <c r="V1" s="1">
        <f t="shared" si="0"/>
        <v>2029</v>
      </c>
      <c r="W1" s="1">
        <f t="shared" si="0"/>
        <v>2030</v>
      </c>
      <c r="X1" s="1">
        <f t="shared" si="0"/>
        <v>2031</v>
      </c>
      <c r="Y1" s="1">
        <f t="shared" si="0"/>
        <v>2032</v>
      </c>
      <c r="Z1" s="1">
        <f t="shared" si="0"/>
        <v>2033</v>
      </c>
      <c r="AA1" s="1">
        <f t="shared" si="0"/>
        <v>2034</v>
      </c>
      <c r="AB1" s="1">
        <f t="shared" si="0"/>
        <v>2035</v>
      </c>
    </row>
    <row r="2" spans="1:28">
      <c r="A2" s="1" t="s">
        <v>71</v>
      </c>
      <c r="B2">
        <v>201.3</v>
      </c>
      <c r="C2">
        <v>261.5</v>
      </c>
      <c r="D2">
        <v>226.8</v>
      </c>
      <c r="F2">
        <v>24</v>
      </c>
      <c r="G2" s="34" t="s">
        <v>72</v>
      </c>
      <c r="K2" s="34" t="s">
        <v>4</v>
      </c>
      <c r="L2" s="34">
        <f>C16</f>
        <v>1410</v>
      </c>
      <c r="M2" s="52">
        <f t="shared" ref="M2:AB2" si="1">L2*(1+$M$3)</f>
        <v>1480.5</v>
      </c>
      <c r="N2" s="52">
        <f t="shared" si="1"/>
        <v>1554.5250000000001</v>
      </c>
      <c r="O2" s="52">
        <f t="shared" si="1"/>
        <v>1632.2512500000003</v>
      </c>
      <c r="P2" s="52">
        <f t="shared" si="1"/>
        <v>1713.8638125000004</v>
      </c>
      <c r="Q2" s="52">
        <f t="shared" si="1"/>
        <v>1799.5570031250006</v>
      </c>
      <c r="R2" s="52">
        <f t="shared" si="1"/>
        <v>1889.5348532812507</v>
      </c>
      <c r="S2" s="52">
        <f t="shared" si="1"/>
        <v>1984.0115959453133</v>
      </c>
      <c r="T2" s="52">
        <f t="shared" si="1"/>
        <v>2083.2121757425789</v>
      </c>
      <c r="U2" s="52">
        <f t="shared" si="1"/>
        <v>2187.372784529708</v>
      </c>
      <c r="V2" s="52">
        <f t="shared" si="1"/>
        <v>2296.7414237561934</v>
      </c>
      <c r="W2" s="52">
        <f t="shared" si="1"/>
        <v>2411.5784949440031</v>
      </c>
      <c r="X2" s="52">
        <f t="shared" si="1"/>
        <v>2532.1574196912034</v>
      </c>
      <c r="Y2" s="52">
        <f t="shared" si="1"/>
        <v>2658.7652906757635</v>
      </c>
      <c r="Z2" s="52">
        <f t="shared" si="1"/>
        <v>2791.7035552095517</v>
      </c>
      <c r="AA2" s="52">
        <f t="shared" si="1"/>
        <v>2931.2887329700293</v>
      </c>
      <c r="AB2" s="52">
        <f t="shared" si="1"/>
        <v>3077.853169618531</v>
      </c>
    </row>
    <row r="3" spans="1:28">
      <c r="A3" s="2" t="s">
        <v>70</v>
      </c>
      <c r="B3" s="32">
        <f>(B2/102)^(1/3.5)-1</f>
        <v>0.21438198279359577</v>
      </c>
      <c r="C3" s="32">
        <f>(C2/125.5)^(1/3.5)-1</f>
        <v>0.23337092114750768</v>
      </c>
      <c r="D3" s="32">
        <f>(D2/139.4)^(1/3.5)-1</f>
        <v>0.14919668541538211</v>
      </c>
      <c r="E3" s="32"/>
      <c r="F3" s="32">
        <f>(F2/18.7)^(1/3)-1</f>
        <v>8.6733892248246347E-2</v>
      </c>
      <c r="K3" s="34"/>
      <c r="L3" s="34" t="s">
        <v>95</v>
      </c>
      <c r="M3" s="40">
        <v>0.05</v>
      </c>
    </row>
    <row r="4" spans="1:28">
      <c r="A4" s="35" t="s">
        <v>107</v>
      </c>
      <c r="B4" s="48">
        <v>1167.2</v>
      </c>
      <c r="C4" s="48">
        <v>1001.3</v>
      </c>
      <c r="D4" s="48">
        <v>745.05</v>
      </c>
      <c r="E4" s="48">
        <f>E16*D6</f>
        <v>14193.109600997506</v>
      </c>
      <c r="F4" s="48">
        <f>F5*F2</f>
        <v>48</v>
      </c>
      <c r="G4" s="34" t="s">
        <v>106</v>
      </c>
      <c r="K4" s="34" t="s">
        <v>105</v>
      </c>
      <c r="L4" s="49">
        <v>7.4999999999999997E-2</v>
      </c>
      <c r="M4" s="52">
        <f t="shared" ref="M4:AB4" si="2">M2*$L$4</f>
        <v>111.03749999999999</v>
      </c>
      <c r="N4" s="52">
        <f t="shared" si="2"/>
        <v>116.589375</v>
      </c>
      <c r="O4" s="52">
        <f t="shared" si="2"/>
        <v>122.41884375000001</v>
      </c>
      <c r="P4" s="52">
        <f t="shared" si="2"/>
        <v>128.53978593750003</v>
      </c>
      <c r="Q4" s="52">
        <f t="shared" si="2"/>
        <v>134.96677523437504</v>
      </c>
      <c r="R4" s="52">
        <f t="shared" si="2"/>
        <v>141.71511399609381</v>
      </c>
      <c r="S4" s="52">
        <f t="shared" si="2"/>
        <v>148.80086969589848</v>
      </c>
      <c r="T4" s="52">
        <f t="shared" si="2"/>
        <v>156.24091318069341</v>
      </c>
      <c r="U4" s="52">
        <f t="shared" si="2"/>
        <v>164.05295883972809</v>
      </c>
      <c r="V4" s="52">
        <f t="shared" si="2"/>
        <v>172.2556067817145</v>
      </c>
      <c r="W4" s="52">
        <f t="shared" si="2"/>
        <v>180.86838712080024</v>
      </c>
      <c r="X4" s="52">
        <f t="shared" si="2"/>
        <v>189.91180647684024</v>
      </c>
      <c r="Y4" s="52">
        <f t="shared" si="2"/>
        <v>199.40739680068225</v>
      </c>
      <c r="Z4" s="52">
        <f t="shared" si="2"/>
        <v>209.37776664071637</v>
      </c>
      <c r="AA4" s="52">
        <f t="shared" si="2"/>
        <v>219.84665497275219</v>
      </c>
      <c r="AB4" s="52">
        <f t="shared" si="2"/>
        <v>230.8389877213898</v>
      </c>
    </row>
    <row r="5" spans="1:28">
      <c r="A5" s="35" t="s">
        <v>88</v>
      </c>
      <c r="B5" s="38">
        <f>B4/B2</f>
        <v>5.7983109786388471</v>
      </c>
      <c r="C5" s="38">
        <f>C4/C2</f>
        <v>3.8290630975143403</v>
      </c>
      <c r="D5" s="38">
        <f>D4/D2</f>
        <v>3.2850529100529098</v>
      </c>
      <c r="E5" s="38"/>
      <c r="F5" s="78">
        <v>2</v>
      </c>
      <c r="K5" s="34" t="s">
        <v>94</v>
      </c>
      <c r="L5" s="49">
        <v>0.15</v>
      </c>
      <c r="M5" s="51">
        <f t="shared" ref="M5:AB5" si="3">M4/(1+$L$5)^(M1-$L$1)</f>
        <v>96.554347826086953</v>
      </c>
      <c r="N5" s="51">
        <f t="shared" si="3"/>
        <v>88.158317580340281</v>
      </c>
      <c r="O5" s="51">
        <f t="shared" si="3"/>
        <v>80.492376921180266</v>
      </c>
      <c r="P5" s="51">
        <f t="shared" si="3"/>
        <v>73.493039797599394</v>
      </c>
      <c r="Q5" s="51">
        <f t="shared" si="3"/>
        <v>67.10234068476467</v>
      </c>
      <c r="R5" s="51">
        <f t="shared" si="3"/>
        <v>61.267354538263405</v>
      </c>
      <c r="S5" s="51">
        <f t="shared" si="3"/>
        <v>55.939758491457901</v>
      </c>
      <c r="T5" s="51">
        <f t="shared" si="3"/>
        <v>51.075431666113737</v>
      </c>
      <c r="U5" s="51">
        <f t="shared" si="3"/>
        <v>46.63408978210385</v>
      </c>
      <c r="V5" s="51">
        <f t="shared" si="3"/>
        <v>42.578951540181784</v>
      </c>
      <c r="W5" s="51">
        <f t="shared" si="3"/>
        <v>38.876434014948586</v>
      </c>
      <c r="X5" s="51">
        <f t="shared" si="3"/>
        <v>35.495874535387848</v>
      </c>
      <c r="Y5" s="51">
        <f t="shared" si="3"/>
        <v>32.409276749701945</v>
      </c>
      <c r="Z5" s="51">
        <f t="shared" si="3"/>
        <v>29.591078771466996</v>
      </c>
      <c r="AA5" s="51">
        <f t="shared" si="3"/>
        <v>27.01794148699161</v>
      </c>
      <c r="AB5" s="51">
        <f t="shared" si="3"/>
        <v>24.668555270731478</v>
      </c>
    </row>
    <row r="6" spans="1:28">
      <c r="A6" s="35" t="s">
        <v>89</v>
      </c>
      <c r="B6" s="38">
        <f>B4/B16</f>
        <v>0.9296694544006372</v>
      </c>
      <c r="C6" s="38">
        <f t="shared" ref="C6:D6" si="4">C4/C16</f>
        <v>0.71014184397163116</v>
      </c>
      <c r="D6" s="38">
        <f t="shared" si="4"/>
        <v>0.46449501246882791</v>
      </c>
      <c r="E6" s="38"/>
      <c r="F6" s="38"/>
      <c r="K6" s="34"/>
      <c r="L6" s="34" t="s">
        <v>96</v>
      </c>
      <c r="M6" s="51">
        <f>SUM(M5:AB5)</f>
        <v>851.35516965732086</v>
      </c>
    </row>
    <row r="7" spans="1:28">
      <c r="A7" s="2"/>
      <c r="B7" s="32"/>
      <c r="C7" s="32"/>
      <c r="D7" s="32"/>
      <c r="E7" s="32"/>
      <c r="F7" s="32"/>
      <c r="K7" s="34" t="s">
        <v>87</v>
      </c>
      <c r="L7" s="34"/>
      <c r="M7" s="48">
        <f>C4</f>
        <v>1001.3</v>
      </c>
    </row>
    <row r="8" spans="1:28">
      <c r="A8" s="1" t="s">
        <v>66</v>
      </c>
      <c r="B8">
        <v>15.37</v>
      </c>
      <c r="C8">
        <v>17.190000000000001</v>
      </c>
      <c r="D8">
        <v>13.28</v>
      </c>
      <c r="G8" s="34" t="s">
        <v>69</v>
      </c>
      <c r="K8" s="34" t="s">
        <v>110</v>
      </c>
    </row>
    <row r="9" spans="1:28">
      <c r="A9" s="2" t="s">
        <v>67</v>
      </c>
      <c r="B9" s="32">
        <f>B8/12.82-1</f>
        <v>0.19890795631825253</v>
      </c>
      <c r="C9" s="32">
        <f>C8/13.85-1</f>
        <v>0.24115523465703981</v>
      </c>
      <c r="D9" s="32">
        <f>D8/12.86-1</f>
        <v>3.2659409020217689E-2</v>
      </c>
      <c r="E9" s="32"/>
      <c r="F9" s="32"/>
    </row>
    <row r="10" spans="1:28">
      <c r="A10" s="1" t="s">
        <v>3</v>
      </c>
      <c r="B10" s="33">
        <v>0.24360000000000001</v>
      </c>
      <c r="C10" s="33">
        <v>0.17699999999999999</v>
      </c>
      <c r="D10" s="32">
        <v>0.17</v>
      </c>
      <c r="E10" s="32"/>
      <c r="F10" s="32"/>
    </row>
    <row r="11" spans="1:28">
      <c r="A11" s="1" t="s">
        <v>75</v>
      </c>
      <c r="B11" s="56">
        <v>5.0999999999999996</v>
      </c>
      <c r="C11" s="56">
        <v>2.4</v>
      </c>
      <c r="D11" s="56">
        <v>0.49</v>
      </c>
      <c r="E11" s="56">
        <v>28.69</v>
      </c>
      <c r="F11" s="56"/>
    </row>
    <row r="12" spans="1:28">
      <c r="A12" s="2" t="s">
        <v>70</v>
      </c>
      <c r="B12" s="32">
        <f>(B11/1.5)^(1/3)-1</f>
        <v>0.50369459620497481</v>
      </c>
      <c r="C12" s="32">
        <f>(C11/0.9)^(1/3)-1</f>
        <v>0.38672254870126932</v>
      </c>
      <c r="D12" s="32">
        <f>(D11/0.397)^(1/3)-1</f>
        <v>7.2675902620735089E-2</v>
      </c>
      <c r="E12" s="32">
        <f>(E11/28.81)^(1/3)-1</f>
        <v>-1.3903389497270657E-3</v>
      </c>
      <c r="F12" s="32"/>
    </row>
    <row r="13" spans="1:28">
      <c r="A13" s="1" t="s">
        <v>76</v>
      </c>
      <c r="B13">
        <v>149.69999999999999</v>
      </c>
      <c r="C13">
        <v>97.1</v>
      </c>
      <c r="D13">
        <v>77.989999999999995</v>
      </c>
      <c r="G13" s="34" t="s">
        <v>77</v>
      </c>
      <c r="K13" t="s">
        <v>110</v>
      </c>
    </row>
    <row r="14" spans="1:28">
      <c r="A14" s="2" t="s">
        <v>70</v>
      </c>
      <c r="B14" s="32">
        <f>(B13/64.88)^(1/3)-1</f>
        <v>0.32140816617922074</v>
      </c>
      <c r="C14" s="32">
        <f>(C13/50.45)^(1/3)-1</f>
        <v>0.24390158091345016</v>
      </c>
      <c r="D14" s="46">
        <v>0.14699999999999999</v>
      </c>
      <c r="E14" s="33"/>
      <c r="F14" s="33"/>
    </row>
    <row r="15" spans="1:28">
      <c r="A15" s="2"/>
      <c r="B15" s="32"/>
    </row>
    <row r="16" spans="1:28">
      <c r="A16" s="1" t="s">
        <v>73</v>
      </c>
      <c r="B16">
        <v>1255.5</v>
      </c>
      <c r="C16">
        <v>1410</v>
      </c>
      <c r="D16">
        <v>1604</v>
      </c>
      <c r="E16">
        <f>30556</f>
        <v>30556</v>
      </c>
      <c r="F16" s="52">
        <f>145.6</f>
        <v>145.6</v>
      </c>
    </row>
    <row r="17" spans="1:11">
      <c r="A17" s="2" t="s">
        <v>70</v>
      </c>
      <c r="B17" s="32">
        <f>(B16/742)^(1/3)-1</f>
        <v>0.19161950659576998</v>
      </c>
      <c r="C17" s="32">
        <f>(C16/798)^(1/3)-1</f>
        <v>0.2089418368219651</v>
      </c>
      <c r="D17" s="32">
        <f>(D16/1039)^(1/3)-1</f>
        <v>0.1557474364216862</v>
      </c>
      <c r="E17" s="32">
        <f>(E16/21708)^(1/3)-1</f>
        <v>0.12070737395024089</v>
      </c>
      <c r="F17" s="32">
        <f>(F16/96)^(1/3)-1</f>
        <v>0.1489383186228137</v>
      </c>
      <c r="H17" s="53"/>
    </row>
    <row r="18" spans="1:11">
      <c r="A18" s="1" t="s">
        <v>5</v>
      </c>
      <c r="B18" s="55">
        <v>0.38</v>
      </c>
      <c r="C18" s="55">
        <v>0.49</v>
      </c>
      <c r="D18" s="55">
        <v>0.43</v>
      </c>
      <c r="E18" s="32"/>
      <c r="F18" s="32"/>
    </row>
    <row r="19" spans="1:11">
      <c r="A19" s="1"/>
    </row>
    <row r="20" spans="1:11">
      <c r="A20" s="1" t="s">
        <v>6</v>
      </c>
    </row>
    <row r="21" spans="1:11">
      <c r="A21" s="2" t="s">
        <v>7</v>
      </c>
      <c r="B21" s="32">
        <v>0.87</v>
      </c>
      <c r="C21" s="33">
        <v>0.85070000000000001</v>
      </c>
      <c r="D21" s="46">
        <v>0.874</v>
      </c>
      <c r="E21" s="46">
        <v>0.77</v>
      </c>
      <c r="F21" s="46">
        <v>0.71</v>
      </c>
    </row>
    <row r="22" spans="1:11">
      <c r="A22" s="2" t="s">
        <v>74</v>
      </c>
      <c r="B22" s="32">
        <v>0.52</v>
      </c>
      <c r="C22" s="33">
        <v>0.57230000000000003</v>
      </c>
      <c r="D22" s="46">
        <v>0.56799999999999995</v>
      </c>
      <c r="E22" s="46">
        <v>0.63</v>
      </c>
      <c r="F22" s="46">
        <v>0.49</v>
      </c>
    </row>
    <row r="23" spans="1:11">
      <c r="A23" s="3" t="s">
        <v>80</v>
      </c>
      <c r="B23" s="32">
        <v>0.99029999999999996</v>
      </c>
      <c r="C23" s="33">
        <v>0.97819999999999996</v>
      </c>
      <c r="D23" s="46">
        <v>0.98599999999999999</v>
      </c>
      <c r="E23" s="46">
        <v>0.99</v>
      </c>
      <c r="F23" s="46"/>
    </row>
    <row r="24" spans="1:11">
      <c r="A24" s="3" t="s">
        <v>81</v>
      </c>
      <c r="B24" s="44" t="s">
        <v>82</v>
      </c>
      <c r="C24" s="47" t="s">
        <v>84</v>
      </c>
      <c r="D24" s="45" t="s">
        <v>83</v>
      </c>
      <c r="E24" s="45"/>
      <c r="F24" s="45"/>
      <c r="K24" s="32"/>
    </row>
    <row r="25" spans="1:11">
      <c r="A25" s="2"/>
    </row>
    <row r="26" spans="1:11">
      <c r="A26" s="3" t="s">
        <v>85</v>
      </c>
    </row>
    <row r="27" spans="1:11">
      <c r="A27" s="2" t="s">
        <v>13</v>
      </c>
      <c r="B27" s="40">
        <v>0.44</v>
      </c>
      <c r="C27" s="40">
        <v>0.11899999999999999</v>
      </c>
      <c r="D27" s="43">
        <v>0.20599999999999999</v>
      </c>
      <c r="E27" s="43" t="s">
        <v>113</v>
      </c>
      <c r="F27" s="43"/>
    </row>
    <row r="28" spans="1:11">
      <c r="A28" s="2" t="s">
        <v>78</v>
      </c>
      <c r="B28" s="40">
        <f>SUM(B29:B32)</f>
        <v>0.56000000000000005</v>
      </c>
      <c r="C28" s="40">
        <f>1-C27</f>
        <v>0.88100000000000001</v>
      </c>
      <c r="D28" s="43">
        <f>1-D27</f>
        <v>0.79400000000000004</v>
      </c>
      <c r="E28" s="43"/>
      <c r="F28" s="43"/>
    </row>
    <row r="29" spans="1:11">
      <c r="A29" s="39" t="s">
        <v>14</v>
      </c>
      <c r="B29" s="32">
        <v>0.21</v>
      </c>
      <c r="C29" s="32">
        <v>0.53</v>
      </c>
      <c r="D29" s="33">
        <v>0.79600000000000004</v>
      </c>
      <c r="E29" s="33"/>
      <c r="F29" s="33"/>
    </row>
    <row r="30" spans="1:11">
      <c r="A30" s="39" t="s">
        <v>17</v>
      </c>
      <c r="B30" s="32">
        <v>0.06</v>
      </c>
      <c r="C30" s="32">
        <v>0.128</v>
      </c>
      <c r="D30" s="33">
        <v>8.5999999999999993E-2</v>
      </c>
      <c r="E30" s="33"/>
      <c r="F30" s="33"/>
    </row>
    <row r="31" spans="1:11">
      <c r="A31" s="39" t="s">
        <v>15</v>
      </c>
      <c r="B31" s="32">
        <v>0.05</v>
      </c>
      <c r="C31" s="46">
        <v>1.6E-2</v>
      </c>
      <c r="D31" s="33">
        <v>1.2E-2</v>
      </c>
      <c r="E31" s="33"/>
      <c r="F31" s="33"/>
    </row>
    <row r="32" spans="1:11">
      <c r="A32" s="39" t="s">
        <v>86</v>
      </c>
      <c r="B32" s="32">
        <v>0.24</v>
      </c>
      <c r="C32" s="46">
        <v>0.20699999999999999</v>
      </c>
      <c r="D32" s="33">
        <v>1.2999999999999999E-2</v>
      </c>
      <c r="E32" s="33"/>
      <c r="F32" s="33"/>
    </row>
    <row r="33" spans="1:9">
      <c r="A33" s="2"/>
    </row>
    <row r="34" spans="1:9">
      <c r="A34" s="1" t="s">
        <v>8</v>
      </c>
    </row>
    <row r="35" spans="1:9">
      <c r="A35" s="1" t="s">
        <v>16</v>
      </c>
      <c r="B35" s="40">
        <v>0.49</v>
      </c>
      <c r="C35" s="40">
        <f>1-C36</f>
        <v>-9.9999999999988987E-4</v>
      </c>
      <c r="D35" s="40">
        <f>1-D36</f>
        <v>4.6999999999999931E-2</v>
      </c>
      <c r="E35" s="40">
        <f>911/1421</f>
        <v>0.64109781843771996</v>
      </c>
      <c r="F35" s="40"/>
    </row>
    <row r="36" spans="1:9">
      <c r="A36" s="1" t="s">
        <v>79</v>
      </c>
      <c r="B36" s="40">
        <f>SUM(B37:B40)</f>
        <v>0.51</v>
      </c>
      <c r="C36" s="40">
        <f>SUM(C37:C40)</f>
        <v>1.0009999999999999</v>
      </c>
      <c r="D36" s="40">
        <f>SUM(D37:D40)</f>
        <v>0.95300000000000007</v>
      </c>
      <c r="E36" s="40">
        <f>SUM(E37:E40)</f>
        <v>0.35812807881773401</v>
      </c>
      <c r="F36" s="40"/>
    </row>
    <row r="37" spans="1:9">
      <c r="A37" s="41" t="s">
        <v>9</v>
      </c>
      <c r="B37" s="32">
        <v>0.26</v>
      </c>
      <c r="C37" s="32">
        <v>0.63800000000000001</v>
      </c>
      <c r="D37" s="33">
        <v>0.55700000000000005</v>
      </c>
      <c r="E37" s="32">
        <f>12.6/1421</f>
        <v>8.8669950738916245E-3</v>
      </c>
      <c r="F37" s="32"/>
      <c r="I37" s="33"/>
    </row>
    <row r="38" spans="1:9">
      <c r="A38" s="42" t="s">
        <v>10</v>
      </c>
      <c r="B38" s="32">
        <v>0.02</v>
      </c>
      <c r="C38" s="32">
        <v>0.21299999999999999</v>
      </c>
      <c r="D38" s="33">
        <v>5.8999999999999997E-2</v>
      </c>
      <c r="E38" s="32">
        <v>0</v>
      </c>
      <c r="F38" s="32"/>
      <c r="I38" s="33"/>
    </row>
    <row r="39" spans="1:9">
      <c r="A39" s="42" t="s">
        <v>11</v>
      </c>
      <c r="B39" s="32">
        <v>7.0000000000000007E-2</v>
      </c>
      <c r="C39" s="32">
        <v>0.14000000000000001</v>
      </c>
      <c r="D39" s="33">
        <v>0.217</v>
      </c>
      <c r="E39" s="32">
        <f>(488+0.6)/1421</f>
        <v>0.34384236453201972</v>
      </c>
      <c r="F39" s="32"/>
      <c r="I39" s="33"/>
    </row>
    <row r="40" spans="1:9">
      <c r="A40" s="42" t="s">
        <v>12</v>
      </c>
      <c r="B40" s="32">
        <v>0.16</v>
      </c>
      <c r="C40" s="32">
        <v>0.01</v>
      </c>
      <c r="D40" s="32">
        <v>0.12</v>
      </c>
      <c r="E40" s="32">
        <f>7.7/1421</f>
        <v>5.4187192118226599E-3</v>
      </c>
      <c r="F40" s="32"/>
      <c r="I40" s="32"/>
    </row>
    <row r="42" spans="1:9">
      <c r="A42" t="s">
        <v>18</v>
      </c>
      <c r="B42" s="33">
        <v>0.13200000000000001</v>
      </c>
      <c r="C42" s="33">
        <v>0.1052</v>
      </c>
      <c r="D42" s="33">
        <v>0.151</v>
      </c>
      <c r="E42" s="33">
        <f>(193+291)/3375</f>
        <v>0.1434074074074074</v>
      </c>
      <c r="F42" s="33">
        <v>0.20300000000000001</v>
      </c>
    </row>
    <row r="43" spans="1:9">
      <c r="A43" t="s">
        <v>19</v>
      </c>
      <c r="B43">
        <f>90.27</f>
        <v>90.27</v>
      </c>
      <c r="C43">
        <v>111.2</v>
      </c>
      <c r="D43" s="38">
        <v>102.1</v>
      </c>
      <c r="E43" s="48">
        <f>1978+299.5-62.7+11.8</f>
        <v>2226.6000000000004</v>
      </c>
      <c r="F43" s="38">
        <v>9.69</v>
      </c>
      <c r="G43" s="53"/>
    </row>
    <row r="44" spans="1:9">
      <c r="A44" t="s">
        <v>20</v>
      </c>
      <c r="B44" s="46">
        <f>B43/B16</f>
        <v>7.1899641577060927E-2</v>
      </c>
      <c r="C44" s="46">
        <f>C43/C16</f>
        <v>7.886524822695036E-2</v>
      </c>
      <c r="D44" s="46">
        <f>D43/D16</f>
        <v>6.3653366583541149E-2</v>
      </c>
      <c r="E44" s="46">
        <f>E43/E16</f>
        <v>7.2869485534755876E-2</v>
      </c>
      <c r="F44" s="46">
        <f>F43/F16</f>
        <v>6.6552197802197802E-2</v>
      </c>
    </row>
    <row r="46" spans="1:9">
      <c r="A46" t="s">
        <v>90</v>
      </c>
      <c r="B46">
        <v>98</v>
      </c>
      <c r="C46">
        <f>134</f>
        <v>134</v>
      </c>
      <c r="D46">
        <v>113</v>
      </c>
      <c r="F46">
        <v>6.91</v>
      </c>
    </row>
    <row r="47" spans="1:9">
      <c r="A47" t="s">
        <v>87</v>
      </c>
      <c r="B47" s="48">
        <f>B4</f>
        <v>1167.2</v>
      </c>
      <c r="C47" s="48">
        <f>C4</f>
        <v>1001.3</v>
      </c>
      <c r="D47" s="48">
        <f>D4</f>
        <v>745.05</v>
      </c>
      <c r="E47" s="48">
        <f>E4</f>
        <v>14193.109600997506</v>
      </c>
      <c r="F47" s="38">
        <f>F48*F46</f>
        <v>41.46</v>
      </c>
    </row>
    <row r="48" spans="1:9">
      <c r="A48" t="s">
        <v>91</v>
      </c>
      <c r="B48" s="38">
        <f>B47/B46</f>
        <v>11.910204081632653</v>
      </c>
      <c r="C48" s="38">
        <f>C47/C46</f>
        <v>7.4723880597014922</v>
      </c>
      <c r="D48" s="38">
        <f>D47/D46</f>
        <v>6.593362831858407</v>
      </c>
      <c r="E48" s="38"/>
      <c r="F48" s="78">
        <v>6</v>
      </c>
    </row>
    <row r="51" spans="1:9">
      <c r="A51" t="s">
        <v>92</v>
      </c>
      <c r="B51">
        <f>143</f>
        <v>143</v>
      </c>
      <c r="C51">
        <v>146</v>
      </c>
      <c r="D51">
        <v>154</v>
      </c>
      <c r="E51">
        <f>2942</f>
        <v>2942</v>
      </c>
      <c r="F51">
        <v>11.9</v>
      </c>
    </row>
    <row r="52" spans="1:9">
      <c r="A52" t="s">
        <v>4</v>
      </c>
      <c r="B52">
        <f>B16</f>
        <v>1255.5</v>
      </c>
      <c r="C52">
        <f>C16</f>
        <v>1410</v>
      </c>
      <c r="D52">
        <f>D16</f>
        <v>1604</v>
      </c>
      <c r="E52">
        <f>E16</f>
        <v>30556</v>
      </c>
      <c r="F52" s="52">
        <f>F16</f>
        <v>145.6</v>
      </c>
    </row>
    <row r="53" spans="1:9">
      <c r="A53" t="s">
        <v>93</v>
      </c>
      <c r="B53" s="46">
        <f>B51/B52</f>
        <v>0.11389884508164078</v>
      </c>
      <c r="C53" s="46">
        <f>C51/C52</f>
        <v>0.10354609929078014</v>
      </c>
      <c r="D53" s="46">
        <f>D51/D52</f>
        <v>9.6009975062344141E-2</v>
      </c>
      <c r="E53" s="46">
        <f>E51/E52</f>
        <v>9.6282235894750628E-2</v>
      </c>
      <c r="F53" s="46">
        <f>F51/F52</f>
        <v>8.1730769230769232E-2</v>
      </c>
    </row>
    <row r="56" spans="1:9">
      <c r="A56" t="s">
        <v>97</v>
      </c>
      <c r="B56" s="33">
        <v>1.11E-2</v>
      </c>
      <c r="C56" s="33">
        <v>1.0200000000000001E-2</v>
      </c>
      <c r="D56" s="33">
        <v>7.7000000000000002E-3</v>
      </c>
      <c r="E56" s="33">
        <f>26/E52</f>
        <v>8.5089671422961118E-4</v>
      </c>
      <c r="F56" s="33">
        <f>0.149/F52</f>
        <v>1.0233516483516484E-3</v>
      </c>
    </row>
    <row r="57" spans="1:9">
      <c r="A57" t="s">
        <v>98</v>
      </c>
      <c r="B57" s="50">
        <f>124343/5658</f>
        <v>21.976493460586781</v>
      </c>
      <c r="C57" s="51">
        <f>143678/7944</f>
        <v>18.086354481369586</v>
      </c>
      <c r="D57" s="51">
        <f>158276/7322</f>
        <v>21.616498224528819</v>
      </c>
      <c r="E57" s="51">
        <f>30550/6</f>
        <v>5091.666666666667</v>
      </c>
      <c r="F57" s="51">
        <f>(F52-18.5)/18.5</f>
        <v>6.8702702702702698</v>
      </c>
    </row>
    <row r="59" spans="1:9">
      <c r="A59" t="s">
        <v>99</v>
      </c>
      <c r="B59" s="54">
        <f>B57*B56</f>
        <v>0.24393907741251328</v>
      </c>
      <c r="C59" s="54">
        <f>C57*C56</f>
        <v>0.1844808157099698</v>
      </c>
      <c r="D59" s="54">
        <f>D57*D56</f>
        <v>0.16644703632887192</v>
      </c>
      <c r="E59" s="54">
        <f>26/6</f>
        <v>4.333333333333333</v>
      </c>
      <c r="F59" s="54">
        <f>F57*F56</f>
        <v>7.0307024057024055E-3</v>
      </c>
    </row>
    <row r="61" spans="1:9">
      <c r="A61" t="s">
        <v>108</v>
      </c>
    </row>
    <row r="62" spans="1:9">
      <c r="A62" s="41" t="s">
        <v>103</v>
      </c>
      <c r="B62" s="32">
        <f>142/B52</f>
        <v>0.11310234966148945</v>
      </c>
      <c r="C62" s="46">
        <f>191/C52</f>
        <v>0.13546099290780142</v>
      </c>
      <c r="D62" s="46">
        <f>205/D52</f>
        <v>0.12780548628428928</v>
      </c>
      <c r="E62" s="32">
        <f>1951/E52</f>
        <v>6.3849980363921977E-2</v>
      </c>
      <c r="F62" s="32"/>
      <c r="I62" s="68"/>
    </row>
    <row r="63" spans="1:9">
      <c r="A63" s="41" t="s">
        <v>100</v>
      </c>
      <c r="B63" s="46">
        <f>B44</f>
        <v>7.1899641577060927E-2</v>
      </c>
      <c r="C63" s="46">
        <f>C44</f>
        <v>7.886524822695036E-2</v>
      </c>
      <c r="D63" s="46">
        <f>D44</f>
        <v>6.3653366583541149E-2</v>
      </c>
      <c r="E63" s="46">
        <f>E44</f>
        <v>7.2869485534755876E-2</v>
      </c>
      <c r="F63" s="46"/>
    </row>
    <row r="64" spans="1:9">
      <c r="A64" s="41" t="s">
        <v>101</v>
      </c>
      <c r="B64" s="32">
        <f>(11+38.1)/B52</f>
        <v>3.910792512943051E-2</v>
      </c>
      <c r="C64" s="46">
        <f>42.8/C52</f>
        <v>3.0354609929078014E-2</v>
      </c>
      <c r="D64" s="46">
        <f>(15.5+26)/D52</f>
        <v>2.5872817955112218E-2</v>
      </c>
      <c r="E64" s="46">
        <f>(193+291)/E52</f>
        <v>1.5839769603351223E-2</v>
      </c>
      <c r="F64" s="46"/>
    </row>
    <row r="65" spans="1:6">
      <c r="A65" s="41" t="s">
        <v>102</v>
      </c>
      <c r="B65" s="32">
        <f>138.5/B52</f>
        <v>0.11031461569095978</v>
      </c>
      <c r="C65" s="46">
        <f>152/C52</f>
        <v>0.10780141843971631</v>
      </c>
      <c r="D65" s="46">
        <f>152/D52</f>
        <v>9.4763092269326679E-2</v>
      </c>
      <c r="E65" s="46">
        <f>E53</f>
        <v>9.6282235894750628E-2</v>
      </c>
      <c r="F65" s="46"/>
    </row>
    <row r="67" spans="1:6">
      <c r="A67" s="3" t="s">
        <v>111</v>
      </c>
      <c r="B67">
        <f>289+90</f>
        <v>379</v>
      </c>
      <c r="C67">
        <f>329+111</f>
        <v>440</v>
      </c>
      <c r="D67">
        <f>102+305</f>
        <v>407</v>
      </c>
      <c r="E67">
        <f>5601</f>
        <v>5601</v>
      </c>
    </row>
    <row r="68" spans="1:6">
      <c r="A68" s="35" t="s">
        <v>112</v>
      </c>
      <c r="B68" s="38">
        <f>B4/B67</f>
        <v>3.0796833773087071</v>
      </c>
      <c r="C68" s="38">
        <f t="shared" ref="C68:E68" si="5">C4/C67</f>
        <v>2.2756818181818179</v>
      </c>
      <c r="D68" s="38">
        <f t="shared" si="5"/>
        <v>1.8305896805896804</v>
      </c>
      <c r="E68" s="38">
        <f t="shared" si="5"/>
        <v>2.5340313517224615</v>
      </c>
      <c r="F68" s="38"/>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7413A-3E45-49BB-B3BB-0B6C72BB46DF}">
  <dimension ref="A1:Q21"/>
  <sheetViews>
    <sheetView workbookViewId="0">
      <selection activeCell="H21" sqref="H21:K21"/>
    </sheetView>
  </sheetViews>
  <sheetFormatPr defaultRowHeight="15.05"/>
  <cols>
    <col min="1" max="1" width="18.44140625" bestFit="1" customWidth="1"/>
    <col min="7" max="7" width="1.21875" customWidth="1"/>
    <col min="12" max="12" width="1.109375" customWidth="1"/>
    <col min="13" max="13" width="6.21875" customWidth="1"/>
    <col min="14" max="14" width="11.6640625" bestFit="1" customWidth="1"/>
    <col min="15" max="15" width="13.5546875" bestFit="1" customWidth="1"/>
    <col min="16" max="16" width="13.33203125" customWidth="1"/>
    <col min="17" max="17" width="14.33203125" customWidth="1"/>
  </cols>
  <sheetData>
    <row r="1" spans="1:17">
      <c r="A1" s="70" t="s">
        <v>122</v>
      </c>
      <c r="B1" s="70" t="s">
        <v>114</v>
      </c>
      <c r="C1" s="70" t="s">
        <v>115</v>
      </c>
      <c r="D1" s="70" t="s">
        <v>116</v>
      </c>
      <c r="E1" s="70" t="s">
        <v>117</v>
      </c>
      <c r="F1" s="70" t="s">
        <v>123</v>
      </c>
      <c r="G1" s="69"/>
      <c r="H1" s="70" t="s">
        <v>0</v>
      </c>
      <c r="I1" s="70" t="s">
        <v>1</v>
      </c>
      <c r="J1" s="70" t="s">
        <v>2</v>
      </c>
      <c r="K1" s="70" t="s">
        <v>104</v>
      </c>
      <c r="L1" s="69"/>
      <c r="M1" s="70" t="s">
        <v>127</v>
      </c>
      <c r="N1" s="70" t="s">
        <v>124</v>
      </c>
      <c r="O1" s="70" t="s">
        <v>129</v>
      </c>
      <c r="P1" s="70" t="s">
        <v>131</v>
      </c>
      <c r="Q1" s="70" t="s">
        <v>133</v>
      </c>
    </row>
    <row r="2" spans="1:17">
      <c r="A2" t="s">
        <v>118</v>
      </c>
      <c r="B2">
        <v>43.77</v>
      </c>
      <c r="C2">
        <v>47.3</v>
      </c>
      <c r="D2">
        <v>56.77</v>
      </c>
      <c r="E2">
        <v>93.11</v>
      </c>
      <c r="F2">
        <v>57.35</v>
      </c>
      <c r="H2" s="48">
        <f>Summary!B4/75</f>
        <v>15.562666666666667</v>
      </c>
      <c r="I2" s="48">
        <f>Summary!C4/75</f>
        <v>13.350666666666665</v>
      </c>
      <c r="J2" s="48">
        <f>Summary!D4/75</f>
        <v>9.9339999999999993</v>
      </c>
      <c r="K2" s="48">
        <f>Summary!E4/75</f>
        <v>189.24146134663343</v>
      </c>
      <c r="N2">
        <v>335.9</v>
      </c>
      <c r="O2">
        <v>152</v>
      </c>
      <c r="P2">
        <v>109</v>
      </c>
      <c r="Q2">
        <v>1790</v>
      </c>
    </row>
    <row r="3" spans="1:17">
      <c r="A3" t="s">
        <v>119</v>
      </c>
      <c r="B3">
        <v>67.5</v>
      </c>
      <c r="C3">
        <v>49.1</v>
      </c>
      <c r="D3">
        <v>58.7</v>
      </c>
      <c r="E3">
        <v>105.8</v>
      </c>
      <c r="F3">
        <v>118.2</v>
      </c>
      <c r="H3" s="38">
        <f>Summary!B67/75</f>
        <v>5.0533333333333337</v>
      </c>
      <c r="I3" s="38">
        <f>Summary!C67/75</f>
        <v>5.8666666666666663</v>
      </c>
      <c r="J3" s="38">
        <f>Summary!D67/75</f>
        <v>5.4266666666666667</v>
      </c>
      <c r="K3" s="38">
        <f>Summary!E67/75</f>
        <v>74.680000000000007</v>
      </c>
      <c r="N3">
        <v>365</v>
      </c>
      <c r="O3">
        <v>160</v>
      </c>
      <c r="P3">
        <v>673</v>
      </c>
      <c r="Q3">
        <v>983</v>
      </c>
    </row>
    <row r="4" spans="1:17">
      <c r="A4" t="s">
        <v>120</v>
      </c>
      <c r="B4" s="32">
        <f>B2/B3</f>
        <v>0.64844444444444449</v>
      </c>
      <c r="C4" s="32">
        <f>C2/C3</f>
        <v>0.96334012219959253</v>
      </c>
      <c r="D4" s="32">
        <f>D2/D3</f>
        <v>0.96712095400340714</v>
      </c>
      <c r="E4" s="32">
        <f>E2/E3</f>
        <v>0.88005671077504732</v>
      </c>
      <c r="F4" s="32">
        <f>F2/F3</f>
        <v>0.48519458544839256</v>
      </c>
      <c r="H4" s="32">
        <f>H2/H3</f>
        <v>3.0796833773087071</v>
      </c>
      <c r="I4" s="32">
        <f t="shared" ref="I4:J4" si="0">I2/I3</f>
        <v>2.2756818181818179</v>
      </c>
      <c r="J4" s="32">
        <f t="shared" si="0"/>
        <v>1.8305896805896804</v>
      </c>
      <c r="K4" s="32">
        <f t="shared" ref="K4:Q4" si="1">K2/K3</f>
        <v>2.5340313517224615</v>
      </c>
      <c r="N4" s="32">
        <f t="shared" si="1"/>
        <v>0.92027397260273969</v>
      </c>
      <c r="O4" s="32">
        <f t="shared" si="1"/>
        <v>0.95</v>
      </c>
      <c r="P4" s="32">
        <f t="shared" si="1"/>
        <v>0.16196136701337296</v>
      </c>
      <c r="Q4" s="32">
        <f t="shared" si="1"/>
        <v>1.8209562563580874</v>
      </c>
    </row>
    <row r="6" spans="1:17">
      <c r="A6" t="s">
        <v>90</v>
      </c>
      <c r="B6">
        <v>9.1999999999999993</v>
      </c>
      <c r="C6" s="38">
        <v>-0.871</v>
      </c>
      <c r="D6">
        <v>5.9</v>
      </c>
      <c r="E6">
        <v>33.9</v>
      </c>
      <c r="F6">
        <v>5</v>
      </c>
      <c r="H6" s="38">
        <f>Summary!B46/75</f>
        <v>1.3066666666666666</v>
      </c>
      <c r="I6" s="38">
        <f>Summary!C46/75</f>
        <v>1.7866666666666666</v>
      </c>
      <c r="J6" s="38">
        <f>Summary!D46/75</f>
        <v>1.5066666666666666</v>
      </c>
      <c r="K6" s="38" t="s">
        <v>38</v>
      </c>
      <c r="N6">
        <v>100.4</v>
      </c>
      <c r="O6">
        <v>27.1</v>
      </c>
      <c r="P6">
        <v>210</v>
      </c>
      <c r="Q6">
        <v>206</v>
      </c>
    </row>
    <row r="7" spans="1:17">
      <c r="A7" t="s">
        <v>91</v>
      </c>
      <c r="B7" s="38">
        <f t="shared" ref="B7:C7" si="2">B2/B6</f>
        <v>4.7576086956521744</v>
      </c>
      <c r="C7" s="38">
        <f t="shared" si="2"/>
        <v>-54.305396096440873</v>
      </c>
      <c r="D7" s="38">
        <f>D2/D6</f>
        <v>9.6220338983050855</v>
      </c>
      <c r="E7" s="38">
        <f t="shared" ref="E7:F7" si="3">E2/E6</f>
        <v>2.7466076696165191</v>
      </c>
      <c r="F7" s="38">
        <f t="shared" si="3"/>
        <v>11.47</v>
      </c>
      <c r="H7" s="38">
        <f t="shared" ref="H7" si="4">H2/H6</f>
        <v>11.910204081632653</v>
      </c>
      <c r="I7" s="38">
        <f t="shared" ref="I7" si="5">I2/I6</f>
        <v>7.4723880597014922</v>
      </c>
      <c r="J7" s="38">
        <f t="shared" ref="J7" si="6">J2/J6</f>
        <v>6.593362831858407</v>
      </c>
      <c r="N7" s="38">
        <f t="shared" ref="N7:Q7" si="7">N2/N6</f>
        <v>3.3456175298804776</v>
      </c>
      <c r="O7" s="38">
        <f t="shared" si="7"/>
        <v>5.6088560885608851</v>
      </c>
      <c r="P7" s="38">
        <f t="shared" si="7"/>
        <v>0.51904761904761909</v>
      </c>
      <c r="Q7" s="38">
        <f t="shared" si="7"/>
        <v>8.6893203883495147</v>
      </c>
    </row>
    <row r="8" spans="1:17">
      <c r="A8" t="s">
        <v>121</v>
      </c>
      <c r="B8">
        <v>687</v>
      </c>
      <c r="C8">
        <v>522</v>
      </c>
      <c r="D8">
        <v>395</v>
      </c>
      <c r="E8">
        <v>897</v>
      </c>
      <c r="F8">
        <v>930</v>
      </c>
      <c r="H8" s="38">
        <f>Summary!B16/75</f>
        <v>16.739999999999998</v>
      </c>
      <c r="I8" s="38">
        <f>Summary!C16/75</f>
        <v>18.8</v>
      </c>
      <c r="J8" s="38">
        <f>Summary!D16/75</f>
        <v>21.386666666666667</v>
      </c>
      <c r="K8" s="38">
        <f>Summary!E16/75</f>
        <v>407.41333333333336</v>
      </c>
      <c r="N8">
        <v>1335</v>
      </c>
      <c r="O8">
        <v>808</v>
      </c>
      <c r="P8">
        <v>3254</v>
      </c>
      <c r="Q8">
        <v>7142</v>
      </c>
    </row>
    <row r="10" spans="1:17">
      <c r="A10" t="s">
        <v>99</v>
      </c>
      <c r="B10" s="32">
        <f>5.9/52.7</f>
        <v>0.11195445920303605</v>
      </c>
      <c r="C10" s="71">
        <v>2.1000000000000001E-2</v>
      </c>
      <c r="D10" s="32">
        <f>3.97/30.19</f>
        <v>0.13150049685326268</v>
      </c>
      <c r="E10" s="32">
        <f>7.7/61</f>
        <v>0.12622950819672132</v>
      </c>
      <c r="F10" s="32">
        <f>1.41/62.4</f>
        <v>2.2596153846153846E-2</v>
      </c>
      <c r="H10" s="32">
        <f>Summary!B59</f>
        <v>0.24393907741251328</v>
      </c>
      <c r="I10" s="32">
        <f>Summary!C59</f>
        <v>0.1844808157099698</v>
      </c>
      <c r="J10" s="32">
        <f>Summary!D59</f>
        <v>0.16644703632887192</v>
      </c>
      <c r="K10" s="32">
        <f>Summary!E59</f>
        <v>4.333333333333333</v>
      </c>
      <c r="N10" s="32">
        <f>25.9/149</f>
        <v>0.17382550335570468</v>
      </c>
      <c r="O10" s="32">
        <f>12.6/65.5</f>
        <v>0.19236641221374046</v>
      </c>
      <c r="P10" s="32">
        <f>32.5/318</f>
        <v>0.10220125786163523</v>
      </c>
      <c r="Q10" s="32">
        <f>146/556</f>
        <v>0.26258992805755393</v>
      </c>
    </row>
    <row r="12" spans="1:17">
      <c r="A12" t="s">
        <v>125</v>
      </c>
      <c r="N12" s="32">
        <f>(353/246)^(1/3)-1</f>
        <v>0.12792407378220272</v>
      </c>
      <c r="O12" s="32">
        <f>(152/157)^(1/3)-1</f>
        <v>-1.0730441790807399E-2</v>
      </c>
      <c r="P12" s="32">
        <f>(673/540)^(1/2.75)-1</f>
        <v>8.3356475150030196E-2</v>
      </c>
      <c r="Q12" s="32">
        <f>(983/696)^(1/3)-1</f>
        <v>0.12197046879184104</v>
      </c>
    </row>
    <row r="14" spans="1:17">
      <c r="A14" t="s">
        <v>126</v>
      </c>
      <c r="N14">
        <v>309</v>
      </c>
      <c r="O14">
        <v>191</v>
      </c>
      <c r="P14">
        <v>795</v>
      </c>
      <c r="Q14">
        <v>1010</v>
      </c>
    </row>
    <row r="15" spans="1:17">
      <c r="A15" t="s">
        <v>88</v>
      </c>
      <c r="H15" s="38">
        <f>Summary!B5</f>
        <v>5.7983109786388471</v>
      </c>
      <c r="I15" s="38">
        <f>Summary!C5</f>
        <v>3.8290630975143403</v>
      </c>
      <c r="J15" s="38">
        <f>Summary!D5</f>
        <v>3.2850529100529098</v>
      </c>
      <c r="N15" s="38">
        <f>N2/N14</f>
        <v>1.0870550161812298</v>
      </c>
      <c r="O15" s="38">
        <f>O2/O14</f>
        <v>0.79581151832460728</v>
      </c>
      <c r="P15" s="38">
        <f>P2/P14</f>
        <v>0.13710691823899371</v>
      </c>
      <c r="Q15" s="38">
        <f>Q2/Q14</f>
        <v>1.7722772277227723</v>
      </c>
    </row>
    <row r="17" spans="1:17">
      <c r="A17" t="s">
        <v>128</v>
      </c>
      <c r="B17" s="32">
        <f>16.6/B8</f>
        <v>2.4163027656477438E-2</v>
      </c>
      <c r="C17" s="46">
        <f>12.24/C8</f>
        <v>2.3448275862068966E-2</v>
      </c>
      <c r="D17" s="32">
        <f>1.9/D8</f>
        <v>4.8101265822784811E-3</v>
      </c>
      <c r="E17" s="32">
        <f>17.3/E8</f>
        <v>1.9286510590858418E-2</v>
      </c>
      <c r="F17" s="32">
        <f>4.186/F8</f>
        <v>4.501075268817204E-3</v>
      </c>
      <c r="H17" s="46">
        <f>Summary!B44</f>
        <v>7.1899641577060927E-2</v>
      </c>
      <c r="I17" s="46">
        <f>Summary!C44</f>
        <v>7.886524822695036E-2</v>
      </c>
      <c r="J17" s="46">
        <f>Summary!D44</f>
        <v>6.3653366583541149E-2</v>
      </c>
      <c r="K17" s="46">
        <f>Summary!E44</f>
        <v>7.2869485534755876E-2</v>
      </c>
      <c r="N17" s="33">
        <v>5.3999999999999999E-2</v>
      </c>
      <c r="P17" s="32">
        <f>3.29%</f>
        <v>3.2899999999999999E-2</v>
      </c>
      <c r="Q17" s="33">
        <v>5.1999999999999998E-2</v>
      </c>
    </row>
    <row r="19" spans="1:17">
      <c r="A19" t="s">
        <v>130</v>
      </c>
      <c r="B19" s="33"/>
      <c r="F19" s="33">
        <v>0.39300000000000002</v>
      </c>
      <c r="H19" s="33">
        <f>Summary!B10</f>
        <v>0.24360000000000001</v>
      </c>
      <c r="I19" s="33">
        <f>Summary!C10</f>
        <v>0.17699999999999999</v>
      </c>
      <c r="J19" s="33">
        <f>Summary!D10</f>
        <v>0.17</v>
      </c>
      <c r="N19" s="32">
        <v>0.41399999999999998</v>
      </c>
      <c r="O19" s="33"/>
      <c r="P19" t="s">
        <v>132</v>
      </c>
      <c r="Q19" s="33">
        <v>0.23699999999999999</v>
      </c>
    </row>
    <row r="21" spans="1:17">
      <c r="A21" t="s">
        <v>97</v>
      </c>
      <c r="B21" s="46">
        <f>5.1/687</f>
        <v>7.4235807860262007E-3</v>
      </c>
      <c r="E21" s="32">
        <f>7.4/E8</f>
        <v>8.2497212931995547E-3</v>
      </c>
      <c r="H21" s="33">
        <f>Summary!B56</f>
        <v>1.11E-2</v>
      </c>
      <c r="I21" s="33">
        <f>Summary!C56</f>
        <v>1.0200000000000001E-2</v>
      </c>
      <c r="J21" s="33">
        <f>Summary!D56</f>
        <v>7.7000000000000002E-3</v>
      </c>
      <c r="K21" s="33">
        <f>Summary!E56</f>
        <v>8.5089671422961118E-4</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90314-D428-4DF2-8031-B69A50046E74}">
  <dimension ref="A1:AD184"/>
  <sheetViews>
    <sheetView workbookViewId="0">
      <selection activeCell="G53" sqref="G53"/>
    </sheetView>
  </sheetViews>
  <sheetFormatPr defaultRowHeight="15.05"/>
  <cols>
    <col min="2" max="2" width="24.88671875" bestFit="1" customWidth="1"/>
    <col min="9" max="9" width="19.21875" style="62" customWidth="1"/>
    <col min="10" max="16" width="8.88671875" customWidth="1"/>
    <col min="21" max="21" width="12.33203125" style="62" bestFit="1" customWidth="1"/>
    <col min="23" max="23" width="8.88671875" style="62"/>
  </cols>
  <sheetData>
    <row r="1" spans="1:30" ht="16.899999999999999" thickBot="1">
      <c r="A1" s="79" t="s">
        <v>22</v>
      </c>
      <c r="B1" s="80"/>
      <c r="C1" s="80"/>
      <c r="D1" s="80"/>
      <c r="E1" s="80"/>
      <c r="F1" s="80"/>
      <c r="G1" s="80"/>
      <c r="H1" s="80"/>
      <c r="I1" s="80"/>
      <c r="J1" s="81" t="s">
        <v>23</v>
      </c>
      <c r="K1" s="81"/>
      <c r="L1" s="81"/>
      <c r="M1" s="81"/>
      <c r="N1" s="81"/>
      <c r="O1" s="81"/>
      <c r="P1" s="81"/>
      <c r="Q1" s="81" t="s">
        <v>23</v>
      </c>
      <c r="R1" s="81"/>
      <c r="S1" s="81"/>
      <c r="T1" s="81"/>
      <c r="U1" s="81"/>
      <c r="V1" s="81"/>
      <c r="W1" s="81"/>
      <c r="X1" s="81" t="s">
        <v>23</v>
      </c>
      <c r="Y1" s="81"/>
      <c r="Z1" s="81"/>
      <c r="AA1" s="81"/>
      <c r="AB1" s="81"/>
      <c r="AC1" s="81"/>
      <c r="AD1" s="81"/>
    </row>
    <row r="2" spans="1:30" ht="16.899999999999999" thickBot="1">
      <c r="A2" s="82" t="s">
        <v>24</v>
      </c>
      <c r="B2" s="82" t="s">
        <v>25</v>
      </c>
      <c r="C2" s="84" t="s">
        <v>26</v>
      </c>
      <c r="D2" s="85"/>
      <c r="E2" s="85"/>
      <c r="F2" s="85"/>
      <c r="G2" s="85"/>
      <c r="H2" s="85"/>
      <c r="I2" s="86"/>
      <c r="J2" s="84" t="s">
        <v>27</v>
      </c>
      <c r="K2" s="85"/>
      <c r="L2" s="85"/>
      <c r="M2" s="85"/>
      <c r="N2" s="85"/>
      <c r="O2" s="85"/>
      <c r="P2" s="86"/>
      <c r="Q2" s="87" t="s">
        <v>28</v>
      </c>
      <c r="R2" s="88"/>
      <c r="S2" s="88"/>
      <c r="T2" s="88"/>
      <c r="U2" s="88"/>
      <c r="V2" s="88"/>
      <c r="W2" s="89"/>
      <c r="X2" s="87" t="s">
        <v>29</v>
      </c>
      <c r="Y2" s="88"/>
      <c r="Z2" s="88"/>
      <c r="AA2" s="88"/>
      <c r="AB2" s="88"/>
      <c r="AC2" s="88"/>
      <c r="AD2" s="89"/>
    </row>
    <row r="3" spans="1:30" ht="50.75" thickBot="1">
      <c r="A3" s="83"/>
      <c r="B3" s="83"/>
      <c r="C3" s="4" t="s">
        <v>30</v>
      </c>
      <c r="D3" s="4" t="s">
        <v>31</v>
      </c>
      <c r="E3" s="5" t="s">
        <v>32</v>
      </c>
      <c r="F3" s="4" t="s">
        <v>33</v>
      </c>
      <c r="G3" s="4" t="s">
        <v>34</v>
      </c>
      <c r="H3" s="5" t="s">
        <v>32</v>
      </c>
      <c r="I3" s="64" t="s">
        <v>35</v>
      </c>
      <c r="J3" s="4" t="s">
        <v>30</v>
      </c>
      <c r="K3" s="4" t="s">
        <v>31</v>
      </c>
      <c r="L3" s="5" t="s">
        <v>32</v>
      </c>
      <c r="M3" s="4" t="s">
        <v>33</v>
      </c>
      <c r="N3" s="4" t="s">
        <v>34</v>
      </c>
      <c r="O3" s="5" t="s">
        <v>32</v>
      </c>
      <c r="P3" s="5" t="s">
        <v>35</v>
      </c>
      <c r="Q3" s="4" t="s">
        <v>30</v>
      </c>
      <c r="R3" s="4" t="s">
        <v>31</v>
      </c>
      <c r="S3" s="5" t="s">
        <v>32</v>
      </c>
      <c r="T3" s="4" t="s">
        <v>33</v>
      </c>
      <c r="U3" s="58" t="s">
        <v>34</v>
      </c>
      <c r="V3" s="5" t="s">
        <v>32</v>
      </c>
      <c r="W3" s="64" t="s">
        <v>35</v>
      </c>
      <c r="X3" s="4" t="s">
        <v>30</v>
      </c>
      <c r="Y3" s="4" t="s">
        <v>31</v>
      </c>
      <c r="Z3" s="5" t="s">
        <v>32</v>
      </c>
      <c r="AA3" s="4" t="s">
        <v>33</v>
      </c>
      <c r="AB3" s="4" t="s">
        <v>34</v>
      </c>
      <c r="AC3" s="5" t="s">
        <v>32</v>
      </c>
      <c r="AD3" s="5" t="s">
        <v>35</v>
      </c>
    </row>
    <row r="4" spans="1:30" ht="16.899999999999999" thickBot="1">
      <c r="A4" s="6">
        <v>1</v>
      </c>
      <c r="B4" s="7" t="s">
        <v>36</v>
      </c>
      <c r="C4" s="8">
        <v>541.27</v>
      </c>
      <c r="D4" s="8">
        <v>358.11</v>
      </c>
      <c r="E4" s="9">
        <v>-33.840000000000003</v>
      </c>
      <c r="F4" s="8">
        <v>1674.97</v>
      </c>
      <c r="G4" s="8">
        <v>1423.22</v>
      </c>
      <c r="H4" s="9">
        <v>-15.03</v>
      </c>
      <c r="I4" s="65">
        <v>1.1299999999999999</v>
      </c>
      <c r="J4" s="11">
        <v>24068</v>
      </c>
      <c r="K4" s="11">
        <v>24239</v>
      </c>
      <c r="L4" s="9">
        <v>0.71</v>
      </c>
      <c r="M4" s="11">
        <v>115063</v>
      </c>
      <c r="N4" s="11">
        <v>118931</v>
      </c>
      <c r="O4" s="9">
        <v>3.36</v>
      </c>
      <c r="P4" s="10">
        <v>1.02</v>
      </c>
      <c r="Q4" s="11">
        <v>310043</v>
      </c>
      <c r="R4" s="11">
        <v>381081</v>
      </c>
      <c r="S4" s="9">
        <v>22.91</v>
      </c>
      <c r="T4" s="11">
        <v>1279725</v>
      </c>
      <c r="U4" s="59">
        <v>1507014</v>
      </c>
      <c r="V4" s="9">
        <v>17.760000000000002</v>
      </c>
      <c r="W4" s="65">
        <v>1.53</v>
      </c>
      <c r="X4" s="8">
        <v>19780.28</v>
      </c>
      <c r="Y4" s="8">
        <v>19518.150000000001</v>
      </c>
      <c r="Z4" s="9">
        <v>-1.33</v>
      </c>
      <c r="AA4" s="8">
        <v>106253.4</v>
      </c>
      <c r="AB4" s="8">
        <v>99942.43</v>
      </c>
      <c r="AC4" s="9">
        <v>-5.94</v>
      </c>
      <c r="AD4" s="10">
        <v>4.62</v>
      </c>
    </row>
    <row r="5" spans="1:30" ht="15.65" thickBot="1">
      <c r="A5" s="12"/>
      <c r="B5" s="13" t="s">
        <v>37</v>
      </c>
      <c r="C5" s="14">
        <v>13.39</v>
      </c>
      <c r="D5" s="15">
        <v>8.35</v>
      </c>
      <c r="E5" s="16">
        <v>-37.64</v>
      </c>
      <c r="F5" s="14">
        <v>53.51</v>
      </c>
      <c r="G5" s="15">
        <v>57.13</v>
      </c>
      <c r="H5" s="16">
        <v>6.77</v>
      </c>
      <c r="I5" s="66">
        <v>0.32</v>
      </c>
      <c r="J5" s="14">
        <v>314</v>
      </c>
      <c r="K5" s="15">
        <v>235</v>
      </c>
      <c r="L5" s="16">
        <v>-25.16</v>
      </c>
      <c r="M5" s="14">
        <v>1607</v>
      </c>
      <c r="N5" s="15">
        <v>1640</v>
      </c>
      <c r="O5" s="16">
        <v>2.0499999999999998</v>
      </c>
      <c r="P5" s="17">
        <v>0.28999999999999998</v>
      </c>
      <c r="Q5" s="14">
        <v>0</v>
      </c>
      <c r="R5" s="14">
        <v>0</v>
      </c>
      <c r="S5" s="16" t="s">
        <v>38</v>
      </c>
      <c r="T5" s="14">
        <v>0</v>
      </c>
      <c r="U5" s="60">
        <v>0</v>
      </c>
      <c r="V5" s="16" t="s">
        <v>38</v>
      </c>
      <c r="W5" s="66" t="s">
        <v>38</v>
      </c>
      <c r="X5" s="14">
        <v>22.23</v>
      </c>
      <c r="Y5" s="15">
        <v>10.39</v>
      </c>
      <c r="Z5" s="16">
        <v>-53.26</v>
      </c>
      <c r="AA5" s="14">
        <v>112.17</v>
      </c>
      <c r="AB5" s="15">
        <v>139.41999999999999</v>
      </c>
      <c r="AC5" s="16">
        <v>24.29</v>
      </c>
      <c r="AD5" s="17">
        <v>1.1499999999999999</v>
      </c>
    </row>
    <row r="6" spans="1:30" ht="15.65" thickBot="1">
      <c r="A6" s="12"/>
      <c r="B6" s="13" t="s">
        <v>39</v>
      </c>
      <c r="C6" s="18">
        <v>133.66999999999999</v>
      </c>
      <c r="D6" s="15">
        <v>122.11</v>
      </c>
      <c r="E6" s="16">
        <v>-8.65</v>
      </c>
      <c r="F6" s="19">
        <v>572.41</v>
      </c>
      <c r="G6" s="15">
        <v>687.12</v>
      </c>
      <c r="H6" s="16">
        <v>20.04</v>
      </c>
      <c r="I6" s="66">
        <v>2.38</v>
      </c>
      <c r="J6" s="14">
        <v>23681</v>
      </c>
      <c r="K6" s="15">
        <v>23952</v>
      </c>
      <c r="L6" s="16">
        <v>1.1399999999999999</v>
      </c>
      <c r="M6" s="14">
        <v>112947</v>
      </c>
      <c r="N6" s="15">
        <v>116966</v>
      </c>
      <c r="O6" s="16">
        <v>3.56</v>
      </c>
      <c r="P6" s="17">
        <v>1.05</v>
      </c>
      <c r="Q6" s="14">
        <v>0</v>
      </c>
      <c r="R6" s="14">
        <v>0</v>
      </c>
      <c r="S6" s="16" t="s">
        <v>38</v>
      </c>
      <c r="T6" s="14">
        <v>0</v>
      </c>
      <c r="U6" s="60">
        <v>0</v>
      </c>
      <c r="V6" s="16" t="s">
        <v>38</v>
      </c>
      <c r="W6" s="66" t="s">
        <v>38</v>
      </c>
      <c r="X6" s="18">
        <v>4217.92</v>
      </c>
      <c r="Y6" s="15">
        <v>4218.54</v>
      </c>
      <c r="Z6" s="16">
        <v>0.01</v>
      </c>
      <c r="AA6" s="19">
        <v>20685.77</v>
      </c>
      <c r="AB6" s="15">
        <v>22474.41</v>
      </c>
      <c r="AC6" s="16">
        <v>8.65</v>
      </c>
      <c r="AD6" s="17">
        <v>2.85</v>
      </c>
    </row>
    <row r="7" spans="1:30" ht="15.65" thickBot="1">
      <c r="A7" s="12"/>
      <c r="B7" s="13" t="s">
        <v>40</v>
      </c>
      <c r="C7" s="18">
        <v>383.52</v>
      </c>
      <c r="D7" s="15">
        <v>220.52</v>
      </c>
      <c r="E7" s="16">
        <v>-42.5</v>
      </c>
      <c r="F7" s="19">
        <v>979</v>
      </c>
      <c r="G7" s="15">
        <v>639.97</v>
      </c>
      <c r="H7" s="16">
        <v>-34.630000000000003</v>
      </c>
      <c r="I7" s="66">
        <v>1.1299999999999999</v>
      </c>
      <c r="J7" s="14">
        <v>13</v>
      </c>
      <c r="K7" s="15">
        <v>4</v>
      </c>
      <c r="L7" s="16">
        <v>-69.23</v>
      </c>
      <c r="M7" s="14">
        <v>39</v>
      </c>
      <c r="N7" s="15">
        <v>31</v>
      </c>
      <c r="O7" s="16">
        <v>-20.51</v>
      </c>
      <c r="P7" s="17">
        <v>2.75</v>
      </c>
      <c r="Q7" s="14">
        <v>97417</v>
      </c>
      <c r="R7" s="14">
        <v>116260</v>
      </c>
      <c r="S7" s="16">
        <v>19.34</v>
      </c>
      <c r="T7" s="14">
        <v>386940</v>
      </c>
      <c r="U7" s="60">
        <v>703119</v>
      </c>
      <c r="V7" s="16">
        <v>81.709999999999994</v>
      </c>
      <c r="W7" s="66">
        <v>1.25</v>
      </c>
      <c r="X7" s="18">
        <v>670.1</v>
      </c>
      <c r="Y7" s="15">
        <v>898.77</v>
      </c>
      <c r="Z7" s="16">
        <v>34.130000000000003</v>
      </c>
      <c r="AA7" s="19">
        <v>3305.3</v>
      </c>
      <c r="AB7" s="15">
        <v>4393.3</v>
      </c>
      <c r="AC7" s="16">
        <v>32.92</v>
      </c>
      <c r="AD7" s="17">
        <v>0.91</v>
      </c>
    </row>
    <row r="8" spans="1:30" ht="15.65" thickBot="1">
      <c r="A8" s="12"/>
      <c r="B8" s="13" t="s">
        <v>41</v>
      </c>
      <c r="C8" s="18">
        <v>2.48</v>
      </c>
      <c r="D8" s="15">
        <v>0.28999999999999998</v>
      </c>
      <c r="E8" s="16">
        <v>-88.34</v>
      </c>
      <c r="F8" s="19">
        <v>24.83</v>
      </c>
      <c r="G8" s="15">
        <v>2.52</v>
      </c>
      <c r="H8" s="16">
        <v>-89.83</v>
      </c>
      <c r="I8" s="66">
        <v>0.01</v>
      </c>
      <c r="J8" s="14">
        <v>1</v>
      </c>
      <c r="K8" s="15">
        <v>0</v>
      </c>
      <c r="L8" s="16">
        <v>-100</v>
      </c>
      <c r="M8" s="14">
        <v>3</v>
      </c>
      <c r="N8" s="15">
        <v>0</v>
      </c>
      <c r="O8" s="16">
        <v>-100</v>
      </c>
      <c r="P8" s="17">
        <v>0</v>
      </c>
      <c r="Q8" s="14">
        <v>137</v>
      </c>
      <c r="R8" s="14">
        <v>0</v>
      </c>
      <c r="S8" s="16">
        <v>-100</v>
      </c>
      <c r="T8" s="14">
        <v>137</v>
      </c>
      <c r="U8" s="60">
        <v>0</v>
      </c>
      <c r="V8" s="16">
        <v>-100</v>
      </c>
      <c r="W8" s="66">
        <v>0</v>
      </c>
      <c r="X8" s="18">
        <v>0</v>
      </c>
      <c r="Y8" s="15">
        <v>0</v>
      </c>
      <c r="Z8" s="16" t="s">
        <v>38</v>
      </c>
      <c r="AA8" s="19">
        <v>0</v>
      </c>
      <c r="AB8" s="15">
        <v>0</v>
      </c>
      <c r="AC8" s="16" t="s">
        <v>38</v>
      </c>
      <c r="AD8" s="17">
        <v>0</v>
      </c>
    </row>
    <row r="9" spans="1:30" ht="15.65" thickBot="1">
      <c r="A9" s="12"/>
      <c r="B9" s="20" t="s">
        <v>42</v>
      </c>
      <c r="C9" s="18">
        <v>8.2200000000000006</v>
      </c>
      <c r="D9" s="15">
        <v>6.84</v>
      </c>
      <c r="E9" s="16">
        <v>-16.760000000000002</v>
      </c>
      <c r="F9" s="19">
        <v>45.22</v>
      </c>
      <c r="G9" s="15">
        <v>36.479999999999997</v>
      </c>
      <c r="H9" s="16">
        <v>-19.34</v>
      </c>
      <c r="I9" s="66">
        <v>1.35</v>
      </c>
      <c r="J9" s="14">
        <v>59</v>
      </c>
      <c r="K9" s="15">
        <v>48</v>
      </c>
      <c r="L9" s="16">
        <v>-18.64</v>
      </c>
      <c r="M9" s="14">
        <v>467</v>
      </c>
      <c r="N9" s="15">
        <v>294</v>
      </c>
      <c r="O9" s="16">
        <v>-37.04</v>
      </c>
      <c r="P9" s="17">
        <v>2.08</v>
      </c>
      <c r="Q9" s="14">
        <v>212489</v>
      </c>
      <c r="R9" s="14">
        <v>264821</v>
      </c>
      <c r="S9" s="16">
        <v>24.63</v>
      </c>
      <c r="T9" s="14">
        <v>892648</v>
      </c>
      <c r="U9" s="60">
        <v>803895</v>
      </c>
      <c r="V9" s="16">
        <v>-9.94</v>
      </c>
      <c r="W9" s="66">
        <v>2.08</v>
      </c>
      <c r="X9" s="18">
        <v>14870.03</v>
      </c>
      <c r="Y9" s="15">
        <v>14390.45</v>
      </c>
      <c r="Z9" s="16">
        <v>-3.23</v>
      </c>
      <c r="AA9" s="19">
        <v>82150.16</v>
      </c>
      <c r="AB9" s="15">
        <v>72935.31</v>
      </c>
      <c r="AC9" s="16">
        <v>-11.22</v>
      </c>
      <c r="AD9" s="17">
        <v>8.83</v>
      </c>
    </row>
    <row r="10" spans="1:30" ht="15.65" thickBot="1">
      <c r="A10" s="12"/>
      <c r="B10" s="20"/>
      <c r="C10" s="21"/>
      <c r="D10" s="22"/>
      <c r="E10" s="23"/>
      <c r="F10" s="13"/>
      <c r="G10" s="22"/>
      <c r="H10" s="23"/>
      <c r="I10" s="67"/>
      <c r="J10" s="20"/>
      <c r="K10" s="22"/>
      <c r="L10" s="23"/>
      <c r="M10" s="20"/>
      <c r="N10" s="22"/>
      <c r="O10" s="23"/>
      <c r="P10" s="24"/>
      <c r="Q10" s="20"/>
      <c r="R10" s="20"/>
      <c r="S10" s="23"/>
      <c r="T10" s="20"/>
      <c r="U10" s="61"/>
      <c r="V10" s="23"/>
      <c r="W10" s="67"/>
      <c r="X10" s="21"/>
      <c r="Y10" s="22"/>
      <c r="Z10" s="23"/>
      <c r="AA10" s="13"/>
      <c r="AB10" s="22"/>
      <c r="AC10" s="23"/>
      <c r="AD10" s="24"/>
    </row>
    <row r="11" spans="1:30" ht="16.899999999999999" thickBot="1">
      <c r="A11" s="6">
        <v>2</v>
      </c>
      <c r="B11" s="7" t="s">
        <v>43</v>
      </c>
      <c r="C11" s="8">
        <v>10.33</v>
      </c>
      <c r="D11" s="8">
        <v>9.1</v>
      </c>
      <c r="E11" s="9">
        <v>-11.94</v>
      </c>
      <c r="F11" s="8">
        <v>50.73</v>
      </c>
      <c r="G11" s="8">
        <v>45.23</v>
      </c>
      <c r="H11" s="9">
        <v>-10.85</v>
      </c>
      <c r="I11" s="65">
        <v>0.04</v>
      </c>
      <c r="J11" s="11">
        <v>3310</v>
      </c>
      <c r="K11" s="11">
        <v>3152</v>
      </c>
      <c r="L11" s="9">
        <v>-4.7699999999999996</v>
      </c>
      <c r="M11" s="11">
        <v>21623</v>
      </c>
      <c r="N11" s="11">
        <v>13507</v>
      </c>
      <c r="O11" s="9">
        <v>-37.53</v>
      </c>
      <c r="P11" s="10">
        <v>0.12</v>
      </c>
      <c r="Q11" s="11">
        <v>918</v>
      </c>
      <c r="R11" s="11">
        <v>13829</v>
      </c>
      <c r="S11" s="9">
        <v>1406.43</v>
      </c>
      <c r="T11" s="11">
        <v>56079</v>
      </c>
      <c r="U11" s="59">
        <v>72671</v>
      </c>
      <c r="V11" s="9">
        <v>29.59</v>
      </c>
      <c r="W11" s="65">
        <v>7.0000000000000007E-2</v>
      </c>
      <c r="X11" s="8">
        <v>2651.46</v>
      </c>
      <c r="Y11" s="8">
        <v>2094.79</v>
      </c>
      <c r="Z11" s="9">
        <v>-20.99</v>
      </c>
      <c r="AA11" s="8">
        <v>19881.36</v>
      </c>
      <c r="AB11" s="8">
        <v>16311.79</v>
      </c>
      <c r="AC11" s="9">
        <v>-17.95</v>
      </c>
      <c r="AD11" s="10">
        <v>0.75</v>
      </c>
    </row>
    <row r="12" spans="1:30" ht="15.65" thickBot="1">
      <c r="A12" s="12"/>
      <c r="B12" s="13" t="s">
        <v>37</v>
      </c>
      <c r="C12" s="18">
        <v>0.46</v>
      </c>
      <c r="D12" s="15">
        <v>0.37</v>
      </c>
      <c r="E12" s="16">
        <v>-20.09</v>
      </c>
      <c r="F12" s="19">
        <v>0.94</v>
      </c>
      <c r="G12" s="15">
        <v>1.45</v>
      </c>
      <c r="H12" s="16">
        <v>54.48</v>
      </c>
      <c r="I12" s="66">
        <v>0.01</v>
      </c>
      <c r="J12" s="14">
        <v>4</v>
      </c>
      <c r="K12" s="15">
        <v>1007</v>
      </c>
      <c r="L12" s="16">
        <v>25075</v>
      </c>
      <c r="M12" s="14">
        <v>501</v>
      </c>
      <c r="N12" s="15">
        <v>1029</v>
      </c>
      <c r="O12" s="16">
        <v>105.39</v>
      </c>
      <c r="P12" s="17">
        <v>0.18</v>
      </c>
      <c r="Q12" s="14">
        <v>0</v>
      </c>
      <c r="R12" s="14">
        <v>0</v>
      </c>
      <c r="S12" s="16" t="s">
        <v>38</v>
      </c>
      <c r="T12" s="14">
        <v>0</v>
      </c>
      <c r="U12" s="60">
        <v>0</v>
      </c>
      <c r="V12" s="16" t="s">
        <v>38</v>
      </c>
      <c r="W12" s="66" t="s">
        <v>38</v>
      </c>
      <c r="X12" s="18">
        <v>0.49</v>
      </c>
      <c r="Y12" s="15">
        <v>6.87</v>
      </c>
      <c r="Z12" s="16">
        <v>1298.3</v>
      </c>
      <c r="AA12" s="19">
        <v>9.4499999999999993</v>
      </c>
      <c r="AB12" s="15">
        <v>18.32</v>
      </c>
      <c r="AC12" s="16">
        <v>93.85</v>
      </c>
      <c r="AD12" s="17">
        <v>0.15</v>
      </c>
    </row>
    <row r="13" spans="1:30" ht="15.65" thickBot="1">
      <c r="A13" s="12"/>
      <c r="B13" s="13" t="s">
        <v>39</v>
      </c>
      <c r="C13" s="18">
        <v>8.83</v>
      </c>
      <c r="D13" s="15">
        <v>6.08</v>
      </c>
      <c r="E13" s="16">
        <v>-31.16</v>
      </c>
      <c r="F13" s="19">
        <v>41.94</v>
      </c>
      <c r="G13" s="15">
        <v>35.619999999999997</v>
      </c>
      <c r="H13" s="16">
        <v>-15.08</v>
      </c>
      <c r="I13" s="66">
        <v>0.12</v>
      </c>
      <c r="J13" s="14">
        <v>3304</v>
      </c>
      <c r="K13" s="15">
        <v>2139</v>
      </c>
      <c r="L13" s="16">
        <v>-35.26</v>
      </c>
      <c r="M13" s="14">
        <v>21093</v>
      </c>
      <c r="N13" s="15">
        <v>12422</v>
      </c>
      <c r="O13" s="16">
        <v>-41.11</v>
      </c>
      <c r="P13" s="17">
        <v>0.11</v>
      </c>
      <c r="Q13" s="14">
        <v>0</v>
      </c>
      <c r="R13" s="14">
        <v>0</v>
      </c>
      <c r="S13" s="16" t="s">
        <v>38</v>
      </c>
      <c r="T13" s="14">
        <v>0</v>
      </c>
      <c r="U13" s="60">
        <v>0</v>
      </c>
      <c r="V13" s="16" t="s">
        <v>38</v>
      </c>
      <c r="W13" s="66" t="s">
        <v>38</v>
      </c>
      <c r="X13" s="18">
        <v>2224.48</v>
      </c>
      <c r="Y13" s="15">
        <v>1381.5</v>
      </c>
      <c r="Z13" s="16">
        <v>-37.9</v>
      </c>
      <c r="AA13" s="19">
        <v>15204.27</v>
      </c>
      <c r="AB13" s="15">
        <v>8022.13</v>
      </c>
      <c r="AC13" s="16">
        <v>-47.24</v>
      </c>
      <c r="AD13" s="17">
        <v>1.02</v>
      </c>
    </row>
    <row r="14" spans="1:30" ht="15.65" thickBot="1">
      <c r="A14" s="12"/>
      <c r="B14" s="13" t="s">
        <v>40</v>
      </c>
      <c r="C14" s="14">
        <v>0.93</v>
      </c>
      <c r="D14" s="15">
        <v>1.08</v>
      </c>
      <c r="E14" s="16">
        <v>16.13</v>
      </c>
      <c r="F14" s="14">
        <v>3.05</v>
      </c>
      <c r="G14" s="15">
        <v>1.08</v>
      </c>
      <c r="H14" s="16">
        <v>-64.489999999999995</v>
      </c>
      <c r="I14" s="66">
        <v>0</v>
      </c>
      <c r="J14" s="14">
        <v>0</v>
      </c>
      <c r="K14" s="15">
        <v>0</v>
      </c>
      <c r="L14" s="16" t="s">
        <v>38</v>
      </c>
      <c r="M14" s="14">
        <v>0</v>
      </c>
      <c r="N14" s="15">
        <v>0</v>
      </c>
      <c r="O14" s="16" t="s">
        <v>38</v>
      </c>
      <c r="P14" s="17">
        <v>0</v>
      </c>
      <c r="Q14" s="14">
        <v>0</v>
      </c>
      <c r="R14" s="14">
        <v>0</v>
      </c>
      <c r="S14" s="16" t="s">
        <v>38</v>
      </c>
      <c r="T14" s="14">
        <v>0</v>
      </c>
      <c r="U14" s="60">
        <v>0</v>
      </c>
      <c r="V14" s="16" t="s">
        <v>38</v>
      </c>
      <c r="W14" s="66">
        <v>0</v>
      </c>
      <c r="X14" s="14">
        <v>0</v>
      </c>
      <c r="Y14" s="15">
        <v>0</v>
      </c>
      <c r="Z14" s="16" t="s">
        <v>38</v>
      </c>
      <c r="AA14" s="14">
        <v>0</v>
      </c>
      <c r="AB14" s="15">
        <v>0</v>
      </c>
      <c r="AC14" s="16" t="s">
        <v>38</v>
      </c>
      <c r="AD14" s="17">
        <v>0</v>
      </c>
    </row>
    <row r="15" spans="1:30" ht="15.65" thickBot="1">
      <c r="A15" s="12"/>
      <c r="B15" s="13" t="s">
        <v>41</v>
      </c>
      <c r="C15" s="18">
        <v>0</v>
      </c>
      <c r="D15" s="15">
        <v>0</v>
      </c>
      <c r="E15" s="16" t="s">
        <v>38</v>
      </c>
      <c r="F15" s="19">
        <v>0</v>
      </c>
      <c r="G15" s="15">
        <v>0</v>
      </c>
      <c r="H15" s="16" t="s">
        <v>38</v>
      </c>
      <c r="I15" s="66">
        <v>0</v>
      </c>
      <c r="J15" s="14">
        <v>0</v>
      </c>
      <c r="K15" s="15">
        <v>0</v>
      </c>
      <c r="L15" s="16" t="s">
        <v>38</v>
      </c>
      <c r="M15" s="14">
        <v>0</v>
      </c>
      <c r="N15" s="15">
        <v>0</v>
      </c>
      <c r="O15" s="16" t="s">
        <v>38</v>
      </c>
      <c r="P15" s="17">
        <v>0</v>
      </c>
      <c r="Q15" s="14">
        <v>0</v>
      </c>
      <c r="R15" s="14">
        <v>0</v>
      </c>
      <c r="S15" s="16" t="s">
        <v>38</v>
      </c>
      <c r="T15" s="14">
        <v>0</v>
      </c>
      <c r="U15" s="60">
        <v>0</v>
      </c>
      <c r="V15" s="16" t="s">
        <v>38</v>
      </c>
      <c r="W15" s="66">
        <v>0</v>
      </c>
      <c r="X15" s="18">
        <v>0</v>
      </c>
      <c r="Y15" s="15">
        <v>0</v>
      </c>
      <c r="Z15" s="16" t="s">
        <v>38</v>
      </c>
      <c r="AA15" s="19">
        <v>0</v>
      </c>
      <c r="AB15" s="15">
        <v>0</v>
      </c>
      <c r="AC15" s="16" t="s">
        <v>38</v>
      </c>
      <c r="AD15" s="17">
        <v>0</v>
      </c>
    </row>
    <row r="16" spans="1:30" ht="15.65" thickBot="1">
      <c r="A16" s="12"/>
      <c r="B16" s="20" t="s">
        <v>42</v>
      </c>
      <c r="C16" s="18">
        <v>0.1</v>
      </c>
      <c r="D16" s="15">
        <v>1.56</v>
      </c>
      <c r="E16" s="16">
        <v>1431.15</v>
      </c>
      <c r="F16" s="19">
        <v>4.8</v>
      </c>
      <c r="G16" s="15">
        <v>7.08</v>
      </c>
      <c r="H16" s="16">
        <v>47.45</v>
      </c>
      <c r="I16" s="66">
        <v>0.26</v>
      </c>
      <c r="J16" s="14">
        <v>2</v>
      </c>
      <c r="K16" s="15">
        <v>6</v>
      </c>
      <c r="L16" s="16">
        <v>200</v>
      </c>
      <c r="M16" s="14">
        <v>29</v>
      </c>
      <c r="N16" s="15">
        <v>56</v>
      </c>
      <c r="O16" s="16">
        <v>93.1</v>
      </c>
      <c r="P16" s="17">
        <v>0.4</v>
      </c>
      <c r="Q16" s="14">
        <v>918</v>
      </c>
      <c r="R16" s="14">
        <v>13829</v>
      </c>
      <c r="S16" s="16">
        <v>1406.43</v>
      </c>
      <c r="T16" s="14">
        <v>56079</v>
      </c>
      <c r="U16" s="60">
        <v>72671</v>
      </c>
      <c r="V16" s="16">
        <v>29.59</v>
      </c>
      <c r="W16" s="66">
        <v>0.19</v>
      </c>
      <c r="X16" s="18">
        <v>426.49</v>
      </c>
      <c r="Y16" s="15">
        <v>706.43</v>
      </c>
      <c r="Z16" s="16">
        <v>65.64</v>
      </c>
      <c r="AA16" s="19">
        <v>4667.6499999999996</v>
      </c>
      <c r="AB16" s="15">
        <v>8271.35</v>
      </c>
      <c r="AC16" s="16">
        <v>77.209999999999994</v>
      </c>
      <c r="AD16" s="17">
        <v>1</v>
      </c>
    </row>
    <row r="17" spans="1:30" ht="15.65" thickBot="1">
      <c r="A17" s="12"/>
      <c r="B17" s="20"/>
      <c r="C17" s="21"/>
      <c r="D17" s="22"/>
      <c r="E17" s="23"/>
      <c r="F17" s="13"/>
      <c r="G17" s="22"/>
      <c r="H17" s="23"/>
      <c r="I17" s="67"/>
      <c r="J17" s="20"/>
      <c r="K17" s="22"/>
      <c r="L17" s="23"/>
      <c r="M17" s="20"/>
      <c r="N17" s="22"/>
      <c r="O17" s="23"/>
      <c r="P17" s="24"/>
      <c r="Q17" s="20"/>
      <c r="R17" s="20"/>
      <c r="S17" s="23"/>
      <c r="T17" s="20"/>
      <c r="U17" s="61"/>
      <c r="V17" s="23"/>
      <c r="W17" s="67"/>
      <c r="X17" s="21"/>
      <c r="Y17" s="22"/>
      <c r="Z17" s="23"/>
      <c r="AA17" s="13"/>
      <c r="AB17" s="22"/>
      <c r="AC17" s="23"/>
      <c r="AD17" s="24"/>
    </row>
    <row r="18" spans="1:30" ht="16.899999999999999" thickBot="1">
      <c r="A18" s="6">
        <v>3</v>
      </c>
      <c r="B18" s="7" t="s">
        <v>44</v>
      </c>
      <c r="C18" s="8">
        <v>14.01</v>
      </c>
      <c r="D18" s="8">
        <v>21.12</v>
      </c>
      <c r="E18" s="9">
        <v>50.77</v>
      </c>
      <c r="F18" s="8">
        <v>93.36</v>
      </c>
      <c r="G18" s="8">
        <v>95.23</v>
      </c>
      <c r="H18" s="9">
        <v>2</v>
      </c>
      <c r="I18" s="65">
        <v>0.08</v>
      </c>
      <c r="J18" s="11">
        <v>2584</v>
      </c>
      <c r="K18" s="11">
        <v>1652</v>
      </c>
      <c r="L18" s="9">
        <v>-36.07</v>
      </c>
      <c r="M18" s="11">
        <v>12696</v>
      </c>
      <c r="N18" s="11">
        <v>8452</v>
      </c>
      <c r="O18" s="9">
        <v>-33.43</v>
      </c>
      <c r="P18" s="10">
        <v>7.0000000000000007E-2</v>
      </c>
      <c r="Q18" s="11">
        <v>16121</v>
      </c>
      <c r="R18" s="11">
        <v>53405</v>
      </c>
      <c r="S18" s="9">
        <v>231.28</v>
      </c>
      <c r="T18" s="11">
        <v>280907</v>
      </c>
      <c r="U18" s="59">
        <v>216587</v>
      </c>
      <c r="V18" s="9">
        <v>-22.9</v>
      </c>
      <c r="W18" s="65">
        <v>0.22</v>
      </c>
      <c r="X18" s="8">
        <v>465.67</v>
      </c>
      <c r="Y18" s="8">
        <v>-731.44</v>
      </c>
      <c r="Z18" s="9">
        <v>-257.07</v>
      </c>
      <c r="AA18" s="8">
        <v>4230.3900000000003</v>
      </c>
      <c r="AB18" s="8">
        <v>2480.1799999999998</v>
      </c>
      <c r="AC18" s="9">
        <v>-41.37</v>
      </c>
      <c r="AD18" s="10">
        <v>0.11</v>
      </c>
    </row>
    <row r="19" spans="1:30" ht="15.65" thickBot="1">
      <c r="A19" s="12"/>
      <c r="B19" s="13" t="s">
        <v>37</v>
      </c>
      <c r="C19" s="18">
        <v>0.59</v>
      </c>
      <c r="D19" s="15">
        <v>0.59</v>
      </c>
      <c r="E19" s="16">
        <v>-0.95</v>
      </c>
      <c r="F19" s="19">
        <v>2.69</v>
      </c>
      <c r="G19" s="15">
        <v>4.3099999999999996</v>
      </c>
      <c r="H19" s="16">
        <v>60.33</v>
      </c>
      <c r="I19" s="66">
        <v>0.02</v>
      </c>
      <c r="J19" s="14">
        <v>567</v>
      </c>
      <c r="K19" s="15">
        <v>13</v>
      </c>
      <c r="L19" s="16">
        <v>-97.71</v>
      </c>
      <c r="M19" s="14">
        <v>693</v>
      </c>
      <c r="N19" s="15">
        <v>93</v>
      </c>
      <c r="O19" s="16">
        <v>-86.58</v>
      </c>
      <c r="P19" s="17">
        <v>0.02</v>
      </c>
      <c r="Q19" s="14">
        <v>0</v>
      </c>
      <c r="R19" s="14">
        <v>0</v>
      </c>
      <c r="S19" s="16" t="s">
        <v>38</v>
      </c>
      <c r="T19" s="14">
        <v>0</v>
      </c>
      <c r="U19" s="60">
        <v>0</v>
      </c>
      <c r="V19" s="16" t="s">
        <v>38</v>
      </c>
      <c r="W19" s="66" t="s">
        <v>38</v>
      </c>
      <c r="X19" s="18">
        <v>1.45</v>
      </c>
      <c r="Y19" s="15">
        <v>0.36</v>
      </c>
      <c r="Z19" s="16">
        <v>-75.05</v>
      </c>
      <c r="AA19" s="19">
        <v>2.95</v>
      </c>
      <c r="AB19" s="15">
        <v>2.8</v>
      </c>
      <c r="AC19" s="16">
        <v>-5.07</v>
      </c>
      <c r="AD19" s="17">
        <v>0.02</v>
      </c>
    </row>
    <row r="20" spans="1:30" ht="15.65" thickBot="1">
      <c r="A20" s="12"/>
      <c r="B20" s="13" t="s">
        <v>39</v>
      </c>
      <c r="C20" s="14">
        <v>11.06</v>
      </c>
      <c r="D20" s="15">
        <v>9.51</v>
      </c>
      <c r="E20" s="16">
        <v>-14.03</v>
      </c>
      <c r="F20" s="14">
        <v>62.48</v>
      </c>
      <c r="G20" s="15">
        <v>47.07</v>
      </c>
      <c r="H20" s="16">
        <v>-24.67</v>
      </c>
      <c r="I20" s="66">
        <v>0.16</v>
      </c>
      <c r="J20" s="14">
        <v>2016</v>
      </c>
      <c r="K20" s="15">
        <v>1635</v>
      </c>
      <c r="L20" s="16">
        <v>-18.899999999999999</v>
      </c>
      <c r="M20" s="14">
        <v>11955</v>
      </c>
      <c r="N20" s="15">
        <v>8341</v>
      </c>
      <c r="O20" s="16">
        <v>-30.23</v>
      </c>
      <c r="P20" s="17">
        <v>0.08</v>
      </c>
      <c r="Q20" s="14">
        <v>0</v>
      </c>
      <c r="R20" s="14">
        <v>0</v>
      </c>
      <c r="S20" s="16" t="s">
        <v>38</v>
      </c>
      <c r="T20" s="14">
        <v>0</v>
      </c>
      <c r="U20" s="60">
        <v>0</v>
      </c>
      <c r="V20" s="16" t="s">
        <v>38</v>
      </c>
      <c r="W20" s="66" t="s">
        <v>38</v>
      </c>
      <c r="X20" s="14">
        <v>339.71</v>
      </c>
      <c r="Y20" s="15">
        <v>252.31</v>
      </c>
      <c r="Z20" s="16">
        <v>-25.73</v>
      </c>
      <c r="AA20" s="14">
        <v>2307.14</v>
      </c>
      <c r="AB20" s="15">
        <v>1401.51</v>
      </c>
      <c r="AC20" s="16">
        <v>-39.25</v>
      </c>
      <c r="AD20" s="17">
        <v>0.18</v>
      </c>
    </row>
    <row r="21" spans="1:30" ht="15.65" thickBot="1">
      <c r="A21" s="12"/>
      <c r="B21" s="13" t="s">
        <v>40</v>
      </c>
      <c r="C21" s="15">
        <v>0.12</v>
      </c>
      <c r="D21" s="15">
        <v>0.12</v>
      </c>
      <c r="E21" s="16">
        <v>-1.1599999999999999</v>
      </c>
      <c r="F21" s="14">
        <v>2.2599999999999998</v>
      </c>
      <c r="G21" s="15">
        <v>1.08</v>
      </c>
      <c r="H21" s="16">
        <v>-52.18</v>
      </c>
      <c r="I21" s="66">
        <v>0</v>
      </c>
      <c r="J21" s="14">
        <v>0</v>
      </c>
      <c r="K21" s="15">
        <v>0</v>
      </c>
      <c r="L21" s="16" t="s">
        <v>38</v>
      </c>
      <c r="M21" s="14">
        <v>2</v>
      </c>
      <c r="N21" s="15">
        <v>0</v>
      </c>
      <c r="O21" s="16">
        <v>-100</v>
      </c>
      <c r="P21" s="17">
        <v>0</v>
      </c>
      <c r="Q21" s="18">
        <v>207</v>
      </c>
      <c r="R21" s="14">
        <v>177</v>
      </c>
      <c r="S21" s="16">
        <v>-14.49</v>
      </c>
      <c r="T21" s="18">
        <v>2561</v>
      </c>
      <c r="U21" s="60">
        <v>1487</v>
      </c>
      <c r="V21" s="16">
        <v>-41.94</v>
      </c>
      <c r="W21" s="66">
        <v>0</v>
      </c>
      <c r="X21" s="15">
        <v>3.91</v>
      </c>
      <c r="Y21" s="15">
        <v>2.42</v>
      </c>
      <c r="Z21" s="16">
        <v>-38.159999999999997</v>
      </c>
      <c r="AA21" s="14">
        <v>103.89</v>
      </c>
      <c r="AB21" s="15">
        <v>13.84</v>
      </c>
      <c r="AC21" s="16">
        <v>-86.68</v>
      </c>
      <c r="AD21" s="17">
        <v>0</v>
      </c>
    </row>
    <row r="22" spans="1:30" ht="15.65" thickBot="1">
      <c r="A22" s="12"/>
      <c r="B22" s="13" t="s">
        <v>41</v>
      </c>
      <c r="C22" s="14">
        <v>0.17</v>
      </c>
      <c r="D22" s="15">
        <v>0.08</v>
      </c>
      <c r="E22" s="16">
        <v>-55.05</v>
      </c>
      <c r="F22" s="14">
        <v>1.38</v>
      </c>
      <c r="G22" s="15">
        <v>0.62</v>
      </c>
      <c r="H22" s="16">
        <v>-54.81</v>
      </c>
      <c r="I22" s="66">
        <v>0</v>
      </c>
      <c r="J22" s="14">
        <v>0</v>
      </c>
      <c r="K22" s="15">
        <v>0</v>
      </c>
      <c r="L22" s="16" t="s">
        <v>38</v>
      </c>
      <c r="M22" s="14">
        <v>0</v>
      </c>
      <c r="N22" s="15">
        <v>0</v>
      </c>
      <c r="O22" s="16" t="s">
        <v>38</v>
      </c>
      <c r="P22" s="17">
        <v>0</v>
      </c>
      <c r="Q22" s="14">
        <v>0</v>
      </c>
      <c r="R22" s="14">
        <v>0</v>
      </c>
      <c r="S22" s="16" t="s">
        <v>38</v>
      </c>
      <c r="T22" s="14">
        <v>0</v>
      </c>
      <c r="U22" s="60">
        <v>0</v>
      </c>
      <c r="V22" s="16" t="s">
        <v>38</v>
      </c>
      <c r="W22" s="66">
        <v>0</v>
      </c>
      <c r="X22" s="14">
        <v>-0.04</v>
      </c>
      <c r="Y22" s="15">
        <v>-0.09</v>
      </c>
      <c r="Z22" s="16">
        <v>151.38999999999999</v>
      </c>
      <c r="AA22" s="14">
        <v>-0.76</v>
      </c>
      <c r="AB22" s="15">
        <v>-0.36</v>
      </c>
      <c r="AC22" s="16">
        <v>-52.48</v>
      </c>
      <c r="AD22" s="17">
        <v>0</v>
      </c>
    </row>
    <row r="23" spans="1:30" ht="15.65" thickBot="1">
      <c r="A23" s="12"/>
      <c r="B23" s="20" t="s">
        <v>42</v>
      </c>
      <c r="C23" s="18">
        <v>2.06</v>
      </c>
      <c r="D23" s="15">
        <v>10.83</v>
      </c>
      <c r="E23" s="16">
        <v>425.5</v>
      </c>
      <c r="F23" s="19">
        <v>24.54</v>
      </c>
      <c r="G23" s="15">
        <v>42.14</v>
      </c>
      <c r="H23" s="16">
        <v>71.7</v>
      </c>
      <c r="I23" s="66">
        <v>1.56</v>
      </c>
      <c r="J23" s="14">
        <v>1</v>
      </c>
      <c r="K23" s="15">
        <v>4</v>
      </c>
      <c r="L23" s="16">
        <v>300</v>
      </c>
      <c r="M23" s="14">
        <v>46</v>
      </c>
      <c r="N23" s="15">
        <v>18</v>
      </c>
      <c r="O23" s="16">
        <v>-60.87</v>
      </c>
      <c r="P23" s="17">
        <v>0.13</v>
      </c>
      <c r="Q23" s="14">
        <v>15914</v>
      </c>
      <c r="R23" s="14">
        <v>53228</v>
      </c>
      <c r="S23" s="16">
        <v>234.47</v>
      </c>
      <c r="T23" s="14">
        <v>278346</v>
      </c>
      <c r="U23" s="60">
        <v>215100</v>
      </c>
      <c r="V23" s="16">
        <v>-22.72</v>
      </c>
      <c r="W23" s="66">
        <v>0.56000000000000005</v>
      </c>
      <c r="X23" s="18">
        <v>120.63</v>
      </c>
      <c r="Y23" s="15">
        <v>-986.44</v>
      </c>
      <c r="Z23" s="16">
        <v>-917.73</v>
      </c>
      <c r="AA23" s="19">
        <v>1817.17</v>
      </c>
      <c r="AB23" s="15">
        <v>1062.3900000000001</v>
      </c>
      <c r="AC23" s="16">
        <v>-41.54</v>
      </c>
      <c r="AD23" s="17">
        <v>0.13</v>
      </c>
    </row>
    <row r="24" spans="1:30" ht="15.65" thickBot="1">
      <c r="A24" s="12"/>
      <c r="B24" s="20"/>
      <c r="C24" s="21"/>
      <c r="D24" s="22"/>
      <c r="E24" s="23"/>
      <c r="F24" s="13"/>
      <c r="G24" s="22"/>
      <c r="H24" s="23"/>
      <c r="I24" s="67"/>
      <c r="J24" s="20"/>
      <c r="K24" s="22"/>
      <c r="L24" s="23"/>
      <c r="M24" s="20"/>
      <c r="N24" s="22"/>
      <c r="O24" s="23"/>
      <c r="P24" s="24"/>
      <c r="Q24" s="20"/>
      <c r="R24" s="20"/>
      <c r="S24" s="23"/>
      <c r="T24" s="20"/>
      <c r="U24" s="61"/>
      <c r="V24" s="23"/>
      <c r="W24" s="67"/>
      <c r="X24" s="21"/>
      <c r="Y24" s="22"/>
      <c r="Z24" s="23"/>
      <c r="AA24" s="13"/>
      <c r="AB24" s="22"/>
      <c r="AC24" s="23"/>
      <c r="AD24" s="24"/>
    </row>
    <row r="25" spans="1:30" ht="16.899999999999999" thickBot="1">
      <c r="A25" s="6">
        <v>4</v>
      </c>
      <c r="B25" s="7" t="s">
        <v>45</v>
      </c>
      <c r="C25" s="8">
        <v>500.21</v>
      </c>
      <c r="D25" s="8">
        <v>520.16</v>
      </c>
      <c r="E25" s="9">
        <v>3.99</v>
      </c>
      <c r="F25" s="8">
        <v>1933.44</v>
      </c>
      <c r="G25" s="8">
        <v>2248.5700000000002</v>
      </c>
      <c r="H25" s="9">
        <v>16.3</v>
      </c>
      <c r="I25" s="65">
        <v>1.79</v>
      </c>
      <c r="J25" s="11">
        <v>22142</v>
      </c>
      <c r="K25" s="11">
        <v>24336</v>
      </c>
      <c r="L25" s="9">
        <v>9.91</v>
      </c>
      <c r="M25" s="11">
        <v>122738</v>
      </c>
      <c r="N25" s="11">
        <v>129999</v>
      </c>
      <c r="O25" s="9">
        <v>5.92</v>
      </c>
      <c r="P25" s="10">
        <v>1.1100000000000001</v>
      </c>
      <c r="Q25" s="11">
        <v>2405528</v>
      </c>
      <c r="R25" s="11">
        <v>2700399</v>
      </c>
      <c r="S25" s="9">
        <v>12.26</v>
      </c>
      <c r="T25" s="11">
        <v>16002159</v>
      </c>
      <c r="U25" s="59">
        <v>15110536</v>
      </c>
      <c r="V25" s="9">
        <v>-5.57</v>
      </c>
      <c r="W25" s="65">
        <v>15.3</v>
      </c>
      <c r="X25" s="8">
        <v>17737.73</v>
      </c>
      <c r="Y25" s="8">
        <v>20654.509999999998</v>
      </c>
      <c r="Z25" s="9">
        <v>16.440000000000001</v>
      </c>
      <c r="AA25" s="8">
        <v>106366.69</v>
      </c>
      <c r="AB25" s="8">
        <v>119513.51</v>
      </c>
      <c r="AC25" s="9">
        <v>12.36</v>
      </c>
      <c r="AD25" s="10">
        <v>5.52</v>
      </c>
    </row>
    <row r="26" spans="1:30" ht="15.65" thickBot="1">
      <c r="A26" s="12"/>
      <c r="B26" s="13" t="s">
        <v>37</v>
      </c>
      <c r="C26" s="18">
        <v>4.4000000000000004</v>
      </c>
      <c r="D26" s="15">
        <v>4.13</v>
      </c>
      <c r="E26" s="16">
        <v>-6.05</v>
      </c>
      <c r="F26" s="19">
        <v>31.38</v>
      </c>
      <c r="G26" s="15">
        <v>29.95</v>
      </c>
      <c r="H26" s="16">
        <v>-4.55</v>
      </c>
      <c r="I26" s="66">
        <v>0.17</v>
      </c>
      <c r="J26" s="14">
        <v>140</v>
      </c>
      <c r="K26" s="15">
        <v>45</v>
      </c>
      <c r="L26" s="16">
        <v>-67.86</v>
      </c>
      <c r="M26" s="14">
        <v>1169</v>
      </c>
      <c r="N26" s="15">
        <v>272</v>
      </c>
      <c r="O26" s="16">
        <v>-76.73</v>
      </c>
      <c r="P26" s="17">
        <v>0.05</v>
      </c>
      <c r="Q26" s="14">
        <v>0</v>
      </c>
      <c r="R26" s="18">
        <v>0</v>
      </c>
      <c r="S26" s="16" t="s">
        <v>38</v>
      </c>
      <c r="T26" s="14">
        <v>0</v>
      </c>
      <c r="U26" s="60">
        <v>0</v>
      </c>
      <c r="V26" s="16" t="s">
        <v>38</v>
      </c>
      <c r="W26" s="66" t="s">
        <v>38</v>
      </c>
      <c r="X26" s="18">
        <v>3.95</v>
      </c>
      <c r="Y26" s="15">
        <v>1.42</v>
      </c>
      <c r="Z26" s="16">
        <v>-64.03</v>
      </c>
      <c r="AA26" s="19">
        <v>21.98</v>
      </c>
      <c r="AB26" s="15">
        <v>22.01</v>
      </c>
      <c r="AC26" s="16">
        <v>0.16</v>
      </c>
      <c r="AD26" s="17">
        <v>0.18</v>
      </c>
    </row>
    <row r="27" spans="1:30" ht="15.65" thickBot="1">
      <c r="A27" s="12"/>
      <c r="B27" s="13" t="s">
        <v>39</v>
      </c>
      <c r="C27" s="14">
        <v>126.45</v>
      </c>
      <c r="D27" s="15">
        <v>157.68</v>
      </c>
      <c r="E27" s="16">
        <v>24.7</v>
      </c>
      <c r="F27" s="14">
        <v>625.29</v>
      </c>
      <c r="G27" s="15">
        <v>778.87</v>
      </c>
      <c r="H27" s="16">
        <v>24.56</v>
      </c>
      <c r="I27" s="66">
        <v>2.7</v>
      </c>
      <c r="J27" s="14">
        <v>21992</v>
      </c>
      <c r="K27" s="15">
        <v>24284</v>
      </c>
      <c r="L27" s="16">
        <v>10.42</v>
      </c>
      <c r="M27" s="14">
        <v>121528</v>
      </c>
      <c r="N27" s="15">
        <v>129668</v>
      </c>
      <c r="O27" s="16">
        <v>6.7</v>
      </c>
      <c r="P27" s="17">
        <v>1.17</v>
      </c>
      <c r="Q27" s="14">
        <v>0</v>
      </c>
      <c r="R27" s="14">
        <v>0</v>
      </c>
      <c r="S27" s="16" t="s">
        <v>38</v>
      </c>
      <c r="T27" s="14">
        <v>0</v>
      </c>
      <c r="U27" s="60">
        <v>0</v>
      </c>
      <c r="V27" s="16" t="s">
        <v>38</v>
      </c>
      <c r="W27" s="66" t="s">
        <v>38</v>
      </c>
      <c r="X27" s="14">
        <v>2222.58</v>
      </c>
      <c r="Y27" s="15">
        <v>2328.6</v>
      </c>
      <c r="Z27" s="16">
        <v>4.7699999999999996</v>
      </c>
      <c r="AA27" s="14">
        <v>11224.76</v>
      </c>
      <c r="AB27" s="15">
        <v>11631.87</v>
      </c>
      <c r="AC27" s="16">
        <v>3.63</v>
      </c>
      <c r="AD27" s="17">
        <v>1.48</v>
      </c>
    </row>
    <row r="28" spans="1:30" ht="15.65" thickBot="1">
      <c r="A28" s="12"/>
      <c r="B28" s="13" t="s">
        <v>40</v>
      </c>
      <c r="C28" s="14">
        <v>352.85</v>
      </c>
      <c r="D28" s="15">
        <v>350.48</v>
      </c>
      <c r="E28" s="16">
        <v>-0.67</v>
      </c>
      <c r="F28" s="14">
        <v>1154.07</v>
      </c>
      <c r="G28" s="15">
        <v>1352.21</v>
      </c>
      <c r="H28" s="16">
        <v>17.170000000000002</v>
      </c>
      <c r="I28" s="66">
        <v>2.4</v>
      </c>
      <c r="J28" s="14">
        <v>5</v>
      </c>
      <c r="K28" s="15">
        <v>4</v>
      </c>
      <c r="L28" s="16">
        <v>-20</v>
      </c>
      <c r="M28" s="14">
        <v>25</v>
      </c>
      <c r="N28" s="15">
        <v>34</v>
      </c>
      <c r="O28" s="16">
        <v>36</v>
      </c>
      <c r="P28" s="17">
        <v>3.01</v>
      </c>
      <c r="Q28" s="14">
        <v>2209506</v>
      </c>
      <c r="R28" s="14">
        <v>2453311</v>
      </c>
      <c r="S28" s="16">
        <v>11.03</v>
      </c>
      <c r="T28" s="14">
        <v>12935573</v>
      </c>
      <c r="U28" s="60">
        <v>13727885</v>
      </c>
      <c r="V28" s="16">
        <v>6.13</v>
      </c>
      <c r="W28" s="66">
        <v>24.46</v>
      </c>
      <c r="X28" s="14">
        <v>11142.54</v>
      </c>
      <c r="Y28" s="15">
        <v>12842.9</v>
      </c>
      <c r="Z28" s="16">
        <v>15.26</v>
      </c>
      <c r="AA28" s="14">
        <v>58957.4</v>
      </c>
      <c r="AB28" s="15">
        <v>76774.58</v>
      </c>
      <c r="AC28" s="16">
        <v>30.22</v>
      </c>
      <c r="AD28" s="17">
        <v>15.9</v>
      </c>
    </row>
    <row r="29" spans="1:30" ht="15.65" thickBot="1">
      <c r="A29" s="12"/>
      <c r="B29" s="13" t="s">
        <v>41</v>
      </c>
      <c r="C29" s="14">
        <v>0</v>
      </c>
      <c r="D29" s="15">
        <v>0</v>
      </c>
      <c r="E29" s="16" t="s">
        <v>38</v>
      </c>
      <c r="F29" s="14">
        <v>0.98</v>
      </c>
      <c r="G29" s="15">
        <v>0</v>
      </c>
      <c r="H29" s="16">
        <v>-100.03</v>
      </c>
      <c r="I29" s="66">
        <v>0</v>
      </c>
      <c r="J29" s="14">
        <v>0</v>
      </c>
      <c r="K29" s="15">
        <v>0</v>
      </c>
      <c r="L29" s="16" t="s">
        <v>38</v>
      </c>
      <c r="M29" s="14">
        <v>0</v>
      </c>
      <c r="N29" s="15">
        <v>0</v>
      </c>
      <c r="O29" s="16" t="s">
        <v>38</v>
      </c>
      <c r="P29" s="17">
        <v>0</v>
      </c>
      <c r="Q29" s="14">
        <v>0</v>
      </c>
      <c r="R29" s="14">
        <v>0</v>
      </c>
      <c r="S29" s="16" t="s">
        <v>38</v>
      </c>
      <c r="T29" s="14">
        <v>84749</v>
      </c>
      <c r="U29" s="60">
        <v>0</v>
      </c>
      <c r="V29" s="16">
        <v>-100</v>
      </c>
      <c r="W29" s="66">
        <v>0</v>
      </c>
      <c r="X29" s="14">
        <v>0</v>
      </c>
      <c r="Y29" s="15">
        <v>0</v>
      </c>
      <c r="Z29" s="16" t="s">
        <v>38</v>
      </c>
      <c r="AA29" s="14">
        <v>248.56</v>
      </c>
      <c r="AB29" s="15">
        <v>0</v>
      </c>
      <c r="AC29" s="16">
        <v>-100</v>
      </c>
      <c r="AD29" s="17">
        <v>0</v>
      </c>
    </row>
    <row r="30" spans="1:30" ht="15.65" thickBot="1">
      <c r="A30" s="12"/>
      <c r="B30" s="20" t="s">
        <v>42</v>
      </c>
      <c r="C30" s="18">
        <v>16.510000000000002</v>
      </c>
      <c r="D30" s="15">
        <v>7.87</v>
      </c>
      <c r="E30" s="16">
        <v>-52.31</v>
      </c>
      <c r="F30" s="19">
        <v>121.71</v>
      </c>
      <c r="G30" s="15">
        <v>87.54</v>
      </c>
      <c r="H30" s="16">
        <v>-28.08</v>
      </c>
      <c r="I30" s="66">
        <v>3.24</v>
      </c>
      <c r="J30" s="14">
        <v>5</v>
      </c>
      <c r="K30" s="15">
        <v>3</v>
      </c>
      <c r="L30" s="16">
        <v>-40</v>
      </c>
      <c r="M30" s="14">
        <v>16</v>
      </c>
      <c r="N30" s="15">
        <v>25</v>
      </c>
      <c r="O30" s="16">
        <v>56.25</v>
      </c>
      <c r="P30" s="17">
        <v>0.18</v>
      </c>
      <c r="Q30" s="14">
        <v>196022</v>
      </c>
      <c r="R30" s="14">
        <v>247088</v>
      </c>
      <c r="S30" s="16">
        <v>26.05</v>
      </c>
      <c r="T30" s="14">
        <v>2981837</v>
      </c>
      <c r="U30" s="60">
        <v>1382651</v>
      </c>
      <c r="V30" s="16">
        <v>-53.63</v>
      </c>
      <c r="W30" s="66">
        <v>3.58</v>
      </c>
      <c r="X30" s="18">
        <v>4368.66</v>
      </c>
      <c r="Y30" s="15">
        <v>5481.59</v>
      </c>
      <c r="Z30" s="16">
        <v>25.48</v>
      </c>
      <c r="AA30" s="19">
        <v>35913.99</v>
      </c>
      <c r="AB30" s="15">
        <v>31085.05</v>
      </c>
      <c r="AC30" s="16">
        <v>-13.45</v>
      </c>
      <c r="AD30" s="17">
        <v>3.76</v>
      </c>
    </row>
    <row r="31" spans="1:30" ht="15.65" thickBot="1">
      <c r="A31" s="12"/>
      <c r="B31" s="20"/>
      <c r="C31" s="21"/>
      <c r="D31" s="22"/>
      <c r="E31" s="23"/>
      <c r="F31" s="13"/>
      <c r="G31" s="22"/>
      <c r="H31" s="23"/>
      <c r="I31" s="67"/>
      <c r="J31" s="20"/>
      <c r="K31" s="22"/>
      <c r="L31" s="23"/>
      <c r="M31" s="20"/>
      <c r="N31" s="22"/>
      <c r="O31" s="23"/>
      <c r="P31" s="24"/>
      <c r="Q31" s="20"/>
      <c r="R31" s="20"/>
      <c r="S31" s="23"/>
      <c r="T31" s="20"/>
      <c r="U31" s="61"/>
      <c r="V31" s="23"/>
      <c r="W31" s="67"/>
      <c r="X31" s="21"/>
      <c r="Y31" s="22"/>
      <c r="Z31" s="23"/>
      <c r="AA31" s="13"/>
      <c r="AB31" s="22"/>
      <c r="AC31" s="23"/>
      <c r="AD31" s="24"/>
    </row>
    <row r="32" spans="1:30" ht="16.899999999999999" thickBot="1">
      <c r="A32" s="6">
        <v>5</v>
      </c>
      <c r="B32" s="7" t="s">
        <v>46</v>
      </c>
      <c r="C32" s="8">
        <v>74.84</v>
      </c>
      <c r="D32" s="8">
        <v>71.56</v>
      </c>
      <c r="E32" s="9">
        <v>-4.38</v>
      </c>
      <c r="F32" s="8">
        <v>397.47</v>
      </c>
      <c r="G32" s="8">
        <v>414.27</v>
      </c>
      <c r="H32" s="9">
        <v>4.2300000000000004</v>
      </c>
      <c r="I32" s="65">
        <v>0.33</v>
      </c>
      <c r="J32" s="11">
        <v>12065</v>
      </c>
      <c r="K32" s="11">
        <v>14731</v>
      </c>
      <c r="L32" s="9">
        <v>22.1</v>
      </c>
      <c r="M32" s="11">
        <v>64414</v>
      </c>
      <c r="N32" s="11">
        <v>117771</v>
      </c>
      <c r="O32" s="9">
        <v>82.83</v>
      </c>
      <c r="P32" s="10">
        <v>1.01</v>
      </c>
      <c r="Q32" s="11">
        <v>6604</v>
      </c>
      <c r="R32" s="11">
        <v>7259</v>
      </c>
      <c r="S32" s="9">
        <v>9.92</v>
      </c>
      <c r="T32" s="11">
        <v>31568</v>
      </c>
      <c r="U32" s="59">
        <v>41374</v>
      </c>
      <c r="V32" s="9">
        <v>31.06</v>
      </c>
      <c r="W32" s="65">
        <v>0.04</v>
      </c>
      <c r="X32" s="8">
        <v>2185.56</v>
      </c>
      <c r="Y32" s="8">
        <v>2026.67</v>
      </c>
      <c r="Z32" s="9">
        <v>-7.27</v>
      </c>
      <c r="AA32" s="8">
        <v>12014.62</v>
      </c>
      <c r="AB32" s="8">
        <v>13824.59</v>
      </c>
      <c r="AC32" s="9">
        <v>15.06</v>
      </c>
      <c r="AD32" s="10">
        <v>0.64</v>
      </c>
    </row>
    <row r="33" spans="1:30" ht="15.65" thickBot="1">
      <c r="A33" s="12"/>
      <c r="B33" s="13" t="s">
        <v>37</v>
      </c>
      <c r="C33" s="18">
        <v>4.1900000000000004</v>
      </c>
      <c r="D33" s="15">
        <v>4.3</v>
      </c>
      <c r="E33" s="16">
        <v>2.74</v>
      </c>
      <c r="F33" s="19">
        <v>21.54</v>
      </c>
      <c r="G33" s="15">
        <v>23.28</v>
      </c>
      <c r="H33" s="16">
        <v>8.07</v>
      </c>
      <c r="I33" s="66">
        <v>0.13</v>
      </c>
      <c r="J33" s="14">
        <v>43</v>
      </c>
      <c r="K33" s="15">
        <v>34</v>
      </c>
      <c r="L33" s="16">
        <v>-20.93</v>
      </c>
      <c r="M33" s="14">
        <v>205</v>
      </c>
      <c r="N33" s="15">
        <v>5152</v>
      </c>
      <c r="O33" s="16">
        <v>2413.17</v>
      </c>
      <c r="P33" s="17">
        <v>0.92</v>
      </c>
      <c r="Q33" s="14">
        <v>0</v>
      </c>
      <c r="R33" s="14">
        <v>0</v>
      </c>
      <c r="S33" s="16" t="s">
        <v>38</v>
      </c>
      <c r="T33" s="14">
        <v>0</v>
      </c>
      <c r="U33" s="60">
        <v>0</v>
      </c>
      <c r="V33" s="16" t="s">
        <v>38</v>
      </c>
      <c r="W33" s="66" t="s">
        <v>38</v>
      </c>
      <c r="X33" s="18">
        <v>20.86</v>
      </c>
      <c r="Y33" s="15">
        <v>31.46</v>
      </c>
      <c r="Z33" s="16">
        <v>50.83</v>
      </c>
      <c r="AA33" s="19">
        <v>164.18</v>
      </c>
      <c r="AB33" s="15">
        <v>170.05</v>
      </c>
      <c r="AC33" s="16">
        <v>3.58</v>
      </c>
      <c r="AD33" s="17">
        <v>1.4</v>
      </c>
    </row>
    <row r="34" spans="1:30" ht="15.65" thickBot="1">
      <c r="A34" s="12"/>
      <c r="B34" s="13" t="s">
        <v>39</v>
      </c>
      <c r="C34" s="18">
        <v>47.35</v>
      </c>
      <c r="D34" s="15">
        <v>48.29</v>
      </c>
      <c r="E34" s="16">
        <v>1.97</v>
      </c>
      <c r="F34" s="19">
        <v>241.67</v>
      </c>
      <c r="G34" s="15">
        <v>269.70999999999998</v>
      </c>
      <c r="H34" s="16">
        <v>11.6</v>
      </c>
      <c r="I34" s="66">
        <v>0.93</v>
      </c>
      <c r="J34" s="14">
        <v>12022</v>
      </c>
      <c r="K34" s="15">
        <v>14696</v>
      </c>
      <c r="L34" s="16">
        <v>22.24</v>
      </c>
      <c r="M34" s="14">
        <v>64205</v>
      </c>
      <c r="N34" s="15">
        <v>112615</v>
      </c>
      <c r="O34" s="16">
        <v>75.400000000000006</v>
      </c>
      <c r="P34" s="17">
        <v>1.01</v>
      </c>
      <c r="Q34" s="14">
        <v>0</v>
      </c>
      <c r="R34" s="14">
        <v>0</v>
      </c>
      <c r="S34" s="16" t="s">
        <v>38</v>
      </c>
      <c r="T34" s="14">
        <v>0</v>
      </c>
      <c r="U34" s="60">
        <v>0</v>
      </c>
      <c r="V34" s="16" t="s">
        <v>38</v>
      </c>
      <c r="W34" s="66" t="s">
        <v>38</v>
      </c>
      <c r="X34" s="18">
        <v>802</v>
      </c>
      <c r="Y34" s="15">
        <v>1003.24</v>
      </c>
      <c r="Z34" s="16">
        <v>25.09</v>
      </c>
      <c r="AA34" s="19">
        <v>4109.5600000000004</v>
      </c>
      <c r="AB34" s="15">
        <v>6827.8</v>
      </c>
      <c r="AC34" s="16">
        <v>66.14</v>
      </c>
      <c r="AD34" s="17">
        <v>0.87</v>
      </c>
    </row>
    <row r="35" spans="1:30" ht="15.65" thickBot="1">
      <c r="A35" s="12"/>
      <c r="B35" s="13" t="s">
        <v>40</v>
      </c>
      <c r="C35" s="14">
        <v>23.3</v>
      </c>
      <c r="D35" s="15">
        <v>18.96</v>
      </c>
      <c r="E35" s="16">
        <v>-18.63</v>
      </c>
      <c r="F35" s="14">
        <v>134.26</v>
      </c>
      <c r="G35" s="15">
        <v>121.26</v>
      </c>
      <c r="H35" s="16">
        <v>-9.68</v>
      </c>
      <c r="I35" s="66">
        <v>0.22</v>
      </c>
      <c r="J35" s="14">
        <v>0</v>
      </c>
      <c r="K35" s="15">
        <v>0</v>
      </c>
      <c r="L35" s="16" t="s">
        <v>38</v>
      </c>
      <c r="M35" s="14">
        <v>4</v>
      </c>
      <c r="N35" s="15">
        <v>2</v>
      </c>
      <c r="O35" s="16">
        <v>-50</v>
      </c>
      <c r="P35" s="17">
        <v>0.18</v>
      </c>
      <c r="Q35" s="14">
        <v>6604</v>
      </c>
      <c r="R35" s="14">
        <v>4882</v>
      </c>
      <c r="S35" s="16">
        <v>-26.08</v>
      </c>
      <c r="T35" s="14">
        <v>31568</v>
      </c>
      <c r="U35" s="60">
        <v>38997</v>
      </c>
      <c r="V35" s="16">
        <v>23.53</v>
      </c>
      <c r="W35" s="66">
        <v>7.0000000000000007E-2</v>
      </c>
      <c r="X35" s="14">
        <v>1362.71</v>
      </c>
      <c r="Y35" s="15">
        <v>896.9</v>
      </c>
      <c r="Z35" s="16">
        <v>-34.18</v>
      </c>
      <c r="AA35" s="14">
        <v>7740.88</v>
      </c>
      <c r="AB35" s="15">
        <v>6636.59</v>
      </c>
      <c r="AC35" s="16">
        <v>-14.27</v>
      </c>
      <c r="AD35" s="17">
        <v>1.37</v>
      </c>
    </row>
    <row r="36" spans="1:30" ht="15.65" thickBot="1">
      <c r="A36" s="12"/>
      <c r="B36" s="13" t="s">
        <v>41</v>
      </c>
      <c r="C36" s="18">
        <v>0</v>
      </c>
      <c r="D36" s="15">
        <v>0.02</v>
      </c>
      <c r="E36" s="16" t="s">
        <v>38</v>
      </c>
      <c r="F36" s="19">
        <v>0</v>
      </c>
      <c r="G36" s="15">
        <v>0.02</v>
      </c>
      <c r="H36" s="16" t="s">
        <v>38</v>
      </c>
      <c r="I36" s="66">
        <v>0</v>
      </c>
      <c r="J36" s="14">
        <v>0</v>
      </c>
      <c r="K36" s="15">
        <v>1</v>
      </c>
      <c r="L36" s="16" t="s">
        <v>38</v>
      </c>
      <c r="M36" s="14">
        <v>0</v>
      </c>
      <c r="N36" s="15">
        <v>1</v>
      </c>
      <c r="O36" s="16" t="s">
        <v>38</v>
      </c>
      <c r="P36" s="17">
        <v>7.0000000000000007E-2</v>
      </c>
      <c r="Q36" s="14">
        <v>0</v>
      </c>
      <c r="R36" s="14">
        <v>2377</v>
      </c>
      <c r="S36" s="16" t="s">
        <v>38</v>
      </c>
      <c r="T36" s="14">
        <v>0</v>
      </c>
      <c r="U36" s="60">
        <v>2377</v>
      </c>
      <c r="V36" s="16" t="s">
        <v>38</v>
      </c>
      <c r="W36" s="66">
        <v>0.06</v>
      </c>
      <c r="X36" s="18">
        <v>0</v>
      </c>
      <c r="Y36" s="15">
        <v>95.08</v>
      </c>
      <c r="Z36" s="16" t="s">
        <v>38</v>
      </c>
      <c r="AA36" s="19">
        <v>0</v>
      </c>
      <c r="AB36" s="15">
        <v>95.08</v>
      </c>
      <c r="AC36" s="16" t="s">
        <v>38</v>
      </c>
      <c r="AD36" s="17">
        <v>0.17</v>
      </c>
    </row>
    <row r="37" spans="1:30" ht="15.65" thickBot="1">
      <c r="A37" s="12"/>
      <c r="B37" s="20" t="s">
        <v>42</v>
      </c>
      <c r="C37" s="18">
        <v>0</v>
      </c>
      <c r="D37" s="15">
        <v>0</v>
      </c>
      <c r="E37" s="16" t="s">
        <v>38</v>
      </c>
      <c r="F37" s="19">
        <v>0</v>
      </c>
      <c r="G37" s="15">
        <v>0</v>
      </c>
      <c r="H37" s="16" t="s">
        <v>38</v>
      </c>
      <c r="I37" s="66">
        <v>0</v>
      </c>
      <c r="J37" s="14">
        <v>0</v>
      </c>
      <c r="K37" s="15">
        <v>0</v>
      </c>
      <c r="L37" s="16" t="s">
        <v>38</v>
      </c>
      <c r="M37" s="14">
        <v>0</v>
      </c>
      <c r="N37" s="15">
        <v>1</v>
      </c>
      <c r="O37" s="16" t="s">
        <v>38</v>
      </c>
      <c r="P37" s="17">
        <v>0.01</v>
      </c>
      <c r="Q37" s="14">
        <v>0</v>
      </c>
      <c r="R37" s="14">
        <v>0</v>
      </c>
      <c r="S37" s="16" t="s">
        <v>38</v>
      </c>
      <c r="T37" s="14">
        <v>0</v>
      </c>
      <c r="U37" s="60">
        <v>0</v>
      </c>
      <c r="V37" s="16" t="s">
        <v>38</v>
      </c>
      <c r="W37" s="66">
        <v>0</v>
      </c>
      <c r="X37" s="18">
        <v>0</v>
      </c>
      <c r="Y37" s="15">
        <v>0</v>
      </c>
      <c r="Z37" s="16" t="s">
        <v>38</v>
      </c>
      <c r="AA37" s="19">
        <v>0</v>
      </c>
      <c r="AB37" s="15">
        <v>95.08</v>
      </c>
      <c r="AC37" s="16" t="s">
        <v>38</v>
      </c>
      <c r="AD37" s="17">
        <v>0.01</v>
      </c>
    </row>
    <row r="38" spans="1:30" ht="15.65" thickBot="1">
      <c r="A38" s="12"/>
      <c r="B38" s="20"/>
      <c r="C38" s="21"/>
      <c r="D38" s="22"/>
      <c r="E38" s="23"/>
      <c r="F38" s="13"/>
      <c r="G38" s="22"/>
      <c r="H38" s="23"/>
      <c r="I38" s="67"/>
      <c r="J38" s="20"/>
      <c r="K38" s="22"/>
      <c r="L38" s="23"/>
      <c r="M38" s="20"/>
      <c r="N38" s="22"/>
      <c r="O38" s="23"/>
      <c r="P38" s="24"/>
      <c r="Q38" s="20"/>
      <c r="R38" s="20"/>
      <c r="S38" s="23"/>
      <c r="T38" s="20"/>
      <c r="U38" s="61"/>
      <c r="V38" s="23"/>
      <c r="W38" s="67"/>
      <c r="X38" s="21"/>
      <c r="Y38" s="22"/>
      <c r="Z38" s="23"/>
      <c r="AA38" s="13"/>
      <c r="AB38" s="22"/>
      <c r="AC38" s="23"/>
      <c r="AD38" s="24"/>
    </row>
    <row r="39" spans="1:30" ht="16.899999999999999" thickBot="1">
      <c r="A39" s="6">
        <v>6</v>
      </c>
      <c r="B39" s="7" t="s">
        <v>47</v>
      </c>
      <c r="C39" s="8">
        <v>120.44</v>
      </c>
      <c r="D39" s="8">
        <v>149.19</v>
      </c>
      <c r="E39" s="9">
        <v>23.87</v>
      </c>
      <c r="F39" s="8">
        <v>638.80999999999995</v>
      </c>
      <c r="G39" s="8">
        <v>762.22</v>
      </c>
      <c r="H39" s="9">
        <v>19.32</v>
      </c>
      <c r="I39" s="65">
        <v>0.61</v>
      </c>
      <c r="J39" s="11">
        <v>14107</v>
      </c>
      <c r="K39" s="11">
        <v>19011</v>
      </c>
      <c r="L39" s="9">
        <v>34.76</v>
      </c>
      <c r="M39" s="11">
        <v>50531</v>
      </c>
      <c r="N39" s="11">
        <v>66734</v>
      </c>
      <c r="O39" s="9">
        <v>32.07</v>
      </c>
      <c r="P39" s="10">
        <v>0.56999999999999995</v>
      </c>
      <c r="Q39" s="11">
        <v>58074</v>
      </c>
      <c r="R39" s="11">
        <v>136171</v>
      </c>
      <c r="S39" s="9">
        <v>134.47999999999999</v>
      </c>
      <c r="T39" s="11">
        <v>1862368</v>
      </c>
      <c r="U39" s="59">
        <v>2687250</v>
      </c>
      <c r="V39" s="9">
        <v>44.29</v>
      </c>
      <c r="W39" s="65">
        <v>2.72</v>
      </c>
      <c r="X39" s="8">
        <v>2969.87</v>
      </c>
      <c r="Y39" s="8">
        <v>5180.55</v>
      </c>
      <c r="Z39" s="9">
        <v>74.44</v>
      </c>
      <c r="AA39" s="8">
        <v>45388.77</v>
      </c>
      <c r="AB39" s="8">
        <v>64156.86</v>
      </c>
      <c r="AC39" s="9">
        <v>41.35</v>
      </c>
      <c r="AD39" s="10">
        <v>2.96</v>
      </c>
    </row>
    <row r="40" spans="1:30" ht="15.65" thickBot="1">
      <c r="A40" s="12"/>
      <c r="B40" s="13" t="s">
        <v>37</v>
      </c>
      <c r="C40" s="18">
        <v>8</v>
      </c>
      <c r="D40" s="15">
        <v>7.04</v>
      </c>
      <c r="E40" s="16">
        <v>-12.02</v>
      </c>
      <c r="F40" s="19">
        <v>26.93</v>
      </c>
      <c r="G40" s="15">
        <v>40.21</v>
      </c>
      <c r="H40" s="16">
        <v>49.32</v>
      </c>
      <c r="I40" s="66">
        <v>0.23</v>
      </c>
      <c r="J40" s="14">
        <v>48</v>
      </c>
      <c r="K40" s="15">
        <v>62</v>
      </c>
      <c r="L40" s="16">
        <v>29.17</v>
      </c>
      <c r="M40" s="14">
        <v>163</v>
      </c>
      <c r="N40" s="15">
        <v>249</v>
      </c>
      <c r="O40" s="16">
        <v>52.76</v>
      </c>
      <c r="P40" s="17">
        <v>0.04</v>
      </c>
      <c r="Q40" s="14">
        <v>0</v>
      </c>
      <c r="R40" s="14">
        <v>0</v>
      </c>
      <c r="S40" s="16" t="s">
        <v>38</v>
      </c>
      <c r="T40" s="14">
        <v>0</v>
      </c>
      <c r="U40" s="60">
        <v>0</v>
      </c>
      <c r="V40" s="16" t="s">
        <v>38</v>
      </c>
      <c r="W40" s="66" t="s">
        <v>38</v>
      </c>
      <c r="X40" s="18">
        <v>8.82</v>
      </c>
      <c r="Y40" s="15">
        <v>9.1999999999999993</v>
      </c>
      <c r="Z40" s="16">
        <v>4.3</v>
      </c>
      <c r="AA40" s="19">
        <v>31.66</v>
      </c>
      <c r="AB40" s="15">
        <v>50.86</v>
      </c>
      <c r="AC40" s="16">
        <v>60.63</v>
      </c>
      <c r="AD40" s="17">
        <v>0.42</v>
      </c>
    </row>
    <row r="41" spans="1:30" ht="15.65" thickBot="1">
      <c r="A41" s="12"/>
      <c r="B41" s="13" t="s">
        <v>39</v>
      </c>
      <c r="C41" s="14">
        <v>96.77</v>
      </c>
      <c r="D41" s="15">
        <v>116.46</v>
      </c>
      <c r="E41" s="16">
        <v>20.350000000000001</v>
      </c>
      <c r="F41" s="14">
        <v>369.51</v>
      </c>
      <c r="G41" s="15">
        <v>428.08</v>
      </c>
      <c r="H41" s="16">
        <v>15.85</v>
      </c>
      <c r="I41" s="66">
        <v>1.48</v>
      </c>
      <c r="J41" s="14">
        <v>14058</v>
      </c>
      <c r="K41" s="15">
        <v>18949</v>
      </c>
      <c r="L41" s="16">
        <v>34.79</v>
      </c>
      <c r="M41" s="14">
        <v>50362</v>
      </c>
      <c r="N41" s="15">
        <v>66479</v>
      </c>
      <c r="O41" s="16">
        <v>32</v>
      </c>
      <c r="P41" s="17">
        <v>0.6</v>
      </c>
      <c r="Q41" s="14">
        <v>0</v>
      </c>
      <c r="R41" s="14">
        <v>0</v>
      </c>
      <c r="S41" s="16" t="s">
        <v>38</v>
      </c>
      <c r="T41" s="14">
        <v>0</v>
      </c>
      <c r="U41" s="60">
        <v>0</v>
      </c>
      <c r="V41" s="16" t="s">
        <v>38</v>
      </c>
      <c r="W41" s="66" t="s">
        <v>38</v>
      </c>
      <c r="X41" s="14">
        <v>1384.91</v>
      </c>
      <c r="Y41" s="15">
        <v>1845.75</v>
      </c>
      <c r="Z41" s="16">
        <v>33.28</v>
      </c>
      <c r="AA41" s="14">
        <v>6258.4</v>
      </c>
      <c r="AB41" s="15">
        <v>7551.85</v>
      </c>
      <c r="AC41" s="16">
        <v>20.67</v>
      </c>
      <c r="AD41" s="17">
        <v>0.96</v>
      </c>
    </row>
    <row r="42" spans="1:30" ht="15.65" thickBot="1">
      <c r="A42" s="12"/>
      <c r="B42" s="13" t="s">
        <v>40</v>
      </c>
      <c r="C42" s="18">
        <v>13.9</v>
      </c>
      <c r="D42" s="15">
        <v>21.91</v>
      </c>
      <c r="E42" s="16">
        <v>57.6</v>
      </c>
      <c r="F42" s="19">
        <v>186.83</v>
      </c>
      <c r="G42" s="15">
        <v>215.19</v>
      </c>
      <c r="H42" s="16">
        <v>15.18</v>
      </c>
      <c r="I42" s="66">
        <v>0.38</v>
      </c>
      <c r="J42" s="14">
        <v>1</v>
      </c>
      <c r="K42" s="15">
        <v>0</v>
      </c>
      <c r="L42" s="16">
        <v>-100</v>
      </c>
      <c r="M42" s="14">
        <v>2</v>
      </c>
      <c r="N42" s="15">
        <v>2</v>
      </c>
      <c r="O42" s="16">
        <v>0</v>
      </c>
      <c r="P42" s="17">
        <v>0.18</v>
      </c>
      <c r="Q42" s="14">
        <v>5805</v>
      </c>
      <c r="R42" s="14">
        <v>2215</v>
      </c>
      <c r="S42" s="16">
        <v>-61.84</v>
      </c>
      <c r="T42" s="14">
        <v>11570</v>
      </c>
      <c r="U42" s="60">
        <v>10540</v>
      </c>
      <c r="V42" s="16">
        <v>-8.9</v>
      </c>
      <c r="W42" s="66">
        <v>0.02</v>
      </c>
      <c r="X42" s="18">
        <v>239.66</v>
      </c>
      <c r="Y42" s="15">
        <v>338.68</v>
      </c>
      <c r="Z42" s="16">
        <v>41.32</v>
      </c>
      <c r="AA42" s="19">
        <v>1032.1300000000001</v>
      </c>
      <c r="AB42" s="15">
        <v>1498.1</v>
      </c>
      <c r="AC42" s="16">
        <v>45.15</v>
      </c>
      <c r="AD42" s="17">
        <v>0.31</v>
      </c>
    </row>
    <row r="43" spans="1:30" ht="15.65" thickBot="1">
      <c r="A43" s="12"/>
      <c r="B43" s="13" t="s">
        <v>41</v>
      </c>
      <c r="C43" s="18">
        <v>0.6</v>
      </c>
      <c r="D43" s="15">
        <v>0.68</v>
      </c>
      <c r="E43" s="16">
        <v>13.87</v>
      </c>
      <c r="F43" s="19">
        <v>2.5</v>
      </c>
      <c r="G43" s="14">
        <v>3.5</v>
      </c>
      <c r="H43" s="16">
        <v>39.76</v>
      </c>
      <c r="I43" s="66">
        <v>0.02</v>
      </c>
      <c r="J43" s="14">
        <v>0</v>
      </c>
      <c r="K43" s="14">
        <v>0</v>
      </c>
      <c r="L43" s="16" t="s">
        <v>38</v>
      </c>
      <c r="M43" s="14">
        <v>0</v>
      </c>
      <c r="N43" s="14">
        <v>0</v>
      </c>
      <c r="O43" s="16" t="s">
        <v>38</v>
      </c>
      <c r="P43" s="17">
        <v>0</v>
      </c>
      <c r="Q43" s="14">
        <v>1221</v>
      </c>
      <c r="R43" s="14">
        <v>1213</v>
      </c>
      <c r="S43" s="16">
        <v>-0.66</v>
      </c>
      <c r="T43" s="14">
        <v>4466</v>
      </c>
      <c r="U43" s="60">
        <v>6285</v>
      </c>
      <c r="V43" s="16">
        <v>40.729999999999997</v>
      </c>
      <c r="W43" s="66">
        <v>0.16</v>
      </c>
      <c r="X43" s="18">
        <v>215.05</v>
      </c>
      <c r="Y43" s="15">
        <v>244.36</v>
      </c>
      <c r="Z43" s="16">
        <v>13.63</v>
      </c>
      <c r="AA43" s="19">
        <v>819.78</v>
      </c>
      <c r="AB43" s="14">
        <v>1252.3499999999999</v>
      </c>
      <c r="AC43" s="16">
        <v>52.77</v>
      </c>
      <c r="AD43" s="17">
        <v>2.25</v>
      </c>
    </row>
    <row r="44" spans="1:30" ht="15.65" thickBot="1">
      <c r="A44" s="12"/>
      <c r="B44" s="20" t="s">
        <v>42</v>
      </c>
      <c r="C44" s="18">
        <v>1.18</v>
      </c>
      <c r="D44" s="15">
        <v>3.1</v>
      </c>
      <c r="E44" s="16">
        <v>163.05000000000001</v>
      </c>
      <c r="F44" s="19">
        <v>53.04</v>
      </c>
      <c r="G44" s="15">
        <v>75.25</v>
      </c>
      <c r="H44" s="16">
        <v>41.87</v>
      </c>
      <c r="I44" s="66">
        <v>2.78</v>
      </c>
      <c r="J44" s="14">
        <v>0</v>
      </c>
      <c r="K44" s="15">
        <v>0</v>
      </c>
      <c r="L44" s="16" t="s">
        <v>38</v>
      </c>
      <c r="M44" s="14">
        <v>4</v>
      </c>
      <c r="N44" s="15">
        <v>4</v>
      </c>
      <c r="O44" s="16">
        <v>0</v>
      </c>
      <c r="P44" s="17">
        <v>0.03</v>
      </c>
      <c r="Q44" s="14">
        <v>51048</v>
      </c>
      <c r="R44" s="14">
        <v>132743</v>
      </c>
      <c r="S44" s="16">
        <v>160.04</v>
      </c>
      <c r="T44" s="14">
        <v>1846332</v>
      </c>
      <c r="U44" s="60">
        <v>2670425</v>
      </c>
      <c r="V44" s="16">
        <v>44.63</v>
      </c>
      <c r="W44" s="66">
        <v>6.91</v>
      </c>
      <c r="X44" s="18">
        <v>1121.43</v>
      </c>
      <c r="Y44" s="15">
        <v>2742.56</v>
      </c>
      <c r="Z44" s="16">
        <v>144.56</v>
      </c>
      <c r="AA44" s="19">
        <v>37246.800000000003</v>
      </c>
      <c r="AB44" s="15">
        <v>53803.7</v>
      </c>
      <c r="AC44" s="16">
        <v>44.45</v>
      </c>
      <c r="AD44" s="17">
        <v>6.51</v>
      </c>
    </row>
    <row r="45" spans="1:30" ht="15.65" thickBot="1">
      <c r="A45" s="12"/>
      <c r="B45" s="20"/>
      <c r="C45" s="21"/>
      <c r="D45" s="22"/>
      <c r="E45" s="23"/>
      <c r="F45" s="13"/>
      <c r="G45" s="22"/>
      <c r="H45" s="23"/>
      <c r="I45" s="67"/>
      <c r="J45" s="20"/>
      <c r="K45" s="22"/>
      <c r="L45" s="23"/>
      <c r="M45" s="20"/>
      <c r="N45" s="22"/>
      <c r="O45" s="23"/>
      <c r="P45" s="24"/>
      <c r="Q45" s="20"/>
      <c r="R45" s="20"/>
      <c r="S45" s="23"/>
      <c r="T45" s="20"/>
      <c r="U45" s="61"/>
      <c r="V45" s="23"/>
      <c r="W45" s="67"/>
      <c r="X45" s="21"/>
      <c r="Y45" s="22"/>
      <c r="Z45" s="23"/>
      <c r="AA45" s="13"/>
      <c r="AB45" s="22"/>
      <c r="AC45" s="23"/>
      <c r="AD45" s="24"/>
    </row>
    <row r="46" spans="1:30" ht="16.899999999999999" thickBot="1">
      <c r="A46" s="6">
        <v>7</v>
      </c>
      <c r="B46" s="7" t="s">
        <v>48</v>
      </c>
      <c r="C46" s="8">
        <v>110.64</v>
      </c>
      <c r="D46" s="8">
        <v>47.63</v>
      </c>
      <c r="E46" s="9">
        <v>-56.95</v>
      </c>
      <c r="F46" s="8">
        <v>783.3</v>
      </c>
      <c r="G46" s="8">
        <v>300.05</v>
      </c>
      <c r="H46" s="9">
        <v>-61.69</v>
      </c>
      <c r="I46" s="65">
        <v>0.24</v>
      </c>
      <c r="J46" s="11">
        <v>7499</v>
      </c>
      <c r="K46" s="11">
        <v>3089</v>
      </c>
      <c r="L46" s="9">
        <v>-58.81</v>
      </c>
      <c r="M46" s="11">
        <v>42593</v>
      </c>
      <c r="N46" s="11">
        <v>20584</v>
      </c>
      <c r="O46" s="9">
        <v>-51.67</v>
      </c>
      <c r="P46" s="10">
        <v>0.18</v>
      </c>
      <c r="Q46" s="11">
        <v>2096424</v>
      </c>
      <c r="R46" s="11">
        <v>1062293</v>
      </c>
      <c r="S46" s="9">
        <v>-49.33</v>
      </c>
      <c r="T46" s="11">
        <v>10210886</v>
      </c>
      <c r="U46" s="59">
        <v>6007789</v>
      </c>
      <c r="V46" s="9">
        <v>-41.16</v>
      </c>
      <c r="W46" s="65">
        <v>6.08</v>
      </c>
      <c r="X46" s="8">
        <v>8746.84</v>
      </c>
      <c r="Y46" s="8">
        <v>4223.59</v>
      </c>
      <c r="Z46" s="9">
        <v>-51.71</v>
      </c>
      <c r="AA46" s="8">
        <v>55026.92</v>
      </c>
      <c r="AB46" s="8">
        <v>28418.9</v>
      </c>
      <c r="AC46" s="9">
        <v>-48.35</v>
      </c>
      <c r="AD46" s="10">
        <v>1.31</v>
      </c>
    </row>
    <row r="47" spans="1:30" ht="15.65" thickBot="1">
      <c r="A47" s="12"/>
      <c r="B47" s="13" t="s">
        <v>37</v>
      </c>
      <c r="C47" s="18">
        <v>1.36</v>
      </c>
      <c r="D47" s="15">
        <v>0.19</v>
      </c>
      <c r="E47" s="16">
        <v>-86.25</v>
      </c>
      <c r="F47" s="19">
        <v>10.67</v>
      </c>
      <c r="G47" s="15">
        <v>6.39</v>
      </c>
      <c r="H47" s="16">
        <v>-40.090000000000003</v>
      </c>
      <c r="I47" s="66">
        <v>0.04</v>
      </c>
      <c r="J47" s="14">
        <v>322</v>
      </c>
      <c r="K47" s="15">
        <v>25</v>
      </c>
      <c r="L47" s="16">
        <v>-92.24</v>
      </c>
      <c r="M47" s="14">
        <v>1518</v>
      </c>
      <c r="N47" s="15">
        <v>256</v>
      </c>
      <c r="O47" s="16">
        <v>-83.14</v>
      </c>
      <c r="P47" s="17">
        <v>0.05</v>
      </c>
      <c r="Q47" s="14">
        <v>0</v>
      </c>
      <c r="R47" s="14">
        <v>0</v>
      </c>
      <c r="S47" s="16" t="s">
        <v>38</v>
      </c>
      <c r="T47" s="14">
        <v>0</v>
      </c>
      <c r="U47" s="60">
        <v>0</v>
      </c>
      <c r="V47" s="16" t="s">
        <v>38</v>
      </c>
      <c r="W47" s="66" t="s">
        <v>38</v>
      </c>
      <c r="X47" s="18">
        <v>3.14</v>
      </c>
      <c r="Y47" s="15">
        <v>0.61</v>
      </c>
      <c r="Z47" s="16">
        <v>-80.7</v>
      </c>
      <c r="AA47" s="19">
        <v>21.68</v>
      </c>
      <c r="AB47" s="15">
        <v>25.61</v>
      </c>
      <c r="AC47" s="16">
        <v>18.11</v>
      </c>
      <c r="AD47" s="17">
        <v>0.21</v>
      </c>
    </row>
    <row r="48" spans="1:30" ht="15.65" thickBot="1">
      <c r="A48" s="12"/>
      <c r="B48" s="13" t="s">
        <v>39</v>
      </c>
      <c r="C48" s="18">
        <v>28.19</v>
      </c>
      <c r="D48" s="15">
        <v>12.83</v>
      </c>
      <c r="E48" s="16">
        <v>-54.5</v>
      </c>
      <c r="F48" s="19">
        <v>172.08</v>
      </c>
      <c r="G48" s="15">
        <v>80.819999999999993</v>
      </c>
      <c r="H48" s="16">
        <v>-53.04</v>
      </c>
      <c r="I48" s="66">
        <v>0.28000000000000003</v>
      </c>
      <c r="J48" s="14">
        <v>7095</v>
      </c>
      <c r="K48" s="15">
        <v>3010</v>
      </c>
      <c r="L48" s="16">
        <v>-57.58</v>
      </c>
      <c r="M48" s="14">
        <v>40594</v>
      </c>
      <c r="N48" s="15">
        <v>19973</v>
      </c>
      <c r="O48" s="16">
        <v>-50.8</v>
      </c>
      <c r="P48" s="17">
        <v>0.18</v>
      </c>
      <c r="Q48" s="14">
        <v>0</v>
      </c>
      <c r="R48" s="14">
        <v>0</v>
      </c>
      <c r="S48" s="16" t="s">
        <v>38</v>
      </c>
      <c r="T48" s="14">
        <v>0</v>
      </c>
      <c r="U48" s="60">
        <v>0</v>
      </c>
      <c r="V48" s="16" t="s">
        <v>38</v>
      </c>
      <c r="W48" s="66" t="s">
        <v>38</v>
      </c>
      <c r="X48" s="18">
        <v>300.29000000000002</v>
      </c>
      <c r="Y48" s="15">
        <v>107.33</v>
      </c>
      <c r="Z48" s="16">
        <v>-64.260000000000005</v>
      </c>
      <c r="AA48" s="19">
        <v>1734.79</v>
      </c>
      <c r="AB48" s="15">
        <v>734.4</v>
      </c>
      <c r="AC48" s="16">
        <v>-57.67</v>
      </c>
      <c r="AD48" s="17">
        <v>0.09</v>
      </c>
    </row>
    <row r="49" spans="1:30" ht="15.65" thickBot="1">
      <c r="A49" s="12"/>
      <c r="B49" s="13" t="s">
        <v>40</v>
      </c>
      <c r="C49" s="18">
        <v>34.1</v>
      </c>
      <c r="D49" s="15">
        <v>27.16</v>
      </c>
      <c r="E49" s="16">
        <v>-20.36</v>
      </c>
      <c r="F49" s="19">
        <v>368.91</v>
      </c>
      <c r="G49" s="15">
        <v>156.37</v>
      </c>
      <c r="H49" s="16">
        <v>-57.61</v>
      </c>
      <c r="I49" s="66">
        <v>0.28000000000000003</v>
      </c>
      <c r="J49" s="14">
        <v>0</v>
      </c>
      <c r="K49" s="15">
        <v>3</v>
      </c>
      <c r="L49" s="16" t="s">
        <v>38</v>
      </c>
      <c r="M49" s="14">
        <v>0</v>
      </c>
      <c r="N49" s="15">
        <v>14</v>
      </c>
      <c r="O49" s="16" t="s">
        <v>38</v>
      </c>
      <c r="P49" s="17">
        <v>1.24</v>
      </c>
      <c r="Q49" s="14">
        <v>19930</v>
      </c>
      <c r="R49" s="14">
        <v>313539</v>
      </c>
      <c r="S49" s="16">
        <v>1473.2</v>
      </c>
      <c r="T49" s="14">
        <v>143646</v>
      </c>
      <c r="U49" s="60">
        <v>1692085</v>
      </c>
      <c r="V49" s="16">
        <v>1077.95</v>
      </c>
      <c r="W49" s="66">
        <v>3.02</v>
      </c>
      <c r="X49" s="18">
        <v>1293.58</v>
      </c>
      <c r="Y49" s="15">
        <v>2079.85</v>
      </c>
      <c r="Z49" s="16">
        <v>60.78</v>
      </c>
      <c r="AA49" s="19">
        <v>12071.64</v>
      </c>
      <c r="AB49" s="15">
        <v>12223.99</v>
      </c>
      <c r="AC49" s="16">
        <v>1.26</v>
      </c>
      <c r="AD49" s="17">
        <v>2.5299999999999998</v>
      </c>
    </row>
    <row r="50" spans="1:30" ht="15.65" thickBot="1">
      <c r="A50" s="12"/>
      <c r="B50" s="13" t="s">
        <v>41</v>
      </c>
      <c r="C50" s="14">
        <v>0</v>
      </c>
      <c r="D50" s="15">
        <v>0</v>
      </c>
      <c r="E50" s="16" t="s">
        <v>38</v>
      </c>
      <c r="F50" s="14">
        <v>0</v>
      </c>
      <c r="G50" s="15">
        <v>0</v>
      </c>
      <c r="H50" s="16" t="s">
        <v>38</v>
      </c>
      <c r="I50" s="66">
        <v>0</v>
      </c>
      <c r="J50" s="14">
        <v>0</v>
      </c>
      <c r="K50" s="15">
        <v>0</v>
      </c>
      <c r="L50" s="16" t="s">
        <v>38</v>
      </c>
      <c r="M50" s="14">
        <v>0</v>
      </c>
      <c r="N50" s="15">
        <v>0</v>
      </c>
      <c r="O50" s="16" t="s">
        <v>38</v>
      </c>
      <c r="P50" s="17">
        <v>0</v>
      </c>
      <c r="Q50" s="14">
        <v>0</v>
      </c>
      <c r="R50" s="14">
        <v>0</v>
      </c>
      <c r="S50" s="16" t="s">
        <v>38</v>
      </c>
      <c r="T50" s="14">
        <v>0</v>
      </c>
      <c r="U50" s="60">
        <v>0</v>
      </c>
      <c r="V50" s="16" t="s">
        <v>38</v>
      </c>
      <c r="W50" s="66">
        <v>0</v>
      </c>
      <c r="X50" s="14">
        <v>0</v>
      </c>
      <c r="Y50" s="15">
        <v>0</v>
      </c>
      <c r="Z50" s="16" t="s">
        <v>38</v>
      </c>
      <c r="AA50" s="14">
        <v>0</v>
      </c>
      <c r="AB50" s="15">
        <v>0</v>
      </c>
      <c r="AC50" s="16" t="s">
        <v>38</v>
      </c>
      <c r="AD50" s="17">
        <v>0</v>
      </c>
    </row>
    <row r="51" spans="1:30" ht="15.65" thickBot="1">
      <c r="A51" s="12"/>
      <c r="B51" s="20" t="s">
        <v>42</v>
      </c>
      <c r="C51" s="14">
        <v>46.99</v>
      </c>
      <c r="D51" s="15">
        <v>7.46</v>
      </c>
      <c r="E51" s="16">
        <v>-84.12</v>
      </c>
      <c r="F51" s="14">
        <v>231.64</v>
      </c>
      <c r="G51" s="15">
        <v>56.47</v>
      </c>
      <c r="H51" s="16">
        <v>-75.62</v>
      </c>
      <c r="I51" s="66">
        <v>2.09</v>
      </c>
      <c r="J51" s="14">
        <v>82</v>
      </c>
      <c r="K51" s="15">
        <v>51</v>
      </c>
      <c r="L51" s="16">
        <v>-37.799999999999997</v>
      </c>
      <c r="M51" s="14">
        <v>481</v>
      </c>
      <c r="N51" s="15">
        <v>341</v>
      </c>
      <c r="O51" s="16">
        <v>-29.11</v>
      </c>
      <c r="P51" s="17">
        <v>2.41</v>
      </c>
      <c r="Q51" s="14">
        <v>2076494</v>
      </c>
      <c r="R51" s="14">
        <v>748754</v>
      </c>
      <c r="S51" s="16">
        <v>-63.94</v>
      </c>
      <c r="T51" s="14">
        <v>10067240</v>
      </c>
      <c r="U51" s="60">
        <v>4315704</v>
      </c>
      <c r="V51" s="16">
        <v>-57.13</v>
      </c>
      <c r="W51" s="66">
        <v>11.17</v>
      </c>
      <c r="X51" s="14">
        <v>7149.83</v>
      </c>
      <c r="Y51" s="15">
        <v>2035.8</v>
      </c>
      <c r="Z51" s="16">
        <v>-71.53</v>
      </c>
      <c r="AA51" s="14">
        <v>41198.800000000003</v>
      </c>
      <c r="AB51" s="15">
        <v>15434.9</v>
      </c>
      <c r="AC51" s="16">
        <v>-62.54</v>
      </c>
      <c r="AD51" s="17">
        <v>1.87</v>
      </c>
    </row>
    <row r="52" spans="1:30" ht="15.65" thickBot="1">
      <c r="A52" s="12"/>
      <c r="B52" s="20"/>
      <c r="C52" s="14"/>
      <c r="D52" s="22"/>
      <c r="E52" s="23"/>
      <c r="F52" s="14"/>
      <c r="G52" s="22"/>
      <c r="H52" s="23"/>
      <c r="I52" s="67"/>
      <c r="J52" s="14"/>
      <c r="K52" s="22"/>
      <c r="L52" s="23"/>
      <c r="M52" s="14"/>
      <c r="N52" s="22"/>
      <c r="O52" s="23"/>
      <c r="P52" s="24"/>
      <c r="Q52" s="14"/>
      <c r="R52" s="20"/>
      <c r="S52" s="23"/>
      <c r="T52" s="14"/>
      <c r="U52" s="61"/>
      <c r="V52" s="23"/>
      <c r="W52" s="67"/>
      <c r="X52" s="14"/>
      <c r="Y52" s="22"/>
      <c r="Z52" s="23"/>
      <c r="AA52" s="14"/>
      <c r="AB52" s="22"/>
      <c r="AC52" s="23"/>
      <c r="AD52" s="24"/>
    </row>
    <row r="53" spans="1:30" ht="16.899999999999999" thickBot="1">
      <c r="A53" s="6">
        <v>8</v>
      </c>
      <c r="B53" s="7" t="s">
        <v>49</v>
      </c>
      <c r="C53" s="8">
        <v>40.68</v>
      </c>
      <c r="D53" s="8">
        <v>40.700000000000003</v>
      </c>
      <c r="E53" s="9">
        <v>0.06</v>
      </c>
      <c r="F53" s="8">
        <v>167.63</v>
      </c>
      <c r="G53" s="8">
        <v>153.22</v>
      </c>
      <c r="H53" s="9">
        <v>-8.6</v>
      </c>
      <c r="I53" s="65">
        <v>0.12</v>
      </c>
      <c r="J53" s="11">
        <v>6903</v>
      </c>
      <c r="K53" s="11">
        <v>8396</v>
      </c>
      <c r="L53" s="9">
        <v>21.63</v>
      </c>
      <c r="M53" s="11">
        <v>30409</v>
      </c>
      <c r="N53" s="11">
        <v>34955</v>
      </c>
      <c r="O53" s="9">
        <v>14.95</v>
      </c>
      <c r="P53" s="10">
        <v>0.3</v>
      </c>
      <c r="Q53" s="11">
        <v>11289</v>
      </c>
      <c r="R53" s="11">
        <v>24543</v>
      </c>
      <c r="S53" s="9">
        <v>117.41</v>
      </c>
      <c r="T53" s="11">
        <v>69088</v>
      </c>
      <c r="U53" s="59">
        <v>103768</v>
      </c>
      <c r="V53" s="9">
        <v>50.2</v>
      </c>
      <c r="W53" s="65">
        <v>0.11</v>
      </c>
      <c r="X53" s="8">
        <v>2368.11</v>
      </c>
      <c r="Y53" s="8">
        <v>2635</v>
      </c>
      <c r="Z53" s="9">
        <v>11.27</v>
      </c>
      <c r="AA53" s="8">
        <v>11740.77</v>
      </c>
      <c r="AB53" s="8">
        <v>15278.95</v>
      </c>
      <c r="AC53" s="9">
        <v>30.14</v>
      </c>
      <c r="AD53" s="10">
        <v>0.71</v>
      </c>
    </row>
    <row r="54" spans="1:30" ht="15.65" thickBot="1">
      <c r="A54" s="12"/>
      <c r="B54" s="13" t="s">
        <v>37</v>
      </c>
      <c r="C54" s="14">
        <v>1.8</v>
      </c>
      <c r="D54" s="15">
        <v>1.34</v>
      </c>
      <c r="E54" s="16">
        <v>-25.59</v>
      </c>
      <c r="F54" s="14">
        <v>7.3</v>
      </c>
      <c r="G54" s="15">
        <v>3.74</v>
      </c>
      <c r="H54" s="16">
        <v>-48.81</v>
      </c>
      <c r="I54" s="66">
        <v>0.02</v>
      </c>
      <c r="J54" s="14">
        <v>46</v>
      </c>
      <c r="K54" s="15">
        <v>33</v>
      </c>
      <c r="L54" s="16">
        <v>-28.26</v>
      </c>
      <c r="M54" s="14">
        <v>2262</v>
      </c>
      <c r="N54" s="15">
        <v>1002</v>
      </c>
      <c r="O54" s="16">
        <v>-55.7</v>
      </c>
      <c r="P54" s="17">
        <v>0.18</v>
      </c>
      <c r="Q54" s="14">
        <v>0</v>
      </c>
      <c r="R54" s="14">
        <v>0</v>
      </c>
      <c r="S54" s="16" t="s">
        <v>38</v>
      </c>
      <c r="T54" s="14">
        <v>0</v>
      </c>
      <c r="U54" s="60">
        <v>0</v>
      </c>
      <c r="V54" s="16" t="s">
        <v>38</v>
      </c>
      <c r="W54" s="66" t="s">
        <v>38</v>
      </c>
      <c r="X54" s="14">
        <v>3.59</v>
      </c>
      <c r="Y54" s="15">
        <v>3.2</v>
      </c>
      <c r="Z54" s="16">
        <v>-10.75</v>
      </c>
      <c r="AA54" s="14">
        <v>22.71</v>
      </c>
      <c r="AB54" s="15">
        <v>10.79</v>
      </c>
      <c r="AC54" s="16">
        <v>-52.46</v>
      </c>
      <c r="AD54" s="17">
        <v>0.09</v>
      </c>
    </row>
    <row r="55" spans="1:30" ht="15.65" thickBot="1">
      <c r="A55" s="12"/>
      <c r="B55" s="13" t="s">
        <v>39</v>
      </c>
      <c r="C55" s="15">
        <v>31.32</v>
      </c>
      <c r="D55" s="15">
        <v>36.78</v>
      </c>
      <c r="E55" s="16">
        <v>17.43</v>
      </c>
      <c r="F55" s="14">
        <v>122.39</v>
      </c>
      <c r="G55" s="15">
        <v>132.25</v>
      </c>
      <c r="H55" s="16">
        <v>8.0500000000000007</v>
      </c>
      <c r="I55" s="66">
        <v>0.46</v>
      </c>
      <c r="J55" s="14">
        <v>6855</v>
      </c>
      <c r="K55" s="15">
        <v>8357</v>
      </c>
      <c r="L55" s="16">
        <v>21.91</v>
      </c>
      <c r="M55" s="14">
        <v>28121</v>
      </c>
      <c r="N55" s="15">
        <v>33924</v>
      </c>
      <c r="O55" s="16">
        <v>20.64</v>
      </c>
      <c r="P55" s="17">
        <v>0.31</v>
      </c>
      <c r="Q55" s="14">
        <v>0</v>
      </c>
      <c r="R55" s="14">
        <v>0</v>
      </c>
      <c r="S55" s="16" t="s">
        <v>38</v>
      </c>
      <c r="T55" s="14">
        <v>0</v>
      </c>
      <c r="U55" s="60">
        <v>0</v>
      </c>
      <c r="V55" s="16" t="s">
        <v>38</v>
      </c>
      <c r="W55" s="66" t="s">
        <v>38</v>
      </c>
      <c r="X55" s="15">
        <v>1686.36</v>
      </c>
      <c r="Y55" s="15">
        <v>1944.87</v>
      </c>
      <c r="Z55" s="16">
        <v>15.33</v>
      </c>
      <c r="AA55" s="14">
        <v>4766.08</v>
      </c>
      <c r="AB55" s="15">
        <v>9861.7800000000007</v>
      </c>
      <c r="AC55" s="16">
        <v>106.92</v>
      </c>
      <c r="AD55" s="17">
        <v>1.25</v>
      </c>
    </row>
    <row r="56" spans="1:30" ht="15.65" thickBot="1">
      <c r="A56" s="12"/>
      <c r="B56" s="13" t="s">
        <v>40</v>
      </c>
      <c r="C56" s="18">
        <v>5.24</v>
      </c>
      <c r="D56" s="15">
        <v>1.0900000000000001</v>
      </c>
      <c r="E56" s="16">
        <v>-79.180000000000007</v>
      </c>
      <c r="F56" s="19">
        <v>23.92</v>
      </c>
      <c r="G56" s="15">
        <v>10.77</v>
      </c>
      <c r="H56" s="16">
        <v>-54.98</v>
      </c>
      <c r="I56" s="66">
        <v>0.02</v>
      </c>
      <c r="J56" s="14">
        <v>0</v>
      </c>
      <c r="K56" s="15">
        <v>1</v>
      </c>
      <c r="L56" s="16" t="s">
        <v>38</v>
      </c>
      <c r="M56" s="14">
        <v>0</v>
      </c>
      <c r="N56" s="15">
        <v>3</v>
      </c>
      <c r="O56" s="16" t="s">
        <v>38</v>
      </c>
      <c r="P56" s="17">
        <v>0.27</v>
      </c>
      <c r="Q56" s="14">
        <v>1547</v>
      </c>
      <c r="R56" s="14">
        <v>18393</v>
      </c>
      <c r="S56" s="16">
        <v>1088.95</v>
      </c>
      <c r="T56" s="14">
        <v>7046</v>
      </c>
      <c r="U56" s="60">
        <v>56845</v>
      </c>
      <c r="V56" s="16">
        <v>706.77</v>
      </c>
      <c r="W56" s="66">
        <v>0.1</v>
      </c>
      <c r="X56" s="18">
        <v>269</v>
      </c>
      <c r="Y56" s="15">
        <v>99.25</v>
      </c>
      <c r="Z56" s="16">
        <v>-63.1</v>
      </c>
      <c r="AA56" s="19">
        <v>1255.9100000000001</v>
      </c>
      <c r="AB56" s="15">
        <v>694.3</v>
      </c>
      <c r="AC56" s="16">
        <v>-44.72</v>
      </c>
      <c r="AD56" s="17">
        <v>0.14000000000000001</v>
      </c>
    </row>
    <row r="57" spans="1:30" ht="15.65" thickBot="1">
      <c r="A57" s="12"/>
      <c r="B57" s="13" t="s">
        <v>41</v>
      </c>
      <c r="C57" s="14">
        <v>2.12</v>
      </c>
      <c r="D57" s="15">
        <v>0.77</v>
      </c>
      <c r="E57" s="16">
        <v>-63.89</v>
      </c>
      <c r="F57" s="14">
        <v>4.1500000000000004</v>
      </c>
      <c r="G57" s="15">
        <v>2.14</v>
      </c>
      <c r="H57" s="16">
        <v>-48.46</v>
      </c>
      <c r="I57" s="66">
        <v>0.01</v>
      </c>
      <c r="J57" s="14">
        <v>1</v>
      </c>
      <c r="K57" s="15">
        <v>0</v>
      </c>
      <c r="L57" s="16">
        <v>-100</v>
      </c>
      <c r="M57" s="14">
        <v>4</v>
      </c>
      <c r="N57" s="15">
        <v>0</v>
      </c>
      <c r="O57" s="16">
        <v>-100</v>
      </c>
      <c r="P57" s="17">
        <v>0</v>
      </c>
      <c r="Q57" s="14">
        <v>3913</v>
      </c>
      <c r="R57" s="14">
        <v>0</v>
      </c>
      <c r="S57" s="16">
        <v>-100</v>
      </c>
      <c r="T57" s="14">
        <v>4704</v>
      </c>
      <c r="U57" s="60">
        <v>0</v>
      </c>
      <c r="V57" s="16">
        <v>-100</v>
      </c>
      <c r="W57" s="66">
        <v>0</v>
      </c>
      <c r="X57" s="14">
        <v>0.39</v>
      </c>
      <c r="Y57" s="15">
        <v>0</v>
      </c>
      <c r="Z57" s="16">
        <v>-100</v>
      </c>
      <c r="AA57" s="14">
        <v>0.47</v>
      </c>
      <c r="AB57" s="15">
        <v>0</v>
      </c>
      <c r="AC57" s="16">
        <v>-100</v>
      </c>
      <c r="AD57" s="17">
        <v>0</v>
      </c>
    </row>
    <row r="58" spans="1:30" ht="15.65" thickBot="1">
      <c r="A58" s="12"/>
      <c r="B58" s="20" t="s">
        <v>42</v>
      </c>
      <c r="C58" s="14">
        <v>0.19</v>
      </c>
      <c r="D58" s="15">
        <v>0.72</v>
      </c>
      <c r="E58" s="16">
        <v>273.81</v>
      </c>
      <c r="F58" s="14">
        <v>9.8699999999999992</v>
      </c>
      <c r="G58" s="15">
        <v>4.33</v>
      </c>
      <c r="H58" s="16">
        <v>-56.16</v>
      </c>
      <c r="I58" s="66">
        <v>0.16</v>
      </c>
      <c r="J58" s="14">
        <v>1</v>
      </c>
      <c r="K58" s="15">
        <v>5</v>
      </c>
      <c r="L58" s="16">
        <v>400</v>
      </c>
      <c r="M58" s="14">
        <v>22</v>
      </c>
      <c r="N58" s="15">
        <v>26</v>
      </c>
      <c r="O58" s="16">
        <v>18.18</v>
      </c>
      <c r="P58" s="17">
        <v>0.18</v>
      </c>
      <c r="Q58" s="14">
        <v>5829</v>
      </c>
      <c r="R58" s="14">
        <v>6150</v>
      </c>
      <c r="S58" s="16">
        <v>5.51</v>
      </c>
      <c r="T58" s="14">
        <v>57338</v>
      </c>
      <c r="U58" s="60">
        <v>46923</v>
      </c>
      <c r="V58" s="16">
        <v>-18.16</v>
      </c>
      <c r="W58" s="66">
        <v>0.12</v>
      </c>
      <c r="X58" s="14">
        <v>408.78</v>
      </c>
      <c r="Y58" s="15">
        <v>587.66999999999996</v>
      </c>
      <c r="Z58" s="16">
        <v>43.76</v>
      </c>
      <c r="AA58" s="14">
        <v>5695.6</v>
      </c>
      <c r="AB58" s="15">
        <v>4712.08</v>
      </c>
      <c r="AC58" s="16">
        <v>-17.27</v>
      </c>
      <c r="AD58" s="17">
        <v>0.56999999999999995</v>
      </c>
    </row>
    <row r="59" spans="1:30" ht="15.65" thickBot="1">
      <c r="A59" s="12"/>
      <c r="B59" s="20"/>
      <c r="C59" s="20"/>
      <c r="D59" s="22"/>
      <c r="E59" s="23"/>
      <c r="F59" s="20"/>
      <c r="G59" s="22"/>
      <c r="H59" s="23"/>
      <c r="I59" s="67"/>
      <c r="J59" s="20"/>
      <c r="K59" s="22"/>
      <c r="L59" s="23"/>
      <c r="M59" s="20"/>
      <c r="N59" s="22"/>
      <c r="O59" s="23"/>
      <c r="P59" s="24"/>
      <c r="Q59" s="20"/>
      <c r="R59" s="20"/>
      <c r="S59" s="23"/>
      <c r="T59" s="20"/>
      <c r="U59" s="61"/>
      <c r="V59" s="23"/>
      <c r="W59" s="67"/>
      <c r="X59" s="20"/>
      <c r="Y59" s="22"/>
      <c r="Z59" s="23"/>
      <c r="AA59" s="20"/>
      <c r="AB59" s="22"/>
      <c r="AC59" s="23"/>
      <c r="AD59" s="24"/>
    </row>
    <row r="60" spans="1:30" s="69" customFormat="1" ht="16.899999999999999" thickBot="1">
      <c r="A60" s="72">
        <v>9</v>
      </c>
      <c r="B60" s="73" t="s">
        <v>50</v>
      </c>
      <c r="C60" s="74">
        <v>62.82</v>
      </c>
      <c r="D60" s="74">
        <v>83.11</v>
      </c>
      <c r="E60" s="75">
        <v>32.29</v>
      </c>
      <c r="F60" s="74">
        <v>329.14</v>
      </c>
      <c r="G60" s="74">
        <v>382.6</v>
      </c>
      <c r="H60" s="75">
        <v>16.239999999999998</v>
      </c>
      <c r="I60" s="75">
        <v>0.3</v>
      </c>
      <c r="J60" s="76">
        <v>16661</v>
      </c>
      <c r="K60" s="76">
        <v>19065</v>
      </c>
      <c r="L60" s="75">
        <v>14.43</v>
      </c>
      <c r="M60" s="76">
        <v>82571</v>
      </c>
      <c r="N60" s="76">
        <v>90762</v>
      </c>
      <c r="O60" s="75">
        <v>9.92</v>
      </c>
      <c r="P60" s="75">
        <v>0.78</v>
      </c>
      <c r="Q60" s="76">
        <v>104137</v>
      </c>
      <c r="R60" s="76">
        <v>195543</v>
      </c>
      <c r="S60" s="75">
        <v>87.77</v>
      </c>
      <c r="T60" s="76">
        <v>822701</v>
      </c>
      <c r="U60" s="76">
        <v>915523</v>
      </c>
      <c r="V60" s="75">
        <v>11.28</v>
      </c>
      <c r="W60" s="75">
        <v>0.93</v>
      </c>
      <c r="X60" s="74">
        <v>5677.41</v>
      </c>
      <c r="Y60" s="74">
        <v>4971.1099999999997</v>
      </c>
      <c r="Z60" s="75">
        <v>-12.44</v>
      </c>
      <c r="AA60" s="74">
        <v>52637.94</v>
      </c>
      <c r="AB60" s="74">
        <v>30837.34</v>
      </c>
      <c r="AC60" s="75">
        <v>-41.42</v>
      </c>
      <c r="AD60" s="75">
        <v>1.42</v>
      </c>
    </row>
    <row r="61" spans="1:30" ht="15.65" thickBot="1">
      <c r="A61" s="12"/>
      <c r="B61" s="13" t="s">
        <v>37</v>
      </c>
      <c r="C61" s="14">
        <v>2.42</v>
      </c>
      <c r="D61" s="15">
        <v>9.33</v>
      </c>
      <c r="E61" s="16">
        <v>285.83999999999997</v>
      </c>
      <c r="F61" s="14">
        <v>16.41</v>
      </c>
      <c r="G61" s="15">
        <v>63.41</v>
      </c>
      <c r="H61" s="16">
        <v>286.42</v>
      </c>
      <c r="I61" s="66">
        <v>0.36</v>
      </c>
      <c r="J61" s="14">
        <v>44</v>
      </c>
      <c r="K61" s="15">
        <v>187</v>
      </c>
      <c r="L61" s="16">
        <v>325</v>
      </c>
      <c r="M61" s="14">
        <v>240</v>
      </c>
      <c r="N61" s="15">
        <v>1337</v>
      </c>
      <c r="O61" s="16">
        <v>457.08</v>
      </c>
      <c r="P61" s="17">
        <v>0.24</v>
      </c>
      <c r="Q61" s="14">
        <v>0</v>
      </c>
      <c r="R61" s="14">
        <v>0</v>
      </c>
      <c r="S61" s="16" t="s">
        <v>38</v>
      </c>
      <c r="T61" s="14">
        <v>0</v>
      </c>
      <c r="U61" s="60">
        <v>0</v>
      </c>
      <c r="V61" s="16" t="s">
        <v>38</v>
      </c>
      <c r="W61" s="66" t="s">
        <v>38</v>
      </c>
      <c r="X61" s="14">
        <v>4.18</v>
      </c>
      <c r="Y61" s="15">
        <v>17.98</v>
      </c>
      <c r="Z61" s="16">
        <v>330.27</v>
      </c>
      <c r="AA61" s="14">
        <v>19.88</v>
      </c>
      <c r="AB61" s="15">
        <v>149.26</v>
      </c>
      <c r="AC61" s="16">
        <v>650.86</v>
      </c>
      <c r="AD61" s="17">
        <v>1.23</v>
      </c>
    </row>
    <row r="62" spans="1:30" ht="15.65" thickBot="1">
      <c r="A62" s="12"/>
      <c r="B62" s="13" t="s">
        <v>39</v>
      </c>
      <c r="C62" s="15">
        <v>57.07</v>
      </c>
      <c r="D62" s="15">
        <v>68.06</v>
      </c>
      <c r="E62" s="16">
        <v>19.260000000000002</v>
      </c>
      <c r="F62" s="14">
        <v>271.93</v>
      </c>
      <c r="G62" s="15">
        <v>283.83999999999997</v>
      </c>
      <c r="H62" s="16">
        <v>4.38</v>
      </c>
      <c r="I62" s="66">
        <v>0.98</v>
      </c>
      <c r="J62" s="14">
        <v>16610</v>
      </c>
      <c r="K62" s="15">
        <v>18871</v>
      </c>
      <c r="L62" s="16">
        <v>13.61</v>
      </c>
      <c r="M62" s="14">
        <v>82250</v>
      </c>
      <c r="N62" s="15">
        <v>89408</v>
      </c>
      <c r="O62" s="16">
        <v>8.6999999999999993</v>
      </c>
      <c r="P62" s="17">
        <v>0.81</v>
      </c>
      <c r="Q62" s="14">
        <v>0</v>
      </c>
      <c r="R62" s="14">
        <v>0</v>
      </c>
      <c r="S62" s="16" t="s">
        <v>38</v>
      </c>
      <c r="T62" s="14">
        <v>0</v>
      </c>
      <c r="U62" s="60">
        <v>0</v>
      </c>
      <c r="V62" s="16" t="s">
        <v>38</v>
      </c>
      <c r="W62" s="66" t="s">
        <v>38</v>
      </c>
      <c r="X62" s="15">
        <v>1244.48</v>
      </c>
      <c r="Y62" s="15">
        <v>1514.97</v>
      </c>
      <c r="Z62" s="16">
        <v>21.74</v>
      </c>
      <c r="AA62" s="14">
        <v>6148.56</v>
      </c>
      <c r="AB62" s="15">
        <v>7326.37</v>
      </c>
      <c r="AC62" s="16">
        <v>19.16</v>
      </c>
      <c r="AD62" s="17">
        <v>0.93</v>
      </c>
    </row>
    <row r="63" spans="1:30" ht="15.65" thickBot="1">
      <c r="A63" s="12"/>
      <c r="B63" s="13" t="s">
        <v>40</v>
      </c>
      <c r="C63" s="15">
        <v>7.0000000000000007E-2</v>
      </c>
      <c r="D63" s="15">
        <v>0.05</v>
      </c>
      <c r="E63" s="16">
        <v>-20.53</v>
      </c>
      <c r="F63" s="14">
        <v>0.28999999999999998</v>
      </c>
      <c r="G63" s="15">
        <v>0.17</v>
      </c>
      <c r="H63" s="16">
        <v>-39.31</v>
      </c>
      <c r="I63" s="66">
        <v>0</v>
      </c>
      <c r="J63" s="14">
        <v>1</v>
      </c>
      <c r="K63" s="15">
        <v>0</v>
      </c>
      <c r="L63" s="16">
        <v>-100</v>
      </c>
      <c r="M63" s="14">
        <v>1</v>
      </c>
      <c r="N63" s="15">
        <v>0</v>
      </c>
      <c r="O63" s="16">
        <v>-100</v>
      </c>
      <c r="P63" s="17">
        <v>0</v>
      </c>
      <c r="Q63" s="14">
        <v>289</v>
      </c>
      <c r="R63" s="14">
        <v>180</v>
      </c>
      <c r="S63" s="16">
        <v>-37.72</v>
      </c>
      <c r="T63" s="14">
        <v>1592</v>
      </c>
      <c r="U63" s="60">
        <v>600</v>
      </c>
      <c r="V63" s="16">
        <v>-62.31</v>
      </c>
      <c r="W63" s="66">
        <v>0</v>
      </c>
      <c r="X63" s="15">
        <v>6.76</v>
      </c>
      <c r="Y63" s="15">
        <v>4.01</v>
      </c>
      <c r="Z63" s="16">
        <v>-40.64</v>
      </c>
      <c r="AA63" s="14">
        <v>24.57</v>
      </c>
      <c r="AB63" s="15">
        <v>14.61</v>
      </c>
      <c r="AC63" s="16">
        <v>-40.54</v>
      </c>
      <c r="AD63" s="17">
        <v>0</v>
      </c>
    </row>
    <row r="64" spans="1:30" ht="15.65" thickBot="1">
      <c r="A64" s="12"/>
      <c r="B64" s="13" t="s">
        <v>41</v>
      </c>
      <c r="C64" s="15">
        <v>2.2799999999999998</v>
      </c>
      <c r="D64" s="15">
        <v>0.32</v>
      </c>
      <c r="E64" s="16">
        <v>-86.09</v>
      </c>
      <c r="F64" s="14">
        <v>27.78</v>
      </c>
      <c r="G64" s="15">
        <v>5.12</v>
      </c>
      <c r="H64" s="16">
        <v>-81.569999999999993</v>
      </c>
      <c r="I64" s="66">
        <v>0.03</v>
      </c>
      <c r="J64" s="14">
        <v>6</v>
      </c>
      <c r="K64" s="15">
        <v>7</v>
      </c>
      <c r="L64" s="16">
        <v>16.670000000000002</v>
      </c>
      <c r="M64" s="14">
        <v>80</v>
      </c>
      <c r="N64" s="15">
        <v>17</v>
      </c>
      <c r="O64" s="16">
        <v>-78.75</v>
      </c>
      <c r="P64" s="17">
        <v>1.23</v>
      </c>
      <c r="Q64" s="14">
        <v>72658</v>
      </c>
      <c r="R64" s="14">
        <v>4151</v>
      </c>
      <c r="S64" s="16">
        <v>-94.29</v>
      </c>
      <c r="T64" s="14">
        <v>576672</v>
      </c>
      <c r="U64" s="60">
        <v>34455</v>
      </c>
      <c r="V64" s="16">
        <v>-94.03</v>
      </c>
      <c r="W64" s="66">
        <v>0.87</v>
      </c>
      <c r="X64" s="15">
        <v>466.18</v>
      </c>
      <c r="Y64" s="15">
        <v>71.81</v>
      </c>
      <c r="Z64" s="16">
        <v>-84.6</v>
      </c>
      <c r="AA64" s="14">
        <v>24689.31</v>
      </c>
      <c r="AB64" s="15">
        <v>338.54</v>
      </c>
      <c r="AC64" s="16">
        <v>-98.63</v>
      </c>
      <c r="AD64" s="17">
        <v>0.61</v>
      </c>
    </row>
    <row r="65" spans="1:30" ht="15.65" thickBot="1">
      <c r="A65" s="12"/>
      <c r="B65" s="20" t="s">
        <v>42</v>
      </c>
      <c r="C65" s="14">
        <v>0.99</v>
      </c>
      <c r="D65" s="15">
        <v>5.35</v>
      </c>
      <c r="E65" s="16">
        <v>439.35</v>
      </c>
      <c r="F65" s="14">
        <v>12.74</v>
      </c>
      <c r="G65" s="15">
        <v>30.05</v>
      </c>
      <c r="H65" s="16">
        <v>135.91999999999999</v>
      </c>
      <c r="I65" s="66">
        <v>1.1100000000000001</v>
      </c>
      <c r="J65" s="14">
        <v>0</v>
      </c>
      <c r="K65" s="15">
        <v>0</v>
      </c>
      <c r="L65" s="16" t="s">
        <v>38</v>
      </c>
      <c r="M65" s="14">
        <v>0</v>
      </c>
      <c r="N65" s="15">
        <v>0</v>
      </c>
      <c r="O65" s="16" t="s">
        <v>38</v>
      </c>
      <c r="P65" s="17">
        <v>0</v>
      </c>
      <c r="Q65" s="14">
        <v>31190</v>
      </c>
      <c r="R65" s="14">
        <v>191212</v>
      </c>
      <c r="S65" s="16">
        <v>513.05999999999995</v>
      </c>
      <c r="T65" s="14">
        <v>244437</v>
      </c>
      <c r="U65" s="60">
        <v>880468</v>
      </c>
      <c r="V65" s="16">
        <v>260.2</v>
      </c>
      <c r="W65" s="66">
        <v>2.2799999999999998</v>
      </c>
      <c r="X65" s="14">
        <v>3955.81</v>
      </c>
      <c r="Y65" s="15">
        <v>3362.33</v>
      </c>
      <c r="Z65" s="16">
        <v>-15</v>
      </c>
      <c r="AA65" s="14">
        <v>21755.62</v>
      </c>
      <c r="AB65" s="15">
        <v>23008.55</v>
      </c>
      <c r="AC65" s="16">
        <v>5.76</v>
      </c>
      <c r="AD65" s="17">
        <v>2.79</v>
      </c>
    </row>
    <row r="66" spans="1:30" ht="15.65" thickBot="1">
      <c r="A66" s="12"/>
      <c r="B66" s="20"/>
      <c r="C66" s="14"/>
      <c r="D66" s="22"/>
      <c r="E66" s="23"/>
      <c r="F66" s="14"/>
      <c r="G66" s="22"/>
      <c r="H66" s="23"/>
      <c r="I66" s="67"/>
      <c r="J66" s="14"/>
      <c r="K66" s="22"/>
      <c r="L66" s="23"/>
      <c r="M66" s="14"/>
      <c r="N66" s="22"/>
      <c r="O66" s="23"/>
      <c r="P66" s="24"/>
      <c r="Q66" s="14"/>
      <c r="R66" s="20"/>
      <c r="S66" s="23"/>
      <c r="T66" s="14"/>
      <c r="U66" s="61"/>
      <c r="V66" s="23"/>
      <c r="W66" s="67"/>
      <c r="X66" s="14"/>
      <c r="Y66" s="22"/>
      <c r="Z66" s="23"/>
      <c r="AA66" s="14"/>
      <c r="AB66" s="22"/>
      <c r="AC66" s="23"/>
      <c r="AD66" s="24"/>
    </row>
    <row r="67" spans="1:30" ht="16.899999999999999" thickBot="1">
      <c r="A67" s="25">
        <v>10</v>
      </c>
      <c r="B67" s="26" t="s">
        <v>51</v>
      </c>
      <c r="C67" s="8">
        <v>49.51</v>
      </c>
      <c r="D67" s="8">
        <v>72.63</v>
      </c>
      <c r="E67" s="9">
        <v>46.69</v>
      </c>
      <c r="F67" s="8">
        <v>245.67</v>
      </c>
      <c r="G67" s="8">
        <v>357.13</v>
      </c>
      <c r="H67" s="9">
        <v>45.37</v>
      </c>
      <c r="I67" s="65">
        <v>0.28000000000000003</v>
      </c>
      <c r="J67" s="11">
        <v>5862</v>
      </c>
      <c r="K67" s="11">
        <v>7488</v>
      </c>
      <c r="L67" s="9">
        <v>27.74</v>
      </c>
      <c r="M67" s="11">
        <v>27004</v>
      </c>
      <c r="N67" s="11">
        <v>29590</v>
      </c>
      <c r="O67" s="9">
        <v>9.58</v>
      </c>
      <c r="P67" s="10">
        <v>0.25</v>
      </c>
      <c r="Q67" s="11">
        <v>39290</v>
      </c>
      <c r="R67" s="11">
        <v>74650</v>
      </c>
      <c r="S67" s="9">
        <v>90</v>
      </c>
      <c r="T67" s="11">
        <v>280303</v>
      </c>
      <c r="U67" s="59">
        <v>354424</v>
      </c>
      <c r="V67" s="9">
        <v>26.44</v>
      </c>
      <c r="W67" s="65">
        <v>0.36</v>
      </c>
      <c r="X67" s="8">
        <v>5325.82</v>
      </c>
      <c r="Y67" s="8">
        <v>7171.4</v>
      </c>
      <c r="Z67" s="9">
        <v>34.65</v>
      </c>
      <c r="AA67" s="8">
        <v>30362.61</v>
      </c>
      <c r="AB67" s="8">
        <v>36325.75</v>
      </c>
      <c r="AC67" s="9">
        <v>19.64</v>
      </c>
      <c r="AD67" s="10">
        <v>1.68</v>
      </c>
    </row>
    <row r="68" spans="1:30" ht="15.65" thickBot="1">
      <c r="A68" s="12"/>
      <c r="B68" s="13" t="s">
        <v>37</v>
      </c>
      <c r="C68" s="18">
        <v>0.54</v>
      </c>
      <c r="D68" s="15">
        <v>0.43</v>
      </c>
      <c r="E68" s="16">
        <v>-20.99</v>
      </c>
      <c r="F68" s="19">
        <v>2.59</v>
      </c>
      <c r="G68" s="15">
        <v>3</v>
      </c>
      <c r="H68" s="16">
        <v>15.56</v>
      </c>
      <c r="I68" s="66">
        <v>0.02</v>
      </c>
      <c r="J68" s="14">
        <v>37</v>
      </c>
      <c r="K68" s="15">
        <v>29</v>
      </c>
      <c r="L68" s="16">
        <v>-21.62</v>
      </c>
      <c r="M68" s="14">
        <v>147</v>
      </c>
      <c r="N68" s="15">
        <v>175</v>
      </c>
      <c r="O68" s="16">
        <v>19.05</v>
      </c>
      <c r="P68" s="17">
        <v>0.03</v>
      </c>
      <c r="Q68" s="14">
        <v>0</v>
      </c>
      <c r="R68" s="14">
        <v>0</v>
      </c>
      <c r="S68" s="16" t="s">
        <v>38</v>
      </c>
      <c r="T68" s="14">
        <v>0</v>
      </c>
      <c r="U68" s="60">
        <v>0</v>
      </c>
      <c r="V68" s="16" t="s">
        <v>38</v>
      </c>
      <c r="W68" s="66" t="s">
        <v>38</v>
      </c>
      <c r="X68" s="18">
        <v>1.54</v>
      </c>
      <c r="Y68" s="15">
        <v>1.26</v>
      </c>
      <c r="Z68" s="16">
        <v>-18.14</v>
      </c>
      <c r="AA68" s="19">
        <v>6.54</v>
      </c>
      <c r="AB68" s="15">
        <v>5.49</v>
      </c>
      <c r="AC68" s="16">
        <v>-16.11</v>
      </c>
      <c r="AD68" s="17">
        <v>0.05</v>
      </c>
    </row>
    <row r="69" spans="1:30" ht="15.65" thickBot="1">
      <c r="A69" s="12"/>
      <c r="B69" s="13" t="s">
        <v>39</v>
      </c>
      <c r="C69" s="18">
        <v>24.33</v>
      </c>
      <c r="D69" s="15">
        <v>34.380000000000003</v>
      </c>
      <c r="E69" s="16">
        <v>41.29</v>
      </c>
      <c r="F69" s="19">
        <v>110.78</v>
      </c>
      <c r="G69" s="15">
        <v>145.27000000000001</v>
      </c>
      <c r="H69" s="16">
        <v>31.14</v>
      </c>
      <c r="I69" s="66">
        <v>0.5</v>
      </c>
      <c r="J69" s="14">
        <v>5817</v>
      </c>
      <c r="K69" s="15">
        <v>7459</v>
      </c>
      <c r="L69" s="16">
        <v>28.23</v>
      </c>
      <c r="M69" s="14">
        <v>26822</v>
      </c>
      <c r="N69" s="15">
        <v>29393</v>
      </c>
      <c r="O69" s="16">
        <v>9.59</v>
      </c>
      <c r="P69" s="17">
        <v>0.26</v>
      </c>
      <c r="Q69" s="14">
        <v>0</v>
      </c>
      <c r="R69" s="14">
        <v>0</v>
      </c>
      <c r="S69" s="16" t="s">
        <v>38</v>
      </c>
      <c r="T69" s="14">
        <v>0</v>
      </c>
      <c r="U69" s="60">
        <v>0</v>
      </c>
      <c r="V69" s="16" t="s">
        <v>38</v>
      </c>
      <c r="W69" s="66" t="s">
        <v>38</v>
      </c>
      <c r="X69" s="18">
        <v>571.67999999999995</v>
      </c>
      <c r="Y69" s="15">
        <v>758.66</v>
      </c>
      <c r="Z69" s="16">
        <v>32.71</v>
      </c>
      <c r="AA69" s="19">
        <v>2685.11</v>
      </c>
      <c r="AB69" s="15">
        <v>3067.99</v>
      </c>
      <c r="AC69" s="16">
        <v>14.26</v>
      </c>
      <c r="AD69" s="17">
        <v>0.39</v>
      </c>
    </row>
    <row r="70" spans="1:30" ht="15.65" thickBot="1">
      <c r="A70" s="12"/>
      <c r="B70" s="13" t="s">
        <v>40</v>
      </c>
      <c r="C70" s="14">
        <v>6.17</v>
      </c>
      <c r="D70" s="15">
        <v>5.58</v>
      </c>
      <c r="E70" s="16">
        <v>-9.52</v>
      </c>
      <c r="F70" s="14">
        <v>29.84</v>
      </c>
      <c r="G70" s="15">
        <v>33.56</v>
      </c>
      <c r="H70" s="16">
        <v>12.47</v>
      </c>
      <c r="I70" s="66">
        <v>0.06</v>
      </c>
      <c r="J70" s="14">
        <v>0</v>
      </c>
      <c r="K70" s="15">
        <v>0</v>
      </c>
      <c r="L70" s="16" t="s">
        <v>38</v>
      </c>
      <c r="M70" s="14">
        <v>11</v>
      </c>
      <c r="N70" s="15">
        <v>3</v>
      </c>
      <c r="O70" s="16">
        <v>-72.73</v>
      </c>
      <c r="P70" s="17">
        <v>0.27</v>
      </c>
      <c r="Q70" s="14">
        <v>3909</v>
      </c>
      <c r="R70" s="14">
        <v>5208</v>
      </c>
      <c r="S70" s="16">
        <v>33.229999999999997</v>
      </c>
      <c r="T70" s="14">
        <v>16342</v>
      </c>
      <c r="U70" s="60">
        <v>28409</v>
      </c>
      <c r="V70" s="16">
        <v>73.84</v>
      </c>
      <c r="W70" s="66">
        <v>0.05</v>
      </c>
      <c r="X70" s="14">
        <v>533.55999999999995</v>
      </c>
      <c r="Y70" s="15">
        <v>455.95</v>
      </c>
      <c r="Z70" s="16">
        <v>-14.54</v>
      </c>
      <c r="AA70" s="14">
        <v>2541.4499999999998</v>
      </c>
      <c r="AB70" s="15">
        <v>2942.27</v>
      </c>
      <c r="AC70" s="16">
        <v>15.77</v>
      </c>
      <c r="AD70" s="17">
        <v>0.61</v>
      </c>
    </row>
    <row r="71" spans="1:30" ht="15.65" thickBot="1">
      <c r="A71" s="12"/>
      <c r="B71" s="13" t="s">
        <v>41</v>
      </c>
      <c r="C71" s="14">
        <v>0</v>
      </c>
      <c r="D71" s="15">
        <v>0</v>
      </c>
      <c r="E71" s="16" t="s">
        <v>38</v>
      </c>
      <c r="F71" s="14">
        <v>0</v>
      </c>
      <c r="G71" s="15">
        <v>0</v>
      </c>
      <c r="H71" s="16" t="s">
        <v>38</v>
      </c>
      <c r="I71" s="66">
        <v>0</v>
      </c>
      <c r="J71" s="14">
        <v>0</v>
      </c>
      <c r="K71" s="15">
        <v>0</v>
      </c>
      <c r="L71" s="16" t="s">
        <v>38</v>
      </c>
      <c r="M71" s="14">
        <v>0</v>
      </c>
      <c r="N71" s="15">
        <v>0</v>
      </c>
      <c r="O71" s="16" t="s">
        <v>38</v>
      </c>
      <c r="P71" s="17">
        <v>0</v>
      </c>
      <c r="Q71" s="14">
        <v>0</v>
      </c>
      <c r="R71" s="14">
        <v>0</v>
      </c>
      <c r="S71" s="16" t="s">
        <v>38</v>
      </c>
      <c r="T71" s="14">
        <v>0</v>
      </c>
      <c r="U71" s="60">
        <v>0</v>
      </c>
      <c r="V71" s="16" t="s">
        <v>38</v>
      </c>
      <c r="W71" s="66">
        <v>0</v>
      </c>
      <c r="X71" s="14">
        <v>0</v>
      </c>
      <c r="Y71" s="15">
        <v>0</v>
      </c>
      <c r="Z71" s="16" t="s">
        <v>38</v>
      </c>
      <c r="AA71" s="14">
        <v>0</v>
      </c>
      <c r="AB71" s="15">
        <v>0</v>
      </c>
      <c r="AC71" s="16" t="s">
        <v>38</v>
      </c>
      <c r="AD71" s="17">
        <v>0</v>
      </c>
    </row>
    <row r="72" spans="1:30" ht="15.65" thickBot="1">
      <c r="A72" s="12"/>
      <c r="B72" s="20" t="s">
        <v>42</v>
      </c>
      <c r="C72" s="15">
        <v>18.48</v>
      </c>
      <c r="D72" s="15">
        <v>32.25</v>
      </c>
      <c r="E72" s="16">
        <v>74.53</v>
      </c>
      <c r="F72" s="14">
        <v>102.47</v>
      </c>
      <c r="G72" s="15">
        <v>175.31</v>
      </c>
      <c r="H72" s="16">
        <v>71.08</v>
      </c>
      <c r="I72" s="66">
        <v>6.48</v>
      </c>
      <c r="J72" s="14">
        <v>8</v>
      </c>
      <c r="K72" s="15">
        <v>0</v>
      </c>
      <c r="L72" s="16">
        <v>-100</v>
      </c>
      <c r="M72" s="14">
        <v>24</v>
      </c>
      <c r="N72" s="15">
        <v>19</v>
      </c>
      <c r="O72" s="16">
        <v>-20.83</v>
      </c>
      <c r="P72" s="17">
        <v>0.13</v>
      </c>
      <c r="Q72" s="14">
        <v>35381</v>
      </c>
      <c r="R72" s="14">
        <v>69442</v>
      </c>
      <c r="S72" s="16">
        <v>96.27</v>
      </c>
      <c r="T72" s="14">
        <v>263961</v>
      </c>
      <c r="U72" s="60">
        <v>326015</v>
      </c>
      <c r="V72" s="16">
        <v>23.51</v>
      </c>
      <c r="W72" s="66">
        <v>0.84</v>
      </c>
      <c r="X72" s="15">
        <v>4219.04</v>
      </c>
      <c r="Y72" s="15">
        <v>5955.53</v>
      </c>
      <c r="Z72" s="16">
        <v>41.16</v>
      </c>
      <c r="AA72" s="14">
        <v>25129.51</v>
      </c>
      <c r="AB72" s="15">
        <v>30310</v>
      </c>
      <c r="AC72" s="16">
        <v>20.62</v>
      </c>
      <c r="AD72" s="17">
        <v>3.67</v>
      </c>
    </row>
    <row r="73" spans="1:30" ht="15.65" thickBot="1">
      <c r="A73" s="12"/>
      <c r="B73" s="20"/>
      <c r="C73" s="22"/>
      <c r="D73" s="22"/>
      <c r="E73" s="23"/>
      <c r="F73" s="20"/>
      <c r="G73" s="22"/>
      <c r="H73" s="23"/>
      <c r="I73" s="67"/>
      <c r="J73" s="20"/>
      <c r="K73" s="22"/>
      <c r="L73" s="23"/>
      <c r="M73" s="20"/>
      <c r="N73" s="22"/>
      <c r="O73" s="23"/>
      <c r="P73" s="24"/>
      <c r="Q73" s="20"/>
      <c r="R73" s="20"/>
      <c r="S73" s="23"/>
      <c r="T73" s="20"/>
      <c r="U73" s="61"/>
      <c r="V73" s="23"/>
      <c r="W73" s="67"/>
      <c r="X73" s="22"/>
      <c r="Y73" s="22"/>
      <c r="Z73" s="23"/>
      <c r="AA73" s="20"/>
      <c r="AB73" s="22"/>
      <c r="AC73" s="23"/>
      <c r="AD73" s="24"/>
    </row>
    <row r="74" spans="1:30" ht="16.899999999999999" thickBot="1">
      <c r="A74" s="6">
        <v>11</v>
      </c>
      <c r="B74" s="7" t="s">
        <v>0</v>
      </c>
      <c r="C74" s="8">
        <v>1459.8</v>
      </c>
      <c r="D74" s="8">
        <v>1307.1099999999999</v>
      </c>
      <c r="E74" s="9">
        <v>-10.46</v>
      </c>
      <c r="F74" s="8">
        <v>6286.84</v>
      </c>
      <c r="G74" s="8">
        <v>8007.32</v>
      </c>
      <c r="H74" s="9">
        <v>27.37</v>
      </c>
      <c r="I74" s="65">
        <v>6.37</v>
      </c>
      <c r="J74" s="11">
        <v>83273</v>
      </c>
      <c r="K74" s="11">
        <v>71137</v>
      </c>
      <c r="L74" s="9">
        <v>-14.57</v>
      </c>
      <c r="M74" s="11">
        <v>439569</v>
      </c>
      <c r="N74" s="11">
        <v>420565</v>
      </c>
      <c r="O74" s="9">
        <v>-4.32</v>
      </c>
      <c r="P74" s="10">
        <v>3.6</v>
      </c>
      <c r="Q74" s="11">
        <v>3665461</v>
      </c>
      <c r="R74" s="11">
        <v>4855754</v>
      </c>
      <c r="S74" s="9">
        <v>32.47</v>
      </c>
      <c r="T74" s="11">
        <v>21174573</v>
      </c>
      <c r="U74" s="63">
        <v>28258331</v>
      </c>
      <c r="V74" s="9">
        <v>33.450000000000003</v>
      </c>
      <c r="W74" s="65">
        <v>28.62</v>
      </c>
      <c r="X74" s="8">
        <v>47757.33</v>
      </c>
      <c r="Y74" s="8">
        <v>85121.87</v>
      </c>
      <c r="Z74" s="9">
        <v>78.239999999999995</v>
      </c>
      <c r="AA74" s="8">
        <v>261823.25</v>
      </c>
      <c r="AB74" s="8">
        <v>438656.13</v>
      </c>
      <c r="AC74" s="9">
        <v>67.540000000000006</v>
      </c>
      <c r="AD74" s="10">
        <v>20.27</v>
      </c>
    </row>
    <row r="75" spans="1:30" ht="15.65" thickBot="1">
      <c r="A75" s="12"/>
      <c r="B75" s="13" t="s">
        <v>37</v>
      </c>
      <c r="C75" s="15">
        <v>257.22000000000003</v>
      </c>
      <c r="D75" s="15">
        <v>181.38</v>
      </c>
      <c r="E75" s="16">
        <v>-29.48</v>
      </c>
      <c r="F75" s="14">
        <v>1182.32</v>
      </c>
      <c r="G75" s="15">
        <v>1331.66</v>
      </c>
      <c r="H75" s="16">
        <v>12.63</v>
      </c>
      <c r="I75" s="66">
        <v>7.54</v>
      </c>
      <c r="J75" s="14">
        <v>3903</v>
      </c>
      <c r="K75" s="15">
        <v>2800</v>
      </c>
      <c r="L75" s="16">
        <v>-28.26</v>
      </c>
      <c r="M75" s="14">
        <v>20716</v>
      </c>
      <c r="N75" s="15">
        <v>19401</v>
      </c>
      <c r="O75" s="16">
        <v>-6.35</v>
      </c>
      <c r="P75" s="17">
        <v>3.46</v>
      </c>
      <c r="Q75" s="14">
        <v>0</v>
      </c>
      <c r="R75" s="14">
        <v>0</v>
      </c>
      <c r="S75" s="16" t="s">
        <v>38</v>
      </c>
      <c r="T75" s="14">
        <v>0</v>
      </c>
      <c r="U75" s="60">
        <v>0</v>
      </c>
      <c r="V75" s="16" t="s">
        <v>38</v>
      </c>
      <c r="W75" s="66" t="s">
        <v>38</v>
      </c>
      <c r="X75" s="15">
        <v>124.85</v>
      </c>
      <c r="Y75" s="15">
        <v>117.37</v>
      </c>
      <c r="Z75" s="16">
        <v>-5.99</v>
      </c>
      <c r="AA75" s="14">
        <v>396.18</v>
      </c>
      <c r="AB75" s="15">
        <v>604.02</v>
      </c>
      <c r="AC75" s="16">
        <v>52.46</v>
      </c>
      <c r="AD75" s="17">
        <v>4.97</v>
      </c>
    </row>
    <row r="76" spans="1:30" ht="15.65" thickBot="1">
      <c r="A76" s="12"/>
      <c r="B76" s="13" t="s">
        <v>39</v>
      </c>
      <c r="C76" s="15">
        <v>505.73</v>
      </c>
      <c r="D76" s="15">
        <v>408.87</v>
      </c>
      <c r="E76" s="16">
        <v>-19.149999999999999</v>
      </c>
      <c r="F76" s="14">
        <v>1909.36</v>
      </c>
      <c r="G76" s="15">
        <v>2612.98</v>
      </c>
      <c r="H76" s="16">
        <v>36.85</v>
      </c>
      <c r="I76" s="66">
        <v>9.0399999999999991</v>
      </c>
      <c r="J76" s="14">
        <v>79324</v>
      </c>
      <c r="K76" s="15">
        <v>68309</v>
      </c>
      <c r="L76" s="16">
        <v>-13.89</v>
      </c>
      <c r="M76" s="14">
        <v>418583</v>
      </c>
      <c r="N76" s="15">
        <v>400958</v>
      </c>
      <c r="O76" s="16">
        <v>-4.21</v>
      </c>
      <c r="P76" s="17">
        <v>3.61</v>
      </c>
      <c r="Q76" s="14">
        <v>0</v>
      </c>
      <c r="R76" s="14">
        <v>0</v>
      </c>
      <c r="S76" s="16" t="s">
        <v>38</v>
      </c>
      <c r="T76" s="14">
        <v>0</v>
      </c>
      <c r="U76" s="60">
        <v>0</v>
      </c>
      <c r="V76" s="16" t="s">
        <v>38</v>
      </c>
      <c r="W76" s="66" t="s">
        <v>38</v>
      </c>
      <c r="X76" s="15">
        <v>17097.45</v>
      </c>
      <c r="Y76" s="15">
        <v>17785.27</v>
      </c>
      <c r="Z76" s="16">
        <v>4.0199999999999996</v>
      </c>
      <c r="AA76" s="14">
        <v>83351.53</v>
      </c>
      <c r="AB76" s="15">
        <v>97990.44</v>
      </c>
      <c r="AC76" s="16">
        <v>17.559999999999999</v>
      </c>
      <c r="AD76" s="17">
        <v>12.44</v>
      </c>
    </row>
    <row r="77" spans="1:30" ht="15.65" thickBot="1">
      <c r="A77" s="12"/>
      <c r="B77" s="13" t="s">
        <v>40</v>
      </c>
      <c r="C77" s="15">
        <v>676.31</v>
      </c>
      <c r="D77" s="15">
        <v>690.42</v>
      </c>
      <c r="E77" s="16">
        <v>2.09</v>
      </c>
      <c r="F77" s="14">
        <v>3086.12</v>
      </c>
      <c r="G77" s="15">
        <v>3851.47</v>
      </c>
      <c r="H77" s="16">
        <v>24.8</v>
      </c>
      <c r="I77" s="66">
        <v>6.83</v>
      </c>
      <c r="J77" s="14">
        <v>25</v>
      </c>
      <c r="K77" s="15">
        <v>11</v>
      </c>
      <c r="L77" s="16">
        <v>-56</v>
      </c>
      <c r="M77" s="14">
        <v>137</v>
      </c>
      <c r="N77" s="15">
        <v>77</v>
      </c>
      <c r="O77" s="16">
        <v>-43.8</v>
      </c>
      <c r="P77" s="17">
        <v>6.82</v>
      </c>
      <c r="Q77" s="14">
        <v>2712018</v>
      </c>
      <c r="R77" s="14">
        <v>3128013</v>
      </c>
      <c r="S77" s="16">
        <v>15.34</v>
      </c>
      <c r="T77" s="14">
        <v>14971721</v>
      </c>
      <c r="U77" s="60">
        <v>17055640</v>
      </c>
      <c r="V77" s="16">
        <v>13.92</v>
      </c>
      <c r="W77" s="66">
        <v>30.39</v>
      </c>
      <c r="X77" s="15">
        <v>24593.39</v>
      </c>
      <c r="Y77" s="15">
        <v>27128.3</v>
      </c>
      <c r="Z77" s="16">
        <v>10.31</v>
      </c>
      <c r="AA77" s="14">
        <v>138319.57</v>
      </c>
      <c r="AB77" s="15">
        <v>147988.1</v>
      </c>
      <c r="AC77" s="16">
        <v>6.99</v>
      </c>
      <c r="AD77" s="17">
        <v>30.65</v>
      </c>
    </row>
    <row r="78" spans="1:30" ht="15.65" thickBot="1">
      <c r="A78" s="12"/>
      <c r="B78" s="13" t="s">
        <v>41</v>
      </c>
      <c r="C78" s="15">
        <v>0</v>
      </c>
      <c r="D78" s="15">
        <v>0</v>
      </c>
      <c r="E78" s="16" t="s">
        <v>38</v>
      </c>
      <c r="F78" s="14">
        <v>0</v>
      </c>
      <c r="G78" s="15">
        <v>0</v>
      </c>
      <c r="H78" s="16" t="s">
        <v>38</v>
      </c>
      <c r="I78" s="66">
        <v>0</v>
      </c>
      <c r="J78" s="14">
        <v>0</v>
      </c>
      <c r="K78" s="15">
        <v>0</v>
      </c>
      <c r="L78" s="16" t="s">
        <v>38</v>
      </c>
      <c r="M78" s="14">
        <v>0</v>
      </c>
      <c r="N78" s="15">
        <v>0</v>
      </c>
      <c r="O78" s="16" t="s">
        <v>38</v>
      </c>
      <c r="P78" s="17">
        <v>0</v>
      </c>
      <c r="Q78" s="14">
        <v>0</v>
      </c>
      <c r="R78" s="14">
        <v>0</v>
      </c>
      <c r="S78" s="16" t="s">
        <v>38</v>
      </c>
      <c r="T78" s="14">
        <v>0</v>
      </c>
      <c r="U78" s="60">
        <v>0</v>
      </c>
      <c r="V78" s="16" t="s">
        <v>38</v>
      </c>
      <c r="W78" s="66">
        <v>0</v>
      </c>
      <c r="X78" s="15">
        <v>0</v>
      </c>
      <c r="Y78" s="15">
        <v>0</v>
      </c>
      <c r="Z78" s="16" t="s">
        <v>38</v>
      </c>
      <c r="AA78" s="14">
        <v>0</v>
      </c>
      <c r="AB78" s="15">
        <v>0</v>
      </c>
      <c r="AC78" s="16" t="s">
        <v>38</v>
      </c>
      <c r="AD78" s="17">
        <v>0</v>
      </c>
    </row>
    <row r="79" spans="1:30" ht="15.65" thickBot="1">
      <c r="A79" s="12"/>
      <c r="B79" s="20" t="s">
        <v>42</v>
      </c>
      <c r="C79" s="14">
        <v>20.54</v>
      </c>
      <c r="D79" s="15">
        <v>26.45</v>
      </c>
      <c r="E79" s="16">
        <v>28.76</v>
      </c>
      <c r="F79" s="14">
        <v>109.05</v>
      </c>
      <c r="G79" s="15">
        <v>211.21</v>
      </c>
      <c r="H79" s="16">
        <v>93.68</v>
      </c>
      <c r="I79" s="66">
        <v>7.81</v>
      </c>
      <c r="J79" s="14">
        <v>21</v>
      </c>
      <c r="K79" s="15">
        <v>17</v>
      </c>
      <c r="L79" s="16">
        <v>-19.05</v>
      </c>
      <c r="M79" s="14">
        <v>133</v>
      </c>
      <c r="N79" s="15">
        <v>129</v>
      </c>
      <c r="O79" s="16">
        <v>-3.01</v>
      </c>
      <c r="P79" s="17">
        <v>0.91</v>
      </c>
      <c r="Q79" s="14">
        <v>953443</v>
      </c>
      <c r="R79" s="14">
        <v>1727741</v>
      </c>
      <c r="S79" s="16">
        <v>81.209999999999994</v>
      </c>
      <c r="T79" s="14">
        <v>6202852</v>
      </c>
      <c r="U79" s="60">
        <v>11202691</v>
      </c>
      <c r="V79" s="16">
        <v>80.61</v>
      </c>
      <c r="W79" s="66">
        <v>28.99</v>
      </c>
      <c r="X79" s="14">
        <v>5941.63</v>
      </c>
      <c r="Y79" s="15">
        <v>40090.92</v>
      </c>
      <c r="Z79" s="16">
        <v>574.75</v>
      </c>
      <c r="AA79" s="14">
        <v>39755.96</v>
      </c>
      <c r="AB79" s="15">
        <v>192073.57</v>
      </c>
      <c r="AC79" s="16">
        <v>383.13</v>
      </c>
      <c r="AD79" s="17">
        <v>23.25</v>
      </c>
    </row>
    <row r="80" spans="1:30" ht="15.65" thickBot="1">
      <c r="A80" s="12"/>
      <c r="B80" s="20"/>
      <c r="C80" s="14"/>
      <c r="D80" s="22"/>
      <c r="E80" s="23"/>
      <c r="F80" s="14"/>
      <c r="G80" s="22"/>
      <c r="H80" s="23"/>
      <c r="I80" s="67"/>
      <c r="J80" s="14"/>
      <c r="K80" s="22"/>
      <c r="L80" s="23"/>
      <c r="M80" s="14"/>
      <c r="N80" s="22"/>
      <c r="O80" s="23"/>
      <c r="P80" s="24"/>
      <c r="Q80" s="14"/>
      <c r="R80" s="20"/>
      <c r="S80" s="23"/>
      <c r="T80" s="14"/>
      <c r="U80" s="61"/>
      <c r="V80" s="23"/>
      <c r="W80" s="67"/>
      <c r="X80" s="14"/>
      <c r="Y80" s="22"/>
      <c r="Z80" s="23"/>
      <c r="AA80" s="14"/>
      <c r="AB80" s="22"/>
      <c r="AC80" s="23"/>
      <c r="AD80" s="24"/>
    </row>
    <row r="81" spans="1:30" ht="16.899999999999999" thickBot="1">
      <c r="A81" s="6">
        <v>12</v>
      </c>
      <c r="B81" s="7" t="s">
        <v>52</v>
      </c>
      <c r="C81" s="8">
        <v>831.24</v>
      </c>
      <c r="D81" s="8">
        <v>938.05</v>
      </c>
      <c r="E81" s="9">
        <v>12.85</v>
      </c>
      <c r="F81" s="8">
        <v>4277.0200000000004</v>
      </c>
      <c r="G81" s="8">
        <v>5151.7700000000004</v>
      </c>
      <c r="H81" s="9">
        <v>20.45</v>
      </c>
      <c r="I81" s="65">
        <v>4.0999999999999996</v>
      </c>
      <c r="J81" s="11">
        <v>72183</v>
      </c>
      <c r="K81" s="11">
        <v>63149</v>
      </c>
      <c r="L81" s="9">
        <v>-12.52</v>
      </c>
      <c r="M81" s="11">
        <v>387976</v>
      </c>
      <c r="N81" s="11">
        <v>357650</v>
      </c>
      <c r="O81" s="9">
        <v>-7.82</v>
      </c>
      <c r="P81" s="10">
        <v>3.06</v>
      </c>
      <c r="Q81" s="11">
        <v>1650758</v>
      </c>
      <c r="R81" s="11">
        <v>2602580</v>
      </c>
      <c r="S81" s="9">
        <v>57.66</v>
      </c>
      <c r="T81" s="11">
        <v>8381476</v>
      </c>
      <c r="U81" s="63">
        <v>13249946</v>
      </c>
      <c r="V81" s="9">
        <v>58.09</v>
      </c>
      <c r="W81" s="65">
        <v>13.42</v>
      </c>
      <c r="X81" s="8">
        <v>40039.910000000003</v>
      </c>
      <c r="Y81" s="8">
        <v>44423.08</v>
      </c>
      <c r="Z81" s="9">
        <v>10.95</v>
      </c>
      <c r="AA81" s="8">
        <v>182630.67</v>
      </c>
      <c r="AB81" s="8">
        <v>271170.51</v>
      </c>
      <c r="AC81" s="9">
        <v>48.48</v>
      </c>
      <c r="AD81" s="10">
        <v>12.53</v>
      </c>
    </row>
    <row r="82" spans="1:30" ht="15.65" thickBot="1">
      <c r="A82" s="12"/>
      <c r="B82" s="13" t="s">
        <v>37</v>
      </c>
      <c r="C82" s="15">
        <v>87.19</v>
      </c>
      <c r="D82" s="15">
        <v>93.51</v>
      </c>
      <c r="E82" s="16">
        <v>7.25</v>
      </c>
      <c r="F82" s="14">
        <v>504.74</v>
      </c>
      <c r="G82" s="15">
        <v>616.17999999999995</v>
      </c>
      <c r="H82" s="16">
        <v>22.08</v>
      </c>
      <c r="I82" s="66">
        <v>3.49</v>
      </c>
      <c r="J82" s="14">
        <v>5661</v>
      </c>
      <c r="K82" s="15">
        <v>1409</v>
      </c>
      <c r="L82" s="16">
        <v>-75.11</v>
      </c>
      <c r="M82" s="14">
        <v>29348</v>
      </c>
      <c r="N82" s="15">
        <v>8130</v>
      </c>
      <c r="O82" s="16">
        <v>-72.3</v>
      </c>
      <c r="P82" s="17">
        <v>1.45</v>
      </c>
      <c r="Q82" s="14">
        <v>0</v>
      </c>
      <c r="R82" s="14">
        <v>0</v>
      </c>
      <c r="S82" s="16" t="s">
        <v>38</v>
      </c>
      <c r="T82" s="14">
        <v>0</v>
      </c>
      <c r="U82" s="60">
        <v>0</v>
      </c>
      <c r="V82" s="16" t="s">
        <v>38</v>
      </c>
      <c r="W82" s="66" t="s">
        <v>38</v>
      </c>
      <c r="X82" s="15">
        <v>1541.3</v>
      </c>
      <c r="Y82" s="15">
        <v>263.14</v>
      </c>
      <c r="Z82" s="16">
        <v>-82.93</v>
      </c>
      <c r="AA82" s="14">
        <v>7629.53</v>
      </c>
      <c r="AB82" s="15">
        <v>1364.61</v>
      </c>
      <c r="AC82" s="16">
        <v>-82.11</v>
      </c>
      <c r="AD82" s="17">
        <v>11.22</v>
      </c>
    </row>
    <row r="83" spans="1:30" ht="15.65" thickBot="1">
      <c r="A83" s="12"/>
      <c r="B83" s="13" t="s">
        <v>39</v>
      </c>
      <c r="C83" s="14">
        <v>613.14</v>
      </c>
      <c r="D83" s="15">
        <v>571.59</v>
      </c>
      <c r="E83" s="16">
        <v>-6.78</v>
      </c>
      <c r="F83" s="14">
        <v>3097.44</v>
      </c>
      <c r="G83" s="15">
        <v>2986.99</v>
      </c>
      <c r="H83" s="16">
        <v>-3.57</v>
      </c>
      <c r="I83" s="66">
        <v>10.34</v>
      </c>
      <c r="J83" s="14">
        <v>66383</v>
      </c>
      <c r="K83" s="15">
        <v>61664</v>
      </c>
      <c r="L83" s="16">
        <v>-7.11</v>
      </c>
      <c r="M83" s="14">
        <v>357990</v>
      </c>
      <c r="N83" s="15">
        <v>348805</v>
      </c>
      <c r="O83" s="16">
        <v>-2.57</v>
      </c>
      <c r="P83" s="17">
        <v>3.14</v>
      </c>
      <c r="Q83" s="14">
        <v>0</v>
      </c>
      <c r="R83" s="14">
        <v>0</v>
      </c>
      <c r="S83" s="16" t="s">
        <v>38</v>
      </c>
      <c r="T83" s="14">
        <v>0</v>
      </c>
      <c r="U83" s="60">
        <v>0</v>
      </c>
      <c r="V83" s="16" t="s">
        <v>38</v>
      </c>
      <c r="W83" s="66" t="s">
        <v>38</v>
      </c>
      <c r="X83" s="14">
        <v>18512.490000000002</v>
      </c>
      <c r="Y83" s="15">
        <v>21215.91</v>
      </c>
      <c r="Z83" s="16">
        <v>14.6</v>
      </c>
      <c r="AA83" s="14">
        <v>97017.68</v>
      </c>
      <c r="AB83" s="15">
        <v>121936.82</v>
      </c>
      <c r="AC83" s="16">
        <v>25.69</v>
      </c>
      <c r="AD83" s="17">
        <v>15.48</v>
      </c>
    </row>
    <row r="84" spans="1:30" ht="15.65" thickBot="1">
      <c r="A84" s="12"/>
      <c r="B84" s="13" t="s">
        <v>40</v>
      </c>
      <c r="C84" s="14">
        <v>93.25</v>
      </c>
      <c r="D84" s="15">
        <v>167.26</v>
      </c>
      <c r="E84" s="16">
        <v>79.37</v>
      </c>
      <c r="F84" s="14">
        <v>402.62</v>
      </c>
      <c r="G84" s="15">
        <v>917.88</v>
      </c>
      <c r="H84" s="16">
        <v>127.97</v>
      </c>
      <c r="I84" s="66">
        <v>1.63</v>
      </c>
      <c r="J84" s="14">
        <v>6</v>
      </c>
      <c r="K84" s="15">
        <v>14</v>
      </c>
      <c r="L84" s="16">
        <v>133.33000000000001</v>
      </c>
      <c r="M84" s="14">
        <v>69</v>
      </c>
      <c r="N84" s="15">
        <v>66</v>
      </c>
      <c r="O84" s="16">
        <v>-4.3499999999999996</v>
      </c>
      <c r="P84" s="17">
        <v>5.85</v>
      </c>
      <c r="Q84" s="14">
        <v>1412956</v>
      </c>
      <c r="R84" s="14">
        <v>2275937</v>
      </c>
      <c r="S84" s="16">
        <v>61.08</v>
      </c>
      <c r="T84" s="14">
        <v>6612126</v>
      </c>
      <c r="U84" s="60">
        <v>11715936</v>
      </c>
      <c r="V84" s="16">
        <v>77.19</v>
      </c>
      <c r="W84" s="66">
        <v>20.88</v>
      </c>
      <c r="X84" s="14">
        <v>6167.11</v>
      </c>
      <c r="Y84" s="15">
        <v>11198.24</v>
      </c>
      <c r="Z84" s="16">
        <v>81.58</v>
      </c>
      <c r="AA84" s="14">
        <v>25356.44</v>
      </c>
      <c r="AB84" s="15">
        <v>62616.160000000003</v>
      </c>
      <c r="AC84" s="16">
        <v>146.94</v>
      </c>
      <c r="AD84" s="17">
        <v>12.97</v>
      </c>
    </row>
    <row r="85" spans="1:30" ht="15.65" thickBot="1">
      <c r="A85" s="12"/>
      <c r="B85" s="13" t="s">
        <v>41</v>
      </c>
      <c r="C85" s="15">
        <v>0</v>
      </c>
      <c r="D85" s="15">
        <v>0</v>
      </c>
      <c r="E85" s="16" t="s">
        <v>38</v>
      </c>
      <c r="F85" s="14">
        <v>0</v>
      </c>
      <c r="G85" s="15">
        <v>0</v>
      </c>
      <c r="H85" s="16" t="s">
        <v>38</v>
      </c>
      <c r="I85" s="66">
        <v>0</v>
      </c>
      <c r="J85" s="14">
        <v>0</v>
      </c>
      <c r="K85" s="15">
        <v>0</v>
      </c>
      <c r="L85" s="16" t="s">
        <v>38</v>
      </c>
      <c r="M85" s="14">
        <v>0</v>
      </c>
      <c r="N85" s="15">
        <v>0</v>
      </c>
      <c r="O85" s="16" t="s">
        <v>38</v>
      </c>
      <c r="P85" s="17">
        <v>0</v>
      </c>
      <c r="Q85" s="14">
        <v>0</v>
      </c>
      <c r="R85" s="14">
        <v>0</v>
      </c>
      <c r="S85" s="16" t="s">
        <v>38</v>
      </c>
      <c r="T85" s="14">
        <v>0</v>
      </c>
      <c r="U85" s="60">
        <v>0</v>
      </c>
      <c r="V85" s="16" t="s">
        <v>38</v>
      </c>
      <c r="W85" s="66">
        <v>0</v>
      </c>
      <c r="X85" s="15">
        <v>0</v>
      </c>
      <c r="Y85" s="15">
        <v>0</v>
      </c>
      <c r="Z85" s="16" t="s">
        <v>38</v>
      </c>
      <c r="AA85" s="14">
        <v>0</v>
      </c>
      <c r="AB85" s="15">
        <v>0</v>
      </c>
      <c r="AC85" s="16" t="s">
        <v>38</v>
      </c>
      <c r="AD85" s="17">
        <v>0</v>
      </c>
    </row>
    <row r="86" spans="1:30" ht="15.65" thickBot="1">
      <c r="A86" s="12"/>
      <c r="B86" s="20" t="s">
        <v>42</v>
      </c>
      <c r="C86" s="18">
        <v>37.659999999999997</v>
      </c>
      <c r="D86" s="15">
        <v>105.68</v>
      </c>
      <c r="E86" s="16">
        <v>180.6</v>
      </c>
      <c r="F86" s="19">
        <v>272.20999999999998</v>
      </c>
      <c r="G86" s="15">
        <v>630.73</v>
      </c>
      <c r="H86" s="16">
        <v>131.69999999999999</v>
      </c>
      <c r="I86" s="66">
        <v>23.33</v>
      </c>
      <c r="J86" s="14">
        <v>133</v>
      </c>
      <c r="K86" s="15">
        <v>62</v>
      </c>
      <c r="L86" s="16">
        <v>-53.38</v>
      </c>
      <c r="M86" s="14">
        <v>569</v>
      </c>
      <c r="N86" s="15">
        <v>649</v>
      </c>
      <c r="O86" s="16">
        <v>14.06</v>
      </c>
      <c r="P86" s="17">
        <v>4.59</v>
      </c>
      <c r="Q86" s="14">
        <v>237802</v>
      </c>
      <c r="R86" s="14">
        <v>326643</v>
      </c>
      <c r="S86" s="16">
        <v>37.36</v>
      </c>
      <c r="T86" s="14">
        <v>1769350</v>
      </c>
      <c r="U86" s="60">
        <v>1534010</v>
      </c>
      <c r="V86" s="16">
        <v>-13.3</v>
      </c>
      <c r="W86" s="66">
        <v>3.97</v>
      </c>
      <c r="X86" s="18">
        <v>13819.02</v>
      </c>
      <c r="Y86" s="15">
        <v>11745.79</v>
      </c>
      <c r="Z86" s="16">
        <v>-15</v>
      </c>
      <c r="AA86" s="19">
        <v>52627.01</v>
      </c>
      <c r="AB86" s="15">
        <v>85252.92</v>
      </c>
      <c r="AC86" s="16">
        <v>61.99</v>
      </c>
      <c r="AD86" s="17">
        <v>10.32</v>
      </c>
    </row>
    <row r="87" spans="1:30" ht="15.65" thickBot="1">
      <c r="A87" s="12"/>
      <c r="B87" s="20"/>
      <c r="C87" s="21"/>
      <c r="D87" s="22"/>
      <c r="E87" s="23"/>
      <c r="F87" s="13"/>
      <c r="G87" s="22"/>
      <c r="H87" s="23"/>
      <c r="I87" s="67"/>
      <c r="J87" s="20"/>
      <c r="K87" s="22"/>
      <c r="L87" s="23"/>
      <c r="M87" s="20"/>
      <c r="N87" s="22"/>
      <c r="O87" s="23"/>
      <c r="P87" s="24"/>
      <c r="Q87" s="20"/>
      <c r="R87" s="20"/>
      <c r="S87" s="23"/>
      <c r="T87" s="20"/>
      <c r="U87" s="61"/>
      <c r="V87" s="23"/>
      <c r="W87" s="67"/>
      <c r="X87" s="21"/>
      <c r="Y87" s="22"/>
      <c r="Z87" s="23"/>
      <c r="AA87" s="13"/>
      <c r="AB87" s="22"/>
      <c r="AC87" s="23"/>
      <c r="AD87" s="24"/>
    </row>
    <row r="88" spans="1:30" ht="16.899999999999999" thickBot="1">
      <c r="A88" s="6">
        <v>13</v>
      </c>
      <c r="B88" s="7" t="s">
        <v>53</v>
      </c>
      <c r="C88" s="8">
        <v>69.87</v>
      </c>
      <c r="D88" s="8">
        <v>60.61</v>
      </c>
      <c r="E88" s="9">
        <v>-13.25</v>
      </c>
      <c r="F88" s="8">
        <v>300.38</v>
      </c>
      <c r="G88" s="8">
        <v>264.12</v>
      </c>
      <c r="H88" s="9">
        <v>-12.07</v>
      </c>
      <c r="I88" s="65">
        <v>0.21</v>
      </c>
      <c r="J88" s="11">
        <v>10620</v>
      </c>
      <c r="K88" s="11">
        <v>4980</v>
      </c>
      <c r="L88" s="9">
        <v>-53.11</v>
      </c>
      <c r="M88" s="11">
        <v>46324</v>
      </c>
      <c r="N88" s="11">
        <v>26067</v>
      </c>
      <c r="O88" s="9">
        <v>-43.73</v>
      </c>
      <c r="P88" s="10">
        <v>0.22</v>
      </c>
      <c r="Q88" s="11">
        <v>19717</v>
      </c>
      <c r="R88" s="11">
        <v>10557</v>
      </c>
      <c r="S88" s="9">
        <v>-46.46</v>
      </c>
      <c r="T88" s="11">
        <v>103938</v>
      </c>
      <c r="U88" s="59">
        <v>57632</v>
      </c>
      <c r="V88" s="9">
        <v>-44.55</v>
      </c>
      <c r="W88" s="65">
        <v>0.06</v>
      </c>
      <c r="X88" s="8">
        <v>1351.53</v>
      </c>
      <c r="Y88" s="8">
        <v>1156.83</v>
      </c>
      <c r="Z88" s="9">
        <v>-14.41</v>
      </c>
      <c r="AA88" s="8">
        <v>5859.05</v>
      </c>
      <c r="AB88" s="8">
        <v>5916.53</v>
      </c>
      <c r="AC88" s="9">
        <v>0.98</v>
      </c>
      <c r="AD88" s="10">
        <v>0.27</v>
      </c>
    </row>
    <row r="89" spans="1:30" ht="15.65" thickBot="1">
      <c r="A89" s="12"/>
      <c r="B89" s="13" t="s">
        <v>37</v>
      </c>
      <c r="C89" s="14">
        <v>12.91</v>
      </c>
      <c r="D89" s="15">
        <v>20.75</v>
      </c>
      <c r="E89" s="16">
        <v>60.73</v>
      </c>
      <c r="F89" s="14">
        <v>74.209999999999994</v>
      </c>
      <c r="G89" s="15">
        <v>65.38</v>
      </c>
      <c r="H89" s="16">
        <v>-11.9</v>
      </c>
      <c r="I89" s="66">
        <v>0.37</v>
      </c>
      <c r="J89" s="14">
        <v>493</v>
      </c>
      <c r="K89" s="15">
        <v>594</v>
      </c>
      <c r="L89" s="16">
        <v>20.49</v>
      </c>
      <c r="M89" s="14">
        <v>3507</v>
      </c>
      <c r="N89" s="15">
        <v>2390</v>
      </c>
      <c r="O89" s="16">
        <v>-31.85</v>
      </c>
      <c r="P89" s="17">
        <v>0.43</v>
      </c>
      <c r="Q89" s="14">
        <v>0</v>
      </c>
      <c r="R89" s="14">
        <v>0</v>
      </c>
      <c r="S89" s="16" t="s">
        <v>38</v>
      </c>
      <c r="T89" s="14">
        <v>0</v>
      </c>
      <c r="U89" s="60">
        <v>0</v>
      </c>
      <c r="V89" s="16" t="s">
        <v>38</v>
      </c>
      <c r="W89" s="66" t="s">
        <v>38</v>
      </c>
      <c r="X89" s="14">
        <v>20.27</v>
      </c>
      <c r="Y89" s="15">
        <v>37.93</v>
      </c>
      <c r="Z89" s="16">
        <v>87.1</v>
      </c>
      <c r="AA89" s="14">
        <v>233.52</v>
      </c>
      <c r="AB89" s="15">
        <v>115.41</v>
      </c>
      <c r="AC89" s="16">
        <v>-50.58</v>
      </c>
      <c r="AD89" s="17">
        <v>0.95</v>
      </c>
    </row>
    <row r="90" spans="1:30" ht="15.65" thickBot="1">
      <c r="A90" s="12"/>
      <c r="B90" s="13" t="s">
        <v>39</v>
      </c>
      <c r="C90" s="18">
        <v>45.57</v>
      </c>
      <c r="D90" s="15">
        <v>27.4</v>
      </c>
      <c r="E90" s="16">
        <v>-39.869999999999997</v>
      </c>
      <c r="F90" s="19">
        <v>180.77</v>
      </c>
      <c r="G90" s="15">
        <v>134.11000000000001</v>
      </c>
      <c r="H90" s="16">
        <v>-25.81</v>
      </c>
      <c r="I90" s="66">
        <v>0.46</v>
      </c>
      <c r="J90" s="14">
        <v>10126</v>
      </c>
      <c r="K90" s="15">
        <v>4385</v>
      </c>
      <c r="L90" s="16">
        <v>-56.7</v>
      </c>
      <c r="M90" s="14">
        <v>42816</v>
      </c>
      <c r="N90" s="15">
        <v>23675</v>
      </c>
      <c r="O90" s="16">
        <v>-44.71</v>
      </c>
      <c r="P90" s="17">
        <v>0.21</v>
      </c>
      <c r="Q90" s="14">
        <v>0</v>
      </c>
      <c r="R90" s="14">
        <v>0</v>
      </c>
      <c r="S90" s="16" t="s">
        <v>38</v>
      </c>
      <c r="T90" s="14">
        <v>0</v>
      </c>
      <c r="U90" s="60">
        <v>0</v>
      </c>
      <c r="V90" s="16" t="s">
        <v>38</v>
      </c>
      <c r="W90" s="66" t="s">
        <v>38</v>
      </c>
      <c r="X90" s="18">
        <v>781.52</v>
      </c>
      <c r="Y90" s="15">
        <v>540.33000000000004</v>
      </c>
      <c r="Z90" s="16">
        <v>-30.86</v>
      </c>
      <c r="AA90" s="19">
        <v>3307.78</v>
      </c>
      <c r="AB90" s="15">
        <v>2838.31</v>
      </c>
      <c r="AC90" s="16">
        <v>-14.19</v>
      </c>
      <c r="AD90" s="17">
        <v>0.36</v>
      </c>
    </row>
    <row r="91" spans="1:30" ht="15.65" thickBot="1">
      <c r="A91" s="12"/>
      <c r="B91" s="13" t="s">
        <v>40</v>
      </c>
      <c r="C91" s="14">
        <v>11.26</v>
      </c>
      <c r="D91" s="15">
        <v>12.41</v>
      </c>
      <c r="E91" s="16">
        <v>10.16</v>
      </c>
      <c r="F91" s="14">
        <v>44.69</v>
      </c>
      <c r="G91" s="15">
        <v>64.34</v>
      </c>
      <c r="H91" s="16">
        <v>43.97</v>
      </c>
      <c r="I91" s="66">
        <v>0.11</v>
      </c>
      <c r="J91" s="14">
        <v>1</v>
      </c>
      <c r="K91" s="15">
        <v>1</v>
      </c>
      <c r="L91" s="16">
        <v>0</v>
      </c>
      <c r="M91" s="14">
        <v>1</v>
      </c>
      <c r="N91" s="15">
        <v>2</v>
      </c>
      <c r="O91" s="16">
        <v>100</v>
      </c>
      <c r="P91" s="17">
        <v>0.18</v>
      </c>
      <c r="Q91" s="14">
        <v>2040</v>
      </c>
      <c r="R91" s="14">
        <v>2205</v>
      </c>
      <c r="S91" s="16">
        <v>8.09</v>
      </c>
      <c r="T91" s="14">
        <v>8555</v>
      </c>
      <c r="U91" s="60">
        <v>11469</v>
      </c>
      <c r="V91" s="16">
        <v>34.06</v>
      </c>
      <c r="W91" s="66">
        <v>0.02</v>
      </c>
      <c r="X91" s="14">
        <v>506.26</v>
      </c>
      <c r="Y91" s="15">
        <v>560</v>
      </c>
      <c r="Z91" s="16">
        <v>10.62</v>
      </c>
      <c r="AA91" s="14">
        <v>2075.96</v>
      </c>
      <c r="AB91" s="15">
        <v>2866.15</v>
      </c>
      <c r="AC91" s="16">
        <v>38.06</v>
      </c>
      <c r="AD91" s="17">
        <v>0.59</v>
      </c>
    </row>
    <row r="92" spans="1:30" ht="15.65" thickBot="1">
      <c r="A92" s="12"/>
      <c r="B92" s="13" t="s">
        <v>41</v>
      </c>
      <c r="C92" s="14">
        <v>0.13</v>
      </c>
      <c r="D92" s="15">
        <v>0.05</v>
      </c>
      <c r="E92" s="16">
        <v>-57.37</v>
      </c>
      <c r="F92" s="14">
        <v>0.71</v>
      </c>
      <c r="G92" s="15">
        <v>0.28000000000000003</v>
      </c>
      <c r="H92" s="16">
        <v>-60.07</v>
      </c>
      <c r="I92" s="66">
        <v>0</v>
      </c>
      <c r="J92" s="14">
        <v>0</v>
      </c>
      <c r="K92" s="15">
        <v>0</v>
      </c>
      <c r="L92" s="16" t="s">
        <v>38</v>
      </c>
      <c r="M92" s="14">
        <v>0</v>
      </c>
      <c r="N92" s="15">
        <v>0</v>
      </c>
      <c r="O92" s="16" t="s">
        <v>38</v>
      </c>
      <c r="P92" s="17">
        <v>0</v>
      </c>
      <c r="Q92" s="14">
        <v>17677</v>
      </c>
      <c r="R92" s="14">
        <v>8352</v>
      </c>
      <c r="S92" s="16">
        <v>-52.75</v>
      </c>
      <c r="T92" s="14">
        <v>95383</v>
      </c>
      <c r="U92" s="60">
        <v>46163</v>
      </c>
      <c r="V92" s="16">
        <v>-51.6</v>
      </c>
      <c r="W92" s="66">
        <v>1.1599999999999999</v>
      </c>
      <c r="X92" s="14">
        <v>43.48</v>
      </c>
      <c r="Y92" s="15">
        <v>18.57</v>
      </c>
      <c r="Z92" s="16">
        <v>-57.3</v>
      </c>
      <c r="AA92" s="14">
        <v>241.81</v>
      </c>
      <c r="AB92" s="15">
        <v>96.67</v>
      </c>
      <c r="AC92" s="16">
        <v>-60.02</v>
      </c>
      <c r="AD92" s="17">
        <v>0.17</v>
      </c>
    </row>
    <row r="93" spans="1:30" ht="15.65" thickBot="1">
      <c r="A93" s="12"/>
      <c r="B93" s="20" t="s">
        <v>42</v>
      </c>
      <c r="C93" s="18">
        <v>0</v>
      </c>
      <c r="D93" s="15">
        <v>0</v>
      </c>
      <c r="E93" s="16" t="s">
        <v>38</v>
      </c>
      <c r="F93" s="19">
        <v>0</v>
      </c>
      <c r="G93" s="15">
        <v>0</v>
      </c>
      <c r="H93" s="16" t="s">
        <v>38</v>
      </c>
      <c r="I93" s="66">
        <v>0</v>
      </c>
      <c r="J93" s="14">
        <v>0</v>
      </c>
      <c r="K93" s="15">
        <v>0</v>
      </c>
      <c r="L93" s="16" t="s">
        <v>38</v>
      </c>
      <c r="M93" s="14">
        <v>0</v>
      </c>
      <c r="N93" s="15">
        <v>0</v>
      </c>
      <c r="O93" s="16" t="s">
        <v>38</v>
      </c>
      <c r="P93" s="17">
        <v>0</v>
      </c>
      <c r="Q93" s="14">
        <v>0</v>
      </c>
      <c r="R93" s="14">
        <v>0</v>
      </c>
      <c r="S93" s="16" t="s">
        <v>38</v>
      </c>
      <c r="T93" s="14">
        <v>0</v>
      </c>
      <c r="U93" s="60">
        <v>0</v>
      </c>
      <c r="V93" s="16" t="s">
        <v>38</v>
      </c>
      <c r="W93" s="66">
        <v>0</v>
      </c>
      <c r="X93" s="18">
        <v>0</v>
      </c>
      <c r="Y93" s="15">
        <v>0</v>
      </c>
      <c r="Z93" s="16" t="s">
        <v>38</v>
      </c>
      <c r="AA93" s="19">
        <v>0</v>
      </c>
      <c r="AB93" s="15">
        <v>0</v>
      </c>
      <c r="AC93" s="16" t="s">
        <v>38</v>
      </c>
      <c r="AD93" s="17">
        <v>0</v>
      </c>
    </row>
    <row r="94" spans="1:30" ht="15.65" thickBot="1">
      <c r="A94" s="12"/>
      <c r="B94" s="20"/>
      <c r="C94" s="21"/>
      <c r="D94" s="22"/>
      <c r="E94" s="23"/>
      <c r="F94" s="13"/>
      <c r="G94" s="22"/>
      <c r="H94" s="23"/>
      <c r="I94" s="67"/>
      <c r="J94" s="20"/>
      <c r="K94" s="22"/>
      <c r="L94" s="23"/>
      <c r="M94" s="20"/>
      <c r="N94" s="22"/>
      <c r="O94" s="23"/>
      <c r="P94" s="24"/>
      <c r="Q94" s="20"/>
      <c r="R94" s="20"/>
      <c r="S94" s="23"/>
      <c r="T94" s="20"/>
      <c r="U94" s="61"/>
      <c r="V94" s="23"/>
      <c r="W94" s="67"/>
      <c r="X94" s="21"/>
      <c r="Y94" s="22"/>
      <c r="Z94" s="23"/>
      <c r="AA94" s="13"/>
      <c r="AB94" s="22"/>
      <c r="AC94" s="23"/>
      <c r="AD94" s="24"/>
    </row>
    <row r="95" spans="1:30" ht="16.899999999999999" thickBot="1">
      <c r="A95" s="6">
        <v>14</v>
      </c>
      <c r="B95" s="7" t="s">
        <v>54</v>
      </c>
      <c r="C95" s="8">
        <v>345.36</v>
      </c>
      <c r="D95" s="8">
        <v>202.58</v>
      </c>
      <c r="E95" s="9">
        <v>-41.34</v>
      </c>
      <c r="F95" s="8">
        <v>947.34</v>
      </c>
      <c r="G95" s="8">
        <v>847.7</v>
      </c>
      <c r="H95" s="9">
        <v>-10.52</v>
      </c>
      <c r="I95" s="65">
        <v>0.67</v>
      </c>
      <c r="J95" s="11">
        <v>16920</v>
      </c>
      <c r="K95" s="11">
        <v>19653</v>
      </c>
      <c r="L95" s="9">
        <v>16.149999999999999</v>
      </c>
      <c r="M95" s="11">
        <v>77634</v>
      </c>
      <c r="N95" s="11">
        <v>87993</v>
      </c>
      <c r="O95" s="9">
        <v>13.34</v>
      </c>
      <c r="P95" s="10">
        <v>0.75</v>
      </c>
      <c r="Q95" s="11">
        <v>140436</v>
      </c>
      <c r="R95" s="11">
        <v>123933</v>
      </c>
      <c r="S95" s="9">
        <v>-11.75</v>
      </c>
      <c r="T95" s="11">
        <v>3093563</v>
      </c>
      <c r="U95" s="59">
        <v>1923524</v>
      </c>
      <c r="V95" s="9">
        <v>-37.82</v>
      </c>
      <c r="W95" s="65">
        <v>1.95</v>
      </c>
      <c r="X95" s="8">
        <v>6195.67</v>
      </c>
      <c r="Y95" s="8">
        <v>3908.96</v>
      </c>
      <c r="Z95" s="9">
        <v>-36.909999999999997</v>
      </c>
      <c r="AA95" s="8">
        <v>112829.28</v>
      </c>
      <c r="AB95" s="8">
        <v>62239.62</v>
      </c>
      <c r="AC95" s="9">
        <v>-44.84</v>
      </c>
      <c r="AD95" s="10">
        <v>2.88</v>
      </c>
    </row>
    <row r="96" spans="1:30" ht="15.65" thickBot="1">
      <c r="A96" s="12"/>
      <c r="B96" s="13" t="s">
        <v>37</v>
      </c>
      <c r="C96" s="14">
        <v>1.33</v>
      </c>
      <c r="D96" s="15">
        <v>2.5099999999999998</v>
      </c>
      <c r="E96" s="16">
        <v>88.7</v>
      </c>
      <c r="F96" s="14">
        <v>10.69</v>
      </c>
      <c r="G96" s="15">
        <v>11.27</v>
      </c>
      <c r="H96" s="16">
        <v>5.46</v>
      </c>
      <c r="I96" s="66">
        <v>0.06</v>
      </c>
      <c r="J96" s="14">
        <v>3575</v>
      </c>
      <c r="K96" s="15">
        <v>1978</v>
      </c>
      <c r="L96" s="16">
        <v>-44.67</v>
      </c>
      <c r="M96" s="14">
        <v>12656</v>
      </c>
      <c r="N96" s="15">
        <v>14668</v>
      </c>
      <c r="O96" s="16">
        <v>15.9</v>
      </c>
      <c r="P96" s="17">
        <v>2.62</v>
      </c>
      <c r="Q96" s="14">
        <v>0</v>
      </c>
      <c r="R96" s="14">
        <v>0</v>
      </c>
      <c r="S96" s="16" t="s">
        <v>38</v>
      </c>
      <c r="T96" s="14">
        <v>0</v>
      </c>
      <c r="U96" s="60">
        <v>0</v>
      </c>
      <c r="V96" s="16" t="s">
        <v>38</v>
      </c>
      <c r="W96" s="66" t="s">
        <v>38</v>
      </c>
      <c r="X96" s="14">
        <v>2.98</v>
      </c>
      <c r="Y96" s="15">
        <v>3.34</v>
      </c>
      <c r="Z96" s="16">
        <v>12.11</v>
      </c>
      <c r="AA96" s="14">
        <v>17.899999999999999</v>
      </c>
      <c r="AB96" s="15">
        <v>20.61</v>
      </c>
      <c r="AC96" s="16">
        <v>15.11</v>
      </c>
      <c r="AD96" s="17">
        <v>0.17</v>
      </c>
    </row>
    <row r="97" spans="1:30" ht="15.65" thickBot="1">
      <c r="A97" s="12"/>
      <c r="B97" s="13" t="s">
        <v>39</v>
      </c>
      <c r="C97" s="14">
        <v>54.93</v>
      </c>
      <c r="D97" s="15">
        <v>85.75</v>
      </c>
      <c r="E97" s="16">
        <v>56.12</v>
      </c>
      <c r="F97" s="14">
        <v>251.44</v>
      </c>
      <c r="G97" s="15">
        <v>323.63</v>
      </c>
      <c r="H97" s="16">
        <v>28.71</v>
      </c>
      <c r="I97" s="66">
        <v>1.1200000000000001</v>
      </c>
      <c r="J97" s="14">
        <v>13339</v>
      </c>
      <c r="K97" s="15">
        <v>17663</v>
      </c>
      <c r="L97" s="16">
        <v>32.42</v>
      </c>
      <c r="M97" s="14">
        <v>64914</v>
      </c>
      <c r="N97" s="15">
        <v>73246</v>
      </c>
      <c r="O97" s="16">
        <v>12.84</v>
      </c>
      <c r="P97" s="17">
        <v>0.66</v>
      </c>
      <c r="Q97" s="14">
        <v>0</v>
      </c>
      <c r="R97" s="14">
        <v>0</v>
      </c>
      <c r="S97" s="16" t="s">
        <v>38</v>
      </c>
      <c r="T97" s="14">
        <v>0</v>
      </c>
      <c r="U97" s="60">
        <v>0</v>
      </c>
      <c r="V97" s="16" t="s">
        <v>38</v>
      </c>
      <c r="W97" s="66" t="s">
        <v>38</v>
      </c>
      <c r="X97" s="14">
        <v>548.35</v>
      </c>
      <c r="Y97" s="15">
        <v>812.35</v>
      </c>
      <c r="Z97" s="16">
        <v>48.14</v>
      </c>
      <c r="AA97" s="14">
        <v>2810.25</v>
      </c>
      <c r="AB97" s="15">
        <v>3584.08</v>
      </c>
      <c r="AC97" s="16">
        <v>27.54</v>
      </c>
      <c r="AD97" s="17">
        <v>0.45</v>
      </c>
    </row>
    <row r="98" spans="1:30" ht="15.65" thickBot="1">
      <c r="A98" s="12"/>
      <c r="B98" s="13" t="s">
        <v>40</v>
      </c>
      <c r="C98" s="14">
        <v>289.05</v>
      </c>
      <c r="D98" s="15">
        <v>114.27</v>
      </c>
      <c r="E98" s="16">
        <v>-60.47</v>
      </c>
      <c r="F98" s="14">
        <v>685.11</v>
      </c>
      <c r="G98" s="15">
        <v>512.62</v>
      </c>
      <c r="H98" s="16">
        <v>-25.18</v>
      </c>
      <c r="I98" s="66">
        <v>0.91</v>
      </c>
      <c r="J98" s="14">
        <v>5</v>
      </c>
      <c r="K98" s="15">
        <v>12</v>
      </c>
      <c r="L98" s="16">
        <v>140</v>
      </c>
      <c r="M98" s="14">
        <v>61</v>
      </c>
      <c r="N98" s="15">
        <v>78</v>
      </c>
      <c r="O98" s="16">
        <v>27.87</v>
      </c>
      <c r="P98" s="17">
        <v>6.91</v>
      </c>
      <c r="Q98" s="14">
        <v>140341</v>
      </c>
      <c r="R98" s="14">
        <v>123870</v>
      </c>
      <c r="S98" s="16">
        <v>-11.74</v>
      </c>
      <c r="T98" s="14">
        <v>3092996</v>
      </c>
      <c r="U98" s="60">
        <v>1923103</v>
      </c>
      <c r="V98" s="16">
        <v>-37.82</v>
      </c>
      <c r="W98" s="66">
        <v>3.43</v>
      </c>
      <c r="X98" s="14">
        <v>5629.27</v>
      </c>
      <c r="Y98" s="15">
        <v>3079.48</v>
      </c>
      <c r="Z98" s="16">
        <v>-45.3</v>
      </c>
      <c r="AA98" s="14">
        <v>109941.43</v>
      </c>
      <c r="AB98" s="15">
        <v>58575.519999999997</v>
      </c>
      <c r="AC98" s="16">
        <v>-46.72</v>
      </c>
      <c r="AD98" s="17">
        <v>12.13</v>
      </c>
    </row>
    <row r="99" spans="1:30" ht="15.65" thickBot="1">
      <c r="A99" s="12"/>
      <c r="B99" s="13" t="s">
        <v>41</v>
      </c>
      <c r="C99" s="18">
        <v>0.05</v>
      </c>
      <c r="D99" s="15">
        <v>0.05</v>
      </c>
      <c r="E99" s="16">
        <v>-0.14000000000000001</v>
      </c>
      <c r="F99" s="19">
        <v>0.1</v>
      </c>
      <c r="G99" s="15">
        <v>0.19</v>
      </c>
      <c r="H99" s="16">
        <v>80.569999999999993</v>
      </c>
      <c r="I99" s="66">
        <v>0</v>
      </c>
      <c r="J99" s="14">
        <v>1</v>
      </c>
      <c r="K99" s="15">
        <v>0</v>
      </c>
      <c r="L99" s="16">
        <v>-100</v>
      </c>
      <c r="M99" s="14">
        <v>3</v>
      </c>
      <c r="N99" s="15">
        <v>1</v>
      </c>
      <c r="O99" s="16">
        <v>-66.67</v>
      </c>
      <c r="P99" s="17">
        <v>7.0000000000000007E-2</v>
      </c>
      <c r="Q99" s="14">
        <v>95</v>
      </c>
      <c r="R99" s="14">
        <v>63</v>
      </c>
      <c r="S99" s="16">
        <v>-33.68</v>
      </c>
      <c r="T99" s="14">
        <v>567</v>
      </c>
      <c r="U99" s="60">
        <v>421</v>
      </c>
      <c r="V99" s="16">
        <v>-25.75</v>
      </c>
      <c r="W99" s="66">
        <v>0.01</v>
      </c>
      <c r="X99" s="18">
        <v>15.07</v>
      </c>
      <c r="Y99" s="15">
        <v>13.79</v>
      </c>
      <c r="Z99" s="16">
        <v>-8.5</v>
      </c>
      <c r="AA99" s="19">
        <v>59.7</v>
      </c>
      <c r="AB99" s="15">
        <v>59.41</v>
      </c>
      <c r="AC99" s="16">
        <v>-0.47</v>
      </c>
      <c r="AD99" s="17">
        <v>0.11</v>
      </c>
    </row>
    <row r="100" spans="1:30" ht="15.65" thickBot="1">
      <c r="A100" s="12"/>
      <c r="B100" s="20" t="s">
        <v>42</v>
      </c>
      <c r="C100" s="18">
        <v>0</v>
      </c>
      <c r="D100" s="15">
        <v>0</v>
      </c>
      <c r="E100" s="16" t="s">
        <v>38</v>
      </c>
      <c r="F100" s="19">
        <v>0</v>
      </c>
      <c r="G100" s="15">
        <v>0</v>
      </c>
      <c r="H100" s="16" t="s">
        <v>38</v>
      </c>
      <c r="I100" s="66">
        <v>0</v>
      </c>
      <c r="J100" s="14">
        <v>0</v>
      </c>
      <c r="K100" s="15">
        <v>0</v>
      </c>
      <c r="L100" s="16" t="s">
        <v>38</v>
      </c>
      <c r="M100" s="14">
        <v>0</v>
      </c>
      <c r="N100" s="15">
        <v>0</v>
      </c>
      <c r="O100" s="16" t="s">
        <v>38</v>
      </c>
      <c r="P100" s="17">
        <v>0</v>
      </c>
      <c r="Q100" s="14">
        <v>0</v>
      </c>
      <c r="R100" s="14">
        <v>0</v>
      </c>
      <c r="S100" s="16" t="s">
        <v>38</v>
      </c>
      <c r="T100" s="14">
        <v>0</v>
      </c>
      <c r="U100" s="60">
        <v>0</v>
      </c>
      <c r="V100" s="16" t="s">
        <v>38</v>
      </c>
      <c r="W100" s="66">
        <v>0</v>
      </c>
      <c r="X100" s="18">
        <v>0</v>
      </c>
      <c r="Y100" s="15">
        <v>0</v>
      </c>
      <c r="Z100" s="16" t="s">
        <v>38</v>
      </c>
      <c r="AA100" s="19">
        <v>0</v>
      </c>
      <c r="AB100" s="15">
        <v>0</v>
      </c>
      <c r="AC100" s="16" t="s">
        <v>38</v>
      </c>
      <c r="AD100" s="17">
        <v>0</v>
      </c>
    </row>
    <row r="101" spans="1:30" ht="15.65" thickBot="1">
      <c r="A101" s="12"/>
      <c r="B101" s="20"/>
      <c r="C101" s="21"/>
      <c r="D101" s="22"/>
      <c r="E101" s="23"/>
      <c r="F101" s="13"/>
      <c r="G101" s="22"/>
      <c r="H101" s="23"/>
      <c r="I101" s="67"/>
      <c r="J101" s="20"/>
      <c r="K101" s="22"/>
      <c r="L101" s="23"/>
      <c r="M101" s="20"/>
      <c r="N101" s="22"/>
      <c r="O101" s="23"/>
      <c r="P101" s="24"/>
      <c r="Q101" s="20"/>
      <c r="R101" s="20"/>
      <c r="S101" s="23"/>
      <c r="T101" s="20"/>
      <c r="U101" s="61"/>
      <c r="V101" s="23"/>
      <c r="W101" s="67"/>
      <c r="X101" s="21"/>
      <c r="Y101" s="22"/>
      <c r="Z101" s="23"/>
      <c r="AA101" s="13"/>
      <c r="AB101" s="22"/>
      <c r="AC101" s="23"/>
      <c r="AD101" s="24"/>
    </row>
    <row r="102" spans="1:30" ht="16.899999999999999" thickBot="1">
      <c r="A102" s="6">
        <v>15</v>
      </c>
      <c r="B102" s="7" t="s">
        <v>55</v>
      </c>
      <c r="C102" s="8">
        <v>323.77999999999997</v>
      </c>
      <c r="D102" s="8">
        <v>353.04</v>
      </c>
      <c r="E102" s="9">
        <v>9.0299999999999994</v>
      </c>
      <c r="F102" s="8">
        <v>1483.27</v>
      </c>
      <c r="G102" s="8">
        <v>2040.78</v>
      </c>
      <c r="H102" s="9">
        <v>37.590000000000003</v>
      </c>
      <c r="I102" s="65">
        <v>1.62</v>
      </c>
      <c r="J102" s="11">
        <v>28052</v>
      </c>
      <c r="K102" s="11">
        <v>32534</v>
      </c>
      <c r="L102" s="9">
        <v>15.98</v>
      </c>
      <c r="M102" s="11">
        <v>118117</v>
      </c>
      <c r="N102" s="11">
        <v>131025</v>
      </c>
      <c r="O102" s="9">
        <v>10.93</v>
      </c>
      <c r="P102" s="10">
        <v>1.1200000000000001</v>
      </c>
      <c r="Q102" s="11">
        <v>1032601</v>
      </c>
      <c r="R102" s="11">
        <v>1097695</v>
      </c>
      <c r="S102" s="9">
        <v>6.3</v>
      </c>
      <c r="T102" s="11">
        <v>5883823</v>
      </c>
      <c r="U102" s="59">
        <v>7336907</v>
      </c>
      <c r="V102" s="9">
        <v>24.7</v>
      </c>
      <c r="W102" s="65">
        <v>7.43</v>
      </c>
      <c r="X102" s="8">
        <v>15426.13</v>
      </c>
      <c r="Y102" s="8">
        <v>14600.62</v>
      </c>
      <c r="Z102" s="9">
        <v>-5.35</v>
      </c>
      <c r="AA102" s="8">
        <v>88357.09</v>
      </c>
      <c r="AB102" s="8">
        <v>88284.81</v>
      </c>
      <c r="AC102" s="9">
        <v>-0.08</v>
      </c>
      <c r="AD102" s="10">
        <v>4.08</v>
      </c>
    </row>
    <row r="103" spans="1:30" ht="15.65" thickBot="1">
      <c r="A103" s="12"/>
      <c r="B103" s="13" t="s">
        <v>37</v>
      </c>
      <c r="C103" s="18">
        <v>31.66</v>
      </c>
      <c r="D103" s="15">
        <v>68</v>
      </c>
      <c r="E103" s="16">
        <v>114.76</v>
      </c>
      <c r="F103" s="19">
        <v>145.97999999999999</v>
      </c>
      <c r="G103" s="15">
        <v>256.29000000000002</v>
      </c>
      <c r="H103" s="16">
        <v>75.569999999999993</v>
      </c>
      <c r="I103" s="66">
        <v>1.45</v>
      </c>
      <c r="J103" s="14">
        <v>4932</v>
      </c>
      <c r="K103" s="15">
        <v>6436</v>
      </c>
      <c r="L103" s="16">
        <v>30.49</v>
      </c>
      <c r="M103" s="14">
        <v>18795</v>
      </c>
      <c r="N103" s="15">
        <v>21619</v>
      </c>
      <c r="O103" s="16">
        <v>15.03</v>
      </c>
      <c r="P103" s="17">
        <v>3.86</v>
      </c>
      <c r="Q103" s="14">
        <v>0</v>
      </c>
      <c r="R103" s="14">
        <v>0</v>
      </c>
      <c r="S103" s="16" t="s">
        <v>38</v>
      </c>
      <c r="T103" s="14">
        <v>0</v>
      </c>
      <c r="U103" s="60">
        <v>0</v>
      </c>
      <c r="V103" s="16" t="s">
        <v>38</v>
      </c>
      <c r="W103" s="66" t="s">
        <v>38</v>
      </c>
      <c r="X103" s="18">
        <v>309.12</v>
      </c>
      <c r="Y103" s="15">
        <v>437.5</v>
      </c>
      <c r="Z103" s="16">
        <v>41.53</v>
      </c>
      <c r="AA103" s="19">
        <v>1416.63</v>
      </c>
      <c r="AB103" s="15">
        <v>1778.59</v>
      </c>
      <c r="AC103" s="16">
        <v>25.55</v>
      </c>
      <c r="AD103" s="17">
        <v>14.62</v>
      </c>
    </row>
    <row r="104" spans="1:30" ht="15.65" thickBot="1">
      <c r="A104" s="12"/>
      <c r="B104" s="13" t="s">
        <v>39</v>
      </c>
      <c r="C104" s="14">
        <v>117.58</v>
      </c>
      <c r="D104" s="15">
        <v>139.59</v>
      </c>
      <c r="E104" s="16">
        <v>18.71</v>
      </c>
      <c r="F104" s="14">
        <v>507.76</v>
      </c>
      <c r="G104" s="15">
        <v>562.35</v>
      </c>
      <c r="H104" s="16">
        <v>10.75</v>
      </c>
      <c r="I104" s="66">
        <v>1.95</v>
      </c>
      <c r="J104" s="14">
        <v>23053</v>
      </c>
      <c r="K104" s="15">
        <v>26045</v>
      </c>
      <c r="L104" s="16">
        <v>12.98</v>
      </c>
      <c r="M104" s="14">
        <v>98924</v>
      </c>
      <c r="N104" s="15">
        <v>108989</v>
      </c>
      <c r="O104" s="16">
        <v>10.17</v>
      </c>
      <c r="P104" s="17">
        <v>0.98</v>
      </c>
      <c r="Q104" s="14">
        <v>0</v>
      </c>
      <c r="R104" s="14">
        <v>0</v>
      </c>
      <c r="S104" s="16" t="s">
        <v>38</v>
      </c>
      <c r="T104" s="14">
        <v>0</v>
      </c>
      <c r="U104" s="60">
        <v>0</v>
      </c>
      <c r="V104" s="16" t="s">
        <v>38</v>
      </c>
      <c r="W104" s="66" t="s">
        <v>38</v>
      </c>
      <c r="X104" s="14">
        <v>3572.06</v>
      </c>
      <c r="Y104" s="15">
        <v>4641.22</v>
      </c>
      <c r="Z104" s="16">
        <v>29.93</v>
      </c>
      <c r="AA104" s="14">
        <v>17344.939999999999</v>
      </c>
      <c r="AB104" s="15">
        <v>19728.36</v>
      </c>
      <c r="AC104" s="16">
        <v>13.74</v>
      </c>
      <c r="AD104" s="17">
        <v>2.5</v>
      </c>
    </row>
    <row r="105" spans="1:30" ht="15.65" thickBot="1">
      <c r="A105" s="12"/>
      <c r="B105" s="13" t="s">
        <v>40</v>
      </c>
      <c r="C105" s="15">
        <v>74.63</v>
      </c>
      <c r="D105" s="15">
        <v>83.99</v>
      </c>
      <c r="E105" s="16">
        <v>12.53</v>
      </c>
      <c r="F105" s="14">
        <v>440.94</v>
      </c>
      <c r="G105" s="15">
        <v>558.51</v>
      </c>
      <c r="H105" s="16">
        <v>26.66</v>
      </c>
      <c r="I105" s="66">
        <v>0.99</v>
      </c>
      <c r="J105" s="14">
        <v>12</v>
      </c>
      <c r="K105" s="15">
        <v>14</v>
      </c>
      <c r="L105" s="16">
        <v>16.670000000000002</v>
      </c>
      <c r="M105" s="14">
        <v>60</v>
      </c>
      <c r="N105" s="15">
        <v>103</v>
      </c>
      <c r="O105" s="16">
        <v>71.67</v>
      </c>
      <c r="P105" s="17">
        <v>9.1199999999999992</v>
      </c>
      <c r="Q105" s="14">
        <v>866214</v>
      </c>
      <c r="R105" s="14">
        <v>1028077</v>
      </c>
      <c r="S105" s="16">
        <v>18.690000000000001</v>
      </c>
      <c r="T105" s="14">
        <v>4633649</v>
      </c>
      <c r="U105" s="60">
        <v>6635831</v>
      </c>
      <c r="V105" s="16">
        <v>43.21</v>
      </c>
      <c r="W105" s="66">
        <v>11.82</v>
      </c>
      <c r="X105" s="15">
        <v>6441.42</v>
      </c>
      <c r="Y105" s="15">
        <v>7376.48</v>
      </c>
      <c r="Z105" s="16">
        <v>14.52</v>
      </c>
      <c r="AA105" s="14">
        <v>38072.15</v>
      </c>
      <c r="AB105" s="15">
        <v>45891.53</v>
      </c>
      <c r="AC105" s="16">
        <v>20.54</v>
      </c>
      <c r="AD105" s="17">
        <v>9.5</v>
      </c>
    </row>
    <row r="106" spans="1:30" ht="15.65" thickBot="1">
      <c r="A106" s="12"/>
      <c r="B106" s="13" t="s">
        <v>41</v>
      </c>
      <c r="C106" s="15">
        <v>1.07</v>
      </c>
      <c r="D106" s="15">
        <v>0.19</v>
      </c>
      <c r="E106" s="16">
        <v>-82.51</v>
      </c>
      <c r="F106" s="14">
        <v>11.8</v>
      </c>
      <c r="G106" s="15">
        <v>3.44</v>
      </c>
      <c r="H106" s="16">
        <v>-70.849999999999994</v>
      </c>
      <c r="I106" s="66">
        <v>0.02</v>
      </c>
      <c r="J106" s="14">
        <v>7</v>
      </c>
      <c r="K106" s="15">
        <v>2</v>
      </c>
      <c r="L106" s="16">
        <v>-71.430000000000007</v>
      </c>
      <c r="M106" s="14">
        <v>29</v>
      </c>
      <c r="N106" s="15">
        <v>17</v>
      </c>
      <c r="O106" s="16">
        <v>-41.38</v>
      </c>
      <c r="P106" s="17">
        <v>1.23</v>
      </c>
      <c r="Q106" s="14">
        <v>68878</v>
      </c>
      <c r="R106" s="14">
        <v>10359</v>
      </c>
      <c r="S106" s="16">
        <v>-84.96</v>
      </c>
      <c r="T106" s="14">
        <v>636817</v>
      </c>
      <c r="U106" s="60">
        <v>204614</v>
      </c>
      <c r="V106" s="16">
        <v>-67.87</v>
      </c>
      <c r="W106" s="66">
        <v>5.14</v>
      </c>
      <c r="X106" s="15">
        <v>215.15</v>
      </c>
      <c r="Y106" s="15">
        <v>60.57</v>
      </c>
      <c r="Z106" s="16">
        <v>-71.849999999999994</v>
      </c>
      <c r="AA106" s="14">
        <v>2962.4</v>
      </c>
      <c r="AB106" s="15">
        <v>924.9</v>
      </c>
      <c r="AC106" s="16">
        <v>-68.78</v>
      </c>
      <c r="AD106" s="17">
        <v>1.66</v>
      </c>
    </row>
    <row r="107" spans="1:30" ht="15.65" thickBot="1">
      <c r="A107" s="12"/>
      <c r="B107" s="20" t="s">
        <v>42</v>
      </c>
      <c r="C107" s="14">
        <v>98.83</v>
      </c>
      <c r="D107" s="15">
        <v>61.27</v>
      </c>
      <c r="E107" s="16">
        <v>-38</v>
      </c>
      <c r="F107" s="14">
        <v>376.8</v>
      </c>
      <c r="G107" s="15">
        <v>660.18</v>
      </c>
      <c r="H107" s="16">
        <v>75.209999999999994</v>
      </c>
      <c r="I107" s="66">
        <v>24.42</v>
      </c>
      <c r="J107" s="14">
        <v>48</v>
      </c>
      <c r="K107" s="15">
        <v>37</v>
      </c>
      <c r="L107" s="16">
        <v>-22.92</v>
      </c>
      <c r="M107" s="14">
        <v>309</v>
      </c>
      <c r="N107" s="15">
        <v>297</v>
      </c>
      <c r="O107" s="16">
        <v>-3.88</v>
      </c>
      <c r="P107" s="17">
        <v>2.1</v>
      </c>
      <c r="Q107" s="14">
        <v>97509</v>
      </c>
      <c r="R107" s="14">
        <v>59259</v>
      </c>
      <c r="S107" s="16">
        <v>-39.229999999999997</v>
      </c>
      <c r="T107" s="14">
        <v>613357</v>
      </c>
      <c r="U107" s="60">
        <v>496462</v>
      </c>
      <c r="V107" s="16">
        <v>-19.059999999999999</v>
      </c>
      <c r="W107" s="66">
        <v>1.28</v>
      </c>
      <c r="X107" s="14">
        <v>4888.3900000000003</v>
      </c>
      <c r="Y107" s="15">
        <v>2084.85</v>
      </c>
      <c r="Z107" s="16">
        <v>-57.35</v>
      </c>
      <c r="AA107" s="14">
        <v>28560.959999999999</v>
      </c>
      <c r="AB107" s="15">
        <v>19961.43</v>
      </c>
      <c r="AC107" s="16">
        <v>-30.11</v>
      </c>
      <c r="AD107" s="17">
        <v>2.42</v>
      </c>
    </row>
    <row r="108" spans="1:30" ht="15.65" thickBot="1">
      <c r="A108" s="12"/>
      <c r="B108" s="20"/>
      <c r="C108" s="14"/>
      <c r="D108" s="22"/>
      <c r="E108" s="23"/>
      <c r="F108" s="14"/>
      <c r="G108" s="22"/>
      <c r="H108" s="23"/>
      <c r="I108" s="67"/>
      <c r="J108" s="14"/>
      <c r="K108" s="22"/>
      <c r="L108" s="23"/>
      <c r="M108" s="14"/>
      <c r="N108" s="22"/>
      <c r="O108" s="23"/>
      <c r="P108" s="24"/>
      <c r="Q108" s="14"/>
      <c r="R108" s="20"/>
      <c r="S108" s="23"/>
      <c r="T108" s="14"/>
      <c r="U108" s="61"/>
      <c r="V108" s="23"/>
      <c r="W108" s="67"/>
      <c r="X108" s="14"/>
      <c r="Y108" s="22"/>
      <c r="Z108" s="23"/>
      <c r="AA108" s="14"/>
      <c r="AB108" s="22"/>
      <c r="AC108" s="23"/>
      <c r="AD108" s="24"/>
    </row>
    <row r="109" spans="1:30" ht="16.899999999999999" thickBot="1">
      <c r="A109" s="6">
        <v>16</v>
      </c>
      <c r="B109" s="7" t="s">
        <v>56</v>
      </c>
      <c r="C109" s="8">
        <v>463.49</v>
      </c>
      <c r="D109" s="8">
        <v>495.67</v>
      </c>
      <c r="E109" s="9">
        <v>6.94</v>
      </c>
      <c r="F109" s="8">
        <v>1907.08</v>
      </c>
      <c r="G109" s="8">
        <v>2289.16</v>
      </c>
      <c r="H109" s="9">
        <v>20.03</v>
      </c>
      <c r="I109" s="65">
        <v>1.82</v>
      </c>
      <c r="J109" s="11">
        <v>63737</v>
      </c>
      <c r="K109" s="11">
        <v>52839</v>
      </c>
      <c r="L109" s="9">
        <v>-17.100000000000001</v>
      </c>
      <c r="M109" s="11">
        <v>258188</v>
      </c>
      <c r="N109" s="11">
        <v>264759</v>
      </c>
      <c r="O109" s="9">
        <v>2.5499999999999998</v>
      </c>
      <c r="P109" s="10">
        <v>2.27</v>
      </c>
      <c r="Q109" s="11">
        <v>288331</v>
      </c>
      <c r="R109" s="11">
        <v>434363</v>
      </c>
      <c r="S109" s="9">
        <v>50.65</v>
      </c>
      <c r="T109" s="11">
        <v>1741786</v>
      </c>
      <c r="U109" s="59">
        <v>2608395</v>
      </c>
      <c r="V109" s="9">
        <v>49.75</v>
      </c>
      <c r="W109" s="65">
        <v>2.64</v>
      </c>
      <c r="X109" s="8">
        <v>21056.91</v>
      </c>
      <c r="Y109" s="8">
        <v>27892.83</v>
      </c>
      <c r="Z109" s="9">
        <v>32.46</v>
      </c>
      <c r="AA109" s="8">
        <v>117502.97</v>
      </c>
      <c r="AB109" s="8">
        <v>133001.32999999999</v>
      </c>
      <c r="AC109" s="9">
        <v>13.19</v>
      </c>
      <c r="AD109" s="10">
        <v>6.14</v>
      </c>
    </row>
    <row r="110" spans="1:30" ht="15.65" thickBot="1">
      <c r="A110" s="12"/>
      <c r="B110" s="13" t="s">
        <v>37</v>
      </c>
      <c r="C110" s="14">
        <v>80.540000000000006</v>
      </c>
      <c r="D110" s="15">
        <v>103.12</v>
      </c>
      <c r="E110" s="16">
        <v>28.04</v>
      </c>
      <c r="F110" s="14">
        <v>382.39</v>
      </c>
      <c r="G110" s="15">
        <v>461.51</v>
      </c>
      <c r="H110" s="16">
        <v>20.69</v>
      </c>
      <c r="I110" s="66">
        <v>2.61</v>
      </c>
      <c r="J110" s="14">
        <v>105</v>
      </c>
      <c r="K110" s="15">
        <v>175</v>
      </c>
      <c r="L110" s="16">
        <v>66.67</v>
      </c>
      <c r="M110" s="14">
        <v>464</v>
      </c>
      <c r="N110" s="15">
        <v>764</v>
      </c>
      <c r="O110" s="16">
        <v>64.66</v>
      </c>
      <c r="P110" s="17">
        <v>0.14000000000000001</v>
      </c>
      <c r="Q110" s="14">
        <v>0</v>
      </c>
      <c r="R110" s="14">
        <v>0</v>
      </c>
      <c r="S110" s="16" t="s">
        <v>38</v>
      </c>
      <c r="T110" s="14">
        <v>0</v>
      </c>
      <c r="U110" s="60">
        <v>0</v>
      </c>
      <c r="V110" s="16" t="s">
        <v>38</v>
      </c>
      <c r="W110" s="66" t="s">
        <v>38</v>
      </c>
      <c r="X110" s="14">
        <v>211.58</v>
      </c>
      <c r="Y110" s="15">
        <v>236.34</v>
      </c>
      <c r="Z110" s="16">
        <v>11.7</v>
      </c>
      <c r="AA110" s="14">
        <v>1015.23</v>
      </c>
      <c r="AB110" s="15">
        <v>1111.78</v>
      </c>
      <c r="AC110" s="16">
        <v>9.51</v>
      </c>
      <c r="AD110" s="17">
        <v>9.14</v>
      </c>
    </row>
    <row r="111" spans="1:30" ht="15.65" thickBot="1">
      <c r="A111" s="12"/>
      <c r="B111" s="13" t="s">
        <v>39</v>
      </c>
      <c r="C111" s="15">
        <v>348.06</v>
      </c>
      <c r="D111" s="15">
        <v>353.64</v>
      </c>
      <c r="E111" s="16">
        <v>1.6</v>
      </c>
      <c r="F111" s="14">
        <v>1339.92</v>
      </c>
      <c r="G111" s="15">
        <v>1644.85</v>
      </c>
      <c r="H111" s="16">
        <v>22.76</v>
      </c>
      <c r="I111" s="66">
        <v>5.69</v>
      </c>
      <c r="J111" s="14">
        <v>63594</v>
      </c>
      <c r="K111" s="15">
        <v>52592</v>
      </c>
      <c r="L111" s="16">
        <v>-17.3</v>
      </c>
      <c r="M111" s="14">
        <v>257265</v>
      </c>
      <c r="N111" s="15">
        <v>263454</v>
      </c>
      <c r="O111" s="16">
        <v>2.41</v>
      </c>
      <c r="P111" s="17">
        <v>2.37</v>
      </c>
      <c r="Q111" s="14">
        <v>0</v>
      </c>
      <c r="R111" s="14">
        <v>0</v>
      </c>
      <c r="S111" s="16" t="s">
        <v>38</v>
      </c>
      <c r="T111" s="14">
        <v>0</v>
      </c>
      <c r="U111" s="60">
        <v>0</v>
      </c>
      <c r="V111" s="16" t="s">
        <v>38</v>
      </c>
      <c r="W111" s="66" t="s">
        <v>38</v>
      </c>
      <c r="X111" s="15">
        <v>15246.99</v>
      </c>
      <c r="Y111" s="15">
        <v>14256.8</v>
      </c>
      <c r="Z111" s="16">
        <v>-6.49</v>
      </c>
      <c r="AA111" s="14">
        <v>72338.64</v>
      </c>
      <c r="AB111" s="15">
        <v>77544.92</v>
      </c>
      <c r="AC111" s="16">
        <v>7.2</v>
      </c>
      <c r="AD111" s="17">
        <v>9.84</v>
      </c>
    </row>
    <row r="112" spans="1:30" ht="15.65" thickBot="1">
      <c r="A112" s="27"/>
      <c r="B112" s="20" t="s">
        <v>40</v>
      </c>
      <c r="C112" s="15">
        <v>30.19</v>
      </c>
      <c r="D112" s="15">
        <v>25.93</v>
      </c>
      <c r="E112" s="16">
        <v>-14.12</v>
      </c>
      <c r="F112" s="14">
        <v>143.93</v>
      </c>
      <c r="G112" s="15">
        <v>130.72</v>
      </c>
      <c r="H112" s="16">
        <v>-9.18</v>
      </c>
      <c r="I112" s="66">
        <v>0.23</v>
      </c>
      <c r="J112" s="14">
        <v>4</v>
      </c>
      <c r="K112" s="15">
        <v>6</v>
      </c>
      <c r="L112" s="16">
        <v>50</v>
      </c>
      <c r="M112" s="14">
        <v>67</v>
      </c>
      <c r="N112" s="15">
        <v>90</v>
      </c>
      <c r="O112" s="16">
        <v>34.33</v>
      </c>
      <c r="P112" s="17">
        <v>7.97</v>
      </c>
      <c r="Q112" s="14">
        <v>13939</v>
      </c>
      <c r="R112" s="14">
        <v>12662</v>
      </c>
      <c r="S112" s="16">
        <v>-9.16</v>
      </c>
      <c r="T112" s="14">
        <v>75989</v>
      </c>
      <c r="U112" s="60">
        <v>60355</v>
      </c>
      <c r="V112" s="16">
        <v>-20.57</v>
      </c>
      <c r="W112" s="66">
        <v>0.11</v>
      </c>
      <c r="X112" s="15">
        <v>1763.02</v>
      </c>
      <c r="Y112" s="15">
        <v>1427.81</v>
      </c>
      <c r="Z112" s="16">
        <v>-19.010000000000002</v>
      </c>
      <c r="AA112" s="14">
        <v>8732.15</v>
      </c>
      <c r="AB112" s="15">
        <v>7550.78</v>
      </c>
      <c r="AC112" s="16">
        <v>-13.53</v>
      </c>
      <c r="AD112" s="17">
        <v>1.56</v>
      </c>
    </row>
    <row r="113" spans="1:30" ht="15.65" thickBot="1">
      <c r="A113" s="12"/>
      <c r="B113" s="13" t="s">
        <v>41</v>
      </c>
      <c r="C113" s="15">
        <v>0</v>
      </c>
      <c r="D113" s="15">
        <v>0</v>
      </c>
      <c r="E113" s="16" t="s">
        <v>38</v>
      </c>
      <c r="F113" s="14">
        <v>0</v>
      </c>
      <c r="G113" s="15">
        <v>0</v>
      </c>
      <c r="H113" s="16" t="s">
        <v>38</v>
      </c>
      <c r="I113" s="66">
        <v>0</v>
      </c>
      <c r="J113" s="14">
        <v>0</v>
      </c>
      <c r="K113" s="15">
        <v>0</v>
      </c>
      <c r="L113" s="16" t="s">
        <v>38</v>
      </c>
      <c r="M113" s="14">
        <v>0</v>
      </c>
      <c r="N113" s="15">
        <v>0</v>
      </c>
      <c r="O113" s="16" t="s">
        <v>38</v>
      </c>
      <c r="P113" s="17">
        <v>0</v>
      </c>
      <c r="Q113" s="14">
        <v>0</v>
      </c>
      <c r="R113" s="14">
        <v>0</v>
      </c>
      <c r="S113" s="16" t="s">
        <v>38</v>
      </c>
      <c r="T113" s="14">
        <v>0</v>
      </c>
      <c r="U113" s="60">
        <v>0</v>
      </c>
      <c r="V113" s="16" t="s">
        <v>38</v>
      </c>
      <c r="W113" s="66">
        <v>0</v>
      </c>
      <c r="X113" s="15">
        <v>0</v>
      </c>
      <c r="Y113" s="15">
        <v>0</v>
      </c>
      <c r="Z113" s="16" t="s">
        <v>38</v>
      </c>
      <c r="AA113" s="14">
        <v>0</v>
      </c>
      <c r="AB113" s="15">
        <v>0</v>
      </c>
      <c r="AC113" s="16" t="s">
        <v>38</v>
      </c>
      <c r="AD113" s="17">
        <v>0</v>
      </c>
    </row>
    <row r="114" spans="1:30" ht="15.65" thickBot="1">
      <c r="A114" s="12"/>
      <c r="B114" s="20" t="s">
        <v>42</v>
      </c>
      <c r="C114" s="15">
        <v>4.6900000000000004</v>
      </c>
      <c r="D114" s="15">
        <v>12.97</v>
      </c>
      <c r="E114" s="16">
        <v>176.29</v>
      </c>
      <c r="F114" s="14">
        <v>40.85</v>
      </c>
      <c r="G114" s="15">
        <v>52.08</v>
      </c>
      <c r="H114" s="16">
        <v>27.5</v>
      </c>
      <c r="I114" s="66">
        <v>1.93</v>
      </c>
      <c r="J114" s="14">
        <v>34</v>
      </c>
      <c r="K114" s="15">
        <v>66</v>
      </c>
      <c r="L114" s="16">
        <v>94.12</v>
      </c>
      <c r="M114" s="14">
        <v>392</v>
      </c>
      <c r="N114" s="15">
        <v>451</v>
      </c>
      <c r="O114" s="16">
        <v>15.05</v>
      </c>
      <c r="P114" s="17">
        <v>3.19</v>
      </c>
      <c r="Q114" s="14">
        <v>274392</v>
      </c>
      <c r="R114" s="14">
        <v>421701</v>
      </c>
      <c r="S114" s="16">
        <v>53.69</v>
      </c>
      <c r="T114" s="14">
        <v>1665797</v>
      </c>
      <c r="U114" s="60">
        <v>2548040</v>
      </c>
      <c r="V114" s="16">
        <v>52.96</v>
      </c>
      <c r="W114" s="66">
        <v>6.59</v>
      </c>
      <c r="X114" s="15">
        <v>3835.31</v>
      </c>
      <c r="Y114" s="15">
        <v>11971.88</v>
      </c>
      <c r="Z114" s="16">
        <v>212.15</v>
      </c>
      <c r="AA114" s="14">
        <v>35416.94</v>
      </c>
      <c r="AB114" s="15">
        <v>46793.85</v>
      </c>
      <c r="AC114" s="16">
        <v>32.119999999999997</v>
      </c>
      <c r="AD114" s="17">
        <v>5.66</v>
      </c>
    </row>
    <row r="115" spans="1:30" ht="15.65" thickBot="1">
      <c r="A115" s="12"/>
      <c r="B115" s="20"/>
      <c r="C115" s="22"/>
      <c r="D115" s="22"/>
      <c r="E115" s="23"/>
      <c r="F115" s="20"/>
      <c r="G115" s="22"/>
      <c r="H115" s="23"/>
      <c r="I115" s="67"/>
      <c r="J115" s="20"/>
      <c r="K115" s="22"/>
      <c r="L115" s="23"/>
      <c r="M115" s="20"/>
      <c r="N115" s="22"/>
      <c r="O115" s="23"/>
      <c r="P115" s="24"/>
      <c r="Q115" s="20"/>
      <c r="R115" s="20"/>
      <c r="S115" s="23"/>
      <c r="T115" s="20"/>
      <c r="U115" s="61"/>
      <c r="V115" s="23"/>
      <c r="W115" s="67"/>
      <c r="X115" s="22"/>
      <c r="Y115" s="22"/>
      <c r="Z115" s="23"/>
      <c r="AA115" s="20"/>
      <c r="AB115" s="22"/>
      <c r="AC115" s="23"/>
      <c r="AD115" s="24"/>
    </row>
    <row r="116" spans="1:30" ht="16.899999999999999" thickBot="1">
      <c r="A116" s="6">
        <v>17</v>
      </c>
      <c r="B116" s="7" t="s">
        <v>57</v>
      </c>
      <c r="C116" s="8">
        <v>142.68</v>
      </c>
      <c r="D116" s="8">
        <v>154.76</v>
      </c>
      <c r="E116" s="9">
        <v>8.4600000000000009</v>
      </c>
      <c r="F116" s="8">
        <v>638.12</v>
      </c>
      <c r="G116" s="8">
        <v>771.24</v>
      </c>
      <c r="H116" s="9">
        <v>20.86</v>
      </c>
      <c r="I116" s="65">
        <v>0.61</v>
      </c>
      <c r="J116" s="11">
        <v>19068</v>
      </c>
      <c r="K116" s="11">
        <v>15750</v>
      </c>
      <c r="L116" s="9">
        <v>-17.399999999999999</v>
      </c>
      <c r="M116" s="11">
        <v>88606</v>
      </c>
      <c r="N116" s="11">
        <v>89170</v>
      </c>
      <c r="O116" s="9">
        <v>0.64</v>
      </c>
      <c r="P116" s="10">
        <v>0.76</v>
      </c>
      <c r="Q116" s="11">
        <v>70792</v>
      </c>
      <c r="R116" s="11">
        <v>337761</v>
      </c>
      <c r="S116" s="9">
        <v>377.12</v>
      </c>
      <c r="T116" s="11">
        <v>454390</v>
      </c>
      <c r="U116" s="59">
        <v>1708569</v>
      </c>
      <c r="V116" s="9">
        <v>276.01</v>
      </c>
      <c r="W116" s="65">
        <v>1.73</v>
      </c>
      <c r="X116" s="8">
        <v>15241.38</v>
      </c>
      <c r="Y116" s="8">
        <v>14295.33</v>
      </c>
      <c r="Z116" s="9">
        <v>-6.21</v>
      </c>
      <c r="AA116" s="8">
        <v>62254.77</v>
      </c>
      <c r="AB116" s="8">
        <v>86135.45</v>
      </c>
      <c r="AC116" s="9">
        <v>38.36</v>
      </c>
      <c r="AD116" s="10">
        <v>3.98</v>
      </c>
    </row>
    <row r="117" spans="1:30" ht="15.65" thickBot="1">
      <c r="A117" s="12"/>
      <c r="B117" s="13" t="s">
        <v>37</v>
      </c>
      <c r="C117" s="15">
        <v>1.85</v>
      </c>
      <c r="D117" s="15">
        <v>1.73</v>
      </c>
      <c r="E117" s="16">
        <v>-6.72</v>
      </c>
      <c r="F117" s="14">
        <v>12.48</v>
      </c>
      <c r="G117" s="15">
        <v>8.02</v>
      </c>
      <c r="H117" s="16">
        <v>-35.76</v>
      </c>
      <c r="I117" s="66">
        <v>0.05</v>
      </c>
      <c r="J117" s="14">
        <v>78</v>
      </c>
      <c r="K117" s="15">
        <v>40</v>
      </c>
      <c r="L117" s="16">
        <v>-48.72</v>
      </c>
      <c r="M117" s="14">
        <v>492</v>
      </c>
      <c r="N117" s="15">
        <v>253</v>
      </c>
      <c r="O117" s="16">
        <v>-48.58</v>
      </c>
      <c r="P117" s="17">
        <v>0.05</v>
      </c>
      <c r="Q117" s="14">
        <v>0</v>
      </c>
      <c r="R117" s="14">
        <v>0</v>
      </c>
      <c r="S117" s="16" t="s">
        <v>38</v>
      </c>
      <c r="T117" s="14">
        <v>0</v>
      </c>
      <c r="U117" s="60">
        <v>0</v>
      </c>
      <c r="V117" s="16" t="s">
        <v>38</v>
      </c>
      <c r="W117" s="66" t="s">
        <v>38</v>
      </c>
      <c r="X117" s="15">
        <v>4.55</v>
      </c>
      <c r="Y117" s="15">
        <v>2.5</v>
      </c>
      <c r="Z117" s="16">
        <v>-45.09</v>
      </c>
      <c r="AA117" s="14">
        <v>29.69</v>
      </c>
      <c r="AB117" s="15">
        <v>9.98</v>
      </c>
      <c r="AC117" s="16">
        <v>-66.38</v>
      </c>
      <c r="AD117" s="17">
        <v>0.08</v>
      </c>
    </row>
    <row r="118" spans="1:30" ht="15.65" thickBot="1">
      <c r="A118" s="12"/>
      <c r="B118" s="13" t="s">
        <v>39</v>
      </c>
      <c r="C118" s="14">
        <v>119.1</v>
      </c>
      <c r="D118" s="15">
        <v>108.01</v>
      </c>
      <c r="E118" s="16">
        <v>-9.31</v>
      </c>
      <c r="F118" s="14">
        <v>535.87</v>
      </c>
      <c r="G118" s="15">
        <v>565.86</v>
      </c>
      <c r="H118" s="16">
        <v>5.6</v>
      </c>
      <c r="I118" s="66">
        <v>1.96</v>
      </c>
      <c r="J118" s="14">
        <v>18971</v>
      </c>
      <c r="K118" s="15">
        <v>15697</v>
      </c>
      <c r="L118" s="16">
        <v>-17.260000000000002</v>
      </c>
      <c r="M118" s="14">
        <v>88022</v>
      </c>
      <c r="N118" s="15">
        <v>88817</v>
      </c>
      <c r="O118" s="16">
        <v>0.9</v>
      </c>
      <c r="P118" s="17">
        <v>0.8</v>
      </c>
      <c r="Q118" s="14">
        <v>0</v>
      </c>
      <c r="R118" s="14">
        <v>0</v>
      </c>
      <c r="S118" s="16" t="s">
        <v>38</v>
      </c>
      <c r="T118" s="14">
        <v>0</v>
      </c>
      <c r="U118" s="60">
        <v>0</v>
      </c>
      <c r="V118" s="16" t="s">
        <v>38</v>
      </c>
      <c r="W118" s="66" t="s">
        <v>38</v>
      </c>
      <c r="X118" s="14">
        <v>3032.94</v>
      </c>
      <c r="Y118" s="15">
        <v>3341.18</v>
      </c>
      <c r="Z118" s="16">
        <v>10.16</v>
      </c>
      <c r="AA118" s="14">
        <v>15162.72</v>
      </c>
      <c r="AB118" s="15">
        <v>16216.32</v>
      </c>
      <c r="AC118" s="16">
        <v>6.95</v>
      </c>
      <c r="AD118" s="17">
        <v>2.06</v>
      </c>
    </row>
    <row r="119" spans="1:30" ht="15.65" thickBot="1">
      <c r="A119" s="12"/>
      <c r="B119" s="13" t="s">
        <v>40</v>
      </c>
      <c r="C119" s="18">
        <v>15.31</v>
      </c>
      <c r="D119" s="15">
        <v>39.840000000000003</v>
      </c>
      <c r="E119" s="16">
        <v>160.22999999999999</v>
      </c>
      <c r="F119" s="19">
        <v>67.62</v>
      </c>
      <c r="G119" s="15">
        <v>166.04</v>
      </c>
      <c r="H119" s="16">
        <v>145.54</v>
      </c>
      <c r="I119" s="66">
        <v>0.28999999999999998</v>
      </c>
      <c r="J119" s="14">
        <v>0</v>
      </c>
      <c r="K119" s="15">
        <v>0</v>
      </c>
      <c r="L119" s="16" t="s">
        <v>38</v>
      </c>
      <c r="M119" s="14">
        <v>0</v>
      </c>
      <c r="N119" s="15">
        <v>4</v>
      </c>
      <c r="O119" s="16" t="s">
        <v>38</v>
      </c>
      <c r="P119" s="17">
        <v>0.35</v>
      </c>
      <c r="Q119" s="14">
        <v>9152</v>
      </c>
      <c r="R119" s="14">
        <v>275067</v>
      </c>
      <c r="S119" s="16">
        <v>2905.54</v>
      </c>
      <c r="T119" s="14">
        <v>43585</v>
      </c>
      <c r="U119" s="60">
        <v>1052089</v>
      </c>
      <c r="V119" s="16">
        <v>2313.88</v>
      </c>
      <c r="W119" s="66">
        <v>1.87</v>
      </c>
      <c r="X119" s="18">
        <v>817.85</v>
      </c>
      <c r="Y119" s="15">
        <v>3472.66</v>
      </c>
      <c r="Z119" s="16">
        <v>324.61</v>
      </c>
      <c r="AA119" s="19">
        <v>3788.99</v>
      </c>
      <c r="AB119" s="15">
        <v>14036.79</v>
      </c>
      <c r="AC119" s="16">
        <v>270.45999999999998</v>
      </c>
      <c r="AD119" s="17">
        <v>2.91</v>
      </c>
    </row>
    <row r="120" spans="1:30" ht="15.65" thickBot="1">
      <c r="A120" s="12"/>
      <c r="B120" s="13" t="s">
        <v>41</v>
      </c>
      <c r="C120" s="18">
        <v>0.26</v>
      </c>
      <c r="D120" s="15">
        <v>0.05</v>
      </c>
      <c r="E120" s="16">
        <v>-82.18</v>
      </c>
      <c r="F120" s="19">
        <v>1.07</v>
      </c>
      <c r="G120" s="15">
        <v>0.22</v>
      </c>
      <c r="H120" s="16">
        <v>-78.959999999999994</v>
      </c>
      <c r="I120" s="66">
        <v>0</v>
      </c>
      <c r="J120" s="14">
        <v>19</v>
      </c>
      <c r="K120" s="15">
        <v>13</v>
      </c>
      <c r="L120" s="16">
        <v>-31.58</v>
      </c>
      <c r="M120" s="14">
        <v>92</v>
      </c>
      <c r="N120" s="15">
        <v>96</v>
      </c>
      <c r="O120" s="16">
        <v>4.3499999999999996</v>
      </c>
      <c r="P120" s="17">
        <v>6.96</v>
      </c>
      <c r="Q120" s="14">
        <v>39962</v>
      </c>
      <c r="R120" s="14">
        <v>52509</v>
      </c>
      <c r="S120" s="16">
        <v>31.4</v>
      </c>
      <c r="T120" s="14">
        <v>364206</v>
      </c>
      <c r="U120" s="60">
        <v>625285</v>
      </c>
      <c r="V120" s="16">
        <v>71.680000000000007</v>
      </c>
      <c r="W120" s="66">
        <v>15.72</v>
      </c>
      <c r="X120" s="18">
        <v>3100.08</v>
      </c>
      <c r="Y120" s="15">
        <v>4239.25</v>
      </c>
      <c r="Z120" s="16">
        <v>36.75</v>
      </c>
      <c r="AA120" s="19">
        <v>30552.85</v>
      </c>
      <c r="AB120" s="15">
        <v>46936.03</v>
      </c>
      <c r="AC120" s="16">
        <v>53.62</v>
      </c>
      <c r="AD120" s="17">
        <v>84.32</v>
      </c>
    </row>
    <row r="121" spans="1:30" ht="15.65" thickBot="1">
      <c r="A121" s="12"/>
      <c r="B121" s="20" t="s">
        <v>42</v>
      </c>
      <c r="C121" s="14">
        <v>6.17</v>
      </c>
      <c r="D121" s="15">
        <v>5.14</v>
      </c>
      <c r="E121" s="16">
        <v>-16.71</v>
      </c>
      <c r="F121" s="14">
        <v>21.08</v>
      </c>
      <c r="G121" s="15">
        <v>31.09</v>
      </c>
      <c r="H121" s="16">
        <v>47.52</v>
      </c>
      <c r="I121" s="66">
        <v>1.1499999999999999</v>
      </c>
      <c r="J121" s="14">
        <v>0</v>
      </c>
      <c r="K121" s="15">
        <v>0</v>
      </c>
      <c r="L121" s="16" t="s">
        <v>38</v>
      </c>
      <c r="M121" s="14">
        <v>0</v>
      </c>
      <c r="N121" s="15">
        <v>0</v>
      </c>
      <c r="O121" s="16" t="s">
        <v>38</v>
      </c>
      <c r="P121" s="17">
        <v>0</v>
      </c>
      <c r="Q121" s="14">
        <v>21678</v>
      </c>
      <c r="R121" s="14">
        <v>10185</v>
      </c>
      <c r="S121" s="16">
        <v>-53.02</v>
      </c>
      <c r="T121" s="14">
        <v>46599</v>
      </c>
      <c r="U121" s="60">
        <v>31195</v>
      </c>
      <c r="V121" s="16">
        <v>-33.06</v>
      </c>
      <c r="W121" s="66">
        <v>0.08</v>
      </c>
      <c r="X121" s="14">
        <v>8285.9599999999991</v>
      </c>
      <c r="Y121" s="15">
        <v>3239.74</v>
      </c>
      <c r="Z121" s="16">
        <v>-60.9</v>
      </c>
      <c r="AA121" s="14">
        <v>12720.52</v>
      </c>
      <c r="AB121" s="15">
        <v>8936.32</v>
      </c>
      <c r="AC121" s="16">
        <v>-29.75</v>
      </c>
      <c r="AD121" s="17">
        <v>1.08</v>
      </c>
    </row>
    <row r="122" spans="1:30" ht="15.65" thickBot="1">
      <c r="A122" s="12"/>
      <c r="B122" s="20"/>
      <c r="C122" s="20"/>
      <c r="D122" s="22"/>
      <c r="E122" s="23"/>
      <c r="F122" s="20"/>
      <c r="G122" s="22"/>
      <c r="H122" s="23"/>
      <c r="I122" s="67"/>
      <c r="J122" s="20"/>
      <c r="K122" s="22"/>
      <c r="L122" s="23"/>
      <c r="M122" s="20"/>
      <c r="N122" s="22"/>
      <c r="O122" s="23"/>
      <c r="P122" s="24"/>
      <c r="Q122" s="20"/>
      <c r="R122" s="20"/>
      <c r="S122" s="23"/>
      <c r="T122" s="20"/>
      <c r="U122" s="61"/>
      <c r="V122" s="23"/>
      <c r="W122" s="67"/>
      <c r="X122" s="20"/>
      <c r="Y122" s="22"/>
      <c r="Z122" s="23"/>
      <c r="AA122" s="20"/>
      <c r="AB122" s="22"/>
      <c r="AC122" s="23"/>
      <c r="AD122" s="24"/>
    </row>
    <row r="123" spans="1:30" ht="16.899999999999999" thickBot="1">
      <c r="A123" s="6">
        <v>18</v>
      </c>
      <c r="B123" s="7" t="s">
        <v>58</v>
      </c>
      <c r="C123" s="8">
        <v>105.46</v>
      </c>
      <c r="D123" s="8">
        <v>88.34</v>
      </c>
      <c r="E123" s="9">
        <v>-16.23</v>
      </c>
      <c r="F123" s="8">
        <v>462.43</v>
      </c>
      <c r="G123" s="8">
        <v>467.3</v>
      </c>
      <c r="H123" s="9">
        <v>1.05</v>
      </c>
      <c r="I123" s="65">
        <v>0.37</v>
      </c>
      <c r="J123" s="11">
        <v>20596</v>
      </c>
      <c r="K123" s="11">
        <v>17243</v>
      </c>
      <c r="L123" s="9">
        <v>-16.28</v>
      </c>
      <c r="M123" s="11">
        <v>102884</v>
      </c>
      <c r="N123" s="11">
        <v>102848</v>
      </c>
      <c r="O123" s="9">
        <v>-0.03</v>
      </c>
      <c r="P123" s="10">
        <v>0.88</v>
      </c>
      <c r="Q123" s="11">
        <v>1839437</v>
      </c>
      <c r="R123" s="11">
        <v>-71772</v>
      </c>
      <c r="S123" s="9">
        <v>-103.9</v>
      </c>
      <c r="T123" s="11">
        <v>2403958</v>
      </c>
      <c r="U123" s="59">
        <v>649031</v>
      </c>
      <c r="V123" s="9">
        <v>-73</v>
      </c>
      <c r="W123" s="65">
        <v>0.66</v>
      </c>
      <c r="X123" s="8">
        <v>10227.219999999999</v>
      </c>
      <c r="Y123" s="8">
        <v>731.56</v>
      </c>
      <c r="Z123" s="9">
        <v>-92.85</v>
      </c>
      <c r="AA123" s="8">
        <v>23001.99</v>
      </c>
      <c r="AB123" s="8">
        <v>11724.79</v>
      </c>
      <c r="AC123" s="9">
        <v>-49.03</v>
      </c>
      <c r="AD123" s="10">
        <v>0.54</v>
      </c>
    </row>
    <row r="124" spans="1:30" ht="15.65" thickBot="1">
      <c r="A124" s="12"/>
      <c r="B124" s="13" t="s">
        <v>37</v>
      </c>
      <c r="C124" s="18">
        <v>2.46</v>
      </c>
      <c r="D124" s="15">
        <v>4.7</v>
      </c>
      <c r="E124" s="16">
        <v>91.3</v>
      </c>
      <c r="F124" s="19">
        <v>14.56</v>
      </c>
      <c r="G124" s="15">
        <v>21.58</v>
      </c>
      <c r="H124" s="16">
        <v>48.19</v>
      </c>
      <c r="I124" s="66">
        <v>0.12</v>
      </c>
      <c r="J124" s="14">
        <v>140</v>
      </c>
      <c r="K124" s="15">
        <v>143</v>
      </c>
      <c r="L124" s="16">
        <v>2.14</v>
      </c>
      <c r="M124" s="14">
        <v>615</v>
      </c>
      <c r="N124" s="15">
        <v>732</v>
      </c>
      <c r="O124" s="16">
        <v>19.02</v>
      </c>
      <c r="P124" s="17">
        <v>0.13</v>
      </c>
      <c r="Q124" s="14">
        <v>0</v>
      </c>
      <c r="R124" s="14">
        <v>0</v>
      </c>
      <c r="S124" s="16" t="s">
        <v>38</v>
      </c>
      <c r="T124" s="14">
        <v>0</v>
      </c>
      <c r="U124" s="60">
        <v>0</v>
      </c>
      <c r="V124" s="16" t="s">
        <v>38</v>
      </c>
      <c r="W124" s="66" t="s">
        <v>38</v>
      </c>
      <c r="X124" s="18">
        <v>2.2000000000000002</v>
      </c>
      <c r="Y124" s="15">
        <v>2.8</v>
      </c>
      <c r="Z124" s="16">
        <v>27.31</v>
      </c>
      <c r="AA124" s="19">
        <v>15.05</v>
      </c>
      <c r="AB124" s="15">
        <v>13.54</v>
      </c>
      <c r="AC124" s="16">
        <v>-10.050000000000001</v>
      </c>
      <c r="AD124" s="17">
        <v>0.11</v>
      </c>
    </row>
    <row r="125" spans="1:30" ht="15.65" thickBot="1">
      <c r="A125" s="12"/>
      <c r="B125" s="13" t="s">
        <v>39</v>
      </c>
      <c r="C125" s="18">
        <v>85.72</v>
      </c>
      <c r="D125" s="15">
        <v>77.3</v>
      </c>
      <c r="E125" s="16">
        <v>-9.82</v>
      </c>
      <c r="F125" s="19">
        <v>391.05</v>
      </c>
      <c r="G125" s="15">
        <v>409.69</v>
      </c>
      <c r="H125" s="16">
        <v>4.7699999999999996</v>
      </c>
      <c r="I125" s="66">
        <v>1.42</v>
      </c>
      <c r="J125" s="14">
        <v>20442</v>
      </c>
      <c r="K125" s="15">
        <v>17092</v>
      </c>
      <c r="L125" s="16">
        <v>-16.39</v>
      </c>
      <c r="M125" s="14">
        <v>102228</v>
      </c>
      <c r="N125" s="15">
        <v>102085</v>
      </c>
      <c r="O125" s="16">
        <v>-0.14000000000000001</v>
      </c>
      <c r="P125" s="17">
        <v>0.92</v>
      </c>
      <c r="Q125" s="14">
        <v>0</v>
      </c>
      <c r="R125" s="14">
        <v>0</v>
      </c>
      <c r="S125" s="16" t="s">
        <v>38</v>
      </c>
      <c r="T125" s="14">
        <v>0</v>
      </c>
      <c r="U125" s="60">
        <v>0</v>
      </c>
      <c r="V125" s="16" t="s">
        <v>38</v>
      </c>
      <c r="W125" s="66" t="s">
        <v>38</v>
      </c>
      <c r="X125" s="18">
        <v>1123.43</v>
      </c>
      <c r="Y125" s="15">
        <v>1059.1500000000001</v>
      </c>
      <c r="Z125" s="16">
        <v>-5.72</v>
      </c>
      <c r="AA125" s="19">
        <v>5247.81</v>
      </c>
      <c r="AB125" s="15">
        <v>5974.71</v>
      </c>
      <c r="AC125" s="16">
        <v>13.85</v>
      </c>
      <c r="AD125" s="17">
        <v>0.76</v>
      </c>
    </row>
    <row r="126" spans="1:30" ht="15.65" thickBot="1">
      <c r="A126" s="12"/>
      <c r="B126" s="13" t="s">
        <v>40</v>
      </c>
      <c r="C126" s="18">
        <v>0.32</v>
      </c>
      <c r="D126" s="15">
        <v>0</v>
      </c>
      <c r="E126" s="16">
        <v>-100</v>
      </c>
      <c r="F126" s="19">
        <v>6.84</v>
      </c>
      <c r="G126" s="15">
        <v>0.71</v>
      </c>
      <c r="H126" s="16">
        <v>-89.56</v>
      </c>
      <c r="I126" s="66">
        <v>0</v>
      </c>
      <c r="J126" s="14">
        <v>0</v>
      </c>
      <c r="K126" s="15">
        <v>0</v>
      </c>
      <c r="L126" s="16" t="s">
        <v>38</v>
      </c>
      <c r="M126" s="14">
        <v>1</v>
      </c>
      <c r="N126" s="15">
        <v>0</v>
      </c>
      <c r="O126" s="16">
        <v>-100</v>
      </c>
      <c r="P126" s="17">
        <v>0</v>
      </c>
      <c r="Q126" s="14">
        <v>827</v>
      </c>
      <c r="R126" s="14">
        <v>-763</v>
      </c>
      <c r="S126" s="16">
        <v>-192.26</v>
      </c>
      <c r="T126" s="14">
        <v>2331</v>
      </c>
      <c r="U126" s="60">
        <v>-700</v>
      </c>
      <c r="V126" s="16">
        <v>-130.03</v>
      </c>
      <c r="W126" s="66">
        <v>0</v>
      </c>
      <c r="X126" s="18">
        <v>29.5</v>
      </c>
      <c r="Y126" s="15">
        <v>-91.24</v>
      </c>
      <c r="Z126" s="16">
        <v>-409.33</v>
      </c>
      <c r="AA126" s="19">
        <v>-17.95</v>
      </c>
      <c r="AB126" s="15">
        <v>-195.13</v>
      </c>
      <c r="AC126" s="16">
        <v>987.07</v>
      </c>
      <c r="AD126" s="17">
        <v>-0.04</v>
      </c>
    </row>
    <row r="127" spans="1:30" ht="15.65" thickBot="1">
      <c r="A127" s="12"/>
      <c r="B127" s="13" t="s">
        <v>41</v>
      </c>
      <c r="C127" s="14">
        <v>1.62</v>
      </c>
      <c r="D127" s="15">
        <v>6.4</v>
      </c>
      <c r="E127" s="16">
        <v>294.38</v>
      </c>
      <c r="F127" s="14">
        <v>27.21</v>
      </c>
      <c r="G127" s="15">
        <v>23.65</v>
      </c>
      <c r="H127" s="16">
        <v>-13.09</v>
      </c>
      <c r="I127" s="66">
        <v>0.12</v>
      </c>
      <c r="J127" s="14">
        <v>4</v>
      </c>
      <c r="K127" s="15">
        <v>4</v>
      </c>
      <c r="L127" s="16">
        <v>0</v>
      </c>
      <c r="M127" s="14">
        <v>10</v>
      </c>
      <c r="N127" s="15">
        <v>11</v>
      </c>
      <c r="O127" s="16">
        <v>10</v>
      </c>
      <c r="P127" s="17">
        <v>0.8</v>
      </c>
      <c r="Q127" s="14">
        <v>4677</v>
      </c>
      <c r="R127" s="14">
        <v>-646</v>
      </c>
      <c r="S127" s="16">
        <v>-113.81</v>
      </c>
      <c r="T127" s="14">
        <v>17284</v>
      </c>
      <c r="U127" s="60">
        <v>-4889</v>
      </c>
      <c r="V127" s="16">
        <v>-128.29</v>
      </c>
      <c r="W127" s="66">
        <v>-0.12</v>
      </c>
      <c r="X127" s="14">
        <v>16.98</v>
      </c>
      <c r="Y127" s="15">
        <v>12.96</v>
      </c>
      <c r="Z127" s="16">
        <v>-23.66</v>
      </c>
      <c r="AA127" s="14">
        <v>247.37</v>
      </c>
      <c r="AB127" s="15">
        <v>24.65</v>
      </c>
      <c r="AC127" s="16">
        <v>-90.03</v>
      </c>
      <c r="AD127" s="17">
        <v>0.04</v>
      </c>
    </row>
    <row r="128" spans="1:30" ht="15.65" thickBot="1">
      <c r="A128" s="12"/>
      <c r="B128" s="20" t="s">
        <v>42</v>
      </c>
      <c r="C128" s="18">
        <v>15.34</v>
      </c>
      <c r="D128" s="15">
        <v>-7.0000000000000007E-2</v>
      </c>
      <c r="E128" s="16">
        <v>-100.43</v>
      </c>
      <c r="F128" s="19">
        <v>22.77</v>
      </c>
      <c r="G128" s="15">
        <v>11.67</v>
      </c>
      <c r="H128" s="16">
        <v>-48.75</v>
      </c>
      <c r="I128" s="66">
        <v>0.43</v>
      </c>
      <c r="J128" s="14">
        <v>10</v>
      </c>
      <c r="K128" s="15">
        <v>4</v>
      </c>
      <c r="L128" s="16">
        <v>-60</v>
      </c>
      <c r="M128" s="14">
        <v>30</v>
      </c>
      <c r="N128" s="15">
        <v>20</v>
      </c>
      <c r="O128" s="16">
        <v>-33.33</v>
      </c>
      <c r="P128" s="17">
        <v>0.14000000000000001</v>
      </c>
      <c r="Q128" s="14">
        <v>1833933</v>
      </c>
      <c r="R128" s="14">
        <v>-70363</v>
      </c>
      <c r="S128" s="16">
        <v>-103.84</v>
      </c>
      <c r="T128" s="14">
        <v>2384343</v>
      </c>
      <c r="U128" s="60">
        <v>654620</v>
      </c>
      <c r="V128" s="16">
        <v>-72.55</v>
      </c>
      <c r="W128" s="66">
        <v>1.69</v>
      </c>
      <c r="X128" s="18">
        <v>9055.1200000000008</v>
      </c>
      <c r="Y128" s="15">
        <v>-252.11</v>
      </c>
      <c r="Z128" s="16">
        <v>-102.78</v>
      </c>
      <c r="AA128" s="19">
        <v>17509.71</v>
      </c>
      <c r="AB128" s="15">
        <v>5907.01</v>
      </c>
      <c r="AC128" s="16">
        <v>-66.260000000000005</v>
      </c>
      <c r="AD128" s="17">
        <v>0.72</v>
      </c>
    </row>
    <row r="129" spans="1:30" ht="15.65" thickBot="1">
      <c r="A129" s="12"/>
      <c r="B129" s="20"/>
      <c r="C129" s="21"/>
      <c r="D129" s="22"/>
      <c r="E129" s="23"/>
      <c r="F129" s="13"/>
      <c r="G129" s="22"/>
      <c r="H129" s="23"/>
      <c r="I129" s="67"/>
      <c r="J129" s="20"/>
      <c r="K129" s="22"/>
      <c r="L129" s="23"/>
      <c r="M129" s="20"/>
      <c r="N129" s="22"/>
      <c r="O129" s="23"/>
      <c r="P129" s="24"/>
      <c r="Q129" s="20"/>
      <c r="R129" s="20"/>
      <c r="S129" s="23"/>
      <c r="T129" s="20"/>
      <c r="U129" s="61"/>
      <c r="V129" s="23"/>
      <c r="W129" s="67"/>
      <c r="X129" s="21"/>
      <c r="Y129" s="22"/>
      <c r="Z129" s="23"/>
      <c r="AA129" s="13"/>
      <c r="AB129" s="22"/>
      <c r="AC129" s="23"/>
      <c r="AD129" s="24"/>
    </row>
    <row r="130" spans="1:30" ht="16.899999999999999" thickBot="1">
      <c r="A130" s="6">
        <v>19</v>
      </c>
      <c r="B130" s="7" t="s">
        <v>59</v>
      </c>
      <c r="C130" s="8">
        <v>0</v>
      </c>
      <c r="D130" s="8">
        <v>0</v>
      </c>
      <c r="E130" s="9" t="s">
        <v>38</v>
      </c>
      <c r="F130" s="8">
        <v>0.04</v>
      </c>
      <c r="G130" s="8">
        <v>0.01</v>
      </c>
      <c r="H130" s="9">
        <v>-81.569999999999993</v>
      </c>
      <c r="I130" s="65">
        <v>0</v>
      </c>
      <c r="J130" s="11">
        <v>0</v>
      </c>
      <c r="K130" s="11">
        <v>0</v>
      </c>
      <c r="L130" s="9" t="s">
        <v>38</v>
      </c>
      <c r="M130" s="11">
        <v>0</v>
      </c>
      <c r="N130" s="11">
        <v>0</v>
      </c>
      <c r="O130" s="9" t="s">
        <v>38</v>
      </c>
      <c r="P130" s="10">
        <v>0</v>
      </c>
      <c r="Q130" s="11">
        <v>0</v>
      </c>
      <c r="R130" s="11">
        <v>0</v>
      </c>
      <c r="S130" s="9" t="s">
        <v>38</v>
      </c>
      <c r="T130" s="11">
        <v>0</v>
      </c>
      <c r="U130" s="59">
        <v>0</v>
      </c>
      <c r="V130" s="9" t="s">
        <v>38</v>
      </c>
      <c r="W130" s="65">
        <v>0</v>
      </c>
      <c r="X130" s="8">
        <v>0</v>
      </c>
      <c r="Y130" s="8">
        <v>0</v>
      </c>
      <c r="Z130" s="9" t="s">
        <v>38</v>
      </c>
      <c r="AA130" s="8">
        <v>0</v>
      </c>
      <c r="AB130" s="8">
        <v>0</v>
      </c>
      <c r="AC130" s="9" t="s">
        <v>38</v>
      </c>
      <c r="AD130" s="10">
        <v>0</v>
      </c>
    </row>
    <row r="131" spans="1:30" ht="15.65" thickBot="1">
      <c r="A131" s="12"/>
      <c r="B131" s="13" t="s">
        <v>37</v>
      </c>
      <c r="C131" s="18">
        <v>0</v>
      </c>
      <c r="D131" s="15">
        <v>0</v>
      </c>
      <c r="E131" s="16" t="s">
        <v>38</v>
      </c>
      <c r="F131" s="19">
        <v>0</v>
      </c>
      <c r="G131" s="15">
        <v>0</v>
      </c>
      <c r="H131" s="16" t="s">
        <v>38</v>
      </c>
      <c r="I131" s="66">
        <v>0</v>
      </c>
      <c r="J131" s="14">
        <v>0</v>
      </c>
      <c r="K131" s="15">
        <v>0</v>
      </c>
      <c r="L131" s="16" t="s">
        <v>38</v>
      </c>
      <c r="M131" s="14">
        <v>0</v>
      </c>
      <c r="N131" s="15">
        <v>0</v>
      </c>
      <c r="O131" s="16" t="s">
        <v>38</v>
      </c>
      <c r="P131" s="17">
        <v>0</v>
      </c>
      <c r="Q131" s="14">
        <v>0</v>
      </c>
      <c r="R131" s="14">
        <v>0</v>
      </c>
      <c r="S131" s="16" t="s">
        <v>38</v>
      </c>
      <c r="T131" s="14">
        <v>0</v>
      </c>
      <c r="U131" s="60">
        <v>0</v>
      </c>
      <c r="V131" s="16" t="s">
        <v>38</v>
      </c>
      <c r="W131" s="66" t="s">
        <v>38</v>
      </c>
      <c r="X131" s="18">
        <v>0</v>
      </c>
      <c r="Y131" s="15">
        <v>0</v>
      </c>
      <c r="Z131" s="16" t="s">
        <v>38</v>
      </c>
      <c r="AA131" s="19">
        <v>0</v>
      </c>
      <c r="AB131" s="15">
        <v>0</v>
      </c>
      <c r="AC131" s="16" t="s">
        <v>38</v>
      </c>
      <c r="AD131" s="17">
        <v>0</v>
      </c>
    </row>
    <row r="132" spans="1:30" ht="15.65" thickBot="1">
      <c r="A132" s="12"/>
      <c r="B132" s="13" t="s">
        <v>39</v>
      </c>
      <c r="C132" s="18">
        <v>0</v>
      </c>
      <c r="D132" s="15">
        <v>0</v>
      </c>
      <c r="E132" s="16" t="s">
        <v>38</v>
      </c>
      <c r="F132" s="19">
        <v>0.04</v>
      </c>
      <c r="G132" s="15">
        <v>0.01</v>
      </c>
      <c r="H132" s="16">
        <v>-81.569999999999993</v>
      </c>
      <c r="I132" s="66">
        <v>0</v>
      </c>
      <c r="J132" s="14">
        <v>0</v>
      </c>
      <c r="K132" s="15">
        <v>0</v>
      </c>
      <c r="L132" s="16" t="s">
        <v>38</v>
      </c>
      <c r="M132" s="14">
        <v>0</v>
      </c>
      <c r="N132" s="15">
        <v>0</v>
      </c>
      <c r="O132" s="16" t="s">
        <v>38</v>
      </c>
      <c r="P132" s="17">
        <v>0</v>
      </c>
      <c r="Q132" s="14">
        <v>0</v>
      </c>
      <c r="R132" s="14">
        <v>0</v>
      </c>
      <c r="S132" s="16" t="s">
        <v>38</v>
      </c>
      <c r="T132" s="14">
        <v>0</v>
      </c>
      <c r="U132" s="60">
        <v>0</v>
      </c>
      <c r="V132" s="16" t="s">
        <v>38</v>
      </c>
      <c r="W132" s="66" t="s">
        <v>38</v>
      </c>
      <c r="X132" s="18">
        <v>0</v>
      </c>
      <c r="Y132" s="15">
        <v>0</v>
      </c>
      <c r="Z132" s="16" t="s">
        <v>38</v>
      </c>
      <c r="AA132" s="19">
        <v>0</v>
      </c>
      <c r="AB132" s="15">
        <v>0</v>
      </c>
      <c r="AC132" s="16" t="s">
        <v>38</v>
      </c>
      <c r="AD132" s="17">
        <v>0</v>
      </c>
    </row>
    <row r="133" spans="1:30" ht="15.65" thickBot="1">
      <c r="A133" s="12"/>
      <c r="B133" s="13" t="s">
        <v>40</v>
      </c>
      <c r="C133" s="18">
        <v>0</v>
      </c>
      <c r="D133" s="15">
        <v>0</v>
      </c>
      <c r="E133" s="16" t="s">
        <v>38</v>
      </c>
      <c r="F133" s="19">
        <v>0</v>
      </c>
      <c r="G133" s="15">
        <v>0</v>
      </c>
      <c r="H133" s="16" t="s">
        <v>38</v>
      </c>
      <c r="I133" s="66">
        <v>0</v>
      </c>
      <c r="J133" s="14">
        <v>0</v>
      </c>
      <c r="K133" s="15">
        <v>0</v>
      </c>
      <c r="L133" s="16" t="s">
        <v>38</v>
      </c>
      <c r="M133" s="14">
        <v>0</v>
      </c>
      <c r="N133" s="15">
        <v>0</v>
      </c>
      <c r="O133" s="16" t="s">
        <v>38</v>
      </c>
      <c r="P133" s="17">
        <v>0</v>
      </c>
      <c r="Q133" s="14">
        <v>0</v>
      </c>
      <c r="R133" s="14">
        <v>0</v>
      </c>
      <c r="S133" s="16" t="s">
        <v>38</v>
      </c>
      <c r="T133" s="14">
        <v>0</v>
      </c>
      <c r="U133" s="60">
        <v>0</v>
      </c>
      <c r="V133" s="16" t="s">
        <v>38</v>
      </c>
      <c r="W133" s="66">
        <v>0</v>
      </c>
      <c r="X133" s="18">
        <v>0</v>
      </c>
      <c r="Y133" s="15">
        <v>0</v>
      </c>
      <c r="Z133" s="16" t="s">
        <v>38</v>
      </c>
      <c r="AA133" s="19">
        <v>0</v>
      </c>
      <c r="AB133" s="15">
        <v>0</v>
      </c>
      <c r="AC133" s="16" t="s">
        <v>38</v>
      </c>
      <c r="AD133" s="17">
        <v>0</v>
      </c>
    </row>
    <row r="134" spans="1:30" ht="15.65" thickBot="1">
      <c r="A134" s="12"/>
      <c r="B134" s="13" t="s">
        <v>41</v>
      </c>
      <c r="C134" s="14">
        <v>0</v>
      </c>
      <c r="D134" s="15">
        <v>0</v>
      </c>
      <c r="E134" s="16" t="s">
        <v>38</v>
      </c>
      <c r="F134" s="14">
        <v>0</v>
      </c>
      <c r="G134" s="15">
        <v>0</v>
      </c>
      <c r="H134" s="16" t="s">
        <v>38</v>
      </c>
      <c r="I134" s="66">
        <v>0</v>
      </c>
      <c r="J134" s="14">
        <v>0</v>
      </c>
      <c r="K134" s="15">
        <v>0</v>
      </c>
      <c r="L134" s="16" t="s">
        <v>38</v>
      </c>
      <c r="M134" s="14">
        <v>0</v>
      </c>
      <c r="N134" s="15">
        <v>0</v>
      </c>
      <c r="O134" s="16" t="s">
        <v>38</v>
      </c>
      <c r="P134" s="17">
        <v>0</v>
      </c>
      <c r="Q134" s="14">
        <v>0</v>
      </c>
      <c r="R134" s="14">
        <v>0</v>
      </c>
      <c r="S134" s="16" t="s">
        <v>38</v>
      </c>
      <c r="T134" s="14">
        <v>0</v>
      </c>
      <c r="U134" s="60">
        <v>0</v>
      </c>
      <c r="V134" s="16" t="s">
        <v>38</v>
      </c>
      <c r="W134" s="66">
        <v>0</v>
      </c>
      <c r="X134" s="14">
        <v>0</v>
      </c>
      <c r="Y134" s="15">
        <v>0</v>
      </c>
      <c r="Z134" s="16" t="s">
        <v>38</v>
      </c>
      <c r="AA134" s="14">
        <v>0</v>
      </c>
      <c r="AB134" s="15">
        <v>0</v>
      </c>
      <c r="AC134" s="16" t="s">
        <v>38</v>
      </c>
      <c r="AD134" s="17">
        <v>0</v>
      </c>
    </row>
    <row r="135" spans="1:30" ht="15.65" thickBot="1">
      <c r="A135" s="12"/>
      <c r="B135" s="20" t="s">
        <v>42</v>
      </c>
      <c r="C135" s="14">
        <v>0</v>
      </c>
      <c r="D135" s="15">
        <v>0</v>
      </c>
      <c r="E135" s="16" t="s">
        <v>38</v>
      </c>
      <c r="F135" s="14">
        <v>0</v>
      </c>
      <c r="G135" s="15">
        <v>0</v>
      </c>
      <c r="H135" s="16" t="s">
        <v>38</v>
      </c>
      <c r="I135" s="66">
        <v>0</v>
      </c>
      <c r="J135" s="14">
        <v>0</v>
      </c>
      <c r="K135" s="15">
        <v>0</v>
      </c>
      <c r="L135" s="16" t="s">
        <v>38</v>
      </c>
      <c r="M135" s="14">
        <v>0</v>
      </c>
      <c r="N135" s="15">
        <v>0</v>
      </c>
      <c r="O135" s="16" t="s">
        <v>38</v>
      </c>
      <c r="P135" s="17">
        <v>0</v>
      </c>
      <c r="Q135" s="14">
        <v>0</v>
      </c>
      <c r="R135" s="14">
        <v>0</v>
      </c>
      <c r="S135" s="16" t="s">
        <v>38</v>
      </c>
      <c r="T135" s="14">
        <v>0</v>
      </c>
      <c r="U135" s="60">
        <v>0</v>
      </c>
      <c r="V135" s="16" t="s">
        <v>38</v>
      </c>
      <c r="W135" s="66">
        <v>0</v>
      </c>
      <c r="X135" s="14">
        <v>0</v>
      </c>
      <c r="Y135" s="15">
        <v>0</v>
      </c>
      <c r="Z135" s="16" t="s">
        <v>38</v>
      </c>
      <c r="AA135" s="14">
        <v>0</v>
      </c>
      <c r="AB135" s="15">
        <v>0</v>
      </c>
      <c r="AC135" s="16" t="s">
        <v>38</v>
      </c>
      <c r="AD135" s="17">
        <v>0</v>
      </c>
    </row>
    <row r="136" spans="1:30" ht="15.65" thickBot="1">
      <c r="A136" s="12"/>
      <c r="B136" s="20"/>
      <c r="C136" s="20"/>
      <c r="D136" s="22"/>
      <c r="E136" s="23"/>
      <c r="F136" s="20"/>
      <c r="G136" s="22"/>
      <c r="H136" s="23"/>
      <c r="I136" s="67"/>
      <c r="J136" s="20"/>
      <c r="K136" s="22"/>
      <c r="L136" s="23"/>
      <c r="M136" s="20"/>
      <c r="N136" s="22"/>
      <c r="O136" s="23"/>
      <c r="P136" s="24"/>
      <c r="Q136" s="20"/>
      <c r="R136" s="20"/>
      <c r="S136" s="23"/>
      <c r="T136" s="20"/>
      <c r="U136" s="61"/>
      <c r="V136" s="23"/>
      <c r="W136" s="67"/>
      <c r="X136" s="20"/>
      <c r="Y136" s="22"/>
      <c r="Z136" s="23"/>
      <c r="AA136" s="20"/>
      <c r="AB136" s="22"/>
      <c r="AC136" s="23"/>
      <c r="AD136" s="24"/>
    </row>
    <row r="137" spans="1:30" ht="16.899999999999999" thickBot="1">
      <c r="A137" s="6">
        <v>20</v>
      </c>
      <c r="B137" s="7" t="s">
        <v>1</v>
      </c>
      <c r="C137" s="8">
        <v>1115.1099999999999</v>
      </c>
      <c r="D137" s="8">
        <v>1885.57</v>
      </c>
      <c r="E137" s="9">
        <v>69.09</v>
      </c>
      <c r="F137" s="8">
        <v>5570.27</v>
      </c>
      <c r="G137" s="8">
        <v>7814.34</v>
      </c>
      <c r="H137" s="9">
        <v>40.29</v>
      </c>
      <c r="I137" s="65">
        <v>6.21</v>
      </c>
      <c r="J137" s="11">
        <v>133074</v>
      </c>
      <c r="K137" s="11">
        <v>138996</v>
      </c>
      <c r="L137" s="9">
        <v>4.45</v>
      </c>
      <c r="M137" s="11">
        <v>617701</v>
      </c>
      <c r="N137" s="11">
        <v>700154</v>
      </c>
      <c r="O137" s="9">
        <v>13.35</v>
      </c>
      <c r="P137" s="10">
        <v>6</v>
      </c>
      <c r="Q137" s="11">
        <v>190255</v>
      </c>
      <c r="R137" s="11">
        <v>340412</v>
      </c>
      <c r="S137" s="9">
        <v>78.92</v>
      </c>
      <c r="T137" s="11">
        <v>1624352</v>
      </c>
      <c r="U137" s="63">
        <v>2264883</v>
      </c>
      <c r="V137" s="9">
        <v>39.43</v>
      </c>
      <c r="W137" s="65">
        <v>2.29</v>
      </c>
      <c r="X137" s="8">
        <v>24273.58</v>
      </c>
      <c r="Y137" s="8">
        <v>32917.019999999997</v>
      </c>
      <c r="Z137" s="9">
        <v>35.61</v>
      </c>
      <c r="AA137" s="8">
        <v>114273.19</v>
      </c>
      <c r="AB137" s="8">
        <v>206143.77</v>
      </c>
      <c r="AC137" s="9">
        <v>80.400000000000006</v>
      </c>
      <c r="AD137" s="10">
        <v>9.52</v>
      </c>
    </row>
    <row r="138" spans="1:30" ht="15.65" thickBot="1">
      <c r="A138" s="12"/>
      <c r="B138" s="13" t="s">
        <v>37</v>
      </c>
      <c r="C138" s="18">
        <v>78.45</v>
      </c>
      <c r="D138" s="15">
        <v>152.33000000000001</v>
      </c>
      <c r="E138" s="16">
        <v>94.17</v>
      </c>
      <c r="F138" s="19">
        <v>340.95</v>
      </c>
      <c r="G138" s="15">
        <v>743.61</v>
      </c>
      <c r="H138" s="16">
        <v>118.1</v>
      </c>
      <c r="I138" s="66">
        <v>4.21</v>
      </c>
      <c r="J138" s="14">
        <v>1737</v>
      </c>
      <c r="K138" s="15">
        <v>3161</v>
      </c>
      <c r="L138" s="16">
        <v>81.98</v>
      </c>
      <c r="M138" s="14">
        <v>8920</v>
      </c>
      <c r="N138" s="15">
        <v>15019</v>
      </c>
      <c r="O138" s="16">
        <v>68.37</v>
      </c>
      <c r="P138" s="17">
        <v>2.68</v>
      </c>
      <c r="Q138" s="14">
        <v>0</v>
      </c>
      <c r="R138" s="14">
        <v>0</v>
      </c>
      <c r="S138" s="16" t="s">
        <v>38</v>
      </c>
      <c r="T138" s="14">
        <v>0</v>
      </c>
      <c r="U138" s="60">
        <v>0</v>
      </c>
      <c r="V138" s="16" t="s">
        <v>38</v>
      </c>
      <c r="W138" s="66" t="s">
        <v>38</v>
      </c>
      <c r="X138" s="18">
        <v>92.18</v>
      </c>
      <c r="Y138" s="15">
        <v>153.05000000000001</v>
      </c>
      <c r="Z138" s="16">
        <v>66.03</v>
      </c>
      <c r="AA138" s="19">
        <v>411.5</v>
      </c>
      <c r="AB138" s="15">
        <v>707.9</v>
      </c>
      <c r="AC138" s="16">
        <v>72.03</v>
      </c>
      <c r="AD138" s="17">
        <v>5.82</v>
      </c>
    </row>
    <row r="139" spans="1:30" ht="15.65" thickBot="1">
      <c r="A139" s="12"/>
      <c r="B139" s="13" t="s">
        <v>39</v>
      </c>
      <c r="C139" s="18">
        <v>784.08</v>
      </c>
      <c r="D139" s="15">
        <v>861.62</v>
      </c>
      <c r="E139" s="16">
        <v>9.89</v>
      </c>
      <c r="F139" s="19">
        <v>3375.66</v>
      </c>
      <c r="G139" s="15">
        <v>4102</v>
      </c>
      <c r="H139" s="16">
        <v>21.52</v>
      </c>
      <c r="I139" s="66">
        <v>14.19</v>
      </c>
      <c r="J139" s="14">
        <v>131276</v>
      </c>
      <c r="K139" s="15">
        <v>135765</v>
      </c>
      <c r="L139" s="16">
        <v>3.42</v>
      </c>
      <c r="M139" s="14">
        <v>608498</v>
      </c>
      <c r="N139" s="15">
        <v>684701</v>
      </c>
      <c r="O139" s="16">
        <v>12.52</v>
      </c>
      <c r="P139" s="17">
        <v>6.17</v>
      </c>
      <c r="Q139" s="14">
        <v>0</v>
      </c>
      <c r="R139" s="14">
        <v>0</v>
      </c>
      <c r="S139" s="16" t="s">
        <v>38</v>
      </c>
      <c r="T139" s="14">
        <v>0</v>
      </c>
      <c r="U139" s="60">
        <v>0</v>
      </c>
      <c r="V139" s="16" t="s">
        <v>38</v>
      </c>
      <c r="W139" s="66" t="s">
        <v>38</v>
      </c>
      <c r="X139" s="18">
        <v>11310.06</v>
      </c>
      <c r="Y139" s="15">
        <v>11471.67</v>
      </c>
      <c r="Z139" s="16">
        <v>1.43</v>
      </c>
      <c r="AA139" s="19">
        <v>49074.93</v>
      </c>
      <c r="AB139" s="15">
        <v>59834.19</v>
      </c>
      <c r="AC139" s="16">
        <v>21.92</v>
      </c>
      <c r="AD139" s="17">
        <v>7.6</v>
      </c>
    </row>
    <row r="140" spans="1:30" ht="15.65" thickBot="1">
      <c r="A140" s="12"/>
      <c r="B140" s="13" t="s">
        <v>40</v>
      </c>
      <c r="C140" s="18">
        <v>244.33</v>
      </c>
      <c r="D140" s="15">
        <v>858.7</v>
      </c>
      <c r="E140" s="16">
        <v>251.45</v>
      </c>
      <c r="F140" s="19">
        <v>1800.34</v>
      </c>
      <c r="G140" s="15">
        <v>2880.54</v>
      </c>
      <c r="H140" s="16">
        <v>60</v>
      </c>
      <c r="I140" s="66">
        <v>5.1100000000000003</v>
      </c>
      <c r="J140" s="14">
        <v>14</v>
      </c>
      <c r="K140" s="15">
        <v>12</v>
      </c>
      <c r="L140" s="16">
        <v>-14.29</v>
      </c>
      <c r="M140" s="14">
        <v>51</v>
      </c>
      <c r="N140" s="15">
        <v>37</v>
      </c>
      <c r="O140" s="16">
        <v>-27.45</v>
      </c>
      <c r="P140" s="17">
        <v>3.28</v>
      </c>
      <c r="Q140" s="14">
        <v>22139</v>
      </c>
      <c r="R140" s="14">
        <v>23637</v>
      </c>
      <c r="S140" s="16">
        <v>6.77</v>
      </c>
      <c r="T140" s="14">
        <v>191532</v>
      </c>
      <c r="U140" s="60">
        <v>164861</v>
      </c>
      <c r="V140" s="16">
        <v>-13.93</v>
      </c>
      <c r="W140" s="66">
        <v>0.28999999999999998</v>
      </c>
      <c r="X140" s="18">
        <v>3353.09</v>
      </c>
      <c r="Y140" s="15">
        <v>4274.71</v>
      </c>
      <c r="Z140" s="16">
        <v>27.49</v>
      </c>
      <c r="AA140" s="19">
        <v>16794.990000000002</v>
      </c>
      <c r="AB140" s="15">
        <v>22742.06</v>
      </c>
      <c r="AC140" s="16">
        <v>35.409999999999997</v>
      </c>
      <c r="AD140" s="17">
        <v>4.71</v>
      </c>
    </row>
    <row r="141" spans="1:30" ht="15.65" thickBot="1">
      <c r="A141" s="12"/>
      <c r="B141" s="13" t="s">
        <v>41</v>
      </c>
      <c r="C141" s="18">
        <v>0.79</v>
      </c>
      <c r="D141" s="15">
        <v>1.28</v>
      </c>
      <c r="E141" s="16">
        <v>61.04</v>
      </c>
      <c r="F141" s="19">
        <v>4.6399999999999997</v>
      </c>
      <c r="G141" s="15">
        <v>3.9</v>
      </c>
      <c r="H141" s="16">
        <v>-15.95</v>
      </c>
      <c r="I141" s="66">
        <v>0.02</v>
      </c>
      <c r="J141" s="14">
        <v>1</v>
      </c>
      <c r="K141" s="15">
        <v>0</v>
      </c>
      <c r="L141" s="16">
        <v>-100</v>
      </c>
      <c r="M141" s="14">
        <v>2</v>
      </c>
      <c r="N141" s="15">
        <v>0</v>
      </c>
      <c r="O141" s="16">
        <v>-100</v>
      </c>
      <c r="P141" s="17">
        <v>0</v>
      </c>
      <c r="Q141" s="14">
        <v>1582</v>
      </c>
      <c r="R141" s="14">
        <v>1561</v>
      </c>
      <c r="S141" s="16">
        <v>-1.33</v>
      </c>
      <c r="T141" s="14">
        <v>7470</v>
      </c>
      <c r="U141" s="60">
        <v>5401</v>
      </c>
      <c r="V141" s="16">
        <v>-27.7</v>
      </c>
      <c r="W141" s="66">
        <v>0.14000000000000001</v>
      </c>
      <c r="X141" s="18">
        <v>-1.51</v>
      </c>
      <c r="Y141" s="15">
        <v>-5.13</v>
      </c>
      <c r="Z141" s="16">
        <v>239.72</v>
      </c>
      <c r="AA141" s="19">
        <v>68.569999999999993</v>
      </c>
      <c r="AB141" s="15">
        <v>-16.66</v>
      </c>
      <c r="AC141" s="16">
        <v>-124.29</v>
      </c>
      <c r="AD141" s="17">
        <v>-0.03</v>
      </c>
    </row>
    <row r="142" spans="1:30" ht="15.65" thickBot="1">
      <c r="A142" s="12"/>
      <c r="B142" s="20" t="s">
        <v>42</v>
      </c>
      <c r="C142" s="14">
        <v>7.45</v>
      </c>
      <c r="D142" s="15">
        <v>11.65</v>
      </c>
      <c r="E142" s="16">
        <v>56.33</v>
      </c>
      <c r="F142" s="14">
        <v>48.68</v>
      </c>
      <c r="G142" s="15">
        <v>84.29</v>
      </c>
      <c r="H142" s="16">
        <v>73.13</v>
      </c>
      <c r="I142" s="66">
        <v>3.12</v>
      </c>
      <c r="J142" s="14">
        <v>46</v>
      </c>
      <c r="K142" s="15">
        <v>58</v>
      </c>
      <c r="L142" s="16">
        <v>26.09</v>
      </c>
      <c r="M142" s="14">
        <v>230</v>
      </c>
      <c r="N142" s="15">
        <v>397</v>
      </c>
      <c r="O142" s="16">
        <v>72.61</v>
      </c>
      <c r="P142" s="17">
        <v>2.81</v>
      </c>
      <c r="Q142" s="14">
        <v>166534</v>
      </c>
      <c r="R142" s="14">
        <v>315214</v>
      </c>
      <c r="S142" s="16">
        <v>89.28</v>
      </c>
      <c r="T142" s="14">
        <v>1425350</v>
      </c>
      <c r="U142" s="60">
        <v>2094621</v>
      </c>
      <c r="V142" s="16">
        <v>46.95</v>
      </c>
      <c r="W142" s="66">
        <v>5.42</v>
      </c>
      <c r="X142" s="14">
        <v>9519.77</v>
      </c>
      <c r="Y142" s="15">
        <v>17022.72</v>
      </c>
      <c r="Z142" s="16">
        <v>78.81</v>
      </c>
      <c r="AA142" s="14">
        <v>47923.199999999997</v>
      </c>
      <c r="AB142" s="15">
        <v>122876.28</v>
      </c>
      <c r="AC142" s="16">
        <v>156.4</v>
      </c>
      <c r="AD142" s="17">
        <v>14.87</v>
      </c>
    </row>
    <row r="143" spans="1:30" ht="15.65" thickBot="1">
      <c r="A143" s="12"/>
      <c r="B143" s="20"/>
      <c r="C143" s="14"/>
      <c r="D143" s="22"/>
      <c r="E143" s="23"/>
      <c r="F143" s="14"/>
      <c r="G143" s="22"/>
      <c r="H143" s="23"/>
      <c r="I143" s="67"/>
      <c r="J143" s="14"/>
      <c r="K143" s="22"/>
      <c r="L143" s="23"/>
      <c r="M143" s="14"/>
      <c r="N143" s="22"/>
      <c r="O143" s="23"/>
      <c r="P143" s="24"/>
      <c r="Q143" s="14"/>
      <c r="R143" s="20"/>
      <c r="S143" s="23"/>
      <c r="T143" s="14"/>
      <c r="U143" s="61"/>
      <c r="V143" s="23"/>
      <c r="W143" s="67"/>
      <c r="X143" s="14"/>
      <c r="Y143" s="22"/>
      <c r="Z143" s="23"/>
      <c r="AA143" s="14"/>
      <c r="AB143" s="22"/>
      <c r="AC143" s="23"/>
      <c r="AD143" s="24"/>
    </row>
    <row r="144" spans="1:30" ht="16.899999999999999" thickBot="1">
      <c r="A144" s="6">
        <v>21</v>
      </c>
      <c r="B144" s="7" t="s">
        <v>60</v>
      </c>
      <c r="C144" s="8">
        <v>76.38</v>
      </c>
      <c r="D144" s="8">
        <v>65.010000000000005</v>
      </c>
      <c r="E144" s="9">
        <v>-14.89</v>
      </c>
      <c r="F144" s="8">
        <v>371.94</v>
      </c>
      <c r="G144" s="8">
        <v>318.31</v>
      </c>
      <c r="H144" s="9">
        <v>-14.42</v>
      </c>
      <c r="I144" s="65">
        <v>0.25</v>
      </c>
      <c r="J144" s="11">
        <v>26021</v>
      </c>
      <c r="K144" s="11">
        <v>28028</v>
      </c>
      <c r="L144" s="9">
        <v>7.71</v>
      </c>
      <c r="M144" s="11">
        <v>136456</v>
      </c>
      <c r="N144" s="11">
        <v>118615</v>
      </c>
      <c r="O144" s="9">
        <v>-13.07</v>
      </c>
      <c r="P144" s="10">
        <v>1.02</v>
      </c>
      <c r="Q144" s="11">
        <v>464053</v>
      </c>
      <c r="R144" s="11">
        <v>297393</v>
      </c>
      <c r="S144" s="9">
        <v>-35.909999999999997</v>
      </c>
      <c r="T144" s="11">
        <v>2372254</v>
      </c>
      <c r="U144" s="59">
        <v>1455715</v>
      </c>
      <c r="V144" s="9">
        <v>-38.64</v>
      </c>
      <c r="W144" s="65">
        <v>1.47</v>
      </c>
      <c r="X144" s="8">
        <v>6825.97</v>
      </c>
      <c r="Y144" s="8">
        <v>4090.01</v>
      </c>
      <c r="Z144" s="9">
        <v>-40.08</v>
      </c>
      <c r="AA144" s="8">
        <v>29065.61</v>
      </c>
      <c r="AB144" s="8">
        <v>22331.59</v>
      </c>
      <c r="AC144" s="9">
        <v>-23.17</v>
      </c>
      <c r="AD144" s="10">
        <v>1.03</v>
      </c>
    </row>
    <row r="145" spans="1:30" ht="15.65" thickBot="1">
      <c r="A145" s="12"/>
      <c r="B145" s="13" t="s">
        <v>37</v>
      </c>
      <c r="C145" s="15">
        <v>6.87</v>
      </c>
      <c r="D145" s="15">
        <v>4.22</v>
      </c>
      <c r="E145" s="16">
        <v>-38.619999999999997</v>
      </c>
      <c r="F145" s="14">
        <v>25.98</v>
      </c>
      <c r="G145" s="15">
        <v>18.98</v>
      </c>
      <c r="H145" s="16">
        <v>-26.95</v>
      </c>
      <c r="I145" s="66">
        <v>0.11</v>
      </c>
      <c r="J145" s="14">
        <v>349</v>
      </c>
      <c r="K145" s="15">
        <v>254</v>
      </c>
      <c r="L145" s="16">
        <v>-27.22</v>
      </c>
      <c r="M145" s="14">
        <v>1407</v>
      </c>
      <c r="N145" s="15">
        <v>1077</v>
      </c>
      <c r="O145" s="16">
        <v>-23.45</v>
      </c>
      <c r="P145" s="17">
        <v>0.19</v>
      </c>
      <c r="Q145" s="14">
        <v>0</v>
      </c>
      <c r="R145" s="14">
        <v>0</v>
      </c>
      <c r="S145" s="16" t="s">
        <v>38</v>
      </c>
      <c r="T145" s="14">
        <v>0</v>
      </c>
      <c r="U145" s="60">
        <v>0</v>
      </c>
      <c r="V145" s="16" t="s">
        <v>38</v>
      </c>
      <c r="W145" s="66" t="s">
        <v>38</v>
      </c>
      <c r="X145" s="15">
        <v>15.7</v>
      </c>
      <c r="Y145" s="15">
        <v>6.13</v>
      </c>
      <c r="Z145" s="16">
        <v>-60.99</v>
      </c>
      <c r="AA145" s="14">
        <v>65.38</v>
      </c>
      <c r="AB145" s="15">
        <v>31.65</v>
      </c>
      <c r="AC145" s="16">
        <v>-51.59</v>
      </c>
      <c r="AD145" s="17">
        <v>0.26</v>
      </c>
    </row>
    <row r="146" spans="1:30" ht="15.65" thickBot="1">
      <c r="A146" s="12"/>
      <c r="B146" s="13" t="s">
        <v>39</v>
      </c>
      <c r="C146" s="14">
        <v>41.98</v>
      </c>
      <c r="D146" s="15">
        <v>47.73</v>
      </c>
      <c r="E146" s="16">
        <v>13.71</v>
      </c>
      <c r="F146" s="14">
        <v>196.89</v>
      </c>
      <c r="G146" s="15">
        <v>196.31</v>
      </c>
      <c r="H146" s="16">
        <v>-0.28999999999999998</v>
      </c>
      <c r="I146" s="66">
        <v>0.68</v>
      </c>
      <c r="J146" s="14">
        <v>25668</v>
      </c>
      <c r="K146" s="15">
        <v>27772</v>
      </c>
      <c r="L146" s="16">
        <v>8.1999999999999993</v>
      </c>
      <c r="M146" s="14">
        <v>135031</v>
      </c>
      <c r="N146" s="15">
        <v>117524</v>
      </c>
      <c r="O146" s="16">
        <v>-12.97</v>
      </c>
      <c r="P146" s="17">
        <v>1.06</v>
      </c>
      <c r="Q146" s="14">
        <v>0</v>
      </c>
      <c r="R146" s="14">
        <v>0</v>
      </c>
      <c r="S146" s="16" t="s">
        <v>38</v>
      </c>
      <c r="T146" s="14">
        <v>0</v>
      </c>
      <c r="U146" s="60">
        <v>0</v>
      </c>
      <c r="V146" s="16" t="s">
        <v>38</v>
      </c>
      <c r="W146" s="66" t="s">
        <v>38</v>
      </c>
      <c r="X146" s="14">
        <v>1237.43</v>
      </c>
      <c r="Y146" s="15">
        <v>1268.33</v>
      </c>
      <c r="Z146" s="16">
        <v>2.5</v>
      </c>
      <c r="AA146" s="14">
        <v>5422.67</v>
      </c>
      <c r="AB146" s="15">
        <v>5512.17</v>
      </c>
      <c r="AC146" s="16">
        <v>1.65</v>
      </c>
      <c r="AD146" s="17">
        <v>0.7</v>
      </c>
    </row>
    <row r="147" spans="1:30" ht="15.65" thickBot="1">
      <c r="A147" s="12"/>
      <c r="B147" s="13" t="s">
        <v>40</v>
      </c>
      <c r="C147" s="14">
        <v>20.85</v>
      </c>
      <c r="D147" s="15">
        <v>11.63</v>
      </c>
      <c r="E147" s="16">
        <v>-44.21</v>
      </c>
      <c r="F147" s="14">
        <v>125.19</v>
      </c>
      <c r="G147" s="15">
        <v>95.29</v>
      </c>
      <c r="H147" s="16">
        <v>-23.89</v>
      </c>
      <c r="I147" s="66">
        <v>0.17</v>
      </c>
      <c r="J147" s="14">
        <v>2</v>
      </c>
      <c r="K147" s="15">
        <v>1</v>
      </c>
      <c r="L147" s="16">
        <v>-50</v>
      </c>
      <c r="M147" s="14">
        <v>2</v>
      </c>
      <c r="N147" s="15">
        <v>5</v>
      </c>
      <c r="O147" s="16">
        <v>150</v>
      </c>
      <c r="P147" s="17">
        <v>0.44</v>
      </c>
      <c r="Q147" s="14">
        <v>160127</v>
      </c>
      <c r="R147" s="14">
        <v>222289</v>
      </c>
      <c r="S147" s="16">
        <v>38.82</v>
      </c>
      <c r="T147" s="14">
        <v>940724</v>
      </c>
      <c r="U147" s="60">
        <v>1114714</v>
      </c>
      <c r="V147" s="16">
        <v>18.5</v>
      </c>
      <c r="W147" s="66">
        <v>1.99</v>
      </c>
      <c r="X147" s="14">
        <v>2554.71</v>
      </c>
      <c r="Y147" s="15">
        <v>1651.97</v>
      </c>
      <c r="Z147" s="16">
        <v>-35.340000000000003</v>
      </c>
      <c r="AA147" s="14">
        <v>15120.84</v>
      </c>
      <c r="AB147" s="15">
        <v>11388.62</v>
      </c>
      <c r="AC147" s="16">
        <v>-24.68</v>
      </c>
      <c r="AD147" s="17">
        <v>2.36</v>
      </c>
    </row>
    <row r="148" spans="1:30" ht="15.65" thickBot="1">
      <c r="A148" s="12"/>
      <c r="B148" s="13" t="s">
        <v>41</v>
      </c>
      <c r="C148" s="18">
        <v>0</v>
      </c>
      <c r="D148" s="15">
        <v>0</v>
      </c>
      <c r="E148" s="16" t="s">
        <v>38</v>
      </c>
      <c r="F148" s="19">
        <v>0</v>
      </c>
      <c r="G148" s="15">
        <v>0</v>
      </c>
      <c r="H148" s="16" t="s">
        <v>38</v>
      </c>
      <c r="I148" s="66">
        <v>0</v>
      </c>
      <c r="J148" s="14">
        <v>0</v>
      </c>
      <c r="K148" s="15">
        <v>0</v>
      </c>
      <c r="L148" s="16" t="s">
        <v>38</v>
      </c>
      <c r="M148" s="14">
        <v>0</v>
      </c>
      <c r="N148" s="15">
        <v>0</v>
      </c>
      <c r="O148" s="16" t="s">
        <v>38</v>
      </c>
      <c r="P148" s="17">
        <v>0</v>
      </c>
      <c r="Q148" s="14">
        <v>0</v>
      </c>
      <c r="R148" s="14">
        <v>0</v>
      </c>
      <c r="S148" s="16" t="s">
        <v>38</v>
      </c>
      <c r="T148" s="14">
        <v>0</v>
      </c>
      <c r="U148" s="60">
        <v>0</v>
      </c>
      <c r="V148" s="16" t="s">
        <v>38</v>
      </c>
      <c r="W148" s="66">
        <v>0</v>
      </c>
      <c r="X148" s="18">
        <v>0</v>
      </c>
      <c r="Y148" s="15">
        <v>0</v>
      </c>
      <c r="Z148" s="16" t="s">
        <v>38</v>
      </c>
      <c r="AA148" s="19">
        <v>0</v>
      </c>
      <c r="AB148" s="15">
        <v>0</v>
      </c>
      <c r="AC148" s="16" t="s">
        <v>38</v>
      </c>
      <c r="AD148" s="17">
        <v>0</v>
      </c>
    </row>
    <row r="149" spans="1:30" ht="15.65" thickBot="1">
      <c r="A149" s="12"/>
      <c r="B149" s="20" t="s">
        <v>42</v>
      </c>
      <c r="C149" s="18">
        <v>6.68</v>
      </c>
      <c r="D149" s="15">
        <v>1.43</v>
      </c>
      <c r="E149" s="16">
        <v>-78.64</v>
      </c>
      <c r="F149" s="19">
        <v>23.88</v>
      </c>
      <c r="G149" s="15">
        <v>7.74</v>
      </c>
      <c r="H149" s="16">
        <v>-67.599999999999994</v>
      </c>
      <c r="I149" s="66">
        <v>0.28999999999999998</v>
      </c>
      <c r="J149" s="14">
        <v>2</v>
      </c>
      <c r="K149" s="15">
        <v>1</v>
      </c>
      <c r="L149" s="16">
        <v>-50</v>
      </c>
      <c r="M149" s="14">
        <v>16</v>
      </c>
      <c r="N149" s="15">
        <v>9</v>
      </c>
      <c r="O149" s="16">
        <v>-43.75</v>
      </c>
      <c r="P149" s="17">
        <v>0.06</v>
      </c>
      <c r="Q149" s="14">
        <v>303926</v>
      </c>
      <c r="R149" s="14">
        <v>75104</v>
      </c>
      <c r="S149" s="16">
        <v>-75.290000000000006</v>
      </c>
      <c r="T149" s="14">
        <v>1431530</v>
      </c>
      <c r="U149" s="60">
        <v>341001</v>
      </c>
      <c r="V149" s="16">
        <v>-76.180000000000007</v>
      </c>
      <c r="W149" s="66">
        <v>0.88</v>
      </c>
      <c r="X149" s="18">
        <v>3018.13</v>
      </c>
      <c r="Y149" s="15">
        <v>1163.5899999999999</v>
      </c>
      <c r="Z149" s="16">
        <v>-61.45</v>
      </c>
      <c r="AA149" s="19">
        <v>8456.7199999999993</v>
      </c>
      <c r="AB149" s="15">
        <v>5399.15</v>
      </c>
      <c r="AC149" s="16">
        <v>-36.159999999999997</v>
      </c>
      <c r="AD149" s="17">
        <v>0.65</v>
      </c>
    </row>
    <row r="150" spans="1:30" ht="15.65" thickBot="1">
      <c r="A150" s="12"/>
      <c r="B150" s="20"/>
      <c r="C150" s="21"/>
      <c r="D150" s="22"/>
      <c r="E150" s="23"/>
      <c r="F150" s="13"/>
      <c r="G150" s="22"/>
      <c r="H150" s="23"/>
      <c r="I150" s="67"/>
      <c r="J150" s="20"/>
      <c r="K150" s="22"/>
      <c r="L150" s="23"/>
      <c r="M150" s="20"/>
      <c r="N150" s="22"/>
      <c r="O150" s="23"/>
      <c r="P150" s="24"/>
      <c r="Q150" s="20"/>
      <c r="R150" s="20"/>
      <c r="S150" s="23"/>
      <c r="T150" s="20"/>
      <c r="U150" s="61"/>
      <c r="V150" s="23"/>
      <c r="W150" s="67"/>
      <c r="X150" s="21"/>
      <c r="Y150" s="22"/>
      <c r="Z150" s="23"/>
      <c r="AA150" s="13"/>
      <c r="AB150" s="22"/>
      <c r="AC150" s="23"/>
      <c r="AD150" s="24"/>
    </row>
    <row r="151" spans="1:30" ht="16.899999999999999" thickBot="1">
      <c r="A151" s="6">
        <v>22</v>
      </c>
      <c r="B151" s="7" t="s">
        <v>61</v>
      </c>
      <c r="C151" s="8">
        <v>71.599999999999994</v>
      </c>
      <c r="D151" s="8">
        <v>107.83</v>
      </c>
      <c r="E151" s="9">
        <v>50.59</v>
      </c>
      <c r="F151" s="8">
        <v>255.13</v>
      </c>
      <c r="G151" s="8">
        <v>315.89999999999998</v>
      </c>
      <c r="H151" s="9">
        <v>23.82</v>
      </c>
      <c r="I151" s="65">
        <v>0.25</v>
      </c>
      <c r="J151" s="11">
        <v>10915</v>
      </c>
      <c r="K151" s="11">
        <v>11186</v>
      </c>
      <c r="L151" s="9">
        <v>2.48</v>
      </c>
      <c r="M151" s="11">
        <v>41006</v>
      </c>
      <c r="N151" s="11">
        <v>35079</v>
      </c>
      <c r="O151" s="9">
        <v>-14.45</v>
      </c>
      <c r="P151" s="10">
        <v>0.3</v>
      </c>
      <c r="Q151" s="11">
        <v>35881</v>
      </c>
      <c r="R151" s="11">
        <v>125225</v>
      </c>
      <c r="S151" s="9">
        <v>249</v>
      </c>
      <c r="T151" s="11">
        <v>202608</v>
      </c>
      <c r="U151" s="59">
        <v>684417</v>
      </c>
      <c r="V151" s="9">
        <v>237.8</v>
      </c>
      <c r="W151" s="65">
        <v>0.69</v>
      </c>
      <c r="X151" s="8">
        <v>1870.03</v>
      </c>
      <c r="Y151" s="8">
        <v>4110.0200000000004</v>
      </c>
      <c r="Z151" s="9">
        <v>119.78</v>
      </c>
      <c r="AA151" s="8">
        <v>8348.49</v>
      </c>
      <c r="AB151" s="8">
        <v>18344.48</v>
      </c>
      <c r="AC151" s="9">
        <v>119.73</v>
      </c>
      <c r="AD151" s="10">
        <v>0.85</v>
      </c>
    </row>
    <row r="152" spans="1:30" ht="15.65" thickBot="1">
      <c r="A152" s="12"/>
      <c r="B152" s="13" t="s">
        <v>37</v>
      </c>
      <c r="C152" s="18">
        <v>5.72</v>
      </c>
      <c r="D152" s="15">
        <v>11.67</v>
      </c>
      <c r="E152" s="16">
        <v>104.14</v>
      </c>
      <c r="F152" s="19">
        <v>23.58</v>
      </c>
      <c r="G152" s="15">
        <v>34.24</v>
      </c>
      <c r="H152" s="16">
        <v>45.19</v>
      </c>
      <c r="I152" s="66">
        <v>0.19</v>
      </c>
      <c r="J152" s="14">
        <v>128</v>
      </c>
      <c r="K152" s="15">
        <v>210</v>
      </c>
      <c r="L152" s="16">
        <v>64.06</v>
      </c>
      <c r="M152" s="14">
        <v>620</v>
      </c>
      <c r="N152" s="15">
        <v>778</v>
      </c>
      <c r="O152" s="16">
        <v>25.48</v>
      </c>
      <c r="P152" s="17">
        <v>0.14000000000000001</v>
      </c>
      <c r="Q152" s="14">
        <v>0</v>
      </c>
      <c r="R152" s="14">
        <v>0</v>
      </c>
      <c r="S152" s="16" t="s">
        <v>38</v>
      </c>
      <c r="T152" s="14">
        <v>0</v>
      </c>
      <c r="U152" s="60">
        <v>0</v>
      </c>
      <c r="V152" s="16" t="s">
        <v>38</v>
      </c>
      <c r="W152" s="66" t="s">
        <v>38</v>
      </c>
      <c r="X152" s="18">
        <v>6.04</v>
      </c>
      <c r="Y152" s="15">
        <v>6.74</v>
      </c>
      <c r="Z152" s="16">
        <v>11.57</v>
      </c>
      <c r="AA152" s="19">
        <v>23.92</v>
      </c>
      <c r="AB152" s="15">
        <v>28.25</v>
      </c>
      <c r="AC152" s="16">
        <v>18.100000000000001</v>
      </c>
      <c r="AD152" s="17">
        <v>0.23</v>
      </c>
    </row>
    <row r="153" spans="1:30" ht="15.65" thickBot="1">
      <c r="A153" s="12"/>
      <c r="B153" s="13" t="s">
        <v>39</v>
      </c>
      <c r="C153" s="18">
        <v>59.59</v>
      </c>
      <c r="D153" s="15">
        <v>81.510000000000005</v>
      </c>
      <c r="E153" s="16">
        <v>36.799999999999997</v>
      </c>
      <c r="F153" s="19">
        <v>199.8</v>
      </c>
      <c r="G153" s="15">
        <v>230.86</v>
      </c>
      <c r="H153" s="16">
        <v>15.55</v>
      </c>
      <c r="I153" s="66">
        <v>0.8</v>
      </c>
      <c r="J153" s="14">
        <v>10787</v>
      </c>
      <c r="K153" s="15">
        <v>10975</v>
      </c>
      <c r="L153" s="16">
        <v>1.74</v>
      </c>
      <c r="M153" s="14">
        <v>40383</v>
      </c>
      <c r="N153" s="15">
        <v>34292</v>
      </c>
      <c r="O153" s="16">
        <v>-15.08</v>
      </c>
      <c r="P153" s="17">
        <v>0.31</v>
      </c>
      <c r="Q153" s="14">
        <v>0</v>
      </c>
      <c r="R153" s="14">
        <v>0</v>
      </c>
      <c r="S153" s="16" t="s">
        <v>38</v>
      </c>
      <c r="T153" s="14">
        <v>0</v>
      </c>
      <c r="U153" s="60">
        <v>0</v>
      </c>
      <c r="V153" s="16" t="s">
        <v>38</v>
      </c>
      <c r="W153" s="66" t="s">
        <v>38</v>
      </c>
      <c r="X153" s="18">
        <v>817.63</v>
      </c>
      <c r="Y153" s="15">
        <v>952.22</v>
      </c>
      <c r="Z153" s="16">
        <v>16.46</v>
      </c>
      <c r="AA153" s="19">
        <v>2697.73</v>
      </c>
      <c r="AB153" s="15">
        <v>2845.09</v>
      </c>
      <c r="AC153" s="16">
        <v>5.46</v>
      </c>
      <c r="AD153" s="17">
        <v>0.36</v>
      </c>
    </row>
    <row r="154" spans="1:30" ht="15.65" thickBot="1">
      <c r="A154" s="12"/>
      <c r="B154" s="13" t="s">
        <v>40</v>
      </c>
      <c r="C154" s="18">
        <v>5.14</v>
      </c>
      <c r="D154" s="15">
        <v>11.04</v>
      </c>
      <c r="E154" s="16">
        <v>114.67</v>
      </c>
      <c r="F154" s="19">
        <v>24.79</v>
      </c>
      <c r="G154" s="15">
        <v>29.39</v>
      </c>
      <c r="H154" s="16">
        <v>18.559999999999999</v>
      </c>
      <c r="I154" s="66">
        <v>0.05</v>
      </c>
      <c r="J154" s="14">
        <v>0</v>
      </c>
      <c r="K154" s="15">
        <v>0</v>
      </c>
      <c r="L154" s="16" t="s">
        <v>38</v>
      </c>
      <c r="M154" s="14">
        <v>0</v>
      </c>
      <c r="N154" s="15">
        <v>0</v>
      </c>
      <c r="O154" s="16" t="s">
        <v>38</v>
      </c>
      <c r="P154" s="17">
        <v>0</v>
      </c>
      <c r="Q154" s="14">
        <v>2257</v>
      </c>
      <c r="R154" s="14">
        <v>5245</v>
      </c>
      <c r="S154" s="16">
        <v>132.38999999999999</v>
      </c>
      <c r="T154" s="14">
        <v>11536</v>
      </c>
      <c r="U154" s="60">
        <v>14310</v>
      </c>
      <c r="V154" s="16">
        <v>24.05</v>
      </c>
      <c r="W154" s="66">
        <v>0.03</v>
      </c>
      <c r="X154" s="18">
        <v>224.32</v>
      </c>
      <c r="Y154" s="15">
        <v>565.85</v>
      </c>
      <c r="Z154" s="16">
        <v>152.25</v>
      </c>
      <c r="AA154" s="19">
        <v>1118.8800000000001</v>
      </c>
      <c r="AB154" s="15">
        <v>1524.53</v>
      </c>
      <c r="AC154" s="16">
        <v>36.25</v>
      </c>
      <c r="AD154" s="17">
        <v>0.32</v>
      </c>
    </row>
    <row r="155" spans="1:30" ht="15.65" thickBot="1">
      <c r="A155" s="12"/>
      <c r="B155" s="13" t="s">
        <v>41</v>
      </c>
      <c r="C155" s="14">
        <v>0.28000000000000003</v>
      </c>
      <c r="D155" s="15">
        <v>0.26</v>
      </c>
      <c r="E155" s="16">
        <v>-5.64</v>
      </c>
      <c r="F155" s="14">
        <v>1.24</v>
      </c>
      <c r="G155" s="15">
        <v>0.77</v>
      </c>
      <c r="H155" s="16">
        <v>-38.03</v>
      </c>
      <c r="I155" s="66">
        <v>0</v>
      </c>
      <c r="J155" s="14">
        <v>0</v>
      </c>
      <c r="K155" s="15">
        <v>0</v>
      </c>
      <c r="L155" s="16" t="s">
        <v>38</v>
      </c>
      <c r="M155" s="14">
        <v>0</v>
      </c>
      <c r="N155" s="15">
        <v>0</v>
      </c>
      <c r="O155" s="16" t="s">
        <v>38</v>
      </c>
      <c r="P155" s="17">
        <v>0</v>
      </c>
      <c r="Q155" s="14">
        <v>167</v>
      </c>
      <c r="R155" s="14">
        <v>136</v>
      </c>
      <c r="S155" s="16">
        <v>-18.559999999999999</v>
      </c>
      <c r="T155" s="14">
        <v>819</v>
      </c>
      <c r="U155" s="60">
        <v>386</v>
      </c>
      <c r="V155" s="16">
        <v>-52.87</v>
      </c>
      <c r="W155" s="66">
        <v>0.01</v>
      </c>
      <c r="X155" s="14">
        <v>39.03</v>
      </c>
      <c r="Y155" s="15">
        <v>37.32</v>
      </c>
      <c r="Z155" s="16">
        <v>-4.37</v>
      </c>
      <c r="AA155" s="14">
        <v>181.17</v>
      </c>
      <c r="AB155" s="15">
        <v>110.86</v>
      </c>
      <c r="AC155" s="16">
        <v>-38.81</v>
      </c>
      <c r="AD155" s="17">
        <v>0.2</v>
      </c>
    </row>
    <row r="156" spans="1:30" ht="15.65" thickBot="1">
      <c r="A156" s="12"/>
      <c r="B156" s="20" t="s">
        <v>42</v>
      </c>
      <c r="C156" s="18">
        <v>0.88</v>
      </c>
      <c r="D156" s="15">
        <v>3.34</v>
      </c>
      <c r="E156" s="16">
        <v>279.51</v>
      </c>
      <c r="F156" s="19">
        <v>5.71</v>
      </c>
      <c r="G156" s="15">
        <v>20.64</v>
      </c>
      <c r="H156" s="16">
        <v>261.33999999999997</v>
      </c>
      <c r="I156" s="66">
        <v>0.76</v>
      </c>
      <c r="J156" s="14">
        <v>0</v>
      </c>
      <c r="K156" s="15">
        <v>1</v>
      </c>
      <c r="L156" s="16" t="s">
        <v>38</v>
      </c>
      <c r="M156" s="14">
        <v>3</v>
      </c>
      <c r="N156" s="15">
        <v>9</v>
      </c>
      <c r="O156" s="16">
        <v>200</v>
      </c>
      <c r="P156" s="17">
        <v>0.06</v>
      </c>
      <c r="Q156" s="14">
        <v>33457</v>
      </c>
      <c r="R156" s="14">
        <v>119844</v>
      </c>
      <c r="S156" s="16">
        <v>258.2</v>
      </c>
      <c r="T156" s="14">
        <v>190253</v>
      </c>
      <c r="U156" s="60">
        <v>669721</v>
      </c>
      <c r="V156" s="16">
        <v>252.02</v>
      </c>
      <c r="W156" s="66">
        <v>1.73</v>
      </c>
      <c r="X156" s="18">
        <v>783.01</v>
      </c>
      <c r="Y156" s="15">
        <v>2547.89</v>
      </c>
      <c r="Z156" s="16">
        <v>225.4</v>
      </c>
      <c r="AA156" s="19">
        <v>4326.78</v>
      </c>
      <c r="AB156" s="15">
        <v>13835.75</v>
      </c>
      <c r="AC156" s="16">
        <v>219.77</v>
      </c>
      <c r="AD156" s="17">
        <v>1.67</v>
      </c>
    </row>
    <row r="157" spans="1:30" ht="15.65" thickBot="1">
      <c r="A157" s="12"/>
      <c r="B157" s="20"/>
      <c r="C157" s="21"/>
      <c r="D157" s="22"/>
      <c r="E157" s="23"/>
      <c r="F157" s="13"/>
      <c r="G157" s="22"/>
      <c r="H157" s="23"/>
      <c r="I157" s="67"/>
      <c r="J157" s="20"/>
      <c r="K157" s="22"/>
      <c r="L157" s="23"/>
      <c r="M157" s="20"/>
      <c r="N157" s="22"/>
      <c r="O157" s="23"/>
      <c r="P157" s="24"/>
      <c r="Q157" s="20"/>
      <c r="R157" s="20"/>
      <c r="S157" s="23"/>
      <c r="T157" s="20"/>
      <c r="U157" s="61"/>
      <c r="V157" s="23"/>
      <c r="W157" s="67"/>
      <c r="X157" s="21"/>
      <c r="Y157" s="22"/>
      <c r="Z157" s="23"/>
      <c r="AA157" s="13"/>
      <c r="AB157" s="22"/>
      <c r="AC157" s="23"/>
      <c r="AD157" s="24"/>
    </row>
    <row r="158" spans="1:30" ht="16.899999999999999" thickBot="1">
      <c r="A158" s="6">
        <v>23</v>
      </c>
      <c r="B158" s="7" t="s">
        <v>62</v>
      </c>
      <c r="C158" s="8">
        <v>182.32</v>
      </c>
      <c r="D158" s="8">
        <v>265.57</v>
      </c>
      <c r="E158" s="9">
        <v>45.67</v>
      </c>
      <c r="F158" s="8">
        <v>783.96</v>
      </c>
      <c r="G158" s="8">
        <v>1308.2</v>
      </c>
      <c r="H158" s="9">
        <v>66.87</v>
      </c>
      <c r="I158" s="65">
        <v>1.04</v>
      </c>
      <c r="J158" s="11">
        <v>27437</v>
      </c>
      <c r="K158" s="11">
        <v>41975</v>
      </c>
      <c r="L158" s="9">
        <v>52.99</v>
      </c>
      <c r="M158" s="11">
        <v>117952</v>
      </c>
      <c r="N158" s="11">
        <v>191007</v>
      </c>
      <c r="O158" s="9">
        <v>61.94</v>
      </c>
      <c r="P158" s="10">
        <v>1.64</v>
      </c>
      <c r="Q158" s="11">
        <v>7880</v>
      </c>
      <c r="R158" s="11">
        <v>48063</v>
      </c>
      <c r="S158" s="9">
        <v>509.94</v>
      </c>
      <c r="T158" s="11">
        <v>59915</v>
      </c>
      <c r="U158" s="59">
        <v>272533</v>
      </c>
      <c r="V158" s="9">
        <v>354.87</v>
      </c>
      <c r="W158" s="65">
        <v>0.28000000000000003</v>
      </c>
      <c r="X158" s="8">
        <v>9696.41</v>
      </c>
      <c r="Y158" s="8">
        <v>26590.86</v>
      </c>
      <c r="Z158" s="9">
        <v>174.23</v>
      </c>
      <c r="AA158" s="8">
        <v>45257.16</v>
      </c>
      <c r="AB158" s="8">
        <v>121940.51</v>
      </c>
      <c r="AC158" s="9">
        <v>169.44</v>
      </c>
      <c r="AD158" s="10">
        <v>5.63</v>
      </c>
    </row>
    <row r="159" spans="1:30" ht="15.65" thickBot="1">
      <c r="A159" s="12"/>
      <c r="B159" s="13" t="s">
        <v>37</v>
      </c>
      <c r="C159" s="18">
        <v>0.4</v>
      </c>
      <c r="D159" s="15">
        <v>18.059999999999999</v>
      </c>
      <c r="E159" s="16">
        <v>4375.9399999999996</v>
      </c>
      <c r="F159" s="19">
        <v>2.95</v>
      </c>
      <c r="G159" s="15">
        <v>209.64</v>
      </c>
      <c r="H159" s="16">
        <v>7001.89</v>
      </c>
      <c r="I159" s="66">
        <v>1.19</v>
      </c>
      <c r="J159" s="14">
        <v>12</v>
      </c>
      <c r="K159" s="15">
        <v>133</v>
      </c>
      <c r="L159" s="16">
        <v>1008.33</v>
      </c>
      <c r="M159" s="14">
        <v>100</v>
      </c>
      <c r="N159" s="15">
        <v>1320</v>
      </c>
      <c r="O159" s="16">
        <v>1220</v>
      </c>
      <c r="P159" s="17">
        <v>0.24</v>
      </c>
      <c r="Q159" s="14">
        <v>0</v>
      </c>
      <c r="R159" s="14">
        <v>0</v>
      </c>
      <c r="S159" s="16" t="s">
        <v>38</v>
      </c>
      <c r="T159" s="14">
        <v>0</v>
      </c>
      <c r="U159" s="60">
        <v>0</v>
      </c>
      <c r="V159" s="16" t="s">
        <v>38</v>
      </c>
      <c r="W159" s="66" t="s">
        <v>38</v>
      </c>
      <c r="X159" s="18">
        <v>0.49</v>
      </c>
      <c r="Y159" s="15">
        <v>18.73</v>
      </c>
      <c r="Z159" s="16">
        <v>3722.59</v>
      </c>
      <c r="AA159" s="19">
        <v>3.83</v>
      </c>
      <c r="AB159" s="15">
        <v>215.79</v>
      </c>
      <c r="AC159" s="16">
        <v>5537.73</v>
      </c>
      <c r="AD159" s="17">
        <v>1.77</v>
      </c>
    </row>
    <row r="160" spans="1:30" ht="15.65" thickBot="1">
      <c r="A160" s="12"/>
      <c r="B160" s="13" t="s">
        <v>39</v>
      </c>
      <c r="C160" s="14">
        <v>172.9</v>
      </c>
      <c r="D160" s="15">
        <v>219.21</v>
      </c>
      <c r="E160" s="16">
        <v>26.78</v>
      </c>
      <c r="F160" s="14">
        <v>733.17</v>
      </c>
      <c r="G160" s="15">
        <v>1028.5999999999999</v>
      </c>
      <c r="H160" s="16">
        <v>40.29</v>
      </c>
      <c r="I160" s="66">
        <v>3.56</v>
      </c>
      <c r="J160" s="14">
        <v>27419</v>
      </c>
      <c r="K160" s="15">
        <v>41816</v>
      </c>
      <c r="L160" s="16">
        <v>52.51</v>
      </c>
      <c r="M160" s="14">
        <v>117779</v>
      </c>
      <c r="N160" s="15">
        <v>189566</v>
      </c>
      <c r="O160" s="16">
        <v>60.95</v>
      </c>
      <c r="P160" s="17">
        <v>1.71</v>
      </c>
      <c r="Q160" s="14">
        <v>0</v>
      </c>
      <c r="R160" s="14">
        <v>0</v>
      </c>
      <c r="S160" s="16" t="s">
        <v>38</v>
      </c>
      <c r="T160" s="14">
        <v>0</v>
      </c>
      <c r="U160" s="60">
        <v>0</v>
      </c>
      <c r="V160" s="16" t="s">
        <v>38</v>
      </c>
      <c r="W160" s="66" t="s">
        <v>38</v>
      </c>
      <c r="X160" s="14">
        <v>9441.3700000000008</v>
      </c>
      <c r="Y160" s="15">
        <v>18958.509999999998</v>
      </c>
      <c r="Z160" s="16">
        <v>100.8</v>
      </c>
      <c r="AA160" s="14">
        <v>42870.87</v>
      </c>
      <c r="AB160" s="15">
        <v>79424.37</v>
      </c>
      <c r="AC160" s="16">
        <v>85.26</v>
      </c>
      <c r="AD160" s="17">
        <v>10.08</v>
      </c>
    </row>
    <row r="161" spans="1:30" ht="15.65" thickBot="1">
      <c r="A161" s="12"/>
      <c r="B161" s="13" t="s">
        <v>40</v>
      </c>
      <c r="C161" s="18">
        <v>2.86</v>
      </c>
      <c r="D161" s="15">
        <v>3.13</v>
      </c>
      <c r="E161" s="16">
        <v>9.5399999999999991</v>
      </c>
      <c r="F161" s="19">
        <v>6.22</v>
      </c>
      <c r="G161" s="15">
        <v>22</v>
      </c>
      <c r="H161" s="16">
        <v>253.7</v>
      </c>
      <c r="I161" s="66">
        <v>0.04</v>
      </c>
      <c r="J161" s="14">
        <v>1</v>
      </c>
      <c r="K161" s="15">
        <v>0</v>
      </c>
      <c r="L161" s="16">
        <v>-100</v>
      </c>
      <c r="M161" s="14">
        <v>7</v>
      </c>
      <c r="N161" s="15">
        <v>0</v>
      </c>
      <c r="O161" s="16">
        <v>-100</v>
      </c>
      <c r="P161" s="17">
        <v>0</v>
      </c>
      <c r="Q161" s="14">
        <v>2285</v>
      </c>
      <c r="R161" s="14">
        <v>3695</v>
      </c>
      <c r="S161" s="16">
        <v>61.71</v>
      </c>
      <c r="T161" s="14">
        <v>7902</v>
      </c>
      <c r="U161" s="60">
        <v>24351</v>
      </c>
      <c r="V161" s="16">
        <v>208.16</v>
      </c>
      <c r="W161" s="66">
        <v>0.04</v>
      </c>
      <c r="X161" s="18">
        <v>223.26</v>
      </c>
      <c r="Y161" s="15">
        <v>270.86</v>
      </c>
      <c r="Z161" s="16">
        <v>21.32</v>
      </c>
      <c r="AA161" s="19">
        <v>596.52</v>
      </c>
      <c r="AB161" s="15">
        <v>1783.27</v>
      </c>
      <c r="AC161" s="16">
        <v>198.94</v>
      </c>
      <c r="AD161" s="17">
        <v>0.37</v>
      </c>
    </row>
    <row r="162" spans="1:30" ht="15.65" thickBot="1">
      <c r="A162" s="12"/>
      <c r="B162" s="13" t="s">
        <v>41</v>
      </c>
      <c r="C162" s="18">
        <v>6.17</v>
      </c>
      <c r="D162" s="15">
        <v>24.01</v>
      </c>
      <c r="E162" s="16">
        <v>289.23</v>
      </c>
      <c r="F162" s="19">
        <v>39.22</v>
      </c>
      <c r="G162" s="15">
        <v>33.409999999999997</v>
      </c>
      <c r="H162" s="16">
        <v>-14.81</v>
      </c>
      <c r="I162" s="66">
        <v>0.17</v>
      </c>
      <c r="J162" s="14">
        <v>5</v>
      </c>
      <c r="K162" s="15">
        <v>7</v>
      </c>
      <c r="L162" s="16">
        <v>40</v>
      </c>
      <c r="M162" s="14">
        <v>50</v>
      </c>
      <c r="N162" s="15">
        <v>46</v>
      </c>
      <c r="O162" s="16">
        <v>-8</v>
      </c>
      <c r="P162" s="17">
        <v>3.33</v>
      </c>
      <c r="Q162" s="14">
        <v>5491</v>
      </c>
      <c r="R162" s="14">
        <v>8969</v>
      </c>
      <c r="S162" s="16">
        <v>63.34</v>
      </c>
      <c r="T162" s="14">
        <v>42769</v>
      </c>
      <c r="U162" s="60">
        <v>42245</v>
      </c>
      <c r="V162" s="16">
        <v>-1.23</v>
      </c>
      <c r="W162" s="66">
        <v>1.06</v>
      </c>
      <c r="X162" s="18">
        <v>1.29</v>
      </c>
      <c r="Y162" s="15">
        <v>6.13</v>
      </c>
      <c r="Z162" s="16">
        <v>374.76</v>
      </c>
      <c r="AA162" s="19">
        <v>16.09</v>
      </c>
      <c r="AB162" s="15">
        <v>14.14</v>
      </c>
      <c r="AC162" s="16">
        <v>-12.11</v>
      </c>
      <c r="AD162" s="17">
        <v>0.03</v>
      </c>
    </row>
    <row r="163" spans="1:30" ht="15.65" thickBot="1">
      <c r="A163" s="12"/>
      <c r="B163" s="20" t="s">
        <v>42</v>
      </c>
      <c r="C163" s="18">
        <v>-0.02</v>
      </c>
      <c r="D163" s="15">
        <v>1.1599999999999999</v>
      </c>
      <c r="E163" s="16">
        <v>-5198.24</v>
      </c>
      <c r="F163" s="19">
        <v>2.39</v>
      </c>
      <c r="G163" s="15">
        <v>14.56</v>
      </c>
      <c r="H163" s="16">
        <v>508.28</v>
      </c>
      <c r="I163" s="66">
        <v>0.54</v>
      </c>
      <c r="J163" s="14">
        <v>0</v>
      </c>
      <c r="K163" s="15">
        <v>19</v>
      </c>
      <c r="L163" s="16" t="s">
        <v>38</v>
      </c>
      <c r="M163" s="14">
        <v>16</v>
      </c>
      <c r="N163" s="15">
        <v>75</v>
      </c>
      <c r="O163" s="16">
        <v>368.75</v>
      </c>
      <c r="P163" s="17">
        <v>0.53</v>
      </c>
      <c r="Q163" s="14">
        <v>104</v>
      </c>
      <c r="R163" s="14">
        <v>35399</v>
      </c>
      <c r="S163" s="16">
        <v>33937.5</v>
      </c>
      <c r="T163" s="14">
        <v>9244</v>
      </c>
      <c r="U163" s="60">
        <v>205937</v>
      </c>
      <c r="V163" s="16">
        <v>2127.79</v>
      </c>
      <c r="W163" s="66">
        <v>0.53</v>
      </c>
      <c r="X163" s="18">
        <v>30</v>
      </c>
      <c r="Y163" s="15">
        <v>7336.63</v>
      </c>
      <c r="Z163" s="16">
        <v>24351.41</v>
      </c>
      <c r="AA163" s="19">
        <v>1769.85</v>
      </c>
      <c r="AB163" s="15">
        <v>40502.94</v>
      </c>
      <c r="AC163" s="16">
        <v>2188.5</v>
      </c>
      <c r="AD163" s="17">
        <v>4.9000000000000004</v>
      </c>
    </row>
    <row r="164" spans="1:30" ht="15.65" thickBot="1">
      <c r="A164" s="12"/>
      <c r="B164" s="20"/>
      <c r="C164" s="21"/>
      <c r="D164" s="22"/>
      <c r="E164" s="23"/>
      <c r="F164" s="13"/>
      <c r="G164" s="22"/>
      <c r="H164" s="23"/>
      <c r="I164" s="67"/>
      <c r="J164" s="20"/>
      <c r="K164" s="22"/>
      <c r="L164" s="23"/>
      <c r="M164" s="20"/>
      <c r="N164" s="22"/>
      <c r="O164" s="23"/>
      <c r="P164" s="24"/>
      <c r="Q164" s="20"/>
      <c r="R164" s="20"/>
      <c r="S164" s="23"/>
      <c r="T164" s="20"/>
      <c r="U164" s="61"/>
      <c r="V164" s="23"/>
      <c r="W164" s="67"/>
      <c r="X164" s="21"/>
      <c r="Y164" s="22"/>
      <c r="Z164" s="23"/>
      <c r="AA164" s="13"/>
      <c r="AB164" s="22"/>
      <c r="AC164" s="23"/>
      <c r="AD164" s="24"/>
    </row>
    <row r="165" spans="1:30" ht="16.899999999999999" thickBot="1">
      <c r="A165" s="28"/>
      <c r="B165" s="7" t="s">
        <v>63</v>
      </c>
      <c r="C165" s="8">
        <v>6711.86</v>
      </c>
      <c r="D165" s="8">
        <v>7297.46</v>
      </c>
      <c r="E165" s="9">
        <v>8.7200000000000006</v>
      </c>
      <c r="F165" s="8">
        <v>29598.35</v>
      </c>
      <c r="G165" s="8">
        <v>35777.89</v>
      </c>
      <c r="H165" s="9">
        <v>20.88</v>
      </c>
      <c r="I165" s="65">
        <v>28.45</v>
      </c>
      <c r="J165" s="11">
        <v>627097</v>
      </c>
      <c r="K165" s="11">
        <v>622629</v>
      </c>
      <c r="L165" s="9">
        <v>-0.71</v>
      </c>
      <c r="M165" s="11">
        <v>3002055</v>
      </c>
      <c r="N165" s="11">
        <v>3156217</v>
      </c>
      <c r="O165" s="9">
        <v>5.14</v>
      </c>
      <c r="P165" s="10">
        <v>27.04</v>
      </c>
      <c r="Q165" s="11">
        <v>14454030</v>
      </c>
      <c r="R165" s="11">
        <v>14851137</v>
      </c>
      <c r="S165" s="9">
        <v>2.75</v>
      </c>
      <c r="T165" s="11">
        <v>78392420</v>
      </c>
      <c r="U165" s="59">
        <v>87486819</v>
      </c>
      <c r="V165" s="9">
        <v>11.6</v>
      </c>
      <c r="W165" s="65">
        <v>88.6</v>
      </c>
      <c r="X165" s="8">
        <v>267870.83</v>
      </c>
      <c r="Y165" s="8">
        <v>327583.32</v>
      </c>
      <c r="Z165" s="9">
        <v>22.29</v>
      </c>
      <c r="AA165" s="8">
        <v>1495107.01</v>
      </c>
      <c r="AB165" s="8">
        <v>1892979.82</v>
      </c>
      <c r="AC165" s="9">
        <v>26.61</v>
      </c>
      <c r="AD165" s="10">
        <v>87.46</v>
      </c>
    </row>
    <row r="166" spans="1:30" ht="15.65" thickBot="1">
      <c r="A166" s="29"/>
      <c r="B166" s="13" t="s">
        <v>37</v>
      </c>
      <c r="C166" s="14">
        <v>603.75</v>
      </c>
      <c r="D166" s="14">
        <v>698.05</v>
      </c>
      <c r="E166" s="16">
        <v>15.62</v>
      </c>
      <c r="F166" s="14">
        <v>2894.8</v>
      </c>
      <c r="G166" s="14">
        <v>4011.25</v>
      </c>
      <c r="H166" s="16">
        <v>38.57</v>
      </c>
      <c r="I166" s="66">
        <v>22.7</v>
      </c>
      <c r="J166" s="14">
        <v>22678</v>
      </c>
      <c r="K166" s="14">
        <v>19003</v>
      </c>
      <c r="L166" s="16">
        <v>-16.21</v>
      </c>
      <c r="M166" s="14">
        <v>106145</v>
      </c>
      <c r="N166" s="14">
        <v>97356</v>
      </c>
      <c r="O166" s="16">
        <v>-8.2799999999999994</v>
      </c>
      <c r="P166" s="17">
        <v>17.38</v>
      </c>
      <c r="Q166" s="14">
        <v>0</v>
      </c>
      <c r="R166" s="14">
        <v>0</v>
      </c>
      <c r="S166" s="16" t="s">
        <v>38</v>
      </c>
      <c r="T166" s="14">
        <v>0</v>
      </c>
      <c r="U166" s="60">
        <v>0</v>
      </c>
      <c r="V166" s="16" t="s">
        <v>38</v>
      </c>
      <c r="W166" s="66" t="s">
        <v>38</v>
      </c>
      <c r="X166" s="14">
        <v>2401.5100000000002</v>
      </c>
      <c r="Y166" s="14">
        <v>1368.31</v>
      </c>
      <c r="Z166" s="16">
        <v>-43.02</v>
      </c>
      <c r="AA166" s="14">
        <v>11671.58</v>
      </c>
      <c r="AB166" s="14">
        <v>6596.75</v>
      </c>
      <c r="AC166" s="16">
        <v>-43.48</v>
      </c>
      <c r="AD166" s="17">
        <v>54.24</v>
      </c>
    </row>
    <row r="167" spans="1:30" ht="15.65" thickBot="1">
      <c r="A167" s="29"/>
      <c r="B167" s="13" t="s">
        <v>39</v>
      </c>
      <c r="C167" s="14">
        <v>3513.45</v>
      </c>
      <c r="D167" s="14">
        <v>3594.4</v>
      </c>
      <c r="E167" s="16">
        <v>2.2999999999999998</v>
      </c>
      <c r="F167" s="14">
        <v>15309.65</v>
      </c>
      <c r="G167" s="14">
        <v>17686.87</v>
      </c>
      <c r="H167" s="16">
        <v>15.53</v>
      </c>
      <c r="I167" s="66">
        <v>61.2</v>
      </c>
      <c r="J167" s="14">
        <v>603832</v>
      </c>
      <c r="K167" s="14">
        <v>603127</v>
      </c>
      <c r="L167" s="16">
        <v>-0.12</v>
      </c>
      <c r="M167" s="14">
        <v>2892310</v>
      </c>
      <c r="N167" s="14">
        <v>3055301</v>
      </c>
      <c r="O167" s="16">
        <v>5.64</v>
      </c>
      <c r="P167" s="17">
        <v>27.54</v>
      </c>
      <c r="Q167" s="14">
        <v>0</v>
      </c>
      <c r="R167" s="14">
        <v>0</v>
      </c>
      <c r="S167" s="16" t="s">
        <v>38</v>
      </c>
      <c r="T167" s="14">
        <v>0</v>
      </c>
      <c r="U167" s="60">
        <v>0</v>
      </c>
      <c r="V167" s="16" t="s">
        <v>38</v>
      </c>
      <c r="W167" s="66" t="s">
        <v>38</v>
      </c>
      <c r="X167" s="14">
        <v>97716.11</v>
      </c>
      <c r="Y167" s="14">
        <v>111658.69</v>
      </c>
      <c r="Z167" s="16">
        <v>14.27</v>
      </c>
      <c r="AA167" s="14">
        <v>471771.99</v>
      </c>
      <c r="AB167" s="14">
        <v>572329.89</v>
      </c>
      <c r="AC167" s="16">
        <v>21.31</v>
      </c>
      <c r="AD167" s="17">
        <v>72.650000000000006</v>
      </c>
    </row>
    <row r="168" spans="1:30" ht="15.65" thickBot="1">
      <c r="A168" s="29"/>
      <c r="B168" s="13" t="s">
        <v>40</v>
      </c>
      <c r="C168" s="14">
        <v>2283.6999999999998</v>
      </c>
      <c r="D168" s="14">
        <v>2665.56</v>
      </c>
      <c r="E168" s="16">
        <v>16.72</v>
      </c>
      <c r="F168" s="14">
        <v>9716.83</v>
      </c>
      <c r="G168" s="14">
        <v>11761.17</v>
      </c>
      <c r="H168" s="16">
        <v>21.04</v>
      </c>
      <c r="I168" s="66">
        <v>20.86</v>
      </c>
      <c r="J168" s="14">
        <v>90</v>
      </c>
      <c r="K168" s="14">
        <v>83</v>
      </c>
      <c r="L168" s="16">
        <v>-7.78</v>
      </c>
      <c r="M168" s="14">
        <v>540</v>
      </c>
      <c r="N168" s="14">
        <v>551</v>
      </c>
      <c r="O168" s="16">
        <v>2.04</v>
      </c>
      <c r="P168" s="17">
        <v>48.8</v>
      </c>
      <c r="Q168" s="14">
        <v>7689509</v>
      </c>
      <c r="R168" s="14">
        <v>10014099</v>
      </c>
      <c r="S168" s="16">
        <v>30.23</v>
      </c>
      <c r="T168" s="14">
        <v>44129484</v>
      </c>
      <c r="U168" s="60">
        <v>56031926</v>
      </c>
      <c r="V168" s="16">
        <v>26.97</v>
      </c>
      <c r="W168" s="66">
        <v>99.84</v>
      </c>
      <c r="X168" s="14">
        <v>67825.009999999995</v>
      </c>
      <c r="Y168" s="14">
        <v>78533.86</v>
      </c>
      <c r="Z168" s="16">
        <v>15.79</v>
      </c>
      <c r="AA168" s="14">
        <v>446933.17</v>
      </c>
      <c r="AB168" s="14">
        <v>481959.93</v>
      </c>
      <c r="AC168" s="16">
        <v>7.84</v>
      </c>
      <c r="AD168" s="17">
        <v>99.82</v>
      </c>
    </row>
    <row r="169" spans="1:30" ht="15.65" thickBot="1">
      <c r="A169" s="29"/>
      <c r="B169" s="13" t="s">
        <v>41</v>
      </c>
      <c r="C169" s="14">
        <v>18.010000000000002</v>
      </c>
      <c r="D169" s="14">
        <v>34.43</v>
      </c>
      <c r="E169" s="16">
        <v>91.17</v>
      </c>
      <c r="F169" s="14">
        <v>147.61000000000001</v>
      </c>
      <c r="G169" s="14">
        <v>79.790000000000006</v>
      </c>
      <c r="H169" s="16">
        <v>-45.95</v>
      </c>
      <c r="I169" s="66">
        <v>0.4</v>
      </c>
      <c r="J169" s="14">
        <v>45</v>
      </c>
      <c r="K169" s="14">
        <v>34</v>
      </c>
      <c r="L169" s="16">
        <v>-24.44</v>
      </c>
      <c r="M169" s="14">
        <v>273</v>
      </c>
      <c r="N169" s="14">
        <v>189</v>
      </c>
      <c r="O169" s="16">
        <v>-30.77</v>
      </c>
      <c r="P169" s="17">
        <v>13.7</v>
      </c>
      <c r="Q169" s="14">
        <v>216458</v>
      </c>
      <c r="R169" s="14">
        <v>89044</v>
      </c>
      <c r="S169" s="16">
        <v>-58.86</v>
      </c>
      <c r="T169" s="14">
        <v>1836043</v>
      </c>
      <c r="U169" s="60">
        <v>962743</v>
      </c>
      <c r="V169" s="16">
        <v>-47.56</v>
      </c>
      <c r="W169" s="66">
        <v>24.2</v>
      </c>
      <c r="X169" s="14">
        <v>4111.16</v>
      </c>
      <c r="Y169" s="14">
        <v>4794.63</v>
      </c>
      <c r="Z169" s="16">
        <v>16.62</v>
      </c>
      <c r="AA169" s="14">
        <v>60087.3</v>
      </c>
      <c r="AB169" s="14">
        <v>49835.61</v>
      </c>
      <c r="AC169" s="16">
        <v>-17.059999999999999</v>
      </c>
      <c r="AD169" s="17">
        <v>89.53</v>
      </c>
    </row>
    <row r="170" spans="1:30" ht="15.65" thickBot="1">
      <c r="A170" s="29"/>
      <c r="B170" s="20" t="s">
        <v>42</v>
      </c>
      <c r="C170" s="14">
        <v>292.95</v>
      </c>
      <c r="D170" s="14">
        <v>305.01</v>
      </c>
      <c r="E170" s="16">
        <v>4.12</v>
      </c>
      <c r="F170" s="14">
        <v>1529.45</v>
      </c>
      <c r="G170" s="14">
        <v>2238.8200000000002</v>
      </c>
      <c r="H170" s="16">
        <v>46.38</v>
      </c>
      <c r="I170" s="66">
        <v>82.82</v>
      </c>
      <c r="J170" s="14">
        <v>452</v>
      </c>
      <c r="K170" s="14">
        <v>382</v>
      </c>
      <c r="L170" s="16">
        <v>-15.49</v>
      </c>
      <c r="M170" s="14">
        <v>2787</v>
      </c>
      <c r="N170" s="14">
        <v>2820</v>
      </c>
      <c r="O170" s="16">
        <v>1.18</v>
      </c>
      <c r="P170" s="17">
        <v>19.96</v>
      </c>
      <c r="Q170" s="14">
        <v>6548063</v>
      </c>
      <c r="R170" s="14">
        <v>4747994</v>
      </c>
      <c r="S170" s="16">
        <v>-27.49</v>
      </c>
      <c r="T170" s="14">
        <v>32426893</v>
      </c>
      <c r="U170" s="60">
        <v>30492150</v>
      </c>
      <c r="V170" s="16">
        <v>-5.97</v>
      </c>
      <c r="W170" s="66">
        <v>78.900000000000006</v>
      </c>
      <c r="X170" s="14">
        <v>95817.04</v>
      </c>
      <c r="Y170" s="14">
        <v>131227.82999999999</v>
      </c>
      <c r="Z170" s="16">
        <v>36.96</v>
      </c>
      <c r="AA170" s="14">
        <v>504642.96</v>
      </c>
      <c r="AB170" s="14">
        <v>782257.64</v>
      </c>
      <c r="AC170" s="16">
        <v>55.01</v>
      </c>
      <c r="AD170" s="17">
        <v>94.7</v>
      </c>
    </row>
    <row r="171" spans="1:30" ht="15.65" thickBot="1">
      <c r="A171" s="29"/>
      <c r="B171" s="20"/>
      <c r="C171" s="20"/>
      <c r="D171" s="20"/>
      <c r="E171" s="23"/>
      <c r="F171" s="20"/>
      <c r="G171" s="20"/>
      <c r="H171" s="23"/>
      <c r="I171" s="67"/>
      <c r="J171" s="20"/>
      <c r="K171" s="20"/>
      <c r="L171" s="23"/>
      <c r="M171" s="20"/>
      <c r="N171" s="20"/>
      <c r="O171" s="23"/>
      <c r="P171" s="24"/>
      <c r="Q171" s="20"/>
      <c r="R171" s="20"/>
      <c r="S171" s="23"/>
      <c r="T171" s="20"/>
      <c r="U171" s="61"/>
      <c r="V171" s="23"/>
      <c r="W171" s="67"/>
      <c r="X171" s="20"/>
      <c r="Y171" s="20"/>
      <c r="Z171" s="23"/>
      <c r="AA171" s="20"/>
      <c r="AB171" s="20"/>
      <c r="AC171" s="23"/>
      <c r="AD171" s="24"/>
    </row>
    <row r="172" spans="1:30" ht="16.899999999999999" thickBot="1">
      <c r="A172" s="6">
        <v>24</v>
      </c>
      <c r="B172" s="7" t="s">
        <v>64</v>
      </c>
      <c r="C172" s="30">
        <v>10778.81</v>
      </c>
      <c r="D172" s="30">
        <v>12759.24</v>
      </c>
      <c r="E172" s="9">
        <v>18.37</v>
      </c>
      <c r="F172" s="30">
        <v>63480.68</v>
      </c>
      <c r="G172" s="30">
        <v>89980.22</v>
      </c>
      <c r="H172" s="9">
        <v>41.74</v>
      </c>
      <c r="I172" s="65">
        <v>71.55</v>
      </c>
      <c r="J172" s="31">
        <v>1593093</v>
      </c>
      <c r="K172" s="31">
        <v>1720114</v>
      </c>
      <c r="L172" s="9">
        <v>7.97</v>
      </c>
      <c r="M172" s="31">
        <v>8604051</v>
      </c>
      <c r="N172" s="31">
        <v>8516503</v>
      </c>
      <c r="O172" s="9">
        <v>-1.02</v>
      </c>
      <c r="P172" s="9">
        <v>72.959999999999994</v>
      </c>
      <c r="Q172" s="31">
        <v>2259514</v>
      </c>
      <c r="R172" s="31">
        <v>1646579</v>
      </c>
      <c r="S172" s="9">
        <v>-27.13</v>
      </c>
      <c r="T172" s="31">
        <v>22120152</v>
      </c>
      <c r="U172" s="59">
        <v>11259008</v>
      </c>
      <c r="V172" s="9">
        <v>-49.1</v>
      </c>
      <c r="W172" s="65">
        <v>11.4</v>
      </c>
      <c r="X172" s="30">
        <v>66700.240000000005</v>
      </c>
      <c r="Y172" s="30">
        <v>48692.69</v>
      </c>
      <c r="Z172" s="9">
        <v>-27</v>
      </c>
      <c r="AA172" s="30">
        <v>507833.1</v>
      </c>
      <c r="AB172" s="30">
        <v>271520.51</v>
      </c>
      <c r="AC172" s="9">
        <v>-46.53</v>
      </c>
      <c r="AD172" s="9">
        <v>12.54</v>
      </c>
    </row>
    <row r="173" spans="1:30" ht="15.65" thickBot="1">
      <c r="A173" s="29"/>
      <c r="B173" s="13" t="s">
        <v>37</v>
      </c>
      <c r="C173" s="14">
        <v>2267.67</v>
      </c>
      <c r="D173" s="14">
        <v>978.18</v>
      </c>
      <c r="E173" s="16">
        <v>-56.86</v>
      </c>
      <c r="F173" s="14">
        <v>9275.07</v>
      </c>
      <c r="G173" s="14">
        <v>13656.49</v>
      </c>
      <c r="H173" s="16">
        <v>47.24</v>
      </c>
      <c r="I173" s="66">
        <v>77.3</v>
      </c>
      <c r="J173" s="14">
        <v>96077</v>
      </c>
      <c r="K173" s="14">
        <v>58841</v>
      </c>
      <c r="L173" s="16">
        <v>-38.76</v>
      </c>
      <c r="M173" s="14">
        <v>481550</v>
      </c>
      <c r="N173" s="14">
        <v>462850</v>
      </c>
      <c r="O173" s="16">
        <v>-3.88</v>
      </c>
      <c r="P173" s="16">
        <v>82.62</v>
      </c>
      <c r="Q173" s="14">
        <v>0</v>
      </c>
      <c r="R173" s="14">
        <v>0</v>
      </c>
      <c r="S173" s="16" t="s">
        <v>38</v>
      </c>
      <c r="T173" s="14">
        <v>0</v>
      </c>
      <c r="U173" s="60">
        <v>0</v>
      </c>
      <c r="V173" s="16" t="s">
        <v>38</v>
      </c>
      <c r="W173" s="66" t="s">
        <v>38</v>
      </c>
      <c r="X173" s="14">
        <v>861.03</v>
      </c>
      <c r="Y173" s="14">
        <v>923.05</v>
      </c>
      <c r="Z173" s="16">
        <v>7.2</v>
      </c>
      <c r="AA173" s="14">
        <v>7542</v>
      </c>
      <c r="AB173" s="14">
        <v>5565.29</v>
      </c>
      <c r="AC173" s="16">
        <v>-26.21</v>
      </c>
      <c r="AD173" s="16">
        <v>45.76</v>
      </c>
    </row>
    <row r="174" spans="1:30" ht="15.65" thickBot="1">
      <c r="A174" s="29"/>
      <c r="B174" s="13" t="s">
        <v>39</v>
      </c>
      <c r="C174" s="14">
        <v>2181.61</v>
      </c>
      <c r="D174" s="14">
        <v>2055.1999999999998</v>
      </c>
      <c r="E174" s="16">
        <v>-5.79</v>
      </c>
      <c r="F174" s="14">
        <v>11102.32</v>
      </c>
      <c r="G174" s="14">
        <v>11211.21</v>
      </c>
      <c r="H174" s="16">
        <v>0.98</v>
      </c>
      <c r="I174" s="66">
        <v>38.799999999999997</v>
      </c>
      <c r="J174" s="14">
        <v>1494736</v>
      </c>
      <c r="K174" s="14">
        <v>1658373</v>
      </c>
      <c r="L174" s="16">
        <v>10.95</v>
      </c>
      <c r="M174" s="14">
        <v>8110812</v>
      </c>
      <c r="N174" s="14">
        <v>8040574</v>
      </c>
      <c r="O174" s="16">
        <v>-0.87</v>
      </c>
      <c r="P174" s="16">
        <v>72.459999999999994</v>
      </c>
      <c r="Q174" s="14">
        <v>0</v>
      </c>
      <c r="R174" s="14">
        <v>0</v>
      </c>
      <c r="S174" s="16" t="s">
        <v>38</v>
      </c>
      <c r="T174" s="14">
        <v>0</v>
      </c>
      <c r="U174" s="60">
        <v>0</v>
      </c>
      <c r="V174" s="16" t="s">
        <v>38</v>
      </c>
      <c r="W174" s="66" t="s">
        <v>38</v>
      </c>
      <c r="X174" s="14">
        <v>41631.89</v>
      </c>
      <c r="Y174" s="14">
        <v>42046.97</v>
      </c>
      <c r="Z174" s="16">
        <v>1</v>
      </c>
      <c r="AA174" s="14">
        <v>219447.21</v>
      </c>
      <c r="AB174" s="14">
        <v>215441.9</v>
      </c>
      <c r="AC174" s="16">
        <v>-1.83</v>
      </c>
      <c r="AD174" s="16">
        <v>27.35</v>
      </c>
    </row>
    <row r="175" spans="1:30" ht="15.65" thickBot="1">
      <c r="A175" s="29"/>
      <c r="B175" s="13" t="s">
        <v>40</v>
      </c>
      <c r="C175" s="14">
        <v>6200.72</v>
      </c>
      <c r="D175" s="14">
        <v>8714.2800000000007</v>
      </c>
      <c r="E175" s="16">
        <v>40.54</v>
      </c>
      <c r="F175" s="14">
        <v>41988.56</v>
      </c>
      <c r="G175" s="14">
        <v>44626.27</v>
      </c>
      <c r="H175" s="16">
        <v>6.28</v>
      </c>
      <c r="I175" s="66">
        <v>79.14</v>
      </c>
      <c r="J175" s="14">
        <v>73</v>
      </c>
      <c r="K175" s="14">
        <v>82</v>
      </c>
      <c r="L175" s="16">
        <v>12.33</v>
      </c>
      <c r="M175" s="14">
        <v>230</v>
      </c>
      <c r="N175" s="14">
        <v>578</v>
      </c>
      <c r="O175" s="16">
        <v>151.30000000000001</v>
      </c>
      <c r="P175" s="16">
        <v>51.2</v>
      </c>
      <c r="Q175" s="14">
        <v>12073</v>
      </c>
      <c r="R175" s="14">
        <v>14501</v>
      </c>
      <c r="S175" s="16">
        <v>20.11</v>
      </c>
      <c r="T175" s="14">
        <v>62154</v>
      </c>
      <c r="U175" s="60">
        <v>87307</v>
      </c>
      <c r="V175" s="16">
        <v>40.47</v>
      </c>
      <c r="W175" s="66">
        <v>0.16</v>
      </c>
      <c r="X175" s="14">
        <v>89.47</v>
      </c>
      <c r="Y175" s="14">
        <v>119.72</v>
      </c>
      <c r="Z175" s="16">
        <v>33.799999999999997</v>
      </c>
      <c r="AA175" s="14">
        <v>439.36</v>
      </c>
      <c r="AB175" s="14">
        <v>875.91</v>
      </c>
      <c r="AC175" s="16">
        <v>99.36</v>
      </c>
      <c r="AD175" s="16">
        <v>0.18</v>
      </c>
    </row>
    <row r="176" spans="1:30" ht="15.65" thickBot="1">
      <c r="A176" s="29"/>
      <c r="B176" s="13" t="s">
        <v>41</v>
      </c>
      <c r="C176" s="19">
        <v>54.11</v>
      </c>
      <c r="D176" s="14">
        <v>696.47</v>
      </c>
      <c r="E176" s="16">
        <v>1187.07</v>
      </c>
      <c r="F176" s="19">
        <v>357.45</v>
      </c>
      <c r="G176" s="14">
        <v>20021.71</v>
      </c>
      <c r="H176" s="16">
        <v>5501.24</v>
      </c>
      <c r="I176" s="66">
        <v>99.6</v>
      </c>
      <c r="J176" s="14">
        <v>246</v>
      </c>
      <c r="K176" s="14">
        <v>231</v>
      </c>
      <c r="L176" s="16">
        <v>-6.1</v>
      </c>
      <c r="M176" s="14">
        <v>1287</v>
      </c>
      <c r="N176" s="14">
        <v>1191</v>
      </c>
      <c r="O176" s="16">
        <v>-7.46</v>
      </c>
      <c r="P176" s="16">
        <v>86.3</v>
      </c>
      <c r="Q176" s="14">
        <v>364741</v>
      </c>
      <c r="R176" s="14">
        <v>346036</v>
      </c>
      <c r="S176" s="16">
        <v>-5.13</v>
      </c>
      <c r="T176" s="14">
        <v>2410074</v>
      </c>
      <c r="U176" s="60">
        <v>3016148</v>
      </c>
      <c r="V176" s="16">
        <v>25.15</v>
      </c>
      <c r="W176" s="66">
        <v>75.8</v>
      </c>
      <c r="X176" s="19">
        <v>1095.03</v>
      </c>
      <c r="Y176" s="14">
        <v>740.79</v>
      </c>
      <c r="Z176" s="16">
        <v>-32.35</v>
      </c>
      <c r="AA176" s="19">
        <v>9769.08</v>
      </c>
      <c r="AB176" s="14">
        <v>5829.45</v>
      </c>
      <c r="AC176" s="16">
        <v>-40.33</v>
      </c>
      <c r="AD176" s="16">
        <v>10.47</v>
      </c>
    </row>
    <row r="177" spans="1:30" ht="15.65" thickBot="1">
      <c r="A177" s="29"/>
      <c r="B177" s="20" t="s">
        <v>42</v>
      </c>
      <c r="C177" s="19">
        <v>74.709999999999994</v>
      </c>
      <c r="D177" s="14">
        <v>315.12</v>
      </c>
      <c r="E177" s="16">
        <v>321.8</v>
      </c>
      <c r="F177" s="19">
        <v>757.28</v>
      </c>
      <c r="G177" s="14">
        <v>464.53</v>
      </c>
      <c r="H177" s="16">
        <v>-38.659999999999997</v>
      </c>
      <c r="I177" s="66">
        <v>17.18</v>
      </c>
      <c r="J177" s="14">
        <v>1961</v>
      </c>
      <c r="K177" s="14">
        <v>2587</v>
      </c>
      <c r="L177" s="16">
        <v>31.92</v>
      </c>
      <c r="M177" s="14">
        <v>10172</v>
      </c>
      <c r="N177" s="14">
        <v>11310</v>
      </c>
      <c r="O177" s="16">
        <v>11.19</v>
      </c>
      <c r="P177" s="16">
        <v>80.040000000000006</v>
      </c>
      <c r="Q177" s="14">
        <v>1882700</v>
      </c>
      <c r="R177" s="14">
        <v>1286042</v>
      </c>
      <c r="S177" s="16">
        <v>-31.69</v>
      </c>
      <c r="T177" s="14">
        <v>19647924</v>
      </c>
      <c r="U177" s="60">
        <v>8155553</v>
      </c>
      <c r="V177" s="16">
        <v>-58.49</v>
      </c>
      <c r="W177" s="66">
        <v>21.1</v>
      </c>
      <c r="X177" s="19">
        <v>23022.83</v>
      </c>
      <c r="Y177" s="14">
        <v>4862.1499999999996</v>
      </c>
      <c r="Z177" s="16">
        <v>-78.88</v>
      </c>
      <c r="AA177" s="19">
        <v>270635.45</v>
      </c>
      <c r="AB177" s="14">
        <v>43807.97</v>
      </c>
      <c r="AC177" s="16">
        <v>-83.81</v>
      </c>
      <c r="AD177" s="16">
        <v>5.3</v>
      </c>
    </row>
    <row r="178" spans="1:30" ht="15.65" thickBot="1">
      <c r="A178" s="29"/>
      <c r="B178" s="20"/>
      <c r="C178" s="13"/>
      <c r="D178" s="20"/>
      <c r="E178" s="23"/>
      <c r="F178" s="13"/>
      <c r="G178" s="20"/>
      <c r="H178" s="23"/>
      <c r="I178" s="67"/>
      <c r="J178" s="20"/>
      <c r="K178" s="20"/>
      <c r="L178" s="23"/>
      <c r="M178" s="20"/>
      <c r="N178" s="20"/>
      <c r="O178" s="23"/>
      <c r="P178" s="23"/>
      <c r="Q178" s="20"/>
      <c r="R178" s="20"/>
      <c r="S178" s="23"/>
      <c r="T178" s="20"/>
      <c r="U178" s="61"/>
      <c r="V178" s="23"/>
      <c r="W178" s="67"/>
      <c r="X178" s="13"/>
      <c r="Y178" s="20"/>
      <c r="Z178" s="23"/>
      <c r="AA178" s="13"/>
      <c r="AB178" s="20"/>
      <c r="AC178" s="23"/>
      <c r="AD178" s="23"/>
    </row>
    <row r="179" spans="1:30" ht="16.899999999999999" thickBot="1">
      <c r="A179" s="28"/>
      <c r="B179" s="7" t="s">
        <v>65</v>
      </c>
      <c r="C179" s="30">
        <v>17490.68</v>
      </c>
      <c r="D179" s="30">
        <v>20056.7</v>
      </c>
      <c r="E179" s="9">
        <v>14.67</v>
      </c>
      <c r="F179" s="30">
        <v>93079.03</v>
      </c>
      <c r="G179" s="30">
        <v>125758.11</v>
      </c>
      <c r="H179" s="9">
        <v>35.11</v>
      </c>
      <c r="I179" s="65">
        <v>100</v>
      </c>
      <c r="J179" s="31">
        <v>2220190</v>
      </c>
      <c r="K179" s="31">
        <v>2342743</v>
      </c>
      <c r="L179" s="9">
        <v>5.52</v>
      </c>
      <c r="M179" s="31">
        <v>11606106</v>
      </c>
      <c r="N179" s="31">
        <v>11672720</v>
      </c>
      <c r="O179" s="9">
        <v>0.56999999999999995</v>
      </c>
      <c r="P179" s="9">
        <v>100</v>
      </c>
      <c r="Q179" s="31">
        <v>16713544</v>
      </c>
      <c r="R179" s="31">
        <v>16497716</v>
      </c>
      <c r="S179" s="9">
        <v>-1.29</v>
      </c>
      <c r="T179" s="31">
        <v>100512572</v>
      </c>
      <c r="U179" s="59">
        <v>98745827</v>
      </c>
      <c r="V179" s="9">
        <v>-1.76</v>
      </c>
      <c r="W179" s="65">
        <v>100</v>
      </c>
      <c r="X179" s="30">
        <v>334571.07</v>
      </c>
      <c r="Y179" s="30">
        <v>376276.01</v>
      </c>
      <c r="Z179" s="9">
        <v>12.47</v>
      </c>
      <c r="AA179" s="30">
        <v>2002940.11</v>
      </c>
      <c r="AB179" s="30">
        <v>2164500.34</v>
      </c>
      <c r="AC179" s="9">
        <v>8.07</v>
      </c>
      <c r="AD179" s="9">
        <v>100</v>
      </c>
    </row>
    <row r="180" spans="1:30" ht="15.65" thickBot="1">
      <c r="A180" s="29"/>
      <c r="B180" s="13" t="s">
        <v>37</v>
      </c>
      <c r="C180" s="19">
        <v>2871.42</v>
      </c>
      <c r="D180" s="19">
        <v>1676.22</v>
      </c>
      <c r="E180" s="16">
        <v>-41.62</v>
      </c>
      <c r="F180" s="19">
        <v>12169.86</v>
      </c>
      <c r="G180" s="19">
        <v>17667.73</v>
      </c>
      <c r="H180" s="16">
        <v>45.18</v>
      </c>
      <c r="I180" s="66">
        <v>100</v>
      </c>
      <c r="J180" s="14">
        <v>118755</v>
      </c>
      <c r="K180" s="14">
        <v>77844</v>
      </c>
      <c r="L180" s="16">
        <v>-34.450000000000003</v>
      </c>
      <c r="M180" s="14">
        <v>587695</v>
      </c>
      <c r="N180" s="14">
        <v>560206</v>
      </c>
      <c r="O180" s="16">
        <v>-4.68</v>
      </c>
      <c r="P180" s="16">
        <v>100</v>
      </c>
      <c r="Q180" s="14">
        <v>0</v>
      </c>
      <c r="R180" s="14">
        <v>0</v>
      </c>
      <c r="S180" s="16" t="s">
        <v>38</v>
      </c>
      <c r="T180" s="14">
        <v>0</v>
      </c>
      <c r="U180" s="60">
        <v>0</v>
      </c>
      <c r="V180" s="16" t="s">
        <v>38</v>
      </c>
      <c r="W180" s="66" t="s">
        <v>38</v>
      </c>
      <c r="X180" s="19">
        <v>3262.54</v>
      </c>
      <c r="Y180" s="19">
        <v>2291.36</v>
      </c>
      <c r="Z180" s="16">
        <v>-29.77</v>
      </c>
      <c r="AA180" s="19">
        <v>19213.57</v>
      </c>
      <c r="AB180" s="19">
        <v>12162.04</v>
      </c>
      <c r="AC180" s="16">
        <v>-36.700000000000003</v>
      </c>
      <c r="AD180" s="16">
        <v>100</v>
      </c>
    </row>
    <row r="181" spans="1:30" ht="15.65" thickBot="1">
      <c r="A181" s="29"/>
      <c r="B181" s="13" t="s">
        <v>39</v>
      </c>
      <c r="C181" s="19">
        <v>5695.05</v>
      </c>
      <c r="D181" s="19">
        <v>5649.6</v>
      </c>
      <c r="E181" s="16">
        <v>-0.8</v>
      </c>
      <c r="F181" s="19">
        <v>26411.98</v>
      </c>
      <c r="G181" s="19">
        <v>28898.080000000002</v>
      </c>
      <c r="H181" s="16">
        <v>9.41</v>
      </c>
      <c r="I181" s="66">
        <v>100</v>
      </c>
      <c r="J181" s="14">
        <v>2098568</v>
      </c>
      <c r="K181" s="14">
        <v>2261500</v>
      </c>
      <c r="L181" s="16">
        <v>7.76</v>
      </c>
      <c r="M181" s="14">
        <v>11003122</v>
      </c>
      <c r="N181" s="14">
        <v>11095875</v>
      </c>
      <c r="O181" s="16">
        <v>0.84</v>
      </c>
      <c r="P181" s="16">
        <v>100</v>
      </c>
      <c r="Q181" s="14">
        <v>0</v>
      </c>
      <c r="R181" s="14">
        <v>0</v>
      </c>
      <c r="S181" s="16" t="s">
        <v>38</v>
      </c>
      <c r="T181" s="14">
        <v>0</v>
      </c>
      <c r="U181" s="60">
        <v>0</v>
      </c>
      <c r="V181" s="16" t="s">
        <v>38</v>
      </c>
      <c r="W181" s="66" t="s">
        <v>38</v>
      </c>
      <c r="X181" s="19">
        <v>139348</v>
      </c>
      <c r="Y181" s="19">
        <v>153705.66</v>
      </c>
      <c r="Z181" s="16">
        <v>10.3</v>
      </c>
      <c r="AA181" s="19">
        <v>691219.2</v>
      </c>
      <c r="AB181" s="19">
        <v>787771.79</v>
      </c>
      <c r="AC181" s="16">
        <v>13.97</v>
      </c>
      <c r="AD181" s="16">
        <v>100</v>
      </c>
    </row>
    <row r="182" spans="1:30" ht="15.65" thickBot="1">
      <c r="A182" s="29"/>
      <c r="B182" s="13" t="s">
        <v>40</v>
      </c>
      <c r="C182" s="19">
        <v>8484.42</v>
      </c>
      <c r="D182" s="19">
        <v>11379.84</v>
      </c>
      <c r="E182" s="16">
        <v>34.130000000000003</v>
      </c>
      <c r="F182" s="19">
        <v>51705.39</v>
      </c>
      <c r="G182" s="19">
        <v>56387.44</v>
      </c>
      <c r="H182" s="16">
        <v>9.06</v>
      </c>
      <c r="I182" s="66">
        <v>100</v>
      </c>
      <c r="J182" s="14">
        <v>163</v>
      </c>
      <c r="K182" s="14">
        <v>165</v>
      </c>
      <c r="L182" s="16">
        <v>1.23</v>
      </c>
      <c r="M182" s="14">
        <v>770</v>
      </c>
      <c r="N182" s="14">
        <v>1129</v>
      </c>
      <c r="O182" s="16">
        <v>46.62</v>
      </c>
      <c r="P182" s="16">
        <v>100</v>
      </c>
      <c r="Q182" s="14">
        <v>7701582</v>
      </c>
      <c r="R182" s="14">
        <v>10028600</v>
      </c>
      <c r="S182" s="16">
        <v>30.21</v>
      </c>
      <c r="T182" s="14">
        <v>44191638</v>
      </c>
      <c r="U182" s="60">
        <v>56119233</v>
      </c>
      <c r="V182" s="16">
        <v>26.99</v>
      </c>
      <c r="W182" s="66">
        <v>100</v>
      </c>
      <c r="X182" s="19">
        <v>67914.490000000005</v>
      </c>
      <c r="Y182" s="19">
        <v>78653.58</v>
      </c>
      <c r="Z182" s="16">
        <v>15.81</v>
      </c>
      <c r="AA182" s="19">
        <v>447372.53</v>
      </c>
      <c r="AB182" s="19">
        <v>482835.84</v>
      </c>
      <c r="AC182" s="16">
        <v>7.93</v>
      </c>
      <c r="AD182" s="16">
        <v>100</v>
      </c>
    </row>
    <row r="183" spans="1:30" ht="15.65" thickBot="1">
      <c r="A183" s="29"/>
      <c r="B183" s="13" t="s">
        <v>41</v>
      </c>
      <c r="C183" s="19">
        <v>72.12</v>
      </c>
      <c r="D183" s="19">
        <v>730.9</v>
      </c>
      <c r="E183" s="16">
        <v>913.4</v>
      </c>
      <c r="F183" s="19">
        <v>505.06</v>
      </c>
      <c r="G183" s="19">
        <v>20101.5</v>
      </c>
      <c r="H183" s="16">
        <v>3879.99</v>
      </c>
      <c r="I183" s="66">
        <v>100</v>
      </c>
      <c r="J183" s="14">
        <v>291</v>
      </c>
      <c r="K183" s="14">
        <v>265</v>
      </c>
      <c r="L183" s="16">
        <v>-8.93</v>
      </c>
      <c r="M183" s="14">
        <v>1560</v>
      </c>
      <c r="N183" s="14">
        <v>1380</v>
      </c>
      <c r="O183" s="16">
        <v>-11.54</v>
      </c>
      <c r="P183" s="16">
        <v>100</v>
      </c>
      <c r="Q183" s="14">
        <v>581199</v>
      </c>
      <c r="R183" s="14">
        <v>435080</v>
      </c>
      <c r="S183" s="16">
        <v>-25.14</v>
      </c>
      <c r="T183" s="14">
        <v>4246117</v>
      </c>
      <c r="U183" s="60">
        <v>3978891</v>
      </c>
      <c r="V183" s="16">
        <v>-6.29</v>
      </c>
      <c r="W183" s="66">
        <v>100</v>
      </c>
      <c r="X183" s="19">
        <v>5206.18</v>
      </c>
      <c r="Y183" s="19">
        <v>5535.42</v>
      </c>
      <c r="Z183" s="16">
        <v>6.32</v>
      </c>
      <c r="AA183" s="19">
        <v>69856.39</v>
      </c>
      <c r="AB183" s="19">
        <v>55665.06</v>
      </c>
      <c r="AC183" s="16">
        <v>-20.309999999999999</v>
      </c>
      <c r="AD183" s="16">
        <v>100</v>
      </c>
    </row>
    <row r="184" spans="1:30" ht="15.65" thickBot="1">
      <c r="A184" s="29"/>
      <c r="B184" s="20" t="s">
        <v>42</v>
      </c>
      <c r="C184" s="19">
        <v>367.66</v>
      </c>
      <c r="D184" s="19">
        <v>620.14</v>
      </c>
      <c r="E184" s="16">
        <v>68.67</v>
      </c>
      <c r="F184" s="19">
        <v>2286.73</v>
      </c>
      <c r="G184" s="19">
        <v>2703.35</v>
      </c>
      <c r="H184" s="16">
        <v>18.22</v>
      </c>
      <c r="I184" s="66">
        <v>100</v>
      </c>
      <c r="J184" s="14">
        <v>2413</v>
      </c>
      <c r="K184" s="14">
        <v>2969</v>
      </c>
      <c r="L184" s="16">
        <v>23.04</v>
      </c>
      <c r="M184" s="14">
        <v>12959</v>
      </c>
      <c r="N184" s="14">
        <v>14130</v>
      </c>
      <c r="O184" s="16">
        <v>9.0399999999999991</v>
      </c>
      <c r="P184" s="16">
        <v>100</v>
      </c>
      <c r="Q184" s="14">
        <v>8430763</v>
      </c>
      <c r="R184" s="14">
        <v>6034036</v>
      </c>
      <c r="S184" s="16">
        <v>-28.43</v>
      </c>
      <c r="T184" s="14">
        <v>52074817</v>
      </c>
      <c r="U184" s="60">
        <v>38647703</v>
      </c>
      <c r="V184" s="16">
        <v>-25.78</v>
      </c>
      <c r="W184" s="66">
        <v>100</v>
      </c>
      <c r="X184" s="19">
        <v>118839.87</v>
      </c>
      <c r="Y184" s="19">
        <v>136089.98000000001</v>
      </c>
      <c r="Z184" s="16">
        <v>14.52</v>
      </c>
      <c r="AA184" s="19">
        <v>775278.41</v>
      </c>
      <c r="AB184" s="19">
        <v>826065.6</v>
      </c>
      <c r="AC184" s="16">
        <v>6.55</v>
      </c>
      <c r="AD184" s="16">
        <v>100</v>
      </c>
    </row>
  </sheetData>
  <mergeCells count="10">
    <mergeCell ref="A1:I1"/>
    <mergeCell ref="J1:P1"/>
    <mergeCell ref="Q1:W1"/>
    <mergeCell ref="X1:AD1"/>
    <mergeCell ref="A2:A3"/>
    <mergeCell ref="B2:B3"/>
    <mergeCell ref="C2:I2"/>
    <mergeCell ref="J2:P2"/>
    <mergeCell ref="Q2:W2"/>
    <mergeCell ref="X2:A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International Comps</vt:lpstr>
      <vt:lpstr>Sept 2019 mkt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 Minhas</dc:creator>
  <cp:lastModifiedBy>Sonal Minhas</cp:lastModifiedBy>
  <cp:lastPrinted>2019-10-15T14:48:57Z</cp:lastPrinted>
  <dcterms:created xsi:type="dcterms:W3CDTF">2019-10-14T08:18:52Z</dcterms:created>
  <dcterms:modified xsi:type="dcterms:W3CDTF">2019-11-20T03:54:28Z</dcterms:modified>
</cp:coreProperties>
</file>