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9ABX2\Downloads\"/>
    </mc:Choice>
  </mc:AlternateContent>
  <xr:revisionPtr revIDLastSave="0" documentId="13_ncr:1_{8E01244A-0C7A-4344-8CC8-29967EFA5A21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Snapshot" sheetId="1" r:id="rId1"/>
    <sheet name="Balance Sheet" sheetId="2" r:id="rId2"/>
    <sheet name="ROIC &amp; ROE Predictor" sheetId="7" r:id="rId3"/>
    <sheet name="Quarter Analysis" sheetId="3" r:id="rId4"/>
    <sheet name="Data Sheet" sheetId="6" r:id="rId5"/>
  </sheets>
  <definedNames>
    <definedName name="UPDATE">'Data Sheet'!$E$1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5" i="1" l="1"/>
  <c r="B167" i="1"/>
  <c r="C160" i="1"/>
  <c r="D160" i="1"/>
  <c r="E160" i="1"/>
  <c r="F160" i="1"/>
  <c r="G160" i="1"/>
  <c r="H160" i="1"/>
  <c r="I160" i="1"/>
  <c r="J160" i="1"/>
  <c r="K160" i="1"/>
  <c r="B160" i="1"/>
  <c r="B166" i="1"/>
  <c r="B164" i="1"/>
  <c r="C159" i="1"/>
  <c r="D159" i="1"/>
  <c r="E159" i="1"/>
  <c r="F159" i="1"/>
  <c r="G159" i="1"/>
  <c r="H159" i="1"/>
  <c r="I159" i="1"/>
  <c r="J159" i="1"/>
  <c r="K159" i="1"/>
  <c r="B159" i="1"/>
  <c r="B155" i="1"/>
  <c r="C148" i="1"/>
  <c r="C158" i="1" s="1"/>
  <c r="D148" i="1"/>
  <c r="D158" i="1" s="1"/>
  <c r="E148" i="1"/>
  <c r="F148" i="1"/>
  <c r="F158" i="1" s="1"/>
  <c r="G148" i="1"/>
  <c r="G158" i="1" s="1"/>
  <c r="H148" i="1"/>
  <c r="H158" i="1" s="1"/>
  <c r="I148" i="1"/>
  <c r="I158" i="1" s="1"/>
  <c r="J148" i="1"/>
  <c r="J158" i="1" s="1"/>
  <c r="K148" i="1"/>
  <c r="K158" i="1" s="1"/>
  <c r="B148" i="1"/>
  <c r="B158" i="1" s="1"/>
  <c r="B135" i="1"/>
  <c r="D93" i="2"/>
  <c r="E93" i="2"/>
  <c r="F93" i="2"/>
  <c r="G93" i="2"/>
  <c r="H93" i="2"/>
  <c r="I93" i="2"/>
  <c r="J93" i="2"/>
  <c r="K93" i="2"/>
  <c r="C93" i="2"/>
  <c r="E158" i="1" l="1"/>
  <c r="H20" i="7"/>
  <c r="I20" i="7"/>
  <c r="G20" i="7"/>
  <c r="C20" i="7" s="1"/>
  <c r="L104" i="1"/>
  <c r="L111" i="1" s="1"/>
  <c r="L109" i="1" l="1"/>
  <c r="L106" i="1"/>
  <c r="F19" i="2"/>
  <c r="C115" i="1"/>
  <c r="D115" i="1"/>
  <c r="E115" i="1"/>
  <c r="F115" i="1"/>
  <c r="G115" i="1"/>
  <c r="H115" i="1"/>
  <c r="I115" i="1"/>
  <c r="J115" i="1"/>
  <c r="K115" i="1"/>
  <c r="B115" i="1"/>
  <c r="K19" i="2"/>
  <c r="J19" i="2"/>
  <c r="I19" i="2"/>
  <c r="H19" i="2"/>
  <c r="C19" i="2"/>
  <c r="D19" i="2"/>
  <c r="E19" i="2"/>
  <c r="G19" i="2"/>
  <c r="B19" i="2"/>
  <c r="F9" i="2"/>
  <c r="I9" i="2"/>
  <c r="E16" i="2"/>
  <c r="E17" i="2"/>
  <c r="C86" i="1"/>
  <c r="C157" i="1" s="1"/>
  <c r="D86" i="1"/>
  <c r="D157" i="1" s="1"/>
  <c r="E86" i="1"/>
  <c r="E157" i="1" s="1"/>
  <c r="F86" i="1"/>
  <c r="F157" i="1" s="1"/>
  <c r="G86" i="1"/>
  <c r="G157" i="1" s="1"/>
  <c r="H86" i="1"/>
  <c r="H157" i="1" s="1"/>
  <c r="I86" i="1"/>
  <c r="I157" i="1" s="1"/>
  <c r="J86" i="1"/>
  <c r="J157" i="1" s="1"/>
  <c r="K86" i="1"/>
  <c r="K157" i="1" s="1"/>
  <c r="C87" i="1"/>
  <c r="D87" i="1"/>
  <c r="E87" i="1"/>
  <c r="F87" i="1"/>
  <c r="G87" i="1"/>
  <c r="H87" i="1"/>
  <c r="I87" i="1"/>
  <c r="J87" i="1"/>
  <c r="K87" i="1"/>
  <c r="C88" i="1"/>
  <c r="D88" i="1"/>
  <c r="E88" i="1"/>
  <c r="F88" i="1"/>
  <c r="G88" i="1"/>
  <c r="H88" i="1"/>
  <c r="I88" i="1"/>
  <c r="J88" i="1"/>
  <c r="K88" i="1"/>
  <c r="B88" i="1"/>
  <c r="B87" i="1"/>
  <c r="B86" i="1"/>
  <c r="B157" i="1" s="1"/>
  <c r="L93" i="1" l="1"/>
  <c r="L114" i="1" s="1"/>
  <c r="L124" i="1" l="1"/>
  <c r="F36" i="2"/>
  <c r="F27" i="2"/>
  <c r="N27" i="3" l="1"/>
  <c r="M27" i="3"/>
  <c r="K27" i="3"/>
  <c r="J27" i="3"/>
  <c r="H27" i="3"/>
  <c r="G27" i="3"/>
  <c r="F27" i="3"/>
  <c r="D27" i="3"/>
  <c r="N24" i="3"/>
  <c r="M24" i="3"/>
  <c r="N23" i="3"/>
  <c r="M23" i="3"/>
  <c r="K24" i="3"/>
  <c r="J24" i="3"/>
  <c r="K23" i="3"/>
  <c r="J23" i="3"/>
  <c r="D24" i="3"/>
  <c r="C24" i="3"/>
  <c r="B24" i="3"/>
  <c r="D23" i="3"/>
  <c r="C23" i="3"/>
  <c r="B23" i="3"/>
  <c r="H24" i="3"/>
  <c r="G24" i="3"/>
  <c r="F24" i="3"/>
  <c r="F23" i="3"/>
  <c r="G23" i="3"/>
  <c r="H23" i="3"/>
  <c r="J25" i="3" l="1"/>
  <c r="G28" i="3"/>
  <c r="C25" i="3"/>
  <c r="M28" i="3"/>
  <c r="J28" i="3"/>
  <c r="B25" i="3"/>
  <c r="F28" i="3"/>
  <c r="G25" i="3"/>
  <c r="M25" i="3"/>
  <c r="F25" i="3"/>
  <c r="B82" i="1" l="1"/>
  <c r="L15" i="1"/>
  <c r="L16" i="1" s="1"/>
  <c r="C15" i="1"/>
  <c r="D15" i="1"/>
  <c r="E15" i="1"/>
  <c r="F15" i="1"/>
  <c r="G15" i="1"/>
  <c r="H15" i="1"/>
  <c r="I15" i="1"/>
  <c r="J15" i="1"/>
  <c r="K15" i="1"/>
  <c r="B15" i="1"/>
  <c r="K36" i="2" l="1"/>
  <c r="B5" i="3"/>
  <c r="C9" i="2" l="1"/>
  <c r="D9" i="2"/>
  <c r="E9" i="2"/>
  <c r="G9" i="2"/>
  <c r="H9" i="2"/>
  <c r="J9" i="2"/>
  <c r="K9" i="2"/>
  <c r="B9" i="2"/>
  <c r="F28" i="2" l="1"/>
  <c r="E53" i="1"/>
  <c r="D89" i="1" l="1"/>
  <c r="H89" i="1"/>
  <c r="F89" i="1"/>
  <c r="K14" i="3"/>
  <c r="K12" i="3"/>
  <c r="K8" i="3"/>
  <c r="K11" i="3"/>
  <c r="K7" i="3"/>
  <c r="K6" i="3"/>
  <c r="J14" i="3"/>
  <c r="J12" i="3"/>
  <c r="J8" i="3"/>
  <c r="J11" i="3"/>
  <c r="J7" i="3"/>
  <c r="J6" i="3"/>
  <c r="G14" i="3"/>
  <c r="G12" i="3"/>
  <c r="G8" i="3"/>
  <c r="G11" i="3"/>
  <c r="G7" i="3"/>
  <c r="G6" i="3"/>
  <c r="F14" i="3"/>
  <c r="F12" i="3"/>
  <c r="F8" i="3"/>
  <c r="F11" i="3"/>
  <c r="F7" i="3"/>
  <c r="F6" i="3"/>
  <c r="C14" i="3"/>
  <c r="C12" i="3"/>
  <c r="C8" i="3"/>
  <c r="C11" i="3"/>
  <c r="C7" i="3"/>
  <c r="C6" i="3"/>
  <c r="B14" i="3"/>
  <c r="B12" i="3"/>
  <c r="B8" i="3"/>
  <c r="B11" i="3"/>
  <c r="B7" i="3"/>
  <c r="B6" i="3"/>
  <c r="C5" i="3"/>
  <c r="A7" i="3"/>
  <c r="A11" i="3"/>
  <c r="A8" i="3"/>
  <c r="A12" i="3"/>
  <c r="A13" i="3"/>
  <c r="A14" i="3"/>
  <c r="A15" i="3"/>
  <c r="A9" i="3"/>
  <c r="A6" i="3"/>
  <c r="I89" i="1" l="1"/>
  <c r="E89" i="1"/>
  <c r="F9" i="3"/>
  <c r="F18" i="3" s="1"/>
  <c r="J9" i="3"/>
  <c r="J18" i="3" s="1"/>
  <c r="B9" i="3"/>
  <c r="B18" i="3" s="1"/>
  <c r="K89" i="1"/>
  <c r="G89" i="1"/>
  <c r="L87" i="1"/>
  <c r="C9" i="3"/>
  <c r="C17" i="3" s="1"/>
  <c r="G9" i="3"/>
  <c r="G18" i="3" s="1"/>
  <c r="K9" i="3"/>
  <c r="K18" i="3" s="1"/>
  <c r="J89" i="1"/>
  <c r="L88" i="1"/>
  <c r="C89" i="1"/>
  <c r="L86" i="1"/>
  <c r="B89" i="1"/>
  <c r="L6" i="3"/>
  <c r="H6" i="3"/>
  <c r="D6" i="3"/>
  <c r="J13" i="3" l="1"/>
  <c r="J15" i="3" s="1"/>
  <c r="J19" i="3" s="1"/>
  <c r="F17" i="3"/>
  <c r="B27" i="3"/>
  <c r="B17" i="3"/>
  <c r="C18" i="3"/>
  <c r="C27" i="3"/>
  <c r="C28" i="3" s="1"/>
  <c r="L89" i="1"/>
  <c r="C13" i="3"/>
  <c r="C15" i="3" s="1"/>
  <c r="C19" i="3" s="1"/>
  <c r="B13" i="3"/>
  <c r="B15" i="3" s="1"/>
  <c r="B19" i="3" s="1"/>
  <c r="D9" i="3"/>
  <c r="J17" i="3"/>
  <c r="F13" i="3"/>
  <c r="F15" i="3" s="1"/>
  <c r="F19" i="3" s="1"/>
  <c r="K13" i="3"/>
  <c r="K15" i="3" s="1"/>
  <c r="K19" i="3" s="1"/>
  <c r="K17" i="3"/>
  <c r="L9" i="3"/>
  <c r="G13" i="3"/>
  <c r="G15" i="3" s="1"/>
  <c r="G19" i="3" s="1"/>
  <c r="H9" i="3"/>
  <c r="G17" i="3"/>
  <c r="B28" i="3" l="1"/>
  <c r="D15" i="3"/>
  <c r="L15" i="3"/>
  <c r="H15" i="3"/>
  <c r="K27" i="2" l="1"/>
  <c r="A19" i="2" l="1"/>
  <c r="A37" i="2" s="1"/>
  <c r="A7" i="2"/>
  <c r="A26" i="2" s="1"/>
  <c r="A6" i="2"/>
  <c r="A5" i="2"/>
  <c r="A24" i="2" s="1"/>
  <c r="A17" i="2"/>
  <c r="A35" i="2" s="1"/>
  <c r="A16" i="2"/>
  <c r="A34" i="2" s="1"/>
  <c r="F37" i="2" l="1"/>
  <c r="K37" i="2"/>
  <c r="A15" i="2"/>
  <c r="A33" i="2" s="1"/>
  <c r="C14" i="2"/>
  <c r="D14" i="2"/>
  <c r="E14" i="2"/>
  <c r="F14" i="2"/>
  <c r="G14" i="2"/>
  <c r="H14" i="2"/>
  <c r="I14" i="2"/>
  <c r="J14" i="2"/>
  <c r="K14" i="2"/>
  <c r="B14" i="2"/>
  <c r="A14" i="2"/>
  <c r="A32" i="2" s="1"/>
  <c r="A13" i="2"/>
  <c r="A12" i="2"/>
  <c r="L130" i="1"/>
  <c r="J36" i="2"/>
  <c r="H36" i="2"/>
  <c r="B54" i="1"/>
  <c r="K32" i="2" l="1"/>
  <c r="F32" i="2"/>
  <c r="C59" i="1"/>
  <c r="D59" i="1"/>
  <c r="E59" i="1"/>
  <c r="F59" i="1"/>
  <c r="G59" i="1"/>
  <c r="H59" i="1"/>
  <c r="I59" i="1"/>
  <c r="J59" i="1"/>
  <c r="K59" i="1"/>
  <c r="B96" i="1"/>
  <c r="C96" i="1"/>
  <c r="D96" i="1"/>
  <c r="E96" i="1"/>
  <c r="F96" i="1"/>
  <c r="G96" i="1"/>
  <c r="H96" i="1"/>
  <c r="I96" i="1"/>
  <c r="J96" i="1"/>
  <c r="K96" i="1"/>
  <c r="L96" i="1"/>
  <c r="C39" i="1"/>
  <c r="D39" i="1"/>
  <c r="E39" i="1"/>
  <c r="F39" i="1"/>
  <c r="G39" i="1"/>
  <c r="H39" i="1"/>
  <c r="I39" i="1"/>
  <c r="J39" i="1"/>
  <c r="K39" i="1"/>
  <c r="B39" i="1"/>
  <c r="L127" i="1" l="1"/>
  <c r="L128" i="1" s="1"/>
  <c r="B8" i="1" l="1"/>
  <c r="B9" i="1"/>
  <c r="B38" i="1"/>
  <c r="B42" i="1" l="1"/>
  <c r="B103" i="1"/>
  <c r="C38" i="1"/>
  <c r="D38" i="1"/>
  <c r="E38" i="1"/>
  <c r="F38" i="1"/>
  <c r="G38" i="1"/>
  <c r="H38" i="1"/>
  <c r="I38" i="1"/>
  <c r="J38" i="1"/>
  <c r="K38" i="1"/>
  <c r="H66" i="1" l="1"/>
  <c r="H67" i="1"/>
  <c r="D67" i="1"/>
  <c r="D66" i="1"/>
  <c r="K67" i="1"/>
  <c r="K66" i="1"/>
  <c r="G67" i="1"/>
  <c r="G66" i="1"/>
  <c r="C66" i="1"/>
  <c r="C67" i="1"/>
  <c r="J66" i="1"/>
  <c r="J67" i="1"/>
  <c r="F66" i="1"/>
  <c r="F67" i="1"/>
  <c r="I67" i="1"/>
  <c r="I66" i="1"/>
  <c r="E66" i="1"/>
  <c r="E67" i="1"/>
  <c r="C42" i="1"/>
  <c r="H42" i="1"/>
  <c r="D103" i="1"/>
  <c r="D42" i="1"/>
  <c r="E103" i="1"/>
  <c r="E42" i="1"/>
  <c r="J103" i="1"/>
  <c r="J42" i="1"/>
  <c r="F103" i="1"/>
  <c r="F42" i="1"/>
  <c r="I103" i="1"/>
  <c r="I42" i="1"/>
  <c r="K103" i="1"/>
  <c r="K42" i="1"/>
  <c r="G103" i="1"/>
  <c r="G42" i="1"/>
  <c r="H103" i="1"/>
  <c r="C103" i="1"/>
  <c r="B52" i="1"/>
  <c r="B55" i="1" s="1"/>
  <c r="C55" i="1" s="1"/>
  <c r="L21" i="1"/>
  <c r="L19" i="1"/>
  <c r="L18" i="1"/>
  <c r="G38" i="7" l="1"/>
  <c r="C38" i="7" s="1"/>
  <c r="I38" i="7"/>
  <c r="H38" i="7"/>
  <c r="B79" i="1"/>
  <c r="L20" i="1"/>
  <c r="L105" i="1" s="1"/>
  <c r="L108" i="1" s="1"/>
  <c r="L6" i="1"/>
  <c r="Y16" i="1" l="1"/>
  <c r="A79" i="1"/>
  <c r="C7" i="1"/>
  <c r="D7" i="1"/>
  <c r="E7" i="1"/>
  <c r="F7" i="1"/>
  <c r="G7" i="1"/>
  <c r="H7" i="1"/>
  <c r="I7" i="1"/>
  <c r="J7" i="1"/>
  <c r="K7" i="1"/>
  <c r="L7" i="1"/>
  <c r="B7" i="1"/>
  <c r="B12" i="1"/>
  <c r="B13" i="1"/>
  <c r="B14" i="1"/>
  <c r="B18" i="1"/>
  <c r="B19" i="1"/>
  <c r="B45" i="1" s="1"/>
  <c r="B21" i="1"/>
  <c r="L22" i="1" l="1"/>
  <c r="E1" i="6"/>
  <c r="Y5" i="1"/>
  <c r="C8" i="1" l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B6" i="6"/>
  <c r="C17" i="2"/>
  <c r="D17" i="2"/>
  <c r="F17" i="2"/>
  <c r="G17" i="2"/>
  <c r="H17" i="2"/>
  <c r="I17" i="2"/>
  <c r="J17" i="2"/>
  <c r="K17" i="2"/>
  <c r="C16" i="2"/>
  <c r="D16" i="2"/>
  <c r="F16" i="2"/>
  <c r="G16" i="2"/>
  <c r="H16" i="2"/>
  <c r="I16" i="2"/>
  <c r="J16" i="2"/>
  <c r="K16" i="2"/>
  <c r="B17" i="2"/>
  <c r="C5" i="2"/>
  <c r="D5" i="2"/>
  <c r="E5" i="2"/>
  <c r="E6" i="2"/>
  <c r="F5" i="2"/>
  <c r="G5" i="2"/>
  <c r="H5" i="2"/>
  <c r="I5" i="2"/>
  <c r="I6" i="2"/>
  <c r="J5" i="2"/>
  <c r="J6" i="2"/>
  <c r="K5" i="2"/>
  <c r="K143" i="1" s="1"/>
  <c r="C6" i="2"/>
  <c r="D6" i="2"/>
  <c r="F6" i="2"/>
  <c r="G6" i="2"/>
  <c r="H6" i="2"/>
  <c r="K6" i="2"/>
  <c r="C7" i="2"/>
  <c r="D7" i="2"/>
  <c r="E7" i="2"/>
  <c r="F7" i="2"/>
  <c r="G7" i="2"/>
  <c r="H7" i="2"/>
  <c r="I7" i="2"/>
  <c r="J7" i="2"/>
  <c r="K7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5" i="2"/>
  <c r="D15" i="2"/>
  <c r="E15" i="2"/>
  <c r="F15" i="2"/>
  <c r="G15" i="2"/>
  <c r="H15" i="2"/>
  <c r="I15" i="2"/>
  <c r="J15" i="2"/>
  <c r="K15" i="2"/>
  <c r="B6" i="2"/>
  <c r="B5" i="2"/>
  <c r="C6" i="1"/>
  <c r="C151" i="1" s="1"/>
  <c r="D6" i="1"/>
  <c r="D151" i="1" s="1"/>
  <c r="E6" i="1"/>
  <c r="E151" i="1" s="1"/>
  <c r="F6" i="1"/>
  <c r="F151" i="1" s="1"/>
  <c r="G6" i="1"/>
  <c r="G151" i="1" s="1"/>
  <c r="H6" i="1"/>
  <c r="H151" i="1" s="1"/>
  <c r="I6" i="1"/>
  <c r="J6" i="1"/>
  <c r="J151" i="1" s="1"/>
  <c r="K6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1" i="1"/>
  <c r="D21" i="1"/>
  <c r="E21" i="1"/>
  <c r="F21" i="1"/>
  <c r="G21" i="1"/>
  <c r="H21" i="1"/>
  <c r="I21" i="1"/>
  <c r="J21" i="1"/>
  <c r="K21" i="1"/>
  <c r="B6" i="1"/>
  <c r="B151" i="1" s="1"/>
  <c r="A2" i="1"/>
  <c r="E2" i="2"/>
  <c r="C4" i="2"/>
  <c r="C78" i="2" s="1"/>
  <c r="D4" i="2"/>
  <c r="D78" i="2" s="1"/>
  <c r="E4" i="2"/>
  <c r="E78" i="2" s="1"/>
  <c r="F4" i="2"/>
  <c r="F78" i="2" s="1"/>
  <c r="G4" i="2"/>
  <c r="G78" i="2" s="1"/>
  <c r="H4" i="2"/>
  <c r="H78" i="2" s="1"/>
  <c r="I4" i="2"/>
  <c r="I78" i="2" s="1"/>
  <c r="J4" i="2"/>
  <c r="J78" i="2" s="1"/>
  <c r="K4" i="2"/>
  <c r="K78" i="2" s="1"/>
  <c r="C4" i="1"/>
  <c r="D4" i="1"/>
  <c r="E4" i="1"/>
  <c r="F4" i="1"/>
  <c r="G4" i="1"/>
  <c r="H4" i="1"/>
  <c r="I4" i="1"/>
  <c r="J4" i="1"/>
  <c r="K4" i="1"/>
  <c r="B16" i="2"/>
  <c r="B15" i="2"/>
  <c r="B13" i="2"/>
  <c r="B12" i="2"/>
  <c r="B7" i="2"/>
  <c r="B4" i="2"/>
  <c r="B4" i="1"/>
  <c r="B41" i="2" s="1"/>
  <c r="G143" i="1" l="1"/>
  <c r="H143" i="1"/>
  <c r="K25" i="1"/>
  <c r="K151" i="1"/>
  <c r="C143" i="1"/>
  <c r="B143" i="1"/>
  <c r="I143" i="1"/>
  <c r="I25" i="1"/>
  <c r="I61" i="1" s="1"/>
  <c r="I151" i="1"/>
  <c r="F143" i="1"/>
  <c r="E143" i="1"/>
  <c r="J143" i="1"/>
  <c r="D143" i="1"/>
  <c r="J25" i="1"/>
  <c r="H25" i="1"/>
  <c r="F25" i="1"/>
  <c r="G25" i="1"/>
  <c r="H64" i="1"/>
  <c r="H45" i="1"/>
  <c r="I64" i="1"/>
  <c r="I45" i="1"/>
  <c r="F64" i="1"/>
  <c r="F45" i="1"/>
  <c r="D64" i="1"/>
  <c r="D45" i="1"/>
  <c r="E64" i="1"/>
  <c r="E45" i="1"/>
  <c r="K64" i="1"/>
  <c r="K45" i="1"/>
  <c r="C64" i="1"/>
  <c r="C45" i="1"/>
  <c r="G64" i="1"/>
  <c r="G45" i="1"/>
  <c r="J64" i="1"/>
  <c r="J45" i="1"/>
  <c r="C25" i="1"/>
  <c r="E92" i="2"/>
  <c r="C92" i="2"/>
  <c r="B25" i="1"/>
  <c r="E25" i="1"/>
  <c r="D25" i="1"/>
  <c r="H68" i="2"/>
  <c r="D68" i="2"/>
  <c r="J92" i="2"/>
  <c r="H92" i="2"/>
  <c r="J91" i="2"/>
  <c r="I91" i="2"/>
  <c r="D91" i="2"/>
  <c r="I92" i="2"/>
  <c r="D92" i="2"/>
  <c r="E91" i="2"/>
  <c r="H91" i="2"/>
  <c r="C91" i="2"/>
  <c r="K91" i="2"/>
  <c r="G91" i="2"/>
  <c r="F91" i="2"/>
  <c r="K92" i="2"/>
  <c r="G92" i="2"/>
  <c r="F92" i="2"/>
  <c r="B68" i="2"/>
  <c r="K68" i="2"/>
  <c r="G68" i="2"/>
  <c r="C68" i="2"/>
  <c r="J68" i="2"/>
  <c r="F68" i="2"/>
  <c r="I68" i="2"/>
  <c r="E68" i="2"/>
  <c r="J60" i="1"/>
  <c r="F60" i="1"/>
  <c r="H60" i="1"/>
  <c r="D60" i="1"/>
  <c r="K60" i="1"/>
  <c r="G60" i="1"/>
  <c r="C60" i="1"/>
  <c r="I60" i="1"/>
  <c r="E60" i="1"/>
  <c r="B10" i="1"/>
  <c r="B16" i="1" s="1"/>
  <c r="B149" i="1" s="1"/>
  <c r="B150" i="1" s="1"/>
  <c r="B152" i="1" s="1"/>
  <c r="G10" i="1"/>
  <c r="G16" i="1" s="1"/>
  <c r="F10" i="1"/>
  <c r="F16" i="1" s="1"/>
  <c r="F149" i="1" s="1"/>
  <c r="F150" i="1" s="1"/>
  <c r="F152" i="1" s="1"/>
  <c r="I10" i="1"/>
  <c r="I16" i="1" s="1"/>
  <c r="E10" i="1"/>
  <c r="E16" i="1" s="1"/>
  <c r="K10" i="1"/>
  <c r="K16" i="1" s="1"/>
  <c r="K149" i="1" s="1"/>
  <c r="K150" i="1" s="1"/>
  <c r="K152" i="1" s="1"/>
  <c r="C10" i="1"/>
  <c r="C16" i="1" s="1"/>
  <c r="C149" i="1" s="1"/>
  <c r="C150" i="1" s="1"/>
  <c r="C152" i="1" s="1"/>
  <c r="J10" i="1"/>
  <c r="J16" i="1" s="1"/>
  <c r="H10" i="1"/>
  <c r="H16" i="1" s="1"/>
  <c r="H149" i="1" s="1"/>
  <c r="H150" i="1" s="1"/>
  <c r="H152" i="1" s="1"/>
  <c r="D10" i="1"/>
  <c r="D16" i="1" s="1"/>
  <c r="F24" i="2"/>
  <c r="R19" i="1"/>
  <c r="R12" i="1"/>
  <c r="R18" i="1"/>
  <c r="R15" i="1"/>
  <c r="E83" i="2" s="1"/>
  <c r="R13" i="1"/>
  <c r="R8" i="1"/>
  <c r="R9" i="1"/>
  <c r="R14" i="1"/>
  <c r="R7" i="1"/>
  <c r="O19" i="1"/>
  <c r="O14" i="1"/>
  <c r="O8" i="1"/>
  <c r="O13" i="1"/>
  <c r="O9" i="1"/>
  <c r="O15" i="1"/>
  <c r="O18" i="1"/>
  <c r="O12" i="1"/>
  <c r="O7" i="1"/>
  <c r="X14" i="1"/>
  <c r="X8" i="1"/>
  <c r="X13" i="1"/>
  <c r="X18" i="1"/>
  <c r="X9" i="1"/>
  <c r="X7" i="1"/>
  <c r="X19" i="1"/>
  <c r="X12" i="1"/>
  <c r="X15" i="1"/>
  <c r="K83" i="2" s="1"/>
  <c r="T14" i="1"/>
  <c r="T8" i="1"/>
  <c r="T13" i="1"/>
  <c r="T15" i="1"/>
  <c r="G83" i="2" s="1"/>
  <c r="T18" i="1"/>
  <c r="T9" i="1"/>
  <c r="T19" i="1"/>
  <c r="T12" i="1"/>
  <c r="T7" i="1"/>
  <c r="P14" i="1"/>
  <c r="P8" i="1"/>
  <c r="P13" i="1"/>
  <c r="P18" i="1"/>
  <c r="P15" i="1"/>
  <c r="C83" i="2" s="1"/>
  <c r="P7" i="1"/>
  <c r="P9" i="1"/>
  <c r="P19" i="1"/>
  <c r="P12" i="1"/>
  <c r="V19" i="1"/>
  <c r="V12" i="1"/>
  <c r="V18" i="1"/>
  <c r="V15" i="1"/>
  <c r="I83" i="2" s="1"/>
  <c r="V9" i="1"/>
  <c r="V13" i="1"/>
  <c r="V14" i="1"/>
  <c r="V7" i="1"/>
  <c r="V8" i="1"/>
  <c r="U13" i="1"/>
  <c r="U7" i="1"/>
  <c r="U19" i="1"/>
  <c r="U12" i="1"/>
  <c r="U14" i="1"/>
  <c r="U8" i="1"/>
  <c r="U18" i="1"/>
  <c r="U9" i="1"/>
  <c r="U15" i="1"/>
  <c r="H83" i="2" s="1"/>
  <c r="Q13" i="1"/>
  <c r="Q7" i="1"/>
  <c r="Q19" i="1"/>
  <c r="Q12" i="1"/>
  <c r="Q9" i="1"/>
  <c r="Q18" i="1"/>
  <c r="Q8" i="1"/>
  <c r="Q15" i="1"/>
  <c r="D83" i="2" s="1"/>
  <c r="Q14" i="1"/>
  <c r="W18" i="1"/>
  <c r="W15" i="1"/>
  <c r="J83" i="2" s="1"/>
  <c r="W9" i="1"/>
  <c r="W14" i="1"/>
  <c r="W19" i="1"/>
  <c r="W12" i="1"/>
  <c r="W7" i="1"/>
  <c r="W8" i="1"/>
  <c r="W13" i="1"/>
  <c r="S18" i="1"/>
  <c r="S15" i="1"/>
  <c r="F83" i="2" s="1"/>
  <c r="S9" i="1"/>
  <c r="S14" i="1"/>
  <c r="S7" i="1"/>
  <c r="S13" i="1"/>
  <c r="S8" i="1"/>
  <c r="S19" i="1"/>
  <c r="S12" i="1"/>
  <c r="F35" i="2"/>
  <c r="F26" i="2"/>
  <c r="G62" i="2"/>
  <c r="F33" i="2"/>
  <c r="J62" i="2"/>
  <c r="F62" i="2"/>
  <c r="C5" i="1"/>
  <c r="L5" i="1"/>
  <c r="H5" i="1"/>
  <c r="D5" i="1"/>
  <c r="K5" i="1"/>
  <c r="G5" i="1"/>
  <c r="J5" i="1"/>
  <c r="F5" i="1"/>
  <c r="I5" i="1"/>
  <c r="E5" i="1"/>
  <c r="E47" i="2"/>
  <c r="H47" i="2"/>
  <c r="I62" i="2"/>
  <c r="K62" i="2"/>
  <c r="F34" i="2"/>
  <c r="F25" i="2"/>
  <c r="J47" i="2"/>
  <c r="G47" i="2"/>
  <c r="D47" i="2"/>
  <c r="F47" i="2"/>
  <c r="C47" i="2"/>
  <c r="B47" i="2"/>
  <c r="F31" i="2"/>
  <c r="K47" i="2"/>
  <c r="I47" i="2"/>
  <c r="E62" i="2"/>
  <c r="C62" i="2"/>
  <c r="M4" i="2"/>
  <c r="B62" i="2"/>
  <c r="H62" i="2"/>
  <c r="D62" i="2"/>
  <c r="K35" i="2"/>
  <c r="K33" i="2"/>
  <c r="C29" i="1"/>
  <c r="K34" i="2"/>
  <c r="K94" i="1"/>
  <c r="K99" i="1" s="1"/>
  <c r="K31" i="2"/>
  <c r="K25" i="2"/>
  <c r="K24" i="2"/>
  <c r="A2" i="2"/>
  <c r="K28" i="2"/>
  <c r="K26" i="2"/>
  <c r="S4" i="2"/>
  <c r="O4" i="2"/>
  <c r="V4" i="2"/>
  <c r="R4" i="2"/>
  <c r="N4" i="2"/>
  <c r="U4" i="2"/>
  <c r="Q4" i="2"/>
  <c r="T4" i="2"/>
  <c r="P4" i="2"/>
  <c r="H20" i="2"/>
  <c r="D20" i="2"/>
  <c r="K20" i="2"/>
  <c r="G20" i="2"/>
  <c r="C20" i="2"/>
  <c r="J20" i="2"/>
  <c r="F20" i="2"/>
  <c r="B20" i="2"/>
  <c r="I20" i="2"/>
  <c r="E20" i="2"/>
  <c r="B10" i="2"/>
  <c r="B144" i="1" s="1"/>
  <c r="I10" i="2"/>
  <c r="I144" i="1" s="1"/>
  <c r="K10" i="2"/>
  <c r="K144" i="1" s="1"/>
  <c r="K145" i="1" s="1"/>
  <c r="H10" i="2"/>
  <c r="H144" i="1" s="1"/>
  <c r="H145" i="1" s="1"/>
  <c r="E10" i="2"/>
  <c r="E144" i="1" s="1"/>
  <c r="J10" i="2"/>
  <c r="J144" i="1" s="1"/>
  <c r="G10" i="2"/>
  <c r="G144" i="1" s="1"/>
  <c r="G145" i="1" s="1"/>
  <c r="D10" i="2"/>
  <c r="D144" i="1" s="1"/>
  <c r="F10" i="2"/>
  <c r="F144" i="1" s="1"/>
  <c r="C10" i="2"/>
  <c r="C144" i="1" s="1"/>
  <c r="C30" i="1"/>
  <c r="J93" i="1"/>
  <c r="J41" i="2"/>
  <c r="F93" i="1"/>
  <c r="F41" i="2"/>
  <c r="C33" i="1"/>
  <c r="B93" i="1"/>
  <c r="K93" i="1"/>
  <c r="K41" i="2"/>
  <c r="G93" i="1"/>
  <c r="G41" i="2"/>
  <c r="C93" i="1"/>
  <c r="C41" i="2"/>
  <c r="C32" i="1"/>
  <c r="I93" i="1"/>
  <c r="I41" i="2"/>
  <c r="E93" i="1"/>
  <c r="E41" i="2"/>
  <c r="H93" i="1"/>
  <c r="H41" i="2"/>
  <c r="D93" i="1"/>
  <c r="D41" i="2"/>
  <c r="E58" i="1"/>
  <c r="E85" i="1" s="1"/>
  <c r="E37" i="1"/>
  <c r="I58" i="1"/>
  <c r="I85" i="1" s="1"/>
  <c r="I37" i="1"/>
  <c r="B37" i="1"/>
  <c r="B58" i="1"/>
  <c r="B85" i="1" s="1"/>
  <c r="H58" i="1"/>
  <c r="H85" i="1" s="1"/>
  <c r="H37" i="1"/>
  <c r="D58" i="1"/>
  <c r="D85" i="1" s="1"/>
  <c r="D37" i="1"/>
  <c r="C31" i="1"/>
  <c r="J37" i="1"/>
  <c r="J58" i="1"/>
  <c r="J85" i="1" s="1"/>
  <c r="F37" i="1"/>
  <c r="F58" i="1"/>
  <c r="F85" i="1" s="1"/>
  <c r="K58" i="1"/>
  <c r="K37" i="1"/>
  <c r="G58" i="1"/>
  <c r="G85" i="1" s="1"/>
  <c r="G37" i="1"/>
  <c r="C58" i="1"/>
  <c r="C37" i="1"/>
  <c r="O5" i="1"/>
  <c r="U5" i="1"/>
  <c r="P5" i="1"/>
  <c r="X5" i="1"/>
  <c r="T5" i="1"/>
  <c r="W5" i="1"/>
  <c r="S5" i="1"/>
  <c r="Q5" i="1"/>
  <c r="V5" i="1"/>
  <c r="R5" i="1"/>
  <c r="A1" i="3"/>
  <c r="E1" i="3"/>
  <c r="H2" i="1"/>
  <c r="Y22" i="1"/>
  <c r="G82" i="2" l="1"/>
  <c r="K61" i="1"/>
  <c r="K65" i="1" s="1"/>
  <c r="F145" i="1"/>
  <c r="E61" i="1"/>
  <c r="E65" i="1" s="1"/>
  <c r="G61" i="1"/>
  <c r="G65" i="1" s="1"/>
  <c r="H61" i="1"/>
  <c r="J61" i="1"/>
  <c r="J65" i="1" s="1"/>
  <c r="I145" i="1"/>
  <c r="I43" i="1"/>
  <c r="I149" i="1"/>
  <c r="I150" i="1" s="1"/>
  <c r="I152" i="1" s="1"/>
  <c r="C61" i="1"/>
  <c r="C65" i="1" s="1"/>
  <c r="D145" i="1"/>
  <c r="B145" i="1"/>
  <c r="D69" i="2"/>
  <c r="D71" i="2" s="1"/>
  <c r="J145" i="1"/>
  <c r="E145" i="1"/>
  <c r="C145" i="1"/>
  <c r="C82" i="2"/>
  <c r="D43" i="1"/>
  <c r="D149" i="1"/>
  <c r="D150" i="1" s="1"/>
  <c r="D152" i="1" s="1"/>
  <c r="G49" i="1"/>
  <c r="G149" i="1"/>
  <c r="G150" i="1" s="1"/>
  <c r="G152" i="1" s="1"/>
  <c r="H69" i="2"/>
  <c r="H71" i="2" s="1"/>
  <c r="J43" i="1"/>
  <c r="J149" i="1"/>
  <c r="J150" i="1" s="1"/>
  <c r="J152" i="1" s="1"/>
  <c r="E43" i="1"/>
  <c r="E149" i="1"/>
  <c r="E150" i="1" s="1"/>
  <c r="E152" i="1" s="1"/>
  <c r="E94" i="2"/>
  <c r="E90" i="2" s="1"/>
  <c r="F61" i="1"/>
  <c r="F82" i="2"/>
  <c r="H82" i="2"/>
  <c r="K82" i="2"/>
  <c r="D61" i="1"/>
  <c r="D65" i="1" s="1"/>
  <c r="I39" i="7"/>
  <c r="H39" i="7"/>
  <c r="G39" i="7"/>
  <c r="C39" i="7" s="1"/>
  <c r="I82" i="2"/>
  <c r="E82" i="2"/>
  <c r="D82" i="2"/>
  <c r="J82" i="2"/>
  <c r="C94" i="2"/>
  <c r="C90" i="2" s="1"/>
  <c r="K62" i="1"/>
  <c r="H10" i="7"/>
  <c r="G10" i="7"/>
  <c r="C10" i="7" s="1"/>
  <c r="I10" i="7"/>
  <c r="E48" i="1"/>
  <c r="G62" i="1"/>
  <c r="C69" i="2"/>
  <c r="H94" i="2"/>
  <c r="H90" i="2" s="1"/>
  <c r="I94" i="2"/>
  <c r="I90" i="2" s="1"/>
  <c r="I63" i="2"/>
  <c r="I65" i="2" s="1"/>
  <c r="I66" i="2" s="1"/>
  <c r="J94" i="2"/>
  <c r="J90" i="2" s="1"/>
  <c r="F63" i="2"/>
  <c r="F65" i="2" s="1"/>
  <c r="F66" i="2" s="1"/>
  <c r="J69" i="2"/>
  <c r="J71" i="2" s="1"/>
  <c r="C63" i="2"/>
  <c r="C65" i="2" s="1"/>
  <c r="C66" i="2" s="1"/>
  <c r="J63" i="2"/>
  <c r="J65" i="2" s="1"/>
  <c r="J66" i="2" s="1"/>
  <c r="F94" i="2"/>
  <c r="F90" i="2" s="1"/>
  <c r="K94" i="2"/>
  <c r="K90" i="2" s="1"/>
  <c r="G94" i="2"/>
  <c r="G90" i="2" s="1"/>
  <c r="G69" i="2"/>
  <c r="H19" i="7"/>
  <c r="G63" i="2"/>
  <c r="G65" i="2" s="1"/>
  <c r="G66" i="2" s="1"/>
  <c r="E63" i="2"/>
  <c r="E65" i="2" s="1"/>
  <c r="E66" i="2" s="1"/>
  <c r="K69" i="2"/>
  <c r="G19" i="7"/>
  <c r="C19" i="7" s="1"/>
  <c r="D63" i="2"/>
  <c r="D65" i="2" s="1"/>
  <c r="D66" i="2" s="1"/>
  <c r="K63" i="2"/>
  <c r="K65" i="2" s="1"/>
  <c r="K66" i="2" s="1"/>
  <c r="F69" i="2"/>
  <c r="G18" i="7"/>
  <c r="C18" i="7" s="1"/>
  <c r="H18" i="7"/>
  <c r="I18" i="7"/>
  <c r="I19" i="7"/>
  <c r="D94" i="2"/>
  <c r="D90" i="2" s="1"/>
  <c r="H63" i="2"/>
  <c r="H65" i="2" s="1"/>
  <c r="H66" i="2" s="1"/>
  <c r="I69" i="2"/>
  <c r="E69" i="2"/>
  <c r="E71" i="2" s="1"/>
  <c r="C62" i="1"/>
  <c r="B73" i="1"/>
  <c r="C48" i="2"/>
  <c r="C53" i="2" s="1"/>
  <c r="F65" i="1"/>
  <c r="F62" i="1"/>
  <c r="F135" i="1" s="1"/>
  <c r="I65" i="1"/>
  <c r="I62" i="1"/>
  <c r="I135" i="1" s="1"/>
  <c r="H65" i="1"/>
  <c r="H62" i="1"/>
  <c r="H135" i="1" s="1"/>
  <c r="B20" i="1"/>
  <c r="B105" i="1" s="1"/>
  <c r="B108" i="1" s="1"/>
  <c r="B43" i="1"/>
  <c r="O10" i="1"/>
  <c r="O16" i="1" s="1"/>
  <c r="I48" i="1"/>
  <c r="J48" i="1"/>
  <c r="J49" i="1"/>
  <c r="H48" i="1"/>
  <c r="H43" i="1"/>
  <c r="B48" i="1"/>
  <c r="B49" i="1"/>
  <c r="H49" i="1"/>
  <c r="D49" i="1"/>
  <c r="E49" i="1"/>
  <c r="K48" i="1"/>
  <c r="K43" i="1"/>
  <c r="G48" i="1"/>
  <c r="G43" i="1"/>
  <c r="K49" i="1"/>
  <c r="D48" i="1"/>
  <c r="W10" i="1"/>
  <c r="C48" i="1"/>
  <c r="C43" i="1"/>
  <c r="F48" i="1"/>
  <c r="F43" i="1"/>
  <c r="F49" i="1"/>
  <c r="C49" i="1"/>
  <c r="I49" i="1"/>
  <c r="P10" i="1"/>
  <c r="X10" i="1"/>
  <c r="Q10" i="1"/>
  <c r="V10" i="1"/>
  <c r="T10" i="1"/>
  <c r="R10" i="1"/>
  <c r="S10" i="1"/>
  <c r="U10" i="1"/>
  <c r="H124" i="1"/>
  <c r="H114" i="1"/>
  <c r="I124" i="1"/>
  <c r="I114" i="1"/>
  <c r="B124" i="1"/>
  <c r="B114" i="1"/>
  <c r="G124" i="1"/>
  <c r="G114" i="1"/>
  <c r="J124" i="1"/>
  <c r="J114" i="1"/>
  <c r="D124" i="1"/>
  <c r="D114" i="1"/>
  <c r="E124" i="1"/>
  <c r="E114" i="1"/>
  <c r="C124" i="1"/>
  <c r="C114" i="1"/>
  <c r="K124" i="1"/>
  <c r="K114" i="1"/>
  <c r="F124" i="1"/>
  <c r="F114" i="1"/>
  <c r="F48" i="2"/>
  <c r="F53" i="2" s="1"/>
  <c r="G48" i="2"/>
  <c r="D48" i="2"/>
  <c r="D53" i="2" s="1"/>
  <c r="E48" i="2"/>
  <c r="E53" i="2" s="1"/>
  <c r="K118" i="1"/>
  <c r="K119" i="1" s="1"/>
  <c r="H48" i="2"/>
  <c r="H53" i="2" s="1"/>
  <c r="L99" i="1"/>
  <c r="L100" i="1" s="1"/>
  <c r="K100" i="1"/>
  <c r="K48" i="2"/>
  <c r="K53" i="2" s="1"/>
  <c r="I48" i="2"/>
  <c r="I53" i="2" s="1"/>
  <c r="J48" i="2"/>
  <c r="R6" i="2"/>
  <c r="R7" i="2"/>
  <c r="R8" i="2"/>
  <c r="R5" i="2"/>
  <c r="R9" i="2"/>
  <c r="T14" i="2"/>
  <c r="T19" i="2"/>
  <c r="T18" i="2"/>
  <c r="T15" i="2"/>
  <c r="T17" i="2"/>
  <c r="T12" i="2"/>
  <c r="T16" i="2"/>
  <c r="T13" i="2"/>
  <c r="S15" i="2"/>
  <c r="S12" i="2"/>
  <c r="S16" i="2"/>
  <c r="S13" i="2"/>
  <c r="S17" i="2"/>
  <c r="S18" i="2"/>
  <c r="S14" i="2"/>
  <c r="S19" i="2"/>
  <c r="N6" i="2"/>
  <c r="N9" i="2"/>
  <c r="N7" i="2"/>
  <c r="N5" i="2"/>
  <c r="N8" i="2"/>
  <c r="U7" i="2"/>
  <c r="U6" i="2"/>
  <c r="U8" i="2"/>
  <c r="U5" i="2"/>
  <c r="U9" i="2"/>
  <c r="T8" i="2"/>
  <c r="T5" i="2"/>
  <c r="T9" i="2"/>
  <c r="T7" i="2"/>
  <c r="T6" i="2"/>
  <c r="M19" i="2"/>
  <c r="M15" i="2"/>
  <c r="M16" i="2"/>
  <c r="M18" i="2"/>
  <c r="M14" i="2"/>
  <c r="M17" i="2"/>
  <c r="M13" i="2"/>
  <c r="M12" i="2"/>
  <c r="R12" i="2"/>
  <c r="R16" i="2"/>
  <c r="R13" i="2"/>
  <c r="R17" i="2"/>
  <c r="R18" i="2"/>
  <c r="R15" i="2"/>
  <c r="R14" i="2"/>
  <c r="R19" i="2"/>
  <c r="V6" i="2"/>
  <c r="V5" i="2"/>
  <c r="V7" i="2"/>
  <c r="V9" i="2"/>
  <c r="V8" i="2"/>
  <c r="N12" i="2"/>
  <c r="N16" i="2"/>
  <c r="N15" i="2"/>
  <c r="N13" i="2"/>
  <c r="N17" i="2"/>
  <c r="N14" i="2"/>
  <c r="N18" i="2"/>
  <c r="N19" i="2"/>
  <c r="Q7" i="2"/>
  <c r="Q8" i="2"/>
  <c r="Q6" i="2"/>
  <c r="Q5" i="2"/>
  <c r="Q9" i="2"/>
  <c r="P8" i="2"/>
  <c r="P5" i="2"/>
  <c r="P9" i="2"/>
  <c r="P6" i="2"/>
  <c r="P7" i="2"/>
  <c r="M6" i="2"/>
  <c r="M7" i="2"/>
  <c r="M9" i="2"/>
  <c r="M5" i="2"/>
  <c r="M8" i="2"/>
  <c r="Q13" i="2"/>
  <c r="Q17" i="2"/>
  <c r="Q16" i="2"/>
  <c r="Q14" i="2"/>
  <c r="Q19" i="2"/>
  <c r="Q18" i="2"/>
  <c r="Q15" i="2"/>
  <c r="Q12" i="2"/>
  <c r="V12" i="2"/>
  <c r="V16" i="2"/>
  <c r="V13" i="2"/>
  <c r="V17" i="2"/>
  <c r="V18" i="2"/>
  <c r="V14" i="2"/>
  <c r="V19" i="2"/>
  <c r="V15" i="2"/>
  <c r="O5" i="2"/>
  <c r="O9" i="2"/>
  <c r="O8" i="2"/>
  <c r="O6" i="2"/>
  <c r="O7" i="2"/>
  <c r="S5" i="2"/>
  <c r="S9" i="2"/>
  <c r="S6" i="2"/>
  <c r="S7" i="2"/>
  <c r="S8" i="2"/>
  <c r="P14" i="2"/>
  <c r="P18" i="2"/>
  <c r="P19" i="2"/>
  <c r="P17" i="2"/>
  <c r="P15" i="2"/>
  <c r="P13" i="2"/>
  <c r="P12" i="2"/>
  <c r="P16" i="2"/>
  <c r="U13" i="2"/>
  <c r="U17" i="2"/>
  <c r="U18" i="2"/>
  <c r="U12" i="2"/>
  <c r="U14" i="2"/>
  <c r="U19" i="2"/>
  <c r="U15" i="2"/>
  <c r="U16" i="2"/>
  <c r="O15" i="2"/>
  <c r="O14" i="2"/>
  <c r="O12" i="2"/>
  <c r="O16" i="2"/>
  <c r="O19" i="2"/>
  <c r="O13" i="2"/>
  <c r="O17" i="2"/>
  <c r="O18" i="2"/>
  <c r="F38" i="2"/>
  <c r="C94" i="1"/>
  <c r="F29" i="2"/>
  <c r="B42" i="2"/>
  <c r="D42" i="2"/>
  <c r="F42" i="2"/>
  <c r="G42" i="2"/>
  <c r="J42" i="2"/>
  <c r="C42" i="2"/>
  <c r="H42" i="2"/>
  <c r="E42" i="2"/>
  <c r="I42" i="2"/>
  <c r="K42" i="2"/>
  <c r="B51" i="1"/>
  <c r="E20" i="1"/>
  <c r="E23" i="1" s="1"/>
  <c r="I20" i="1"/>
  <c r="I23" i="1" s="1"/>
  <c r="J20" i="1"/>
  <c r="J23" i="1" s="1"/>
  <c r="C20" i="1"/>
  <c r="C23" i="1" s="1"/>
  <c r="G20" i="1"/>
  <c r="G23" i="1" s="1"/>
  <c r="K38" i="2"/>
  <c r="E70" i="1"/>
  <c r="K85" i="1"/>
  <c r="C70" i="1"/>
  <c r="C85" i="1"/>
  <c r="E31" i="1"/>
  <c r="F20" i="1"/>
  <c r="F23" i="1" s="1"/>
  <c r="D20" i="1"/>
  <c r="D23" i="1" s="1"/>
  <c r="E30" i="1"/>
  <c r="K20" i="1"/>
  <c r="K23" i="1" s="1"/>
  <c r="E33" i="1"/>
  <c r="E29" i="1"/>
  <c r="H20" i="1"/>
  <c r="H23" i="1" s="1"/>
  <c r="E32" i="1"/>
  <c r="K104" i="1"/>
  <c r="L94" i="1"/>
  <c r="L95" i="1" s="1"/>
  <c r="L97" i="1" s="1"/>
  <c r="K29" i="2"/>
  <c r="E62" i="1" l="1"/>
  <c r="E135" i="1" s="1"/>
  <c r="D62" i="1"/>
  <c r="D135" i="1" s="1"/>
  <c r="J62" i="1"/>
  <c r="J68" i="1" s="1"/>
  <c r="B72" i="1"/>
  <c r="E130" i="1"/>
  <c r="E134" i="1"/>
  <c r="E142" i="1" s="1"/>
  <c r="B126" i="1"/>
  <c r="B134" i="1"/>
  <c r="B142" i="1" s="1"/>
  <c r="G125" i="1"/>
  <c r="G134" i="1"/>
  <c r="G142" i="1" s="1"/>
  <c r="K111" i="1"/>
  <c r="K138" i="1"/>
  <c r="K136" i="1"/>
  <c r="F125" i="1"/>
  <c r="F134" i="1"/>
  <c r="F142" i="1" s="1"/>
  <c r="D126" i="1"/>
  <c r="D134" i="1"/>
  <c r="D142" i="1" s="1"/>
  <c r="I125" i="1"/>
  <c r="I134" i="1"/>
  <c r="I142" i="1" s="1"/>
  <c r="C126" i="1"/>
  <c r="C134" i="1"/>
  <c r="C142" i="1" s="1"/>
  <c r="K68" i="1"/>
  <c r="K135" i="1"/>
  <c r="C68" i="1"/>
  <c r="C135" i="1"/>
  <c r="K125" i="1"/>
  <c r="K134" i="1"/>
  <c r="K142" i="1" s="1"/>
  <c r="J125" i="1"/>
  <c r="J134" i="1"/>
  <c r="J142" i="1" s="1"/>
  <c r="H125" i="1"/>
  <c r="H134" i="1"/>
  <c r="H142" i="1" s="1"/>
  <c r="G68" i="1"/>
  <c r="G135" i="1"/>
  <c r="C21" i="7"/>
  <c r="C17" i="7" s="1"/>
  <c r="H9" i="7"/>
  <c r="I9" i="7"/>
  <c r="G9" i="7"/>
  <c r="C9" i="7" s="1"/>
  <c r="Q16" i="1"/>
  <c r="D81" i="2"/>
  <c r="W16" i="1"/>
  <c r="J81" i="2"/>
  <c r="U16" i="1"/>
  <c r="H81" i="2"/>
  <c r="X16" i="1"/>
  <c r="K81" i="2"/>
  <c r="P16" i="1"/>
  <c r="C81" i="2"/>
  <c r="T16" i="1"/>
  <c r="G81" i="2"/>
  <c r="S16" i="1"/>
  <c r="F81" i="2"/>
  <c r="R16" i="1"/>
  <c r="E81" i="2"/>
  <c r="V16" i="1"/>
  <c r="I81" i="2"/>
  <c r="E68" i="1"/>
  <c r="H68" i="1"/>
  <c r="F68" i="1"/>
  <c r="B74" i="1"/>
  <c r="N66" i="2"/>
  <c r="D72" i="2"/>
  <c r="D88" i="2" s="1"/>
  <c r="M66" i="2"/>
  <c r="H72" i="2"/>
  <c r="H88" i="2" s="1"/>
  <c r="E72" i="2"/>
  <c r="E88" i="2" s="1"/>
  <c r="O66" i="2"/>
  <c r="J72" i="2"/>
  <c r="J88" i="2" s="1"/>
  <c r="B76" i="1"/>
  <c r="H75" i="2"/>
  <c r="D75" i="2"/>
  <c r="E75" i="2"/>
  <c r="M65" i="2"/>
  <c r="O65" i="2"/>
  <c r="N65" i="2"/>
  <c r="K71" i="2"/>
  <c r="K75" i="2"/>
  <c r="I71" i="2"/>
  <c r="I75" i="2"/>
  <c r="G71" i="2"/>
  <c r="G75" i="2"/>
  <c r="J75" i="2"/>
  <c r="F71" i="2"/>
  <c r="F75" i="2"/>
  <c r="C71" i="2"/>
  <c r="C75" i="2"/>
  <c r="D68" i="1"/>
  <c r="I68" i="1"/>
  <c r="K126" i="1"/>
  <c r="K128" i="1" s="1"/>
  <c r="K130" i="1" s="1"/>
  <c r="E125" i="1"/>
  <c r="E126" i="1"/>
  <c r="B125" i="1"/>
  <c r="B128" i="1" s="1"/>
  <c r="O20" i="2"/>
  <c r="M20" i="2"/>
  <c r="N10" i="2"/>
  <c r="M10" i="2"/>
  <c r="O10" i="2"/>
  <c r="P10" i="2"/>
  <c r="N20" i="2"/>
  <c r="C99" i="1"/>
  <c r="C100" i="1" s="1"/>
  <c r="C118" i="1"/>
  <c r="C119" i="1" s="1"/>
  <c r="B23" i="1"/>
  <c r="P20" i="2"/>
  <c r="C125" i="1"/>
  <c r="C128" i="1" s="1"/>
  <c r="D125" i="1"/>
  <c r="C130" i="1"/>
  <c r="G53" i="2"/>
  <c r="J53" i="2"/>
  <c r="L119" i="1"/>
  <c r="S20" i="2"/>
  <c r="T10" i="2"/>
  <c r="Q20" i="2"/>
  <c r="S10" i="2"/>
  <c r="V20" i="2"/>
  <c r="R10" i="2"/>
  <c r="U20" i="2"/>
  <c r="Q10" i="2"/>
  <c r="U10" i="2"/>
  <c r="V10" i="2"/>
  <c r="R20" i="2"/>
  <c r="T20" i="2"/>
  <c r="C104" i="1"/>
  <c r="D94" i="1"/>
  <c r="J43" i="2"/>
  <c r="H43" i="2"/>
  <c r="F43" i="2"/>
  <c r="G43" i="2"/>
  <c r="E43" i="2"/>
  <c r="D43" i="2"/>
  <c r="K43" i="2"/>
  <c r="C43" i="2"/>
  <c r="I43" i="2"/>
  <c r="G105" i="1"/>
  <c r="G108" i="1" s="1"/>
  <c r="E22" i="1"/>
  <c r="E105" i="1"/>
  <c r="E108" i="1" s="1"/>
  <c r="B22" i="1"/>
  <c r="O22" i="1" s="1"/>
  <c r="J105" i="1"/>
  <c r="J108" i="1" s="1"/>
  <c r="F105" i="1"/>
  <c r="F108" i="1" s="1"/>
  <c r="G22" i="1"/>
  <c r="G117" i="1" s="1"/>
  <c r="I105" i="1"/>
  <c r="I108" i="1" s="1"/>
  <c r="K22" i="1"/>
  <c r="K117" i="1" s="1"/>
  <c r="K105" i="1"/>
  <c r="D22" i="1"/>
  <c r="D105" i="1"/>
  <c r="D108" i="1" s="1"/>
  <c r="H22" i="1"/>
  <c r="H117" i="1" s="1"/>
  <c r="H105" i="1"/>
  <c r="H108" i="1" s="1"/>
  <c r="C22" i="1"/>
  <c r="C105" i="1"/>
  <c r="C108" i="1" s="1"/>
  <c r="F22" i="1"/>
  <c r="F117" i="1" s="1"/>
  <c r="J22" i="1"/>
  <c r="J117" i="1" s="1"/>
  <c r="I22" i="1"/>
  <c r="I117" i="1" s="1"/>
  <c r="D128" i="1" l="1"/>
  <c r="J135" i="1"/>
  <c r="K137" i="1"/>
  <c r="L137" i="1" s="1"/>
  <c r="C111" i="1"/>
  <c r="C138" i="1"/>
  <c r="C136" i="1"/>
  <c r="C137" i="1" s="1"/>
  <c r="D85" i="2"/>
  <c r="B43" i="2"/>
  <c r="B44" i="2" s="1"/>
  <c r="I40" i="7"/>
  <c r="H40" i="7"/>
  <c r="G40" i="7"/>
  <c r="I8" i="7"/>
  <c r="G8" i="7"/>
  <c r="C8" i="7" s="1"/>
  <c r="C11" i="7" s="1"/>
  <c r="H8" i="7"/>
  <c r="E85" i="2"/>
  <c r="J85" i="2"/>
  <c r="H85" i="2"/>
  <c r="B77" i="1"/>
  <c r="I72" i="2"/>
  <c r="I88" i="2" s="1"/>
  <c r="I85" i="2" s="1"/>
  <c r="G72" i="2"/>
  <c r="G88" i="2" s="1"/>
  <c r="K72" i="2"/>
  <c r="K88" i="2" s="1"/>
  <c r="K85" i="2" s="1"/>
  <c r="C72" i="2"/>
  <c r="C88" i="2" s="1"/>
  <c r="C85" i="2" s="1"/>
  <c r="F72" i="2"/>
  <c r="F88" i="2" s="1"/>
  <c r="F85" i="2" s="1"/>
  <c r="H80" i="2"/>
  <c r="D80" i="2"/>
  <c r="I80" i="2"/>
  <c r="G80" i="2"/>
  <c r="K80" i="2"/>
  <c r="C80" i="2"/>
  <c r="J80" i="2"/>
  <c r="F80" i="2"/>
  <c r="E80" i="2"/>
  <c r="M71" i="2"/>
  <c r="O71" i="2"/>
  <c r="N71" i="2"/>
  <c r="C44" i="2"/>
  <c r="C52" i="2" s="1"/>
  <c r="C98" i="2"/>
  <c r="G44" i="2"/>
  <c r="G50" i="2" s="1"/>
  <c r="G98" i="2"/>
  <c r="F44" i="2"/>
  <c r="F50" i="2" s="1"/>
  <c r="F98" i="2"/>
  <c r="K44" i="2"/>
  <c r="K50" i="2" s="1"/>
  <c r="K98" i="2"/>
  <c r="D44" i="2"/>
  <c r="D52" i="2" s="1"/>
  <c r="D98" i="2"/>
  <c r="H44" i="2"/>
  <c r="H50" i="2" s="1"/>
  <c r="H98" i="2"/>
  <c r="I44" i="2"/>
  <c r="I50" i="2" s="1"/>
  <c r="I98" i="2"/>
  <c r="E44" i="2"/>
  <c r="E50" i="2" s="1"/>
  <c r="E98" i="2"/>
  <c r="J44" i="2"/>
  <c r="J50" i="2" s="1"/>
  <c r="J98" i="2"/>
  <c r="C109" i="1"/>
  <c r="K106" i="1"/>
  <c r="K108" i="1"/>
  <c r="K109" i="1" s="1"/>
  <c r="E128" i="1"/>
  <c r="O53" i="2"/>
  <c r="J72" i="1"/>
  <c r="D50" i="2"/>
  <c r="C117" i="1"/>
  <c r="P22" i="1"/>
  <c r="C95" i="1"/>
  <c r="C97" i="1" s="1"/>
  <c r="E117" i="1"/>
  <c r="R22" i="1"/>
  <c r="D118" i="1"/>
  <c r="D119" i="1" s="1"/>
  <c r="D99" i="1"/>
  <c r="D100" i="1" s="1"/>
  <c r="B117" i="1"/>
  <c r="C106" i="1"/>
  <c r="M53" i="2"/>
  <c r="D117" i="1"/>
  <c r="Q22" i="1"/>
  <c r="D95" i="1"/>
  <c r="D97" i="1" s="1"/>
  <c r="N53" i="2"/>
  <c r="S22" i="1"/>
  <c r="U22" i="1"/>
  <c r="X22" i="1"/>
  <c r="K95" i="1"/>
  <c r="K97" i="1" s="1"/>
  <c r="V22" i="1"/>
  <c r="T22" i="1"/>
  <c r="W22" i="1"/>
  <c r="G33" i="1"/>
  <c r="E94" i="1"/>
  <c r="D104" i="1"/>
  <c r="F130" i="1"/>
  <c r="G32" i="1"/>
  <c r="G31" i="1"/>
  <c r="G30" i="1"/>
  <c r="G29" i="1"/>
  <c r="G130" i="1"/>
  <c r="D130" i="1"/>
  <c r="I130" i="1"/>
  <c r="B130" i="1"/>
  <c r="M43" i="2" l="1"/>
  <c r="O43" i="2"/>
  <c r="N43" i="2"/>
  <c r="D111" i="1"/>
  <c r="D136" i="1"/>
  <c r="D137" i="1" s="1"/>
  <c r="D138" i="1"/>
  <c r="G85" i="2"/>
  <c r="I15" i="7"/>
  <c r="H15" i="7"/>
  <c r="G15" i="7"/>
  <c r="C15" i="7" s="1"/>
  <c r="C22" i="7" s="1"/>
  <c r="C25" i="7" s="1"/>
  <c r="C28" i="7" s="1"/>
  <c r="C41" i="7" s="1"/>
  <c r="C82" i="1"/>
  <c r="C81" i="1"/>
  <c r="C96" i="2"/>
  <c r="C99" i="2" s="1"/>
  <c r="C155" i="1" s="1"/>
  <c r="D96" i="2"/>
  <c r="D99" i="2" s="1"/>
  <c r="D155" i="1" s="1"/>
  <c r="H96" i="2"/>
  <c r="H99" i="2" s="1"/>
  <c r="H155" i="1" s="1"/>
  <c r="K96" i="2"/>
  <c r="K99" i="2" s="1"/>
  <c r="K155" i="1" s="1"/>
  <c r="B168" i="1" s="1"/>
  <c r="E96" i="2"/>
  <c r="E99" i="2" s="1"/>
  <c r="E155" i="1" s="1"/>
  <c r="J96" i="2"/>
  <c r="J99" i="2" s="1"/>
  <c r="J155" i="1" s="1"/>
  <c r="O72" i="2"/>
  <c r="N72" i="2"/>
  <c r="M72" i="2"/>
  <c r="F96" i="2"/>
  <c r="F99" i="2" s="1"/>
  <c r="F155" i="1" s="1"/>
  <c r="I96" i="2"/>
  <c r="I99" i="2" s="1"/>
  <c r="I155" i="1" s="1"/>
  <c r="G96" i="2"/>
  <c r="G99" i="2" s="1"/>
  <c r="G155" i="1" s="1"/>
  <c r="I27" i="7"/>
  <c r="H27" i="7"/>
  <c r="G27" i="7"/>
  <c r="M80" i="2"/>
  <c r="N80" i="2"/>
  <c r="O80" i="2"/>
  <c r="M85" i="2"/>
  <c r="O85" i="2"/>
  <c r="J52" i="2"/>
  <c r="F52" i="2"/>
  <c r="C50" i="2"/>
  <c r="O50" i="2" s="1"/>
  <c r="I52" i="2"/>
  <c r="H52" i="2"/>
  <c r="G52" i="2"/>
  <c r="K52" i="2"/>
  <c r="E52" i="2"/>
  <c r="D106" i="1"/>
  <c r="D109" i="1"/>
  <c r="M50" i="2"/>
  <c r="E99" i="1"/>
  <c r="E100" i="1" s="1"/>
  <c r="E118" i="1"/>
  <c r="E119" i="1" s="1"/>
  <c r="E95" i="1"/>
  <c r="E97" i="1" s="1"/>
  <c r="F94" i="1"/>
  <c r="E104" i="1"/>
  <c r="E111" i="1" l="1"/>
  <c r="E136" i="1"/>
  <c r="E137" i="1" s="1"/>
  <c r="E138" i="1"/>
  <c r="F118" i="1"/>
  <c r="F119" i="1" s="1"/>
  <c r="F126" i="1"/>
  <c r="F128" i="1" s="1"/>
  <c r="N85" i="2"/>
  <c r="O96" i="2"/>
  <c r="N96" i="2"/>
  <c r="M96" i="2"/>
  <c r="M52" i="2"/>
  <c r="N50" i="2"/>
  <c r="N52" i="2"/>
  <c r="O52" i="2"/>
  <c r="E106" i="1"/>
  <c r="E109" i="1"/>
  <c r="J74" i="1"/>
  <c r="F99" i="1"/>
  <c r="F100" i="1" s="1"/>
  <c r="F95" i="1"/>
  <c r="F97" i="1" s="1"/>
  <c r="G94" i="1"/>
  <c r="F104" i="1"/>
  <c r="F111" i="1" l="1"/>
  <c r="F138" i="1"/>
  <c r="F136" i="1"/>
  <c r="F137" i="1" s="1"/>
  <c r="G118" i="1"/>
  <c r="G119" i="1" s="1"/>
  <c r="G126" i="1"/>
  <c r="G128" i="1" s="1"/>
  <c r="O99" i="2"/>
  <c r="N99" i="2"/>
  <c r="M99" i="2"/>
  <c r="F106" i="1"/>
  <c r="F109" i="1"/>
  <c r="G99" i="1"/>
  <c r="G100" i="1" s="1"/>
  <c r="G95" i="1"/>
  <c r="G97" i="1" s="1"/>
  <c r="H94" i="1"/>
  <c r="H118" i="1" s="1"/>
  <c r="H119" i="1" s="1"/>
  <c r="G104" i="1"/>
  <c r="G111" i="1" l="1"/>
  <c r="G138" i="1"/>
  <c r="G136" i="1"/>
  <c r="G137" i="1" s="1"/>
  <c r="G106" i="1"/>
  <c r="G109" i="1"/>
  <c r="H99" i="1"/>
  <c r="H100" i="1" s="1"/>
  <c r="H95" i="1"/>
  <c r="H97" i="1" s="1"/>
  <c r="I94" i="1"/>
  <c r="I118" i="1" s="1"/>
  <c r="I119" i="1" s="1"/>
  <c r="H126" i="1"/>
  <c r="H128" i="1" s="1"/>
  <c r="H104" i="1"/>
  <c r="B80" i="1"/>
  <c r="H111" i="1" l="1"/>
  <c r="H138" i="1"/>
  <c r="H136" i="1"/>
  <c r="H137" i="1" s="1"/>
  <c r="H106" i="1"/>
  <c r="H109" i="1"/>
  <c r="I99" i="1"/>
  <c r="I100" i="1" s="1"/>
  <c r="I95" i="1"/>
  <c r="I97" i="1" s="1"/>
  <c r="J94" i="1"/>
  <c r="J118" i="1" s="1"/>
  <c r="J119" i="1" s="1"/>
  <c r="I104" i="1"/>
  <c r="I126" i="1"/>
  <c r="I128" i="1" s="1"/>
  <c r="I111" i="1" l="1"/>
  <c r="I138" i="1"/>
  <c r="I136" i="1"/>
  <c r="I137" i="1" s="1"/>
  <c r="I106" i="1"/>
  <c r="I109" i="1"/>
  <c r="J99" i="1"/>
  <c r="J100" i="1" s="1"/>
  <c r="J95" i="1"/>
  <c r="J97" i="1" s="1"/>
  <c r="B94" i="1"/>
  <c r="J104" i="1"/>
  <c r="J126" i="1"/>
  <c r="J128" i="1" s="1"/>
  <c r="J130" i="1" s="1"/>
  <c r="J111" i="1" l="1"/>
  <c r="J138" i="1"/>
  <c r="J136" i="1"/>
  <c r="J137" i="1" s="1"/>
  <c r="J106" i="1"/>
  <c r="J109" i="1"/>
  <c r="B104" i="1"/>
  <c r="B118" i="1"/>
  <c r="B119" i="1" s="1"/>
  <c r="B99" i="1"/>
  <c r="B100" i="1" s="1"/>
  <c r="B95" i="1"/>
  <c r="B97" i="1" s="1"/>
  <c r="H130" i="1"/>
  <c r="B136" i="1" l="1"/>
  <c r="B137" i="1" s="1"/>
  <c r="B138" i="1"/>
  <c r="B111" i="1"/>
  <c r="B109" i="1"/>
  <c r="B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</author>
  </authors>
  <commentList>
    <comment ref="L103" authorId="0" shapeId="0" xr:uid="{5132711B-1909-4590-83FF-ADB996C67BAB}">
      <text>
        <r>
          <rPr>
            <b/>
            <sz val="9"/>
            <color indexed="81"/>
            <rFont val="Tahoma"/>
            <family val="2"/>
          </rPr>
          <t>AN:</t>
        </r>
        <r>
          <rPr>
            <sz val="9"/>
            <color indexed="81"/>
            <rFont val="Tahoma"/>
            <family val="2"/>
          </rPr>
          <t xml:space="preserve">
Put updated figures</t>
        </r>
      </text>
    </comment>
  </commentList>
</comments>
</file>

<file path=xl/sharedStrings.xml><?xml version="1.0" encoding="utf-8"?>
<sst xmlns="http://schemas.openxmlformats.org/spreadsheetml/2006/main" count="364" uniqueCount="280">
  <si>
    <t>COMPANY NAME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</si>
  <si>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</si>
  <si>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</si>
  <si>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</si>
  <si>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</si>
  <si>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</si>
  <si>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</si>
  <si>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</si>
  <si>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</si>
  <si>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</si>
  <si>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Equity Share Capital</t>
  </si>
  <si>
    <t>Reserves</t>
  </si>
  <si>
    <t>Total</t>
  </si>
  <si>
    <t>Net Block</t>
  </si>
  <si>
    <t>Capital Work in Progress</t>
  </si>
  <si>
    <t>Investments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</si>
  <si>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</si>
  <si>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</si>
  <si>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</si>
  <si>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</si>
  <si>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</si>
  <si>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</si>
  <si>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</si>
  <si>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</si>
  <si>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</si>
  <si>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</si>
  <si>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</si>
  <si>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</si>
  <si>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</si>
  <si>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Inventory</t>
  </si>
  <si>
    <t>EPS</t>
  </si>
  <si>
    <t>LATEST VERSION</t>
  </si>
  <si>
    <t>CURRENT VERSION</t>
  </si>
  <si>
    <t>ANDHRA PAPER LTD</t>
  </si>
  <si>
    <t>META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</si>
  <si>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</si>
  <si>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</si>
  <si>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</si>
  <si>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</si>
  <si>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</si>
  <si>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</si>
  <si>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</si>
  <si>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</si>
  <si>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</si>
  <si>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</si>
  <si>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</si>
  <si>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</si>
  <si>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</si>
  <si>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</si>
  <si>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</si>
  <si>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</si>
  <si>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</si>
  <si>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</si>
  <si>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</si>
  <si>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</si>
  <si>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TTM</t>
  </si>
  <si>
    <t>Equity</t>
  </si>
  <si>
    <t>Debt</t>
  </si>
  <si>
    <t/>
  </si>
  <si>
    <t>IRR</t>
  </si>
  <si>
    <t>PROFIT AFTER TAX (PAT)</t>
  </si>
  <si>
    <t xml:space="preserve">SALES </t>
  </si>
  <si>
    <t>TTM CAGR</t>
  </si>
  <si>
    <t>7 Year CAGR</t>
  </si>
  <si>
    <t>5 Year CAGR</t>
  </si>
  <si>
    <t>3 Year CAGR</t>
  </si>
  <si>
    <t xml:space="preserve">                                                  COMMON SIZE P&amp;L STATEMENT</t>
  </si>
  <si>
    <t>TOTAL ASSETS</t>
  </si>
  <si>
    <t>TOTAL LIABILITIES</t>
  </si>
  <si>
    <t>Debt/Equity Ratio</t>
  </si>
  <si>
    <t>9 Year CAGR</t>
  </si>
  <si>
    <t>No. of shares (in crores)</t>
  </si>
  <si>
    <t>(ideally, should be more than 75%. Higher the better)</t>
  </si>
  <si>
    <t>Stock Price</t>
  </si>
  <si>
    <t>EBIT</t>
  </si>
  <si>
    <t xml:space="preserve">                                                                                                          DEBT &amp; SOLVENCY RATIOS</t>
  </si>
  <si>
    <t>Dividends</t>
  </si>
  <si>
    <t>Stock Bought</t>
  </si>
  <si>
    <t>Stock Sold</t>
  </si>
  <si>
    <t>Enterprise Value (EV)</t>
  </si>
  <si>
    <t>Trade Payables</t>
  </si>
  <si>
    <t>Loans &amp; Advances</t>
  </si>
  <si>
    <t xml:space="preserve">                                                                  COMMON SIZE BALANCE SHEET</t>
  </si>
  <si>
    <t>1 YEAR</t>
  </si>
  <si>
    <t>5 YEAR</t>
  </si>
  <si>
    <t>Net Block + WIP</t>
  </si>
  <si>
    <t>TOTAL CHANGE IN LIABILITIES</t>
  </si>
  <si>
    <t>Growth</t>
  </si>
  <si>
    <t>Year Ago</t>
  </si>
  <si>
    <t>Latest</t>
  </si>
  <si>
    <t xml:space="preserve">          Latest Quarter</t>
  </si>
  <si>
    <t xml:space="preserve">     Latest 6 Months Period</t>
  </si>
  <si>
    <t>QUARTER ANALYSIS</t>
  </si>
  <si>
    <t xml:space="preserve">     Latest 9 Months Period</t>
  </si>
  <si>
    <t>Outstanding Debt</t>
  </si>
  <si>
    <t xml:space="preserve"> - CAPEX</t>
  </si>
  <si>
    <t>Net Outstanding Debt</t>
  </si>
  <si>
    <t>TOTAL FCFE</t>
  </si>
  <si>
    <t xml:space="preserve"> - Cash &amp; Bank</t>
  </si>
  <si>
    <t>Investments of</t>
  </si>
  <si>
    <t>NET DEBT                       (as at)</t>
  </si>
  <si>
    <t xml:space="preserve"> - Investments</t>
  </si>
  <si>
    <t>CASH FROM OPERATIONS</t>
  </si>
  <si>
    <t>Median</t>
  </si>
  <si>
    <t xml:space="preserve">Min </t>
  </si>
  <si>
    <t>Max</t>
  </si>
  <si>
    <t>INPUT Date of Purchase</t>
  </si>
  <si>
    <t>EBIAT/Sales</t>
  </si>
  <si>
    <t>with DuPont breakup</t>
  </si>
  <si>
    <t>(all figures in Rs crores)                                                                                    BALANCE SHEET</t>
  </si>
  <si>
    <t xml:space="preserve"> - Interest</t>
  </si>
  <si>
    <t xml:space="preserve"> - Total Capex</t>
  </si>
  <si>
    <t>Total FCFE through operations</t>
  </si>
  <si>
    <t>TOTAL FCFF</t>
  </si>
  <si>
    <t>Cum FCFF/Cum EBIAT</t>
  </si>
  <si>
    <t>FREE CASH FLOW OVER 9 YEARS FROM</t>
  </si>
  <si>
    <t>UNTIL</t>
  </si>
  <si>
    <t>(Payout Ratio)</t>
  </si>
  <si>
    <t xml:space="preserve"> - Debt Repayment</t>
  </si>
  <si>
    <t>+ New Debt</t>
  </si>
  <si>
    <t>y-o-y Sales Growth %</t>
  </si>
  <si>
    <t>Op. EBIT</t>
  </si>
  <si>
    <t xml:space="preserve"> + Tax Benefit from Interest (Int x Tax)</t>
  </si>
  <si>
    <t xml:space="preserve"> - Tax Benefit from Interest (Int x Tax)</t>
  </si>
  <si>
    <t>TOTAL CHANGE IN  ASSETS</t>
  </si>
  <si>
    <t>PAT</t>
  </si>
  <si>
    <r>
      <rPr>
        <u val="singleAccounting"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deducted from debt. Deduct it, only if it is liquid. Check from Annual Report</t>
    </r>
  </si>
  <si>
    <t>Total Dividends in 9 yrs</t>
  </si>
  <si>
    <t xml:space="preserve">                                                                                                             PROFIT &amp; LOSS STATEMENT</t>
  </si>
  <si>
    <t>All figures in Rs crores</t>
  </si>
  <si>
    <t>TOTAL</t>
  </si>
  <si>
    <t xml:space="preserve">                                                                                                                       CASH FLOW STATEMENT</t>
  </si>
  <si>
    <t>Effective Tax Rate</t>
  </si>
  <si>
    <t>(Cum CFO - Interest)/Cum PAT</t>
  </si>
  <si>
    <t>Operating Profit (Op. EBIT)</t>
  </si>
  <si>
    <t>Invested Capital</t>
  </si>
  <si>
    <t>Net Working Capital</t>
  </si>
  <si>
    <t>Average Inventory Days</t>
  </si>
  <si>
    <t>Average Receivable Days</t>
  </si>
  <si>
    <t>Average Payable Days</t>
  </si>
  <si>
    <t>Operating EBIT</t>
  </si>
  <si>
    <t>Operating EBIAT</t>
  </si>
  <si>
    <t>PAT Margin</t>
  </si>
  <si>
    <t>EBITDA Margin</t>
  </si>
  <si>
    <t>EBIT Margin</t>
  </si>
  <si>
    <t>Dividends/Share</t>
  </si>
  <si>
    <t>Dividends/Net Profit</t>
  </si>
  <si>
    <t>P / B</t>
  </si>
  <si>
    <r>
      <t>P / E</t>
    </r>
    <r>
      <rPr>
        <b/>
        <vertAlign val="subscript"/>
        <sz val="12"/>
        <color theme="1"/>
        <rFont val="Calibri"/>
        <family val="2"/>
        <scheme val="minor"/>
      </rPr>
      <t>TTM</t>
    </r>
  </si>
  <si>
    <r>
      <t>EV / EBIT</t>
    </r>
    <r>
      <rPr>
        <b/>
        <vertAlign val="subscript"/>
        <sz val="12"/>
        <color theme="1"/>
        <rFont val="Calibri"/>
        <family val="2"/>
        <scheme val="minor"/>
      </rPr>
      <t>TTM</t>
    </r>
  </si>
  <si>
    <t>Book Value / Share</t>
  </si>
  <si>
    <t>Debt - Cash</t>
  </si>
  <si>
    <t xml:space="preserve">                                                                                                    GROWTH ANALYSIS</t>
  </si>
  <si>
    <t>Trade Payables (Manually copy from Screener.in)</t>
  </si>
  <si>
    <t>Average Invested Capital</t>
  </si>
  <si>
    <t>Sales/Av Invested Capital</t>
  </si>
  <si>
    <r>
      <t xml:space="preserve">FREE CASH FLOW TO </t>
    </r>
    <r>
      <rPr>
        <b/>
        <u/>
        <sz val="11"/>
        <color theme="1"/>
        <rFont val="Calibri"/>
        <family val="2"/>
        <scheme val="minor"/>
      </rPr>
      <t>FIRM</t>
    </r>
    <r>
      <rPr>
        <b/>
        <sz val="11"/>
        <color theme="1"/>
        <rFont val="Calibri"/>
        <family val="2"/>
        <scheme val="minor"/>
      </rPr>
      <t xml:space="preserve"> (FCFF)</t>
    </r>
  </si>
  <si>
    <r>
      <t xml:space="preserve">FREE CASH FLOW TO </t>
    </r>
    <r>
      <rPr>
        <b/>
        <u/>
        <sz val="11"/>
        <color theme="1"/>
        <rFont val="Calibri"/>
        <family val="2"/>
        <scheme val="minor"/>
      </rPr>
      <t>EQUITY</t>
    </r>
    <r>
      <rPr>
        <b/>
        <sz val="11"/>
        <color theme="1"/>
        <rFont val="Calibri"/>
        <family val="2"/>
        <scheme val="minor"/>
      </rPr>
      <t xml:space="preserve"> (FCFE)</t>
    </r>
  </si>
  <si>
    <t xml:space="preserve">                                                                                                                  FREE CASH FLOW</t>
  </si>
  <si>
    <t>Dividends (Rs crores)</t>
  </si>
  <si>
    <t xml:space="preserve">                                                                                                                               DIVIDENDS</t>
  </si>
  <si>
    <t>Stock Dividend Yield</t>
  </si>
  <si>
    <t>% RETURN IF YOU PURCHASED THE STOCK IN THE PAST AND SOLD IT TODAY</t>
  </si>
  <si>
    <r>
      <t xml:space="preserve">NOTE: The IRR calculated above </t>
    </r>
    <r>
      <rPr>
        <b/>
        <u/>
        <sz val="11"/>
        <color theme="1"/>
        <rFont val="Calibri"/>
        <family val="2"/>
        <scheme val="minor"/>
      </rPr>
      <t>DOES NOT</t>
    </r>
    <r>
      <rPr>
        <b/>
        <sz val="11"/>
        <color theme="1"/>
        <rFont val="Calibri"/>
        <family val="2"/>
        <scheme val="minor"/>
      </rPr>
      <t xml:space="preserve"> account for buybacks, if any, by a company</t>
    </r>
  </si>
  <si>
    <t>Loans &amp; Advances (Manually copy from Screener.in)</t>
  </si>
  <si>
    <t>Average Working Capital Cycle Days</t>
  </si>
  <si>
    <t>ROIC (EBIAT / Average Invested Capital)</t>
  </si>
  <si>
    <t xml:space="preserve">                                                                                                                 FUND FLOW ANALYSIS                 </t>
  </si>
  <si>
    <t>Excel Sheet Made by</t>
  </si>
  <si>
    <t>Total CFO - Int Tax Shield</t>
  </si>
  <si>
    <t xml:space="preserve"> - Total Interest + Int Tax Benefit</t>
  </si>
  <si>
    <t>Gross Margin</t>
  </si>
  <si>
    <t>Gross Profit</t>
  </si>
  <si>
    <t>Op.EBIT Margin</t>
  </si>
  <si>
    <t>Interest Coverage Ratios (Higher is better)</t>
  </si>
  <si>
    <t>Debt Coverage Ratios (Lower is Better)</t>
  </si>
  <si>
    <t>Debt/EBITDA</t>
  </si>
  <si>
    <t>Op. EBIT/Interest</t>
  </si>
  <si>
    <t>EBITDA/Interest</t>
  </si>
  <si>
    <t>EBITDA</t>
  </si>
  <si>
    <r>
      <t>EV / EBITDA</t>
    </r>
    <r>
      <rPr>
        <b/>
        <vertAlign val="subscript"/>
        <sz val="12"/>
        <color theme="1"/>
        <rFont val="Calibri"/>
        <family val="2"/>
        <scheme val="minor"/>
      </rPr>
      <t>TTM</t>
    </r>
  </si>
  <si>
    <t xml:space="preserve"> Invested Capital from the Liability Side of Balance Sheet = (Book Value of Equity + Book Value of Debt - Cash)</t>
  </si>
  <si>
    <t>EV / Sales</t>
  </si>
  <si>
    <t>Put updated figures</t>
  </si>
  <si>
    <t xml:space="preserve">                                                                                                 BASED ON ENTERPRISE VALUE</t>
  </si>
  <si>
    <t xml:space="preserve"> </t>
  </si>
  <si>
    <t>VALUATION MULTIPLES</t>
  </si>
  <si>
    <t>Based on Equity Value</t>
  </si>
  <si>
    <t>Based on Enterprise Value</t>
  </si>
  <si>
    <t>FROM THE LIABILITY SIDE</t>
  </si>
  <si>
    <t>ROIC Pre-Tax</t>
  </si>
  <si>
    <t>ROIC</t>
  </si>
  <si>
    <t>Operating EBIT Margin</t>
  </si>
  <si>
    <r>
      <t xml:space="preserve">Please Manually Input the Trade Payables Data in 'Row 8' above from Screener.in </t>
    </r>
    <r>
      <rPr>
        <b/>
        <u/>
        <sz val="11"/>
        <color rgb="FFFF0000"/>
        <rFont val="Calibri"/>
        <family val="2"/>
        <scheme val="minor"/>
      </rPr>
      <t>BEFORE</t>
    </r>
    <r>
      <rPr>
        <b/>
        <sz val="11"/>
        <color rgb="FFFF0000"/>
        <rFont val="Calibri"/>
        <family val="2"/>
        <scheme val="minor"/>
      </rPr>
      <t xml:space="preserve"> using this section</t>
    </r>
  </si>
  <si>
    <t xml:space="preserve"> - SG&amp;A &amp; Others</t>
  </si>
  <si>
    <t xml:space="preserve"> - Depreciation</t>
  </si>
  <si>
    <t>Average Net Working Capital</t>
  </si>
  <si>
    <t>DATA NEEDED TO CALCULATE ROIC FROM THE ASSET SIDE</t>
  </si>
  <si>
    <t>Fixed Asset</t>
  </si>
  <si>
    <t>Average Fixed Assets</t>
  </si>
  <si>
    <t>Average Invested Capital from the Asset Side of Balance Sheet = Average Net Block &amp; CWIP + Average Net Working Capital</t>
  </si>
  <si>
    <t>RETURN ON AVERAGE INVESTED CAPITAL (ROIC) with DETAILED BREAK-UP</t>
  </si>
  <si>
    <t>RETURN ON AVERAGE INVESTED CAPITAL (ROIC)</t>
  </si>
  <si>
    <t>The section below breaks down ROIC into various components and thus allows us to use just one ratio-ROIC to measure it ALL operational parameters!</t>
  </si>
  <si>
    <t>Note: Inventory Days and Payable Days are calculated using Sales &amp; not COGS</t>
  </si>
  <si>
    <t>NOTES:</t>
  </si>
  <si>
    <t xml:space="preserve">2) To correctly calculate ROIC you need to several adjustments such as Identifying operating assets, </t>
  </si>
  <si>
    <t>Capitalizing Operating &amp; Financial Expenses, removing one-time &amp; extra-ordinary items, adjusting taxes, etc</t>
  </si>
  <si>
    <t>HENCE, ROIC calculated without adjustments are ROUGH ESTIMATES of the actual return</t>
  </si>
  <si>
    <t>ROCE, etc. However, to do the same we need more granular level data from the Annual Report</t>
  </si>
  <si>
    <t>These adjustments are ESSENTIAL to get a correct measurement of ROIC or any other return such as ROE, ROA,</t>
  </si>
  <si>
    <t>1) The formula used for breaking up ROIC into its components is given in the adjacent image</t>
  </si>
  <si>
    <t xml:space="preserve">      Historical Data of 9 years</t>
  </si>
  <si>
    <t xml:space="preserve">It is very much possible that you can have estimates higher/lower than the historical ranges. </t>
  </si>
  <si>
    <t>But you should have strong reasons for doing so</t>
  </si>
  <si>
    <t xml:space="preserve">1) Refer to the historical ranges of these inputs so that you make more informed estimates. </t>
  </si>
  <si>
    <t>Calculate the impact of ROIC of a company using your estimates of margins, tax and capital efficiency ratios</t>
  </si>
  <si>
    <r>
      <t xml:space="preserve">Input % as a </t>
    </r>
    <r>
      <rPr>
        <u/>
        <sz val="11"/>
        <color theme="1"/>
        <rFont val="Calibri"/>
        <family val="2"/>
        <scheme val="minor"/>
      </rPr>
      <t>negative</t>
    </r>
    <r>
      <rPr>
        <sz val="11"/>
        <color theme="1"/>
        <rFont val="Calibri"/>
        <family val="2"/>
        <scheme val="minor"/>
      </rPr>
      <t xml:space="preserve"> number</t>
    </r>
  </si>
  <si>
    <t>2) Remember that these historical numbers are without adjustments as stated in the previous tab</t>
  </si>
  <si>
    <t>Input ONLY in Cells denoted as:</t>
  </si>
  <si>
    <t>Av Working Capital/Sales</t>
  </si>
  <si>
    <t>Av Fixed Assets/Sales</t>
  </si>
  <si>
    <t xml:space="preserve">However it is helpful if you read a short note on this before using this section. </t>
  </si>
  <si>
    <t>Click HERE</t>
  </si>
  <si>
    <t>to read this short note</t>
  </si>
  <si>
    <t>Av Working Capital Turnover</t>
  </si>
  <si>
    <t>Av Fixed Asset Turnover</t>
  </si>
  <si>
    <t>FROM THE ASSET SIDE</t>
  </si>
  <si>
    <t>KPMG</t>
  </si>
  <si>
    <t>for the years from 2011 until 2019</t>
  </si>
  <si>
    <t>Source</t>
  </si>
  <si>
    <r>
      <t xml:space="preserve">from FY20 onwards, it is assumed that </t>
    </r>
    <r>
      <rPr>
        <b/>
        <u/>
        <sz val="11"/>
        <color theme="1"/>
        <rFont val="Calibri"/>
        <family val="2"/>
        <scheme val="minor"/>
      </rPr>
      <t>domestic</t>
    </r>
    <r>
      <rPr>
        <sz val="11"/>
        <color theme="1"/>
        <rFont val="Calibri"/>
        <family val="2"/>
        <scheme val="minor"/>
      </rPr>
      <t xml:space="preserve"> companies will take advantage of Section 115BAA</t>
    </r>
  </si>
  <si>
    <t>Amol</t>
  </si>
  <si>
    <t>Marginal Income Tax Rate</t>
  </si>
  <si>
    <t>Effective Income Tax Rate</t>
  </si>
  <si>
    <t>MARGINAL INCOME TAX DATA</t>
  </si>
  <si>
    <t>Fixed Asset Turnover</t>
  </si>
  <si>
    <t>Working Capital Turnover</t>
  </si>
  <si>
    <t xml:space="preserve">           Chart of Op.EBIT Margin</t>
  </si>
  <si>
    <t xml:space="preserve">           Chart of PAT Margin</t>
  </si>
  <si>
    <t xml:space="preserve">          Chart of FCFF</t>
  </si>
  <si>
    <t xml:space="preserve">    Chart of Sales/Av Invested Capital</t>
  </si>
  <si>
    <t xml:space="preserve">           Chart of Op. EBIT Margin</t>
  </si>
  <si>
    <t xml:space="preserve">           Chart of ROIC Pre-Tax</t>
  </si>
  <si>
    <t xml:space="preserve">                                             Sales/Av Invested Capital is further broken down into Fixed Asset Turnover and Working Capital Turnover as below:</t>
  </si>
  <si>
    <t>CONVERTING ROIC TO ROE</t>
  </si>
  <si>
    <t>ROIC ESTIMATOR</t>
  </si>
  <si>
    <t>Debt / Equity</t>
  </si>
  <si>
    <t>ROE</t>
  </si>
  <si>
    <t>1) The adjacent formula is used to convert ROIC (calculated from above) into ROE</t>
  </si>
  <si>
    <t>Interest / Book Value of Debt</t>
  </si>
  <si>
    <t>Tax Rate</t>
  </si>
  <si>
    <t>Interest Expense / Debt</t>
  </si>
  <si>
    <t>ROIC (Post Tax)</t>
  </si>
  <si>
    <t>Operating EBIT MARGIN</t>
  </si>
  <si>
    <t>ROIC Pre-Tax ( 1 x 2)</t>
  </si>
  <si>
    <t>FCFF / EV</t>
  </si>
  <si>
    <t>Acquirer's multiple</t>
  </si>
  <si>
    <t>FCFF</t>
  </si>
  <si>
    <t>EV</t>
  </si>
  <si>
    <t>Fragility Scorecard</t>
  </si>
  <si>
    <t>Total equity</t>
  </si>
  <si>
    <t>Total liabilities</t>
  </si>
  <si>
    <t>Equity as % total liabilities</t>
  </si>
  <si>
    <t>Interest + Depreciation</t>
  </si>
  <si>
    <t>Operating profit %</t>
  </si>
  <si>
    <t>Break even sales</t>
  </si>
  <si>
    <t>Actual sales</t>
  </si>
  <si>
    <t>Break even sales as % of sales</t>
  </si>
  <si>
    <t>Cash from operating activities</t>
  </si>
  <si>
    <t>20% of borrowings</t>
  </si>
  <si>
    <t>Yearly debt obligations as a % of cash flow from operations</t>
  </si>
  <si>
    <t>[Higher the better]</t>
  </si>
  <si>
    <t>Fragility Scorecard (my assessment)</t>
  </si>
  <si>
    <t>Equity as % of total liabilities</t>
  </si>
  <si>
    <t>Breakeven sales as % of total sales</t>
  </si>
  <si>
    <t>Yearly debt obligations as % of CFO</t>
  </si>
  <si>
    <t>Total score</t>
  </si>
  <si>
    <t>Free CF yield / Acquirer's multiple</t>
  </si>
  <si>
    <t>[Lower the better]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</si>
</sst>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_ * #,##0.0_ ;_ * \-#,##0.0_ ;_ * &quot;-&quot;??_ ;_ @_ "/>
    <numFmt numFmtId="167" formatCode="_ * #,##0_ ;_ * \-#,##0_ ;_ * &quot;-&quot;??_ ;_ @_ "/>
    <numFmt numFmtId="168" formatCode="0.0%"/>
    <numFmt numFmtId="169" formatCode="[$-14009]d\.m\.yy;@"/>
    <numFmt numFmtId="170" formatCode="[$-409]mmm/yy;@"/>
    <numFmt numFmtId="171" formatCode="0_ ;[Red]\-0\ 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275D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275D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0" fontId="22" fillId="7" borderId="18" applyNumberFormat="0" applyAlignment="0" applyProtection="0"/>
  </cellStyleXfs>
  <cellXfs count="321">
    <xf numFmtId="0" fontId="0" fillId="0" borderId="0" xfId="0"/>
    <xf numFmtId="164" fontId="1" fillId="0" borderId="0" xfId="1" applyFont="1" applyBorder="1"/>
    <xf numFmtId="0" fontId="1" fillId="0" borderId="0" xfId="0" applyFont="1"/>
    <xf numFmtId="0" fontId="6" fillId="0" borderId="0" xfId="0" applyFont="1"/>
    <xf numFmtId="164" fontId="0" fillId="0" borderId="0" xfId="1" applyFont="1" applyBorder="1"/>
    <xf numFmtId="164" fontId="3" fillId="0" borderId="0" xfId="1" applyFont="1" applyBorder="1"/>
    <xf numFmtId="9" fontId="1" fillId="0" borderId="0" xfId="4" applyFont="1" applyBorder="1"/>
    <xf numFmtId="165" fontId="2" fillId="3" borderId="0" xfId="0" applyNumberFormat="1" applyFont="1" applyFill="1" applyAlignment="1">
      <alignment horizontal="center"/>
    </xf>
    <xf numFmtId="165" fontId="2" fillId="3" borderId="0" xfId="1" applyNumberFormat="1" applyFont="1" applyFill="1" applyBorder="1"/>
    <xf numFmtId="165" fontId="7" fillId="0" borderId="0" xfId="1" applyNumberFormat="1" applyFont="1" applyFill="1" applyBorder="1"/>
    <xf numFmtId="0" fontId="7" fillId="0" borderId="0" xfId="0" applyFont="1"/>
    <xf numFmtId="43" fontId="0" fillId="0" borderId="0" xfId="1" applyNumberFormat="1" applyFont="1" applyBorder="1"/>
    <xf numFmtId="165" fontId="1" fillId="0" borderId="0" xfId="0" applyNumberFormat="1" applyFont="1"/>
    <xf numFmtId="9" fontId="3" fillId="0" borderId="0" xfId="4" applyFont="1" applyBorder="1"/>
    <xf numFmtId="166" fontId="3" fillId="0" borderId="0" xfId="1" applyNumberFormat="1" applyFont="1" applyBorder="1"/>
    <xf numFmtId="167" fontId="1" fillId="0" borderId="0" xfId="1" applyNumberFormat="1" applyFont="1" applyBorder="1"/>
    <xf numFmtId="167" fontId="3" fillId="0" borderId="0" xfId="1" applyNumberFormat="1" applyFont="1" applyBorder="1"/>
    <xf numFmtId="167" fontId="3" fillId="0" borderId="1" xfId="1" applyNumberFormat="1" applyFont="1" applyBorder="1"/>
    <xf numFmtId="164" fontId="0" fillId="0" borderId="1" xfId="1" applyFont="1" applyBorder="1"/>
    <xf numFmtId="9" fontId="3" fillId="0" borderId="1" xfId="4" applyFont="1" applyBorder="1"/>
    <xf numFmtId="0" fontId="1" fillId="0" borderId="2" xfId="0" applyFont="1" applyBorder="1"/>
    <xf numFmtId="167" fontId="1" fillId="0" borderId="2" xfId="1" applyNumberFormat="1" applyFont="1" applyBorder="1"/>
    <xf numFmtId="9" fontId="1" fillId="0" borderId="2" xfId="4" applyFont="1" applyBorder="1"/>
    <xf numFmtId="167" fontId="0" fillId="0" borderId="0" xfId="0" applyNumberFormat="1"/>
    <xf numFmtId="164" fontId="0" fillId="0" borderId="0" xfId="0" applyNumberFormat="1"/>
    <xf numFmtId="166" fontId="1" fillId="0" borderId="0" xfId="1" applyNumberFormat="1" applyFont="1" applyBorder="1"/>
    <xf numFmtId="0" fontId="1" fillId="4" borderId="0" xfId="0" applyFont="1" applyFill="1"/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7" fontId="1" fillId="4" borderId="0" xfId="1" applyNumberFormat="1" applyFont="1" applyFill="1" applyBorder="1"/>
    <xf numFmtId="166" fontId="8" fillId="0" borderId="0" xfId="1" applyNumberFormat="1" applyFont="1" applyBorder="1"/>
    <xf numFmtId="9" fontId="0" fillId="0" borderId="0" xfId="0" applyNumberFormat="1"/>
    <xf numFmtId="0" fontId="0" fillId="0" borderId="0" xfId="0" quotePrefix="1"/>
    <xf numFmtId="9" fontId="0" fillId="0" borderId="0" xfId="4" applyFont="1" applyBorder="1"/>
    <xf numFmtId="166" fontId="0" fillId="0" borderId="0" xfId="1" applyNumberFormat="1" applyFont="1" applyBorder="1"/>
    <xf numFmtId="167" fontId="0" fillId="0" borderId="1" xfId="0" applyNumberFormat="1" applyBorder="1"/>
    <xf numFmtId="167" fontId="1" fillId="0" borderId="0" xfId="0" applyNumberFormat="1" applyFont="1"/>
    <xf numFmtId="167" fontId="3" fillId="4" borderId="0" xfId="1" applyNumberFormat="1" applyFont="1" applyFill="1" applyBorder="1"/>
    <xf numFmtId="167" fontId="3" fillId="4" borderId="1" xfId="1" applyNumberFormat="1" applyFont="1" applyFill="1" applyBorder="1"/>
    <xf numFmtId="167" fontId="1" fillId="4" borderId="2" xfId="1" applyNumberFormat="1" applyFont="1" applyFill="1" applyBorder="1"/>
    <xf numFmtId="0" fontId="0" fillId="0" borderId="1" xfId="0" applyBorder="1"/>
    <xf numFmtId="0" fontId="0" fillId="4" borderId="0" xfId="0" applyFill="1"/>
    <xf numFmtId="9" fontId="7" fillId="0" borderId="0" xfId="4" applyFont="1" applyFill="1" applyBorder="1" applyAlignment="1">
      <alignment horizontal="left"/>
    </xf>
    <xf numFmtId="9" fontId="7" fillId="0" borderId="0" xfId="4" applyFont="1" applyFill="1" applyBorder="1" applyAlignment="1">
      <alignment horizontal="center"/>
    </xf>
    <xf numFmtId="9" fontId="5" fillId="0" borderId="0" xfId="4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9" fontId="3" fillId="0" borderId="8" xfId="4" applyFont="1" applyBorder="1"/>
    <xf numFmtId="9" fontId="3" fillId="0" borderId="9" xfId="4" applyFont="1" applyBorder="1"/>
    <xf numFmtId="9" fontId="3" fillId="0" borderId="10" xfId="4" applyFont="1" applyBorder="1"/>
    <xf numFmtId="0" fontId="1" fillId="0" borderId="12" xfId="0" applyFont="1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165" fontId="0" fillId="0" borderId="0" xfId="0" applyNumberFormat="1" applyAlignment="1">
      <alignment horizontal="left"/>
    </xf>
    <xf numFmtId="0" fontId="11" fillId="0" borderId="7" xfId="0" applyFont="1" applyBorder="1"/>
    <xf numFmtId="0" fontId="1" fillId="0" borderId="7" xfId="0" applyFont="1" applyBorder="1"/>
    <xf numFmtId="164" fontId="0" fillId="0" borderId="7" xfId="0" applyNumberFormat="1" applyBorder="1"/>
    <xf numFmtId="0" fontId="1" fillId="0" borderId="9" xfId="0" applyFont="1" applyBorder="1"/>
    <xf numFmtId="164" fontId="11" fillId="0" borderId="7" xfId="0" applyNumberFormat="1" applyFont="1" applyBorder="1"/>
    <xf numFmtId="9" fontId="1" fillId="0" borderId="12" xfId="0" applyNumberFormat="1" applyFont="1" applyBorder="1"/>
    <xf numFmtId="0" fontId="1" fillId="4" borderId="5" xfId="0" applyFont="1" applyFill="1" applyBorder="1"/>
    <xf numFmtId="0" fontId="1" fillId="4" borderId="14" xfId="0" applyFont="1" applyFill="1" applyBorder="1"/>
    <xf numFmtId="0" fontId="1" fillId="4" borderId="6" xfId="0" applyFont="1" applyFill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9" fontId="0" fillId="0" borderId="7" xfId="4" applyFont="1" applyBorder="1"/>
    <xf numFmtId="0" fontId="1" fillId="0" borderId="8" xfId="0" applyFont="1" applyBorder="1"/>
    <xf numFmtId="167" fontId="7" fillId="0" borderId="0" xfId="1" applyNumberFormat="1" applyFont="1" applyFill="1" applyBorder="1"/>
    <xf numFmtId="0" fontId="1" fillId="4" borderId="12" xfId="0" applyFont="1" applyFill="1" applyBorder="1"/>
    <xf numFmtId="167" fontId="1" fillId="4" borderId="13" xfId="1" applyNumberFormat="1" applyFont="1" applyFill="1" applyBorder="1"/>
    <xf numFmtId="0" fontId="1" fillId="4" borderId="2" xfId="0" applyFont="1" applyFill="1" applyBorder="1"/>
    <xf numFmtId="0" fontId="1" fillId="4" borderId="13" xfId="0" applyFont="1" applyFill="1" applyBorder="1"/>
    <xf numFmtId="0" fontId="1" fillId="0" borderId="10" xfId="0" applyFont="1" applyBorder="1"/>
    <xf numFmtId="165" fontId="9" fillId="4" borderId="12" xfId="0" applyNumberFormat="1" applyFont="1" applyFill="1" applyBorder="1" applyAlignment="1">
      <alignment horizontal="left"/>
    </xf>
    <xf numFmtId="0" fontId="0" fillId="4" borderId="2" xfId="0" applyFill="1" applyBorder="1"/>
    <xf numFmtId="0" fontId="0" fillId="4" borderId="13" xfId="0" applyFill="1" applyBorder="1"/>
    <xf numFmtId="9" fontId="3" fillId="0" borderId="7" xfId="4" applyFont="1" applyBorder="1"/>
    <xf numFmtId="167" fontId="0" fillId="4" borderId="2" xfId="0" applyNumberForma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167" fontId="1" fillId="0" borderId="13" xfId="1" applyNumberFormat="1" applyFont="1" applyBorder="1" applyAlignment="1">
      <alignment horizontal="center"/>
    </xf>
    <xf numFmtId="167" fontId="1" fillId="0" borderId="8" xfId="1" applyNumberFormat="1" applyFont="1" applyBorder="1" applyAlignment="1">
      <alignment horizontal="center"/>
    </xf>
    <xf numFmtId="167" fontId="0" fillId="0" borderId="8" xfId="1" applyNumberFormat="1" applyFont="1" applyBorder="1"/>
    <xf numFmtId="167" fontId="11" fillId="0" borderId="0" xfId="1" applyNumberFormat="1" applyFont="1" applyBorder="1"/>
    <xf numFmtId="167" fontId="11" fillId="0" borderId="8" xfId="1" applyNumberFormat="1" applyFont="1" applyBorder="1"/>
    <xf numFmtId="9" fontId="1" fillId="0" borderId="7" xfId="4" applyFont="1" applyBorder="1"/>
    <xf numFmtId="167" fontId="0" fillId="0" borderId="0" xfId="1" applyNumberFormat="1" applyFont="1" applyFill="1" applyBorder="1"/>
    <xf numFmtId="9" fontId="0" fillId="0" borderId="11" xfId="4" applyFont="1" applyBorder="1"/>
    <xf numFmtId="9" fontId="1" fillId="0" borderId="15" xfId="0" applyNumberFormat="1" applyFont="1" applyBorder="1"/>
    <xf numFmtId="0" fontId="9" fillId="4" borderId="12" xfId="0" applyFont="1" applyFill="1" applyBorder="1"/>
    <xf numFmtId="165" fontId="9" fillId="4" borderId="2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9" fontId="1" fillId="0" borderId="8" xfId="4" applyFont="1" applyBorder="1"/>
    <xf numFmtId="9" fontId="1" fillId="0" borderId="12" xfId="4" applyFont="1" applyBorder="1"/>
    <xf numFmtId="164" fontId="1" fillId="0" borderId="0" xfId="0" applyNumberFormat="1" applyFont="1"/>
    <xf numFmtId="164" fontId="0" fillId="0" borderId="1" xfId="0" applyNumberFormat="1" applyBorder="1"/>
    <xf numFmtId="164" fontId="1" fillId="0" borderId="12" xfId="0" applyNumberFormat="1" applyFont="1" applyBorder="1"/>
    <xf numFmtId="164" fontId="0" fillId="4" borderId="0" xfId="0" applyNumberFormat="1" applyFill="1"/>
    <xf numFmtId="164" fontId="1" fillId="4" borderId="0" xfId="0" applyNumberFormat="1" applyFont="1" applyFill="1"/>
    <xf numFmtId="9" fontId="7" fillId="0" borderId="0" xfId="4" applyFont="1" applyFill="1" applyBorder="1"/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9" fontId="1" fillId="0" borderId="0" xfId="4" applyFont="1" applyFill="1" applyBorder="1"/>
    <xf numFmtId="9" fontId="3" fillId="0" borderId="0" xfId="4" applyFont="1" applyFill="1" applyBorder="1"/>
    <xf numFmtId="0" fontId="1" fillId="0" borderId="0" xfId="0" applyFont="1" applyAlignment="1">
      <alignment horizontal="center"/>
    </xf>
    <xf numFmtId="170" fontId="0" fillId="0" borderId="0" xfId="0" applyNumberFormat="1"/>
    <xf numFmtId="169" fontId="1" fillId="0" borderId="0" xfId="0" applyNumberFormat="1" applyFont="1"/>
    <xf numFmtId="168" fontId="1" fillId="0" borderId="0" xfId="4" applyNumberFormat="1" applyFont="1" applyBorder="1"/>
    <xf numFmtId="0" fontId="1" fillId="0" borderId="3" xfId="0" applyFont="1" applyBorder="1" applyAlignment="1">
      <alignment horizontal="right"/>
    </xf>
    <xf numFmtId="168" fontId="1" fillId="0" borderId="16" xfId="4" applyNumberFormat="1" applyFont="1" applyBorder="1"/>
    <xf numFmtId="168" fontId="1" fillId="0" borderId="4" xfId="4" applyNumberFormat="1" applyFont="1" applyBorder="1"/>
    <xf numFmtId="49" fontId="1" fillId="0" borderId="0" xfId="0" applyNumberFormat="1" applyFont="1"/>
    <xf numFmtId="49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left"/>
    </xf>
    <xf numFmtId="0" fontId="0" fillId="4" borderId="12" xfId="0" applyFill="1" applyBorder="1"/>
    <xf numFmtId="0" fontId="10" fillId="0" borderId="0" xfId="0" applyFont="1"/>
    <xf numFmtId="1" fontId="1" fillId="0" borderId="0" xfId="0" applyNumberFormat="1" applyFont="1" applyAlignment="1">
      <alignment horizontal="center"/>
    </xf>
    <xf numFmtId="9" fontId="0" fillId="0" borderId="15" xfId="0" applyNumberFormat="1" applyBorder="1"/>
    <xf numFmtId="9" fontId="0" fillId="0" borderId="1" xfId="4" applyFont="1" applyBorder="1"/>
    <xf numFmtId="49" fontId="1" fillId="6" borderId="2" xfId="0" applyNumberFormat="1" applyFont="1" applyFill="1" applyBorder="1"/>
    <xf numFmtId="167" fontId="1" fillId="6" borderId="2" xfId="1" applyNumberFormat="1" applyFont="1" applyFill="1" applyBorder="1"/>
    <xf numFmtId="165" fontId="1" fillId="4" borderId="0" xfId="0" applyNumberFormat="1" applyFont="1" applyFill="1" applyAlignment="1">
      <alignment horizontal="left"/>
    </xf>
    <xf numFmtId="167" fontId="10" fillId="0" borderId="0" xfId="0" applyNumberFormat="1" applyFont="1" applyAlignment="1">
      <alignment horizontal="left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9" fontId="3" fillId="0" borderId="15" xfId="4" applyFont="1" applyFill="1" applyBorder="1" applyAlignment="1"/>
    <xf numFmtId="9" fontId="3" fillId="0" borderId="15" xfId="4" applyFont="1" applyFill="1" applyBorder="1"/>
    <xf numFmtId="9" fontId="3" fillId="0" borderId="15" xfId="4" applyFont="1" applyBorder="1"/>
    <xf numFmtId="0" fontId="1" fillId="4" borderId="15" xfId="0" applyFont="1" applyFill="1" applyBorder="1"/>
    <xf numFmtId="9" fontId="0" fillId="0" borderId="15" xfId="4" applyFont="1" applyBorder="1"/>
    <xf numFmtId="167" fontId="14" fillId="0" borderId="0" xfId="1" applyNumberFormat="1" applyFont="1" applyBorder="1"/>
    <xf numFmtId="0" fontId="14" fillId="0" borderId="0" xfId="0" applyFont="1" applyAlignment="1">
      <alignment horizontal="right"/>
    </xf>
    <xf numFmtId="9" fontId="14" fillId="0" borderId="0" xfId="4" applyFont="1" applyBorder="1"/>
    <xf numFmtId="49" fontId="1" fillId="6" borderId="0" xfId="0" applyNumberFormat="1" applyFont="1" applyFill="1"/>
    <xf numFmtId="167" fontId="1" fillId="6" borderId="0" xfId="0" applyNumberFormat="1" applyFont="1" applyFill="1"/>
    <xf numFmtId="167" fontId="1" fillId="0" borderId="1" xfId="0" applyNumberFormat="1" applyFont="1" applyBorder="1"/>
    <xf numFmtId="165" fontId="1" fillId="4" borderId="2" xfId="0" applyNumberFormat="1" applyFont="1" applyFill="1" applyBorder="1" applyAlignment="1">
      <alignment horizontal="center"/>
    </xf>
    <xf numFmtId="166" fontId="0" fillId="0" borderId="15" xfId="1" applyNumberFormat="1" applyFont="1" applyBorder="1"/>
    <xf numFmtId="166" fontId="0" fillId="0" borderId="15" xfId="1" applyNumberFormat="1" applyFont="1" applyFill="1" applyBorder="1"/>
    <xf numFmtId="165" fontId="1" fillId="4" borderId="2" xfId="0" applyNumberFormat="1" applyFont="1" applyFill="1" applyBorder="1"/>
    <xf numFmtId="164" fontId="3" fillId="0" borderId="7" xfId="1" applyFont="1" applyBorder="1"/>
    <xf numFmtId="164" fontId="3" fillId="0" borderId="1" xfId="1" applyFont="1" applyFill="1" applyBorder="1"/>
    <xf numFmtId="164" fontId="1" fillId="0" borderId="0" xfId="1" applyFont="1" applyFill="1" applyBorder="1"/>
    <xf numFmtId="167" fontId="0" fillId="4" borderId="0" xfId="0" applyNumberFormat="1" applyFill="1"/>
    <xf numFmtId="167" fontId="1" fillId="4" borderId="0" xfId="0" applyNumberFormat="1" applyFont="1" applyFill="1"/>
    <xf numFmtId="0" fontId="1" fillId="4" borderId="0" xfId="0" applyFont="1" applyFill="1" applyAlignment="1">
      <alignment horizontal="right"/>
    </xf>
    <xf numFmtId="167" fontId="0" fillId="4" borderId="1" xfId="0" applyNumberFormat="1" applyFill="1" applyBorder="1"/>
    <xf numFmtId="9" fontId="14" fillId="0" borderId="0" xfId="4" applyFont="1" applyFill="1" applyBorder="1"/>
    <xf numFmtId="167" fontId="1" fillId="0" borderId="0" xfId="1" applyNumberFormat="1" applyFont="1" applyFill="1" applyBorder="1"/>
    <xf numFmtId="167" fontId="3" fillId="0" borderId="0" xfId="1" applyNumberFormat="1" applyFont="1" applyFill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1" xfId="4" applyFont="1" applyBorder="1"/>
    <xf numFmtId="0" fontId="11" fillId="0" borderId="0" xfId="0" applyFont="1"/>
    <xf numFmtId="164" fontId="1" fillId="0" borderId="0" xfId="1" applyFont="1" applyFill="1" applyBorder="1" applyAlignment="1"/>
    <xf numFmtId="9" fontId="0" fillId="0" borderId="1" xfId="0" applyNumberFormat="1" applyBorder="1"/>
    <xf numFmtId="0" fontId="0" fillId="6" borderId="0" xfId="0" applyFill="1"/>
    <xf numFmtId="0" fontId="1" fillId="0" borderId="5" xfId="0" applyFont="1" applyBorder="1" applyAlignment="1">
      <alignment horizontal="right"/>
    </xf>
    <xf numFmtId="9" fontId="1" fillId="0" borderId="14" xfId="4" applyFont="1" applyBorder="1"/>
    <xf numFmtId="0" fontId="8" fillId="0" borderId="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166" fontId="3" fillId="0" borderId="0" xfId="1" applyNumberFormat="1" applyFont="1" applyFill="1" applyBorder="1"/>
    <xf numFmtId="166" fontId="0" fillId="0" borderId="0" xfId="1" applyNumberFormat="1" applyFont="1" applyFill="1" applyBorder="1"/>
    <xf numFmtId="165" fontId="1" fillId="4" borderId="13" xfId="0" applyNumberFormat="1" applyFont="1" applyFill="1" applyBorder="1" applyAlignment="1">
      <alignment horizontal="center"/>
    </xf>
    <xf numFmtId="165" fontId="1" fillId="4" borderId="12" xfId="0" applyNumberFormat="1" applyFont="1" applyFill="1" applyBorder="1"/>
    <xf numFmtId="165" fontId="1" fillId="4" borderId="13" xfId="0" applyNumberFormat="1" applyFont="1" applyFill="1" applyBorder="1"/>
    <xf numFmtId="9" fontId="1" fillId="4" borderId="2" xfId="4" applyFont="1" applyFill="1" applyBorder="1"/>
    <xf numFmtId="165" fontId="1" fillId="4" borderId="1" xfId="0" applyNumberFormat="1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66" fontId="3" fillId="0" borderId="1" xfId="1" applyNumberFormat="1" applyFont="1" applyBorder="1"/>
    <xf numFmtId="167" fontId="1" fillId="0" borderId="0" xfId="1" applyNumberFormat="1" applyFont="1" applyBorder="1" applyAlignment="1"/>
    <xf numFmtId="167" fontId="11" fillId="5" borderId="1" xfId="1" applyNumberFormat="1" applyFont="1" applyFill="1" applyBorder="1"/>
    <xf numFmtId="0" fontId="1" fillId="4" borderId="17" xfId="0" applyFont="1" applyFill="1" applyBorder="1"/>
    <xf numFmtId="0" fontId="18" fillId="0" borderId="0" xfId="0" applyFont="1"/>
    <xf numFmtId="0" fontId="1" fillId="0" borderId="11" xfId="0" applyFont="1" applyBorder="1"/>
    <xf numFmtId="9" fontId="3" fillId="0" borderId="17" xfId="4" applyFont="1" applyBorder="1"/>
    <xf numFmtId="0" fontId="7" fillId="0" borderId="7" xfId="0" applyFont="1" applyBorder="1"/>
    <xf numFmtId="167" fontId="7" fillId="0" borderId="0" xfId="1" applyNumberFormat="1" applyFont="1" applyBorder="1" applyAlignment="1">
      <alignment horizontal="center"/>
    </xf>
    <xf numFmtId="9" fontId="1" fillId="0" borderId="0" xfId="0" applyNumberFormat="1" applyFont="1"/>
    <xf numFmtId="164" fontId="7" fillId="0" borderId="7" xfId="0" applyNumberFormat="1" applyFont="1" applyBorder="1"/>
    <xf numFmtId="167" fontId="7" fillId="0" borderId="8" xfId="1" applyNumberFormat="1" applyFont="1" applyBorder="1" applyAlignment="1">
      <alignment horizontal="center"/>
    </xf>
    <xf numFmtId="169" fontId="11" fillId="0" borderId="0" xfId="0" applyNumberFormat="1" applyFont="1"/>
    <xf numFmtId="166" fontId="1" fillId="4" borderId="2" xfId="1" applyNumberFormat="1" applyFont="1" applyFill="1" applyBorder="1"/>
    <xf numFmtId="166" fontId="1" fillId="4" borderId="13" xfId="1" applyNumberFormat="1" applyFont="1" applyFill="1" applyBorder="1"/>
    <xf numFmtId="167" fontId="1" fillId="0" borderId="1" xfId="1" applyNumberFormat="1" applyFont="1" applyBorder="1" applyAlignment="1">
      <alignment horizontal="center"/>
    </xf>
    <xf numFmtId="167" fontId="1" fillId="4" borderId="2" xfId="1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167" fontId="3" fillId="5" borderId="0" xfId="1" applyNumberFormat="1" applyFont="1" applyFill="1" applyBorder="1"/>
    <xf numFmtId="167" fontId="21" fillId="0" borderId="0" xfId="1" applyNumberFormat="1" applyFont="1" applyBorder="1"/>
    <xf numFmtId="167" fontId="21" fillId="0" borderId="0" xfId="1" applyNumberFormat="1" applyFont="1" applyFill="1" applyBorder="1"/>
    <xf numFmtId="0" fontId="20" fillId="0" borderId="0" xfId="0" applyFont="1"/>
    <xf numFmtId="0" fontId="1" fillId="6" borderId="9" xfId="0" applyFont="1" applyFill="1" applyBorder="1"/>
    <xf numFmtId="167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0" xfId="0" applyFill="1" applyBorder="1"/>
    <xf numFmtId="165" fontId="1" fillId="6" borderId="1" xfId="0" applyNumberFormat="1" applyFont="1" applyFill="1" applyBorder="1" applyAlignment="1">
      <alignment horizontal="center"/>
    </xf>
    <xf numFmtId="165" fontId="1" fillId="6" borderId="10" xfId="0" applyNumberFormat="1" applyFont="1" applyFill="1" applyBorder="1" applyAlignment="1">
      <alignment horizontal="center"/>
    </xf>
    <xf numFmtId="0" fontId="1" fillId="6" borderId="12" xfId="0" applyFont="1" applyFill="1" applyBorder="1"/>
    <xf numFmtId="167" fontId="0" fillId="6" borderId="2" xfId="0" applyNumberFormat="1" applyFill="1" applyBorder="1"/>
    <xf numFmtId="0" fontId="0" fillId="6" borderId="2" xfId="0" applyFill="1" applyBorder="1"/>
    <xf numFmtId="0" fontId="0" fillId="6" borderId="13" xfId="0" applyFill="1" applyBorder="1"/>
    <xf numFmtId="0" fontId="1" fillId="6" borderId="2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1" fillId="9" borderId="12" xfId="0" applyFont="1" applyFill="1" applyBorder="1"/>
    <xf numFmtId="9" fontId="0" fillId="0" borderId="0" xfId="4" applyFont="1" applyFill="1" applyBorder="1"/>
    <xf numFmtId="165" fontId="1" fillId="4" borderId="0" xfId="4" applyNumberFormat="1" applyFont="1" applyFill="1" applyBorder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right"/>
    </xf>
    <xf numFmtId="0" fontId="26" fillId="0" borderId="0" xfId="0" applyFont="1"/>
    <xf numFmtId="0" fontId="26" fillId="0" borderId="1" xfId="0" applyFont="1" applyBorder="1"/>
    <xf numFmtId="0" fontId="0" fillId="4" borderId="10" xfId="0" applyFill="1" applyBorder="1"/>
    <xf numFmtId="0" fontId="1" fillId="4" borderId="9" xfId="0" applyFont="1" applyFill="1" applyBorder="1"/>
    <xf numFmtId="0" fontId="9" fillId="0" borderId="0" xfId="0" applyFont="1"/>
    <xf numFmtId="167" fontId="7" fillId="0" borderId="0" xfId="0" applyNumberFormat="1" applyFont="1"/>
    <xf numFmtId="9" fontId="0" fillId="0" borderId="15" xfId="4" applyFont="1" applyFill="1" applyBorder="1"/>
    <xf numFmtId="166" fontId="1" fillId="6" borderId="2" xfId="1" applyNumberFormat="1" applyFont="1" applyFill="1" applyBorder="1"/>
    <xf numFmtId="0" fontId="1" fillId="8" borderId="12" xfId="0" applyFont="1" applyFill="1" applyBorder="1"/>
    <xf numFmtId="0" fontId="0" fillId="8" borderId="2" xfId="0" applyFill="1" applyBorder="1"/>
    <xf numFmtId="9" fontId="1" fillId="8" borderId="2" xfId="4" applyFont="1" applyFill="1" applyBorder="1"/>
    <xf numFmtId="0" fontId="1" fillId="9" borderId="19" xfId="0" applyFont="1" applyFill="1" applyBorder="1"/>
    <xf numFmtId="0" fontId="0" fillId="9" borderId="19" xfId="0" applyFill="1" applyBorder="1"/>
    <xf numFmtId="9" fontId="1" fillId="9" borderId="19" xfId="4" applyFont="1" applyFill="1" applyBorder="1"/>
    <xf numFmtId="0" fontId="27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165" fontId="1" fillId="0" borderId="0" xfId="4" applyNumberFormat="1" applyFont="1" applyFill="1" applyBorder="1"/>
    <xf numFmtId="0" fontId="0" fillId="6" borderId="2" xfId="0" applyFill="1" applyBorder="1" applyAlignment="1">
      <alignment horizontal="left"/>
    </xf>
    <xf numFmtId="9" fontId="1" fillId="6" borderId="2" xfId="4" applyFont="1" applyFill="1" applyBorder="1" applyAlignment="1">
      <alignment horizontal="right"/>
    </xf>
    <xf numFmtId="0" fontId="22" fillId="7" borderId="18" xfId="5"/>
    <xf numFmtId="0" fontId="0" fillId="0" borderId="0" xfId="0" applyAlignment="1">
      <alignment horizontal="right"/>
    </xf>
    <xf numFmtId="167" fontId="0" fillId="0" borderId="0" xfId="1" applyNumberFormat="1" applyFont="1"/>
    <xf numFmtId="9" fontId="22" fillId="7" borderId="18" xfId="4" applyFont="1" applyFill="1" applyBorder="1"/>
    <xf numFmtId="9" fontId="0" fillId="0" borderId="0" xfId="4" applyFont="1"/>
    <xf numFmtId="9" fontId="1" fillId="0" borderId="13" xfId="4" applyFont="1" applyBorder="1"/>
    <xf numFmtId="9" fontId="4" fillId="0" borderId="0" xfId="2" applyNumberFormat="1" applyBorder="1" applyAlignment="1" applyProtection="1"/>
    <xf numFmtId="167" fontId="0" fillId="0" borderId="15" xfId="1" applyNumberFormat="1" applyFont="1" applyBorder="1"/>
    <xf numFmtId="0" fontId="4" fillId="0" borderId="0" xfId="2" applyBorder="1" applyAlignment="1" applyProtection="1">
      <alignment horizontal="center" vertical="center"/>
    </xf>
    <xf numFmtId="0" fontId="0" fillId="9" borderId="2" xfId="0" applyFill="1" applyBorder="1"/>
    <xf numFmtId="0" fontId="1" fillId="9" borderId="2" xfId="0" applyFont="1" applyFill="1" applyBorder="1"/>
    <xf numFmtId="0" fontId="0" fillId="9" borderId="13" xfId="0" applyFill="1" applyBorder="1"/>
    <xf numFmtId="10" fontId="21" fillId="0" borderId="0" xfId="4" applyNumberFormat="1" applyFont="1" applyBorder="1"/>
    <xf numFmtId="0" fontId="4" fillId="0" borderId="0" xfId="2" applyAlignment="1" applyProtection="1"/>
    <xf numFmtId="165" fontId="7" fillId="0" borderId="15" xfId="0" applyNumberFormat="1" applyFont="1" applyBorder="1" applyAlignment="1">
      <alignment horizontal="center"/>
    </xf>
    <xf numFmtId="10" fontId="7" fillId="0" borderId="15" xfId="4" applyNumberFormat="1" applyFont="1" applyFill="1" applyBorder="1"/>
    <xf numFmtId="165" fontId="1" fillId="0" borderId="0" xfId="0" applyNumberFormat="1" applyFont="1" applyAlignment="1">
      <alignment horizontal="center"/>
    </xf>
    <xf numFmtId="9" fontId="0" fillId="8" borderId="15" xfId="4" applyFont="1" applyFill="1" applyBorder="1"/>
    <xf numFmtId="9" fontId="0" fillId="9" borderId="20" xfId="4" applyFont="1" applyFill="1" applyBorder="1"/>
    <xf numFmtId="9" fontId="0" fillId="9" borderId="21" xfId="4" applyFont="1" applyFill="1" applyBorder="1"/>
    <xf numFmtId="10" fontId="30" fillId="0" borderId="15" xfId="4" applyNumberFormat="1" applyFont="1" applyFill="1" applyBorder="1"/>
    <xf numFmtId="166" fontId="1" fillId="0" borderId="0" xfId="1" applyNumberFormat="1" applyFont="1" applyFill="1" applyBorder="1"/>
    <xf numFmtId="0" fontId="1" fillId="6" borderId="0" xfId="0" applyFont="1" applyFill="1" applyAlignment="1">
      <alignment horizontal="right"/>
    </xf>
    <xf numFmtId="167" fontId="1" fillId="6" borderId="0" xfId="1" applyNumberFormat="1" applyFont="1" applyFill="1" applyBorder="1"/>
    <xf numFmtId="166" fontId="1" fillId="6" borderId="0" xfId="1" applyNumberFormat="1" applyFont="1" applyFill="1" applyBorder="1"/>
    <xf numFmtId="167" fontId="9" fillId="6" borderId="0" xfId="0" applyNumberFormat="1" applyFont="1" applyFill="1"/>
    <xf numFmtId="166" fontId="9" fillId="6" borderId="0" xfId="1" applyNumberFormat="1" applyFont="1" applyFill="1" applyBorder="1"/>
    <xf numFmtId="9" fontId="8" fillId="0" borderId="0" xfId="4" applyFont="1" applyBorder="1"/>
    <xf numFmtId="166" fontId="31" fillId="0" borderId="1" xfId="1" applyNumberFormat="1" applyFont="1" applyBorder="1"/>
    <xf numFmtId="167" fontId="8" fillId="0" borderId="0" xfId="0" applyNumberFormat="1" applyFont="1" applyAlignment="1">
      <alignment horizontal="right"/>
    </xf>
    <xf numFmtId="171" fontId="8" fillId="0" borderId="1" xfId="1" applyNumberFormat="1" applyFont="1" applyBorder="1" applyAlignment="1">
      <alignment horizontal="right"/>
    </xf>
    <xf numFmtId="167" fontId="31" fillId="0" borderId="2" xfId="0" applyNumberFormat="1" applyFont="1" applyBorder="1" applyAlignment="1">
      <alignment horizontal="right"/>
    </xf>
    <xf numFmtId="9" fontId="8" fillId="0" borderId="0" xfId="4" applyFont="1" applyFill="1" applyBorder="1"/>
    <xf numFmtId="9" fontId="8" fillId="0" borderId="1" xfId="4" applyFont="1" applyFill="1" applyBorder="1"/>
    <xf numFmtId="0" fontId="1" fillId="6" borderId="0" xfId="0" applyFont="1" applyFill="1"/>
    <xf numFmtId="0" fontId="0" fillId="0" borderId="15" xfId="0" applyBorder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6" fontId="32" fillId="0" borderId="0" xfId="4" applyNumberFormat="1" applyFont="1" applyFill="1" applyBorder="1" applyAlignment="1">
      <alignment horizontal="right"/>
    </xf>
    <xf numFmtId="9" fontId="24" fillId="0" borderId="0" xfId="4" applyFont="1" applyFill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2" fillId="0" borderId="1" xfId="0" applyFont="1" applyBorder="1"/>
    <xf numFmtId="166" fontId="32" fillId="0" borderId="1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31" fillId="0" borderId="2" xfId="0" applyFont="1" applyBorder="1" applyAlignment="1">
      <alignment horizontal="left"/>
    </xf>
    <xf numFmtId="0" fontId="31" fillId="0" borderId="2" xfId="0" applyFont="1" applyBorder="1" applyAlignment="1">
      <alignment horizontal="right"/>
    </xf>
    <xf numFmtId="0" fontId="25" fillId="6" borderId="0" xfId="0" applyFont="1" applyFill="1"/>
    <xf numFmtId="166" fontId="25" fillId="6" borderId="0" xfId="1" applyNumberFormat="1" applyFont="1" applyFill="1" applyBorder="1"/>
    <xf numFmtId="0" fontId="0" fillId="10" borderId="0" xfId="0" applyFill="1"/>
    <xf numFmtId="0" fontId="1" fillId="10" borderId="0" xfId="0" applyFont="1" applyFill="1"/>
    <xf numFmtId="164" fontId="0" fillId="0" borderId="0" xfId="1" applyFont="1"/>
    <xf numFmtId="164" fontId="22" fillId="7" borderId="0" xfId="1" applyFont="1" applyFill="1" applyBorder="1"/>
    <xf numFmtId="9" fontId="0" fillId="0" borderId="0" xfId="1" applyNumberFormat="1" applyFont="1"/>
    <xf numFmtId="9" fontId="22" fillId="7" borderId="0" xfId="1" applyNumberFormat="1" applyFont="1" applyFill="1" applyBorder="1"/>
    <xf numFmtId="0" fontId="22" fillId="0" borderId="18" xfId="5" applyFill="1"/>
    <xf numFmtId="0" fontId="1" fillId="0" borderId="5" xfId="0" applyFont="1" applyBorder="1"/>
    <xf numFmtId="0" fontId="0" fillId="0" borderId="6" xfId="0" applyBorder="1"/>
    <xf numFmtId="0" fontId="24" fillId="0" borderId="7" xfId="0" applyFont="1" applyBorder="1" applyAlignment="1">
      <alignment horizontal="center"/>
    </xf>
    <xf numFmtId="9" fontId="22" fillId="7" borderId="22" xfId="4" applyFont="1" applyFill="1" applyBorder="1"/>
    <xf numFmtId="0" fontId="24" fillId="0" borderId="7" xfId="0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9" fontId="0" fillId="6" borderId="13" xfId="0" applyNumberFormat="1" applyFill="1" applyBorder="1" applyAlignment="1">
      <alignment horizontal="left"/>
    </xf>
    <xf numFmtId="0" fontId="1" fillId="0" borderId="6" xfId="0" applyFont="1" applyBorder="1"/>
    <xf numFmtId="0" fontId="28" fillId="0" borderId="7" xfId="0" applyFont="1" applyBorder="1" applyAlignment="1">
      <alignment horizontal="left"/>
    </xf>
    <xf numFmtId="164" fontId="22" fillId="7" borderId="8" xfId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6" fontId="28" fillId="0" borderId="8" xfId="1" applyNumberFormat="1" applyFont="1" applyFill="1" applyBorder="1" applyAlignment="1">
      <alignment horizontal="right"/>
    </xf>
    <xf numFmtId="0" fontId="26" fillId="0" borderId="7" xfId="0" applyFont="1" applyBorder="1" applyAlignment="1">
      <alignment horizontal="right"/>
    </xf>
    <xf numFmtId="167" fontId="22" fillId="7" borderId="8" xfId="1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right"/>
    </xf>
    <xf numFmtId="167" fontId="25" fillId="0" borderId="8" xfId="1" applyNumberFormat="1" applyFont="1" applyFill="1" applyBorder="1" applyAlignment="1">
      <alignment horizontal="right"/>
    </xf>
    <xf numFmtId="164" fontId="1" fillId="6" borderId="10" xfId="1" applyFont="1" applyFill="1" applyBorder="1"/>
    <xf numFmtId="167" fontId="0" fillId="0" borderId="0" xfId="4" applyNumberFormat="1" applyFont="1"/>
    <xf numFmtId="9" fontId="1" fillId="0" borderId="0" xfId="4" applyFont="1"/>
    <xf numFmtId="164" fontId="1" fillId="8" borderId="0" xfId="1" applyFont="1" applyFill="1"/>
    <xf numFmtId="0" fontId="1" fillId="8" borderId="0" xfId="0" applyFont="1" applyFill="1"/>
    <xf numFmtId="9" fontId="1" fillId="8" borderId="0" xfId="4" applyFont="1" applyFill="1"/>
    <xf numFmtId="0" fontId="1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1" fillId="0" borderId="0" xfId="4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64" fontId="4" fillId="0" borderId="0" xfId="2" applyNumberFormat="1" applyBorder="1" applyAlignment="1" applyProtection="1">
      <alignment horizontal="center"/>
    </xf>
    <xf numFmtId="164" fontId="2" fillId="2" borderId="0" xfId="3" applyNumberFormat="1" applyFont="1" applyBorder="1" applyAlignment="1">
      <alignment horizontal="center"/>
    </xf>
    <xf numFmtId="164" fontId="1" fillId="0" borderId="0" xfId="1" applyFont="1"/>
  </cellXfs>
  <cellStyles count="6">
    <cellStyle name="Accent6" xfId="3" builtinId="49"/>
    <cellStyle name="Comma" xfId="1" builtinId="3"/>
    <cellStyle name="Hyperlink" xfId="2" builtinId="8"/>
    <cellStyle name="Input" xfId="5" builtinId="20"/>
    <cellStyle name="Normal" xfId="0" builtinId="0"/>
    <cellStyle name="Percent" xfId="4" builtinId="5"/>
  </cellStyles>
  <dxfs count="15">
    <dxf>
      <font>
        <b/>
        <i val="0"/>
        <color theme="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217598</xdr:colOff>
      <xdr:row>100</xdr:row>
      <xdr:rowOff>168332</xdr:rowOff>
    </xdr:from>
    <xdr:to>
      <xdr:col>15</xdr:col>
      <xdr:colOff>537514</xdr:colOff>
      <xdr:row>118</xdr:row>
      <xdr:rowOff>77452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BFFD77-4F83-42BA-A412-C7CF742A5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010" y="16919194"/>
          <a:ext cx="4721124" cy="3160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19</xdr:col>
      <xdr:colOff>29975</xdr:colOff>
      <xdr:row>28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E7F93B-B7B7-42A7-BE39-46EE003F9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75" y="1277938"/>
          <a:ext cx="5887850" cy="396081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1</xdr:rowOff>
    </xdr:from>
    <xdr:to>
      <xdr:col>13</xdr:col>
      <xdr:colOff>564444</xdr:colOff>
      <xdr:row>39</xdr:row>
      <xdr:rowOff>125613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807284-1FCA-FDD4-F495-2DE8A24ED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4537" y="6208890"/>
          <a:ext cx="2504722" cy="103695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ome.kpmg/xx/en/home/services/tax/tax-tools-and-resources/tax-rates-online.html" TargetMode="External"/><Relationship Id="rId1" Type="http://schemas.openxmlformats.org/officeDocument/2006/relationships/hyperlink" Target="https://twitter.com/amol_tw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trinsicvalueinvest.wordpress.com/2021/05/02/return-on-invested-capital-roic-one-ratio-to-measure-it-all/" TargetMode="External"/><Relationship Id="rId1" Type="http://schemas.openxmlformats.org/officeDocument/2006/relationships/hyperlink" Target="https://twitter.com/amol_tw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168"/>
  <sheetViews>
    <sheetView tabSelected="1" topLeftCell="A140" zoomScale="90" zoomScaleNormal="90" zoomScaleSheetLayoutView="100" zoomScalePageLayoutView="120" workbookViewId="0">
      <selection activeCell="C165" sqref="C165"/>
    </sheetView>
  </sheetViews>
  <sheetFormatPr defaultColWidth="8.85546875" defaultRowHeight="15" x14ac:dyDescent="0.25"/>
  <cols>
    <col min="1" max="1" width="40.42578125" customWidth="1"/>
    <col min="2" max="2" width="16" customWidth="1"/>
    <col min="3" max="3" width="9.85546875" customWidth="1"/>
    <col min="4" max="4" width="13" customWidth="1"/>
    <col min="5" max="5" width="13.140625" customWidth="1"/>
    <col min="6" max="6" width="10" bestFit="1" customWidth="1"/>
    <col min="7" max="7" width="14.7109375" customWidth="1"/>
    <col min="8" max="8" width="16.140625" customWidth="1"/>
    <col min="9" max="9" width="9.28515625" customWidth="1"/>
    <col min="10" max="10" width="13" customWidth="1"/>
    <col min="11" max="11" width="10" customWidth="1"/>
    <col min="12" max="12" width="9.7109375" customWidth="1"/>
    <col min="13" max="13" width="3.28515625" customWidth="1"/>
    <col min="14" max="14" width="13" customWidth="1"/>
    <col min="15" max="15" width="7.85546875" customWidth="1"/>
    <col min="16" max="17" width="7.140625" bestFit="1" customWidth="1"/>
    <col min="18" max="18" width="22.28515625" customWidth="1"/>
    <col min="19" max="19" width="8.140625" bestFit="1" customWidth="1"/>
    <col min="20" max="22" width="7.140625" bestFit="1" customWidth="1"/>
    <col min="23" max="23" width="7.140625" customWidth="1"/>
    <col min="24" max="24" width="7.140625" bestFit="1" customWidth="1"/>
    <col min="25" max="25" width="6.85546875" bestFit="1" customWidth="1"/>
    <col min="26" max="26" width="8.140625" customWidth="1"/>
    <col min="27" max="27" width="7.140625" customWidth="1"/>
    <col min="28" max="29" width="7.85546875" customWidth="1"/>
  </cols>
  <sheetData>
    <row r="1" spans="1:29" ht="9.75" customHeight="1" x14ac:dyDescent="0.25">
      <c r="K1" s="189" t="s">
        <v>168</v>
      </c>
      <c r="L1" s="241" t="s">
        <v>232</v>
      </c>
    </row>
    <row r="2" spans="1:29" s="2" customFormat="1" x14ac:dyDescent="0.25">
      <c r="A2" s="2" t="str">
        <f>'Data Sheet'!B1</f>
      </c>
      <c r="B2" t="s">
        <v>129</v>
      </c>
      <c r="H2" t="str">
        <f>UPDATE</f>
      </c>
      <c r="J2" s="3"/>
      <c r="K2" s="3"/>
    </row>
    <row r="3" spans="1:29" x14ac:dyDescent="0.25">
      <c r="A3" s="69" t="s">
        <v>128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2"/>
    </row>
    <row r="4" spans="1:29" s="2" customFormat="1" x14ac:dyDescent="0.25">
      <c r="A4" s="26"/>
      <c r="B4" s="27">
        <f>'Data Sheet'!B16</f>
      </c>
      <c r="C4" s="27">
        <f>'Data Sheet'!C16</f>
      </c>
      <c r="D4" s="27">
        <f>'Data Sheet'!D16</f>
      </c>
      <c r="E4" s="27">
        <f>'Data Sheet'!E16</f>
      </c>
      <c r="F4" s="27">
        <f>'Data Sheet'!F16</f>
      </c>
      <c r="G4" s="27">
        <f>'Data Sheet'!G16</f>
      </c>
      <c r="H4" s="27">
        <f>'Data Sheet'!H16</f>
      </c>
      <c r="I4" s="27">
        <f>'Data Sheet'!I16</f>
      </c>
      <c r="J4" s="27">
        <f>'Data Sheet'!J16</f>
      </c>
      <c r="K4" s="27">
        <f>'Data Sheet'!K16</f>
      </c>
      <c r="L4" s="28" t="s">
        <v>55</v>
      </c>
      <c r="M4" s="106"/>
      <c r="O4" s="61" t="s">
        <v>66</v>
      </c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9" s="2" customFormat="1" x14ac:dyDescent="0.25">
      <c r="A5" s="134" t="s">
        <v>120</v>
      </c>
      <c r="B5" s="133"/>
      <c r="C5" s="135">
        <f>IF(B6=0,"",C6/B6-1)</f>
      </c>
      <c r="D5" s="135">
        <f t="shared" ref="D5:L5" si="0">IF(C6=0,"",D6/C6-1)</f>
      </c>
      <c r="E5" s="135">
        <f t="shared" si="0"/>
      </c>
      <c r="F5" s="135">
        <f t="shared" si="0"/>
      </c>
      <c r="G5" s="135">
        <f t="shared" si="0"/>
      </c>
      <c r="H5" s="135">
        <f t="shared" si="0"/>
      </c>
      <c r="I5" s="135">
        <f t="shared" si="0"/>
      </c>
      <c r="J5" s="135">
        <f t="shared" si="0"/>
      </c>
      <c r="K5" s="135">
        <f t="shared" si="0"/>
      </c>
      <c r="L5" s="135">
        <f t="shared" si="0"/>
      </c>
      <c r="M5" s="150"/>
      <c r="O5" s="64">
        <f t="shared" ref="O5:Y5" si="1">B4</f>
      </c>
      <c r="P5" s="12">
        <f t="shared" si="1"/>
      </c>
      <c r="Q5" s="12">
        <f t="shared" si="1"/>
      </c>
      <c r="R5" s="12">
        <f t="shared" si="1"/>
      </c>
      <c r="S5" s="12">
        <f t="shared" si="1"/>
      </c>
      <c r="T5" s="12">
        <f t="shared" si="1"/>
      </c>
      <c r="U5" s="12">
        <f t="shared" si="1"/>
      </c>
      <c r="V5" s="12">
        <f t="shared" si="1"/>
      </c>
      <c r="W5" s="12">
        <f t="shared" si="1"/>
      </c>
      <c r="X5" s="12">
        <f t="shared" si="1"/>
      </c>
      <c r="Y5" s="65" t="str">
        <f t="shared" si="1"/>
      </c>
    </row>
    <row r="6" spans="1:29" s="2" customFormat="1" x14ac:dyDescent="0.25">
      <c r="A6" s="2" t="s">
        <v>1</v>
      </c>
      <c r="B6" s="15">
        <f>'Data Sheet'!B17</f>
      </c>
      <c r="C6" s="15">
        <f>'Data Sheet'!C17</f>
      </c>
      <c r="D6" s="15">
        <f>'Data Sheet'!D17</f>
      </c>
      <c r="E6" s="15">
        <f>'Data Sheet'!E17</f>
      </c>
      <c r="F6" s="15">
        <f>'Data Sheet'!F17</f>
      </c>
      <c r="G6" s="15">
        <f>'Data Sheet'!G17</f>
      </c>
      <c r="H6" s="15">
        <f>'Data Sheet'!H17</f>
      </c>
      <c r="I6" s="15">
        <f>'Data Sheet'!I17</f>
      </c>
      <c r="J6" s="15">
        <f>'Data Sheet'!J17</f>
      </c>
      <c r="K6" s="15">
        <f>'Data Sheet'!K17</f>
      </c>
      <c r="L6" s="29">
        <f>SUM('Data Sheet'!H42:K42)</f>
      </c>
      <c r="M6" s="151"/>
      <c r="O6" s="56"/>
      <c r="Y6" s="67"/>
    </row>
    <row r="7" spans="1:29" s="2" customFormat="1" x14ac:dyDescent="0.25">
      <c r="A7" s="4" t="s">
        <v>45</v>
      </c>
      <c r="B7" s="16">
        <f>'Data Sheet'!B18-'Data Sheet'!B19</f>
      </c>
      <c r="C7" s="16">
        <f>'Data Sheet'!C18-'Data Sheet'!C19</f>
      </c>
      <c r="D7" s="16">
        <f>'Data Sheet'!D18-'Data Sheet'!D19</f>
      </c>
      <c r="E7" s="16">
        <f>'Data Sheet'!E18-'Data Sheet'!E19</f>
      </c>
      <c r="F7" s="16">
        <f>'Data Sheet'!F18-'Data Sheet'!F19</f>
      </c>
      <c r="G7" s="16">
        <f>'Data Sheet'!G18-'Data Sheet'!G19</f>
      </c>
      <c r="H7" s="16">
        <f>'Data Sheet'!H18-'Data Sheet'!H19</f>
      </c>
      <c r="I7" s="16">
        <f>'Data Sheet'!I18-'Data Sheet'!I19</f>
      </c>
      <c r="J7" s="16">
        <f>'Data Sheet'!J18-'Data Sheet'!J19</f>
      </c>
      <c r="K7" s="16">
        <f>'Data Sheet'!K18-'Data Sheet'!K19</f>
      </c>
      <c r="L7" s="37">
        <f>'Data Sheet'!L18-'Data Sheet'!L19</f>
      </c>
      <c r="M7" s="152"/>
      <c r="O7" s="77">
        <f>IF(B6=0,"",B7/B6)</f>
      </c>
      <c r="P7" s="13">
        <f t="shared" ref="P7:X7" si="2">IF(C6=0,"",C7/C6)</f>
      </c>
      <c r="Q7" s="13">
        <f t="shared" si="2"/>
      </c>
      <c r="R7" s="13">
        <f t="shared" si="2"/>
      </c>
      <c r="S7" s="13">
        <f t="shared" si="2"/>
      </c>
      <c r="T7" s="13">
        <f t="shared" si="2"/>
      </c>
      <c r="U7" s="13">
        <f t="shared" si="2"/>
      </c>
      <c r="V7" s="13">
        <f t="shared" si="2"/>
      </c>
      <c r="W7" s="13">
        <f t="shared" si="2"/>
      </c>
      <c r="X7" s="13">
        <f t="shared" si="2"/>
      </c>
      <c r="Y7" s="48"/>
    </row>
    <row r="8" spans="1:29" s="2" customFormat="1" x14ac:dyDescent="0.25">
      <c r="A8" s="4" t="s">
        <v>47</v>
      </c>
      <c r="B8" s="16">
        <f>'Data Sheet'!B20</f>
      </c>
      <c r="C8" s="16">
        <f>'Data Sheet'!C20</f>
      </c>
      <c r="D8" s="16">
        <f>'Data Sheet'!D20</f>
      </c>
      <c r="E8" s="16">
        <f>'Data Sheet'!E20</f>
      </c>
      <c r="F8" s="16">
        <f>'Data Sheet'!F20</f>
      </c>
      <c r="G8" s="16">
        <f>'Data Sheet'!G20</f>
      </c>
      <c r="H8" s="16">
        <f>'Data Sheet'!H20</f>
      </c>
      <c r="I8" s="16">
        <f>'Data Sheet'!I20</f>
      </c>
      <c r="J8" s="16">
        <f>'Data Sheet'!J20</f>
      </c>
      <c r="K8" s="16">
        <f>'Data Sheet'!K20</f>
      </c>
      <c r="L8" s="37"/>
      <c r="M8" s="152"/>
      <c r="O8" s="77">
        <f>IF(B6=0,"",B8/B6)</f>
      </c>
      <c r="P8" s="13">
        <f t="shared" ref="P8:X8" si="3">IF(C6=0,"",C8/C6)</f>
      </c>
      <c r="Q8" s="13">
        <f t="shared" si="3"/>
      </c>
      <c r="R8" s="13">
        <f t="shared" si="3"/>
      </c>
      <c r="S8" s="13">
        <f t="shared" si="3"/>
      </c>
      <c r="T8" s="13">
        <f t="shared" si="3"/>
      </c>
      <c r="U8" s="13">
        <f t="shared" si="3"/>
      </c>
      <c r="V8" s="13">
        <f t="shared" si="3"/>
      </c>
      <c r="W8" s="13">
        <f t="shared" si="3"/>
      </c>
      <c r="X8" s="13">
        <f t="shared" si="3"/>
      </c>
      <c r="Y8" s="48"/>
    </row>
    <row r="9" spans="1:29" s="2" customFormat="1" x14ac:dyDescent="0.25">
      <c r="A9" s="18" t="s">
        <v>48</v>
      </c>
      <c r="B9" s="17">
        <f>'Data Sheet'!B21</f>
      </c>
      <c r="C9" s="17">
        <f>'Data Sheet'!C21</f>
      </c>
      <c r="D9" s="17">
        <f>'Data Sheet'!D21</f>
      </c>
      <c r="E9" s="17">
        <f>'Data Sheet'!E21</f>
      </c>
      <c r="F9" s="17">
        <f>'Data Sheet'!F21</f>
      </c>
      <c r="G9" s="17">
        <f>'Data Sheet'!G21</f>
      </c>
      <c r="H9" s="17">
        <f>'Data Sheet'!H21</f>
      </c>
      <c r="I9" s="17">
        <f>'Data Sheet'!I21</f>
      </c>
      <c r="J9" s="17">
        <f>'Data Sheet'!J21</f>
      </c>
      <c r="K9" s="17">
        <f>'Data Sheet'!K21</f>
      </c>
      <c r="L9" s="38"/>
      <c r="M9" s="152"/>
      <c r="O9" s="49">
        <f>IF(B6=0,"",B9/B6)</f>
      </c>
      <c r="P9" s="19">
        <f t="shared" ref="P9:X9" si="4">IF(C6=0,"",C9/C6)</f>
      </c>
      <c r="Q9" s="19">
        <f t="shared" si="4"/>
      </c>
      <c r="R9" s="19">
        <f t="shared" si="4"/>
      </c>
      <c r="S9" s="19">
        <f t="shared" si="4"/>
      </c>
      <c r="T9" s="19">
        <f t="shared" si="4"/>
      </c>
      <c r="U9" s="19">
        <f t="shared" si="4"/>
      </c>
      <c r="V9" s="19">
        <f t="shared" si="4"/>
      </c>
      <c r="W9" s="19">
        <f t="shared" si="4"/>
      </c>
      <c r="X9" s="19">
        <f t="shared" si="4"/>
      </c>
      <c r="Y9" s="50"/>
    </row>
    <row r="10" spans="1:29" s="2" customFormat="1" x14ac:dyDescent="0.25">
      <c r="A10" s="1" t="s">
        <v>172</v>
      </c>
      <c r="B10" s="16">
        <f>B6-SUM(B7:B9)</f>
      </c>
      <c r="C10" s="16">
        <f t="shared" ref="C10:K10" si="5">C6-SUM(C7:C9)</f>
      </c>
      <c r="D10" s="16">
        <f t="shared" si="5"/>
      </c>
      <c r="E10" s="16">
        <f t="shared" si="5"/>
      </c>
      <c r="F10" s="16">
        <f t="shared" si="5"/>
      </c>
      <c r="G10" s="16">
        <f t="shared" si="5"/>
      </c>
      <c r="H10" s="16">
        <f t="shared" si="5"/>
      </c>
      <c r="I10" s="16">
        <f t="shared" si="5"/>
      </c>
      <c r="J10" s="16">
        <f t="shared" si="5"/>
      </c>
      <c r="K10" s="16">
        <f t="shared" si="5"/>
      </c>
      <c r="L10" s="37"/>
      <c r="M10" s="152"/>
      <c r="N10" s="2" t="s">
        <v>171</v>
      </c>
      <c r="O10" s="77">
        <f>IF(B6=0,"",1-SUM(O7:O9))</f>
      </c>
      <c r="P10" s="13">
        <f t="shared" ref="P10:W10" si="6">IF(C6=0,"",1-SUM(P7:P9))</f>
      </c>
      <c r="Q10" s="13">
        <f t="shared" si="6"/>
      </c>
      <c r="R10" s="13">
        <f t="shared" si="6"/>
      </c>
      <c r="S10" s="13">
        <f t="shared" si="6"/>
      </c>
      <c r="T10" s="13">
        <f t="shared" si="6"/>
      </c>
      <c r="U10" s="13">
        <f t="shared" si="6"/>
      </c>
      <c r="V10" s="13">
        <f t="shared" si="6"/>
      </c>
      <c r="W10" s="13">
        <f t="shared" si="6"/>
      </c>
      <c r="X10" s="13">
        <f>IF(K6=0,"",1-SUM(X7:X9))</f>
      </c>
      <c r="Y10" s="48"/>
    </row>
    <row r="11" spans="1:29" s="2" customFormat="1" x14ac:dyDescent="0.25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37"/>
      <c r="M11" s="152"/>
      <c r="O11" s="77"/>
      <c r="P11" s="13"/>
      <c r="Q11" s="13"/>
      <c r="R11" s="13"/>
      <c r="S11" s="13"/>
      <c r="T11" s="13"/>
      <c r="U11" s="13"/>
      <c r="V11" s="13"/>
      <c r="W11" s="13"/>
      <c r="X11" s="13"/>
      <c r="Y11" s="48"/>
    </row>
    <row r="12" spans="1:29" s="2" customFormat="1" x14ac:dyDescent="0.25">
      <c r="A12" s="4" t="s">
        <v>49</v>
      </c>
      <c r="B12" s="16">
        <f>'Data Sheet'!B22</f>
      </c>
      <c r="C12" s="16">
        <f>'Data Sheet'!C22</f>
      </c>
      <c r="D12" s="16">
        <f>'Data Sheet'!D22</f>
      </c>
      <c r="E12" s="16">
        <f>'Data Sheet'!E22</f>
      </c>
      <c r="F12" s="16">
        <f>'Data Sheet'!F22</f>
      </c>
      <c r="G12" s="16">
        <f>'Data Sheet'!G22</f>
      </c>
      <c r="H12" s="16">
        <f>'Data Sheet'!H22</f>
      </c>
      <c r="I12" s="16">
        <f>'Data Sheet'!I22</f>
      </c>
      <c r="J12" s="16">
        <f>'Data Sheet'!J22</f>
      </c>
      <c r="K12" s="16">
        <f>'Data Sheet'!K22</f>
      </c>
      <c r="L12" s="37"/>
      <c r="M12" s="152"/>
      <c r="O12" s="77">
        <f>IF(B6=0,"",B12/B6)</f>
      </c>
      <c r="P12" s="13">
        <f t="shared" ref="P12:X12" si="7">IF(C6=0,"",C12/C6)</f>
      </c>
      <c r="Q12" s="13">
        <f t="shared" si="7"/>
      </c>
      <c r="R12" s="13">
        <f t="shared" si="7"/>
      </c>
      <c r="S12" s="13">
        <f t="shared" si="7"/>
      </c>
      <c r="T12" s="13">
        <f t="shared" si="7"/>
      </c>
      <c r="U12" s="13">
        <f t="shared" si="7"/>
      </c>
      <c r="V12" s="13">
        <f t="shared" si="7"/>
      </c>
      <c r="W12" s="13">
        <f t="shared" si="7"/>
      </c>
      <c r="X12" s="13">
        <f t="shared" si="7"/>
      </c>
      <c r="Y12" s="48"/>
    </row>
    <row r="13" spans="1:29" x14ac:dyDescent="0.25">
      <c r="A13" s="4" t="s">
        <v>50</v>
      </c>
      <c r="B13" s="16">
        <f>'Data Sheet'!B23</f>
      </c>
      <c r="C13" s="16">
        <f>'Data Sheet'!C23</f>
      </c>
      <c r="D13" s="16">
        <f>'Data Sheet'!D23</f>
      </c>
      <c r="E13" s="16">
        <f>'Data Sheet'!E23</f>
      </c>
      <c r="F13" s="16">
        <f>'Data Sheet'!F23</f>
      </c>
      <c r="G13" s="16">
        <f>'Data Sheet'!G23</f>
      </c>
      <c r="H13" s="16">
        <f>'Data Sheet'!H23</f>
      </c>
      <c r="I13" s="16">
        <f>'Data Sheet'!I23</f>
      </c>
      <c r="J13" s="16">
        <f>'Data Sheet'!J23</f>
      </c>
      <c r="K13" s="16">
        <f>'Data Sheet'!K23</f>
      </c>
      <c r="L13" s="37"/>
      <c r="M13" s="152"/>
      <c r="O13" s="77">
        <f>IF(B6=0,"",B13/B6)</f>
      </c>
      <c r="P13" s="13">
        <f t="shared" ref="P13:X13" si="8">IF(C6=0,"",C13/C6)</f>
      </c>
      <c r="Q13" s="13">
        <f t="shared" si="8"/>
      </c>
      <c r="R13" s="13">
        <f t="shared" si="8"/>
      </c>
      <c r="S13" s="13">
        <f t="shared" si="8"/>
      </c>
      <c r="T13" s="13">
        <f t="shared" si="8"/>
      </c>
      <c r="U13" s="13">
        <f t="shared" si="8"/>
      </c>
      <c r="V13" s="13">
        <f t="shared" si="8"/>
      </c>
      <c r="W13" s="13">
        <f t="shared" si="8"/>
      </c>
      <c r="X13" s="13">
        <f t="shared" si="8"/>
      </c>
      <c r="Y13" s="48"/>
    </row>
    <row r="14" spans="1:29" s="2" customFormat="1" x14ac:dyDescent="0.25">
      <c r="A14" s="4" t="s">
        <v>51</v>
      </c>
      <c r="B14" s="16">
        <f>'Data Sheet'!B24</f>
      </c>
      <c r="C14" s="16">
        <f>'Data Sheet'!C24</f>
      </c>
      <c r="D14" s="16">
        <f>'Data Sheet'!D24</f>
      </c>
      <c r="E14" s="16">
        <f>'Data Sheet'!E24</f>
      </c>
      <c r="F14" s="16">
        <f>'Data Sheet'!F24</f>
      </c>
      <c r="G14" s="16">
        <f>'Data Sheet'!G24</f>
      </c>
      <c r="H14" s="16">
        <f>'Data Sheet'!H24</f>
      </c>
      <c r="I14" s="16">
        <f>'Data Sheet'!I24</f>
      </c>
      <c r="J14" s="16">
        <f>'Data Sheet'!J24</f>
      </c>
      <c r="K14" s="16">
        <f>'Data Sheet'!K24</f>
      </c>
      <c r="L14" s="37"/>
      <c r="M14" s="152"/>
      <c r="O14" s="77">
        <f>IF(B6=0,"",B14/B6)</f>
      </c>
      <c r="P14" s="13">
        <f t="shared" ref="P14:X14" si="9">IF(C6=0,"",C14/C6)</f>
      </c>
      <c r="Q14" s="13">
        <f t="shared" si="9"/>
      </c>
      <c r="R14" s="13">
        <f t="shared" si="9"/>
      </c>
      <c r="S14" s="13">
        <f t="shared" si="9"/>
      </c>
      <c r="T14" s="13">
        <f t="shared" si="9"/>
      </c>
      <c r="U14" s="13">
        <f t="shared" si="9"/>
      </c>
      <c r="V14" s="13">
        <f t="shared" si="9"/>
      </c>
      <c r="W14" s="13">
        <f t="shared" si="9"/>
      </c>
      <c r="X14" s="13">
        <f t="shared" si="9"/>
      </c>
      <c r="Y14" s="48"/>
      <c r="Z14" s="267" t="s">
        <v>238</v>
      </c>
      <c r="AA14" s="159"/>
      <c r="AB14" s="159"/>
      <c r="AC14" s="159"/>
    </row>
    <row r="15" spans="1:29" s="2" customFormat="1" x14ac:dyDescent="0.25">
      <c r="A15" s="18" t="s">
        <v>5</v>
      </c>
      <c r="B15" s="17">
        <f>'Data Sheet'!B26</f>
      </c>
      <c r="C15" s="17">
        <f>'Data Sheet'!C26</f>
      </c>
      <c r="D15" s="17">
        <f>'Data Sheet'!D26</f>
      </c>
      <c r="E15" s="17">
        <f>'Data Sheet'!E26</f>
      </c>
      <c r="F15" s="17">
        <f>'Data Sheet'!F26</f>
      </c>
      <c r="G15" s="17">
        <f>'Data Sheet'!G26</f>
      </c>
      <c r="H15" s="17">
        <f>'Data Sheet'!H26</f>
      </c>
      <c r="I15" s="17">
        <f>'Data Sheet'!I26</f>
      </c>
      <c r="J15" s="17">
        <f>'Data Sheet'!J26</f>
      </c>
      <c r="K15" s="17">
        <f>'Data Sheet'!K26</f>
      </c>
      <c r="L15" s="38">
        <f>SUM('Data Sheet'!H45:K45)</f>
      </c>
      <c r="M15" s="152"/>
      <c r="O15" s="49">
        <f>IF(B6=0,"",B15/B6)</f>
      </c>
      <c r="P15" s="19">
        <f t="shared" ref="P15:X15" si="10">IF(C6=0,"",C15/C6)</f>
      </c>
      <c r="Q15" s="19">
        <f t="shared" si="10"/>
      </c>
      <c r="R15" s="19">
        <f t="shared" si="10"/>
      </c>
      <c r="S15" s="19">
        <f t="shared" si="10"/>
      </c>
      <c r="T15" s="19">
        <f t="shared" si="10"/>
      </c>
      <c r="U15" s="19">
        <f t="shared" si="10"/>
      </c>
      <c r="V15" s="19">
        <f t="shared" si="10"/>
      </c>
      <c r="W15" s="19">
        <f t="shared" si="10"/>
      </c>
      <c r="X15" s="19">
        <f t="shared" si="10"/>
      </c>
      <c r="Y15" s="50"/>
      <c r="Z15" s="316"/>
      <c r="AA15" s="316"/>
      <c r="AB15" s="316"/>
      <c r="AC15" s="316"/>
    </row>
    <row r="16" spans="1:29" x14ac:dyDescent="0.25">
      <c r="A16" s="2" t="s">
        <v>134</v>
      </c>
      <c r="B16" s="15">
        <f>B10-SUM(B12:B15)</f>
      </c>
      <c r="C16" s="15">
        <f t="shared" ref="C16:K16" si="11">C10-SUM(C12:C15)</f>
      </c>
      <c r="D16" s="15">
        <f t="shared" si="11"/>
      </c>
      <c r="E16" s="15">
        <f t="shared" si="11"/>
      </c>
      <c r="F16" s="15">
        <f t="shared" si="11"/>
      </c>
      <c r="G16" s="15">
        <f t="shared" si="11"/>
      </c>
      <c r="H16" s="15">
        <f t="shared" si="11"/>
      </c>
      <c r="I16" s="15">
        <f t="shared" si="11"/>
      </c>
      <c r="J16" s="15">
        <f t="shared" si="11"/>
      </c>
      <c r="K16" s="15">
        <f t="shared" si="11"/>
      </c>
      <c r="L16" s="29">
        <f>SUM('Data Sheet'!H50:K50)-L15</f>
      </c>
      <c r="M16" s="151"/>
      <c r="N16" s="2" t="s">
        <v>173</v>
      </c>
      <c r="O16" s="87">
        <f>IF(B6=0,"",O10-O12-O13-O14-O15)</f>
      </c>
      <c r="P16" s="6">
        <f t="shared" ref="P16:X16" si="12">IF(C6=0,"",P10-P12-P13-P14-P15)</f>
      </c>
      <c r="Q16" s="6">
        <f t="shared" si="12"/>
      </c>
      <c r="R16" s="6">
        <f t="shared" si="12"/>
      </c>
      <c r="S16" s="6">
        <f t="shared" si="12"/>
      </c>
      <c r="T16" s="6">
        <f t="shared" si="12"/>
      </c>
      <c r="U16" s="6">
        <f t="shared" si="12"/>
      </c>
      <c r="V16" s="6">
        <f t="shared" si="12"/>
      </c>
      <c r="W16" s="6">
        <f t="shared" si="12"/>
      </c>
      <c r="X16" s="6">
        <f t="shared" si="12"/>
      </c>
      <c r="Y16" s="94">
        <f>L16/L6</f>
      </c>
      <c r="Z16" s="316"/>
      <c r="AA16" s="316"/>
      <c r="AB16" s="316"/>
      <c r="AC16" s="316"/>
    </row>
    <row r="17" spans="1:29" x14ac:dyDescent="0.25">
      <c r="A17" s="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151"/>
      <c r="N17" s="2"/>
      <c r="O17" s="87"/>
      <c r="P17" s="6"/>
      <c r="Q17" s="6"/>
      <c r="R17" s="6"/>
      <c r="S17" s="6"/>
      <c r="T17" s="6"/>
      <c r="U17" s="6"/>
      <c r="V17" s="6"/>
      <c r="W17" s="6"/>
      <c r="X17" s="6"/>
      <c r="Y17" s="94"/>
      <c r="Z17" s="106"/>
      <c r="AA17" s="31"/>
      <c r="AB17" s="31"/>
      <c r="AC17" s="31"/>
    </row>
    <row r="18" spans="1:29" x14ac:dyDescent="0.25">
      <c r="A18" t="s">
        <v>4</v>
      </c>
      <c r="B18" s="16">
        <f>'Data Sheet'!B25</f>
      </c>
      <c r="C18" s="16">
        <f>'Data Sheet'!C25</f>
      </c>
      <c r="D18" s="16">
        <f>'Data Sheet'!D25</f>
      </c>
      <c r="E18" s="16">
        <f>'Data Sheet'!E25</f>
      </c>
      <c r="F18" s="16">
        <f>'Data Sheet'!F25</f>
      </c>
      <c r="G18" s="16">
        <f>'Data Sheet'!G25</f>
      </c>
      <c r="H18" s="16">
        <f>'Data Sheet'!H25</f>
      </c>
      <c r="I18" s="16">
        <f>'Data Sheet'!I25</f>
      </c>
      <c r="J18" s="16">
        <f>'Data Sheet'!J25</f>
      </c>
      <c r="K18" s="16">
        <f>'Data Sheet'!K25</f>
      </c>
      <c r="L18" s="37">
        <f>SUM('Data Sheet'!H44:K44)</f>
      </c>
      <c r="M18" s="152"/>
      <c r="O18" s="77">
        <f>IF(B6=0,"",B18/B6)</f>
      </c>
      <c r="P18" s="13">
        <f t="shared" ref="P18:X18" si="13">IF(C6=0,"",C18/C6)</f>
      </c>
      <c r="Q18" s="13">
        <f t="shared" si="13"/>
      </c>
      <c r="R18" s="13">
        <f t="shared" si="13"/>
      </c>
      <c r="S18" s="13">
        <f t="shared" si="13"/>
      </c>
      <c r="T18" s="13">
        <f t="shared" si="13"/>
      </c>
      <c r="U18" s="13">
        <f t="shared" si="13"/>
      </c>
      <c r="V18" s="13">
        <f t="shared" si="13"/>
      </c>
      <c r="W18" s="13">
        <f t="shared" si="13"/>
      </c>
      <c r="X18" s="13">
        <f t="shared" si="13"/>
      </c>
      <c r="Y18" s="48"/>
      <c r="AA18" s="32" t="s">
        <v>58</v>
      </c>
    </row>
    <row r="19" spans="1:29" s="2" customFormat="1" x14ac:dyDescent="0.25">
      <c r="A19" t="s">
        <v>6</v>
      </c>
      <c r="B19" s="16">
        <f>'Data Sheet'!B27</f>
      </c>
      <c r="C19" s="16">
        <f>'Data Sheet'!C27</f>
      </c>
      <c r="D19" s="16">
        <f>'Data Sheet'!D27</f>
      </c>
      <c r="E19" s="16">
        <f>'Data Sheet'!E27</f>
      </c>
      <c r="F19" s="16">
        <f>'Data Sheet'!F27</f>
      </c>
      <c r="G19" s="16">
        <f>'Data Sheet'!G27</f>
      </c>
      <c r="H19" s="16">
        <f>'Data Sheet'!H27</f>
      </c>
      <c r="I19" s="16">
        <f>'Data Sheet'!I27</f>
      </c>
      <c r="J19" s="16">
        <f>'Data Sheet'!J27</f>
      </c>
      <c r="K19" s="16">
        <f>'Data Sheet'!K27</f>
      </c>
      <c r="L19" s="37">
        <f>SUM('Data Sheet'!H46:K46)</f>
      </c>
      <c r="M19" s="152"/>
      <c r="O19" s="77">
        <f>IF(B6=0,"",B19/B6)</f>
      </c>
      <c r="P19" s="13">
        <f t="shared" ref="P19:X19" si="14">IF(C6=0,"",C19/C6)</f>
      </c>
      <c r="Q19" s="13">
        <f t="shared" si="14"/>
      </c>
      <c r="R19" s="13">
        <f t="shared" si="14"/>
      </c>
      <c r="S19" s="13">
        <f t="shared" si="14"/>
      </c>
      <c r="T19" s="13">
        <f t="shared" si="14"/>
      </c>
      <c r="U19" s="13">
        <f t="shared" si="14"/>
      </c>
      <c r="V19" s="13">
        <f t="shared" si="14"/>
      </c>
      <c r="W19" s="13">
        <f t="shared" si="14"/>
      </c>
      <c r="X19" s="13">
        <f t="shared" si="14"/>
      </c>
      <c r="Y19" s="48"/>
    </row>
    <row r="20" spans="1:29" x14ac:dyDescent="0.25">
      <c r="A20" t="s">
        <v>7</v>
      </c>
      <c r="B20" s="16">
        <f>B16+B18-B19</f>
      </c>
      <c r="C20" s="16">
        <f t="shared" ref="C20:L20" si="15">C16+C18-C19</f>
      </c>
      <c r="D20" s="16">
        <f t="shared" si="15"/>
      </c>
      <c r="E20" s="16">
        <f t="shared" si="15"/>
      </c>
      <c r="F20" s="16">
        <f t="shared" si="15"/>
      </c>
      <c r="G20" s="16">
        <f t="shared" si="15"/>
      </c>
      <c r="H20" s="16">
        <f t="shared" si="15"/>
      </c>
      <c r="I20" s="16">
        <f t="shared" si="15"/>
      </c>
      <c r="J20" s="16">
        <f t="shared" si="15"/>
      </c>
      <c r="K20" s="16">
        <f t="shared" si="15"/>
      </c>
      <c r="L20" s="37">
        <f t="shared" si="15"/>
      </c>
      <c r="M20" s="152"/>
      <c r="N20" s="23"/>
      <c r="O20" s="77"/>
      <c r="P20" s="13"/>
      <c r="Q20" s="13"/>
      <c r="R20" s="13"/>
      <c r="S20" s="13"/>
      <c r="T20" s="13"/>
      <c r="U20" s="13"/>
      <c r="V20" s="13"/>
      <c r="W20" s="13"/>
      <c r="X20" s="13"/>
      <c r="Y20" s="48"/>
      <c r="Z20" s="267" t="s">
        <v>239</v>
      </c>
      <c r="AA20" s="159"/>
      <c r="AB20" s="159"/>
      <c r="AC20" s="159"/>
    </row>
    <row r="21" spans="1:29" x14ac:dyDescent="0.25">
      <c r="A21" t="s">
        <v>8</v>
      </c>
      <c r="B21" s="16">
        <f>'Data Sheet'!B29</f>
      </c>
      <c r="C21" s="16">
        <f>'Data Sheet'!C29</f>
      </c>
      <c r="D21" s="16">
        <f>'Data Sheet'!D29</f>
      </c>
      <c r="E21" s="16">
        <f>'Data Sheet'!E29</f>
      </c>
      <c r="F21" s="16">
        <f>'Data Sheet'!F29</f>
      </c>
      <c r="G21" s="16">
        <f>'Data Sheet'!G29</f>
      </c>
      <c r="H21" s="16">
        <f>'Data Sheet'!H29</f>
      </c>
      <c r="I21" s="16">
        <f>'Data Sheet'!I29</f>
      </c>
      <c r="J21" s="16">
        <f>'Data Sheet'!J29</f>
      </c>
      <c r="K21" s="16">
        <f>'Data Sheet'!K29</f>
      </c>
      <c r="L21" s="37">
        <f>SUM('Data Sheet'!H48:K48)</f>
      </c>
      <c r="M21" s="152"/>
      <c r="O21" s="49"/>
      <c r="P21" s="19"/>
      <c r="Q21" s="19"/>
      <c r="R21" s="19"/>
      <c r="S21" s="19"/>
      <c r="T21" s="19"/>
      <c r="U21" s="19"/>
      <c r="V21" s="19"/>
      <c r="W21" s="19"/>
      <c r="X21" s="19"/>
      <c r="Y21" s="50"/>
      <c r="Z21" s="315"/>
      <c r="AA21" s="315"/>
      <c r="AB21" s="315"/>
      <c r="AC21" s="315"/>
    </row>
    <row r="22" spans="1:29" x14ac:dyDescent="0.25">
      <c r="A22" s="20" t="s">
        <v>60</v>
      </c>
      <c r="B22" s="21">
        <f>B20-B21</f>
      </c>
      <c r="C22" s="21">
        <f t="shared" ref="C22:L22" si="16">C20-C21</f>
      </c>
      <c r="D22" s="21">
        <f t="shared" si="16"/>
      </c>
      <c r="E22" s="21">
        <f t="shared" si="16"/>
      </c>
      <c r="F22" s="21">
        <f t="shared" si="16"/>
      </c>
      <c r="G22" s="21">
        <f t="shared" si="16"/>
      </c>
      <c r="H22" s="21">
        <f t="shared" si="16"/>
      </c>
      <c r="I22" s="21">
        <f t="shared" si="16"/>
      </c>
      <c r="J22" s="21">
        <f t="shared" si="16"/>
      </c>
      <c r="K22" s="21">
        <f t="shared" si="16"/>
      </c>
      <c r="L22" s="39">
        <f t="shared" si="16"/>
      </c>
      <c r="M22" s="151"/>
      <c r="N22" s="2" t="s">
        <v>142</v>
      </c>
      <c r="O22" s="95">
        <f>IF(B6=0,"",B22/B6)</f>
      </c>
      <c r="P22" s="22">
        <f t="shared" ref="P22:X22" si="17">IF(C6=0,"",C22/C6)</f>
      </c>
      <c r="Q22" s="22">
        <f t="shared" si="17"/>
      </c>
      <c r="R22" s="22">
        <f t="shared" si="17"/>
      </c>
      <c r="S22" s="22">
        <f t="shared" si="17"/>
      </c>
      <c r="T22" s="22">
        <f t="shared" si="17"/>
      </c>
      <c r="U22" s="22">
        <f t="shared" si="17"/>
      </c>
      <c r="V22" s="22">
        <f t="shared" si="17"/>
      </c>
      <c r="W22" s="22">
        <f t="shared" si="17"/>
      </c>
      <c r="X22" s="22">
        <f t="shared" si="17"/>
      </c>
      <c r="Y22" s="238">
        <f t="shared" ref="Y22" si="18">L22/L6</f>
      </c>
      <c r="Z22" s="315"/>
      <c r="AA22" s="315"/>
      <c r="AB22" s="315"/>
      <c r="AC22" s="315"/>
    </row>
    <row r="23" spans="1:29" x14ac:dyDescent="0.25">
      <c r="A23" t="s">
        <v>234</v>
      </c>
      <c r="B23" s="13">
        <f>IF(B6=0,"",B21/B20)</f>
      </c>
      <c r="C23" s="13">
        <f t="shared" ref="C23:K23" si="19">IF(C6=0,"",C21/C20)</f>
      </c>
      <c r="D23" s="13">
        <f t="shared" si="19"/>
      </c>
      <c r="E23" s="13">
        <f t="shared" si="19"/>
      </c>
      <c r="F23" s="13">
        <f>IF(F6=0,"",F21/F20)</f>
      </c>
      <c r="G23" s="13">
        <f t="shared" si="19"/>
      </c>
      <c r="H23" s="13">
        <f t="shared" si="19"/>
      </c>
      <c r="I23" s="13">
        <f t="shared" si="19"/>
      </c>
      <c r="J23" s="13">
        <f t="shared" si="19"/>
      </c>
      <c r="K23" s="13">
        <f t="shared" si="19"/>
      </c>
      <c r="L23" s="15"/>
      <c r="M23" s="15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9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5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9" x14ac:dyDescent="0.25">
      <c r="A25" t="s">
        <v>233</v>
      </c>
      <c r="B25" s="245">
        <f>IF(B6=0,"",VLOOKUP(B4,$R$29:$S$39,2,FALSE))</f>
      </c>
      <c r="C25" s="245">
        <f t="shared" ref="C25:E25" si="20">IF(C6=0,"",VLOOKUP(C4,$R$29:$S$39,2,FALSE))</f>
      </c>
      <c r="D25" s="245">
        <f t="shared" si="20"/>
      </c>
      <c r="E25" s="245">
        <f t="shared" si="20"/>
      </c>
      <c r="F25" s="245">
        <f>IF(F6=0,"",VLOOKUP(F4,$R$29:$S$41,2,FALSE))</f>
      </c>
      <c r="G25" s="245">
        <f t="shared" ref="G25:K25" si="21">IF(G6=0,"",VLOOKUP(G4,$R$29:$S$41,2,FALSE))</f>
      </c>
      <c r="H25" s="245">
        <f t="shared" si="21"/>
      </c>
      <c r="I25" s="245">
        <f t="shared" si="21"/>
      </c>
      <c r="J25" s="245">
        <f t="shared" si="21"/>
      </c>
      <c r="K25" s="245">
        <f t="shared" si="21"/>
      </c>
      <c r="L25" s="191"/>
      <c r="M25" s="192"/>
      <c r="N25" s="19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9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R26" s="2" t="s">
        <v>235</v>
      </c>
    </row>
    <row r="27" spans="1:29" x14ac:dyDescent="0.25">
      <c r="A27" s="74" t="s">
        <v>152</v>
      </c>
      <c r="B27" s="75"/>
      <c r="C27" s="75"/>
      <c r="D27" s="75"/>
      <c r="E27" s="75"/>
      <c r="F27" s="75"/>
      <c r="G27" s="75"/>
      <c r="H27" s="39"/>
      <c r="I27" s="39"/>
      <c r="J27" s="39"/>
      <c r="K27" s="39"/>
      <c r="R27" t="s">
        <v>230</v>
      </c>
      <c r="S27" s="246" t="s">
        <v>228</v>
      </c>
      <c r="T27" t="s">
        <v>229</v>
      </c>
      <c r="U27" s="42"/>
      <c r="V27" s="10"/>
      <c r="W27" s="44"/>
      <c r="X27" s="10"/>
      <c r="Y27" s="44"/>
    </row>
    <row r="28" spans="1:29" x14ac:dyDescent="0.25">
      <c r="A28" s="58"/>
      <c r="B28" s="73"/>
      <c r="C28" s="175" t="s">
        <v>61</v>
      </c>
      <c r="D28" s="2"/>
      <c r="E28" s="175" t="s">
        <v>121</v>
      </c>
      <c r="F28" s="2"/>
      <c r="G28" s="175" t="s">
        <v>125</v>
      </c>
      <c r="H28" s="15"/>
      <c r="I28" s="15"/>
      <c r="J28" s="15"/>
      <c r="K28" s="15"/>
      <c r="L28" s="15"/>
      <c r="M28" s="151"/>
      <c r="P28" s="10"/>
      <c r="Q28" s="42"/>
      <c r="R28" t="s">
        <v>231</v>
      </c>
      <c r="V28" s="10"/>
      <c r="W28" s="43"/>
      <c r="X28" s="10"/>
      <c r="Y28" s="44"/>
    </row>
    <row r="29" spans="1:29" x14ac:dyDescent="0.25">
      <c r="A29" s="45" t="s">
        <v>70</v>
      </c>
      <c r="B29" s="46"/>
      <c r="C29" s="130">
        <f>IF(B6=0,"",POWER($K6/B6,1/9)-1)</f>
      </c>
      <c r="D29" s="2"/>
      <c r="E29" s="132">
        <f>IF(B16=0,"",((K16)/(B16))^(1/9)-1)</f>
      </c>
      <c r="F29" s="12"/>
      <c r="G29" s="128">
        <f>IF(B22=0,"",POWER($K22/B22,1/9)-1)</f>
      </c>
      <c r="H29" s="15"/>
      <c r="I29" s="15"/>
      <c r="J29" s="15"/>
      <c r="K29" s="15"/>
      <c r="L29" s="15"/>
      <c r="M29" s="151"/>
      <c r="R29" s="247">
        <v>40633</v>
      </c>
      <c r="S29" s="248">
        <v>0.32440000000000002</v>
      </c>
      <c r="T29" s="10"/>
      <c r="Y29" s="44"/>
    </row>
    <row r="30" spans="1:29" x14ac:dyDescent="0.25">
      <c r="A30" s="45" t="s">
        <v>63</v>
      </c>
      <c r="B30" s="47"/>
      <c r="C30" s="130">
        <f>IF(D6=0,"",POWER($K6/D6,1/7)-1)</f>
      </c>
      <c r="D30" s="12"/>
      <c r="E30" s="132">
        <f>IF(D16=0,"",((K16)/(D16))^(1/7)-1)</f>
      </c>
      <c r="F30" s="13"/>
      <c r="G30" s="129">
        <f>IF(D22=0,"",POWER($K22/D22,1/7)-1)</f>
      </c>
      <c r="H30" s="15"/>
      <c r="I30" s="15"/>
      <c r="J30" s="15"/>
      <c r="K30" s="15"/>
      <c r="L30" s="15"/>
      <c r="M30" s="151"/>
      <c r="P30" s="10"/>
      <c r="Q30" s="42"/>
      <c r="R30" s="247">
        <v>40999</v>
      </c>
      <c r="S30" s="248">
        <v>0.32450000000000001</v>
      </c>
      <c r="U30" s="43"/>
      <c r="V30" s="10"/>
      <c r="W30" s="43"/>
      <c r="X30" s="10"/>
      <c r="Y30" s="44"/>
    </row>
    <row r="31" spans="1:29" x14ac:dyDescent="0.25">
      <c r="A31" s="45" t="s">
        <v>64</v>
      </c>
      <c r="B31" s="48"/>
      <c r="C31" s="130">
        <f>IF(F6=0,"",POWER($K6/F6,1/5)-1)</f>
      </c>
      <c r="D31" s="6"/>
      <c r="E31" s="132">
        <f>IF(F16=0,"",((K16)/(F16))^(1/5)-1)</f>
      </c>
      <c r="F31" s="13"/>
      <c r="G31" s="130">
        <f>IF(F22=0,"",POWER($K22/F22,1/5)-1)</f>
      </c>
      <c r="H31" s="15"/>
      <c r="I31" s="15"/>
      <c r="J31" s="15"/>
      <c r="K31" s="15"/>
      <c r="L31" s="15"/>
      <c r="M31" s="151"/>
      <c r="P31" s="10"/>
      <c r="Q31" s="42"/>
      <c r="R31" s="247">
        <v>41364</v>
      </c>
      <c r="S31" s="248">
        <v>0.33989999999999998</v>
      </c>
      <c r="T31" s="10"/>
      <c r="V31" s="10"/>
      <c r="W31" s="43"/>
      <c r="X31" s="10"/>
      <c r="Y31" s="44"/>
    </row>
    <row r="32" spans="1:29" x14ac:dyDescent="0.25">
      <c r="A32" s="45" t="s">
        <v>65</v>
      </c>
      <c r="B32" s="48"/>
      <c r="C32" s="130">
        <f>IF(H6=0,"",POWER($K6/H6, 1/3)-1)</f>
      </c>
      <c r="D32" s="6"/>
      <c r="E32" s="132">
        <f>IF(H16=0,"",((K16)/(H16))^(1/3)-1)</f>
      </c>
      <c r="F32" s="13"/>
      <c r="G32" s="130">
        <f>IF(H22=0,"",POWER($K22/H22, 1/3)-1)</f>
      </c>
      <c r="H32" s="15"/>
      <c r="I32" s="15"/>
      <c r="J32" s="15"/>
      <c r="K32" s="15"/>
      <c r="L32" s="15"/>
      <c r="M32" s="151"/>
      <c r="P32" s="10"/>
      <c r="Q32" s="42"/>
      <c r="R32" s="247">
        <v>41729</v>
      </c>
      <c r="S32" s="248">
        <v>0.33989999999999998</v>
      </c>
      <c r="T32" s="10"/>
      <c r="U32" s="43"/>
      <c r="V32" s="10"/>
      <c r="W32" s="43"/>
      <c r="X32" s="10"/>
      <c r="Y32" s="44"/>
    </row>
    <row r="33" spans="1:26" x14ac:dyDescent="0.25">
      <c r="A33" s="49" t="s">
        <v>62</v>
      </c>
      <c r="B33" s="50"/>
      <c r="C33" s="130">
        <f>L6/K6-1</f>
      </c>
      <c r="D33" s="155"/>
      <c r="E33" s="132">
        <f>(L16)/(K16)-1</f>
      </c>
      <c r="F33" s="19"/>
      <c r="G33" s="130">
        <f>L22/K22-1</f>
      </c>
      <c r="H33" s="15"/>
      <c r="I33" s="15"/>
      <c r="J33" s="15"/>
      <c r="K33" s="15"/>
      <c r="L33" s="15"/>
      <c r="M33" s="151"/>
      <c r="P33" s="10"/>
      <c r="Q33" s="42"/>
      <c r="R33" s="247">
        <v>42094</v>
      </c>
      <c r="S33" s="248">
        <v>0.34610000000000002</v>
      </c>
      <c r="T33" s="10"/>
      <c r="U33" s="43"/>
      <c r="V33" s="10"/>
      <c r="W33" s="43"/>
      <c r="X33" s="10"/>
      <c r="Y33" s="44"/>
    </row>
    <row r="34" spans="1:26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1"/>
      <c r="P34" s="10"/>
      <c r="Q34" s="42"/>
      <c r="R34" s="247">
        <v>42460</v>
      </c>
      <c r="S34" s="248">
        <v>0.34610000000000002</v>
      </c>
      <c r="T34" s="10"/>
      <c r="U34" s="43"/>
      <c r="V34" s="10"/>
      <c r="W34" s="43"/>
      <c r="X34" s="10"/>
      <c r="Y34" s="44"/>
    </row>
    <row r="35" spans="1:26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1"/>
      <c r="P35" s="10"/>
      <c r="Q35" s="42"/>
      <c r="R35" s="247">
        <v>42825</v>
      </c>
      <c r="S35" s="248">
        <v>0.34610000000000002</v>
      </c>
      <c r="T35" s="10"/>
      <c r="U35" s="43"/>
      <c r="V35" s="10"/>
      <c r="W35" s="43"/>
      <c r="X35" s="10"/>
      <c r="Y35" s="44"/>
    </row>
    <row r="36" spans="1:26" x14ac:dyDescent="0.25">
      <c r="A36" s="69" t="s">
        <v>75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15"/>
      <c r="M36" s="15"/>
      <c r="N36" s="24"/>
      <c r="R36" s="247">
        <v>43190</v>
      </c>
      <c r="S36" s="248">
        <v>0.35</v>
      </c>
      <c r="T36" s="10"/>
      <c r="U36" s="43"/>
      <c r="V36" s="10"/>
      <c r="W36" s="43"/>
      <c r="X36" s="10"/>
      <c r="Y36" s="44"/>
    </row>
    <row r="37" spans="1:26" x14ac:dyDescent="0.25">
      <c r="A37" s="26"/>
      <c r="B37" s="27">
        <f t="shared" ref="B37:K37" si="22">B4</f>
      </c>
      <c r="C37" s="27">
        <f t="shared" si="22"/>
      </c>
      <c r="D37" s="27">
        <f t="shared" si="22"/>
      </c>
      <c r="E37" s="27">
        <f t="shared" si="22"/>
      </c>
      <c r="F37" s="27">
        <f t="shared" si="22"/>
      </c>
      <c r="G37" s="27">
        <f t="shared" si="22"/>
      </c>
      <c r="H37" s="27">
        <f t="shared" si="22"/>
      </c>
      <c r="I37" s="27">
        <f t="shared" si="22"/>
      </c>
      <c r="J37" s="27">
        <f t="shared" si="22"/>
      </c>
      <c r="K37" s="27">
        <f t="shared" si="22"/>
      </c>
      <c r="L37" s="15"/>
      <c r="M37" s="15"/>
      <c r="R37" s="247">
        <v>43555</v>
      </c>
      <c r="S37" s="248">
        <v>0.3</v>
      </c>
      <c r="U37" s="43"/>
    </row>
    <row r="38" spans="1:26" x14ac:dyDescent="0.25">
      <c r="A38" t="s">
        <v>57</v>
      </c>
      <c r="B38" s="16">
        <f>'Data Sheet'!B59</f>
      </c>
      <c r="C38" s="16">
        <f>'Data Sheet'!C59</f>
      </c>
      <c r="D38" s="16">
        <f>'Data Sheet'!D59</f>
      </c>
      <c r="E38" s="16">
        <f>'Data Sheet'!E59</f>
      </c>
      <c r="F38" s="16">
        <f>'Data Sheet'!F59</f>
      </c>
      <c r="G38" s="16">
        <f>'Data Sheet'!G59</f>
      </c>
      <c r="H38" s="16">
        <f>'Data Sheet'!H59</f>
      </c>
      <c r="I38" s="16">
        <f>'Data Sheet'!I59</f>
      </c>
      <c r="J38" s="16">
        <f>'Data Sheet'!J59</f>
      </c>
      <c r="K38" s="16">
        <f>'Data Sheet'!K59</f>
      </c>
      <c r="L38" s="15"/>
      <c r="M38" s="15"/>
      <c r="R38" s="247">
        <v>43921</v>
      </c>
      <c r="S38" s="253">
        <v>0.25169999999999998</v>
      </c>
      <c r="U38" s="31"/>
      <c r="W38" s="157"/>
      <c r="X38" s="2"/>
      <c r="Y38" s="2"/>
    </row>
    <row r="39" spans="1:26" x14ac:dyDescent="0.25">
      <c r="A39" t="s">
        <v>56</v>
      </c>
      <c r="B39" s="16">
        <f>'Data Sheet'!B57+'Data Sheet'!B58</f>
      </c>
      <c r="C39" s="16">
        <f>'Data Sheet'!C57+'Data Sheet'!C58</f>
      </c>
      <c r="D39" s="16">
        <f>'Data Sheet'!D57+'Data Sheet'!D58</f>
      </c>
      <c r="E39" s="16">
        <f>'Data Sheet'!E57+'Data Sheet'!E58</f>
      </c>
      <c r="F39" s="16">
        <f>'Data Sheet'!F57+'Data Sheet'!F58</f>
      </c>
      <c r="G39" s="16">
        <f>'Data Sheet'!G57+'Data Sheet'!G58</f>
      </c>
      <c r="H39" s="16">
        <f>'Data Sheet'!H57+'Data Sheet'!H58</f>
      </c>
      <c r="I39" s="16">
        <f>'Data Sheet'!I57+'Data Sheet'!I58</f>
      </c>
      <c r="J39" s="16">
        <f>'Data Sheet'!J57+'Data Sheet'!J58</f>
      </c>
      <c r="K39" s="16">
        <f>'Data Sheet'!K57+'Data Sheet'!K58</f>
      </c>
      <c r="L39" s="15"/>
      <c r="M39" s="15"/>
      <c r="R39" s="247">
        <v>44286</v>
      </c>
      <c r="S39" s="253">
        <v>0.25169999999999998</v>
      </c>
      <c r="U39" s="31"/>
      <c r="W39" s="157"/>
      <c r="X39" s="12"/>
      <c r="Y39" s="12"/>
    </row>
    <row r="40" spans="1:26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5"/>
      <c r="M40" s="15"/>
      <c r="Q40" s="249"/>
      <c r="R40" s="247">
        <v>44651</v>
      </c>
      <c r="S40" s="253">
        <v>0.25169999999999998</v>
      </c>
      <c r="V40" s="249"/>
      <c r="W40" s="249"/>
      <c r="X40" s="249"/>
      <c r="Y40" s="249"/>
      <c r="Z40" s="249"/>
    </row>
    <row r="41" spans="1:26" x14ac:dyDescent="0.25">
      <c r="A41" s="2" t="s">
        <v>175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5"/>
      <c r="M41" s="15"/>
      <c r="R41" s="247">
        <v>45016</v>
      </c>
      <c r="S41" s="253">
        <v>0.25169999999999998</v>
      </c>
      <c r="V41" s="12"/>
      <c r="W41" s="157"/>
      <c r="X41" s="12"/>
      <c r="Y41" s="12"/>
    </row>
    <row r="42" spans="1:26" x14ac:dyDescent="0.25">
      <c r="A42" t="s">
        <v>69</v>
      </c>
      <c r="B42" s="14">
        <f t="shared" ref="B42:K42" si="23">IF(B39=0,"",B38/B39)</f>
      </c>
      <c r="C42" s="14">
        <f t="shared" si="23"/>
      </c>
      <c r="D42" s="14">
        <f t="shared" si="23"/>
      </c>
      <c r="E42" s="14">
        <f t="shared" si="23"/>
      </c>
      <c r="F42" s="14">
        <f t="shared" si="23"/>
      </c>
      <c r="G42" s="14">
        <f t="shared" si="23"/>
      </c>
      <c r="H42" s="14">
        <f t="shared" si="23"/>
      </c>
      <c r="I42" s="14">
        <f t="shared" si="23"/>
      </c>
      <c r="J42" s="14">
        <f t="shared" si="23"/>
      </c>
      <c r="K42" s="14">
        <f t="shared" si="23"/>
      </c>
      <c r="L42" s="15"/>
      <c r="M42" s="15"/>
      <c r="V42" s="12"/>
      <c r="W42" s="157"/>
      <c r="X42" s="12"/>
      <c r="Y42" s="12"/>
    </row>
    <row r="43" spans="1:26" x14ac:dyDescent="0.25">
      <c r="A43" t="s">
        <v>176</v>
      </c>
      <c r="B43" s="34">
        <f>IF(B39=0,"",B38/(B16+B15))</f>
      </c>
      <c r="C43" s="34">
        <f t="shared" ref="C43:J43" si="24">IF(C39=0,"",C38/(C16+C15))</f>
      </c>
      <c r="D43" s="34">
        <f t="shared" si="24"/>
      </c>
      <c r="E43" s="34">
        <f t="shared" si="24"/>
      </c>
      <c r="F43" s="34">
        <f t="shared" si="24"/>
      </c>
      <c r="G43" s="34">
        <f t="shared" si="24"/>
      </c>
      <c r="H43" s="34">
        <f t="shared" si="24"/>
      </c>
      <c r="I43" s="34">
        <f t="shared" si="24"/>
      </c>
      <c r="J43" s="34">
        <f t="shared" si="24"/>
      </c>
      <c r="K43" s="34">
        <f>IF(K39=0,"",K38/(K16+K15))</f>
      </c>
      <c r="L43" s="15"/>
      <c r="M43" s="15"/>
      <c r="V43" s="13"/>
      <c r="W43" s="157"/>
      <c r="X43" s="13"/>
      <c r="Y43" s="13"/>
    </row>
    <row r="44" spans="1:26" x14ac:dyDescent="0.25">
      <c r="A44" s="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5"/>
      <c r="M44" s="15"/>
      <c r="V44" s="13"/>
      <c r="W44" s="157"/>
      <c r="X44" s="13"/>
      <c r="Y44" s="13"/>
    </row>
    <row r="45" spans="1:26" x14ac:dyDescent="0.25">
      <c r="A45" s="2" t="s">
        <v>252</v>
      </c>
      <c r="B45" s="13">
        <f>B19/B38</f>
      </c>
      <c r="C45" s="13">
        <f t="shared" ref="C45:K45" si="25">C19/C38</f>
      </c>
      <c r="D45" s="13">
        <f t="shared" si="25"/>
      </c>
      <c r="E45" s="13">
        <f t="shared" si="25"/>
      </c>
      <c r="F45" s="13">
        <f t="shared" si="25"/>
      </c>
      <c r="G45" s="13">
        <f t="shared" si="25"/>
      </c>
      <c r="H45" s="13">
        <f t="shared" si="25"/>
      </c>
      <c r="I45" s="13">
        <f t="shared" si="25"/>
      </c>
      <c r="J45" s="13">
        <f t="shared" si="25"/>
      </c>
      <c r="K45" s="13">
        <f t="shared" si="25"/>
      </c>
      <c r="L45" s="15"/>
      <c r="M45" s="15"/>
      <c r="V45" s="13"/>
      <c r="W45" s="157"/>
      <c r="X45" s="13"/>
      <c r="Y45" s="13"/>
    </row>
    <row r="46" spans="1:26" x14ac:dyDescent="0.25">
      <c r="A46" s="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5"/>
      <c r="M46" s="15"/>
      <c r="V46" s="13"/>
      <c r="W46" s="157"/>
      <c r="X46" s="13"/>
      <c r="Y46" s="13"/>
    </row>
    <row r="47" spans="1:26" x14ac:dyDescent="0.25">
      <c r="A47" s="2" t="s">
        <v>174</v>
      </c>
      <c r="B47" s="25"/>
      <c r="C47" s="25"/>
      <c r="D47" s="25"/>
      <c r="E47" s="25"/>
      <c r="F47" s="25"/>
      <c r="G47" s="25"/>
      <c r="H47" s="25"/>
      <c r="I47" s="25"/>
      <c r="J47" s="14"/>
      <c r="K47" s="14"/>
      <c r="L47" s="15"/>
      <c r="M47" s="15"/>
      <c r="V47" s="13"/>
      <c r="W47" s="157"/>
      <c r="X47" s="13"/>
      <c r="Y47" s="13"/>
    </row>
    <row r="48" spans="1:26" x14ac:dyDescent="0.25">
      <c r="A48" t="s">
        <v>177</v>
      </c>
      <c r="B48" s="14">
        <f>IF(B19=0,"",B16/B19)</f>
      </c>
      <c r="C48" s="14">
        <f t="shared" ref="C48:K48" si="26">IF(C19=0,"",C16/C19)</f>
      </c>
      <c r="D48" s="14">
        <f t="shared" si="26"/>
      </c>
      <c r="E48" s="14">
        <f t="shared" si="26"/>
      </c>
      <c r="F48" s="14">
        <f t="shared" si="26"/>
      </c>
      <c r="G48" s="14">
        <f t="shared" si="26"/>
      </c>
      <c r="H48" s="14">
        <f t="shared" si="26"/>
      </c>
      <c r="I48" s="14">
        <f t="shared" si="26"/>
      </c>
      <c r="J48" s="14">
        <f t="shared" si="26"/>
      </c>
      <c r="K48" s="14">
        <f t="shared" si="26"/>
      </c>
      <c r="L48" s="25"/>
      <c r="M48" s="15"/>
      <c r="V48" s="13"/>
      <c r="W48" s="13"/>
      <c r="X48" s="13"/>
      <c r="Y48" s="13"/>
    </row>
    <row r="49" spans="1:25" x14ac:dyDescent="0.25">
      <c r="A49" t="s">
        <v>178</v>
      </c>
      <c r="B49" s="14">
        <f>IF(B19=0,"",(B16+B15)/B19)</f>
      </c>
      <c r="C49" s="14">
        <f t="shared" ref="C49:K49" si="27">IF(C19=0,"",(C16+C15)/C19)</f>
      </c>
      <c r="D49" s="14">
        <f t="shared" si="27"/>
      </c>
      <c r="E49" s="14">
        <f t="shared" si="27"/>
      </c>
      <c r="F49" s="14">
        <f t="shared" si="27"/>
      </c>
      <c r="G49" s="14">
        <f>IF(G19=0,"",(G16+G15)/G19)</f>
      </c>
      <c r="H49" s="14">
        <f t="shared" si="27"/>
      </c>
      <c r="I49" s="14">
        <f t="shared" si="27"/>
      </c>
      <c r="J49" s="14">
        <f t="shared" si="27"/>
      </c>
      <c r="K49" s="14">
        <f t="shared" si="27"/>
      </c>
      <c r="L49" s="25"/>
      <c r="M49" s="15"/>
      <c r="V49" s="13"/>
      <c r="W49" s="13"/>
      <c r="X49" s="13"/>
      <c r="Y49" s="13"/>
    </row>
    <row r="50" spans="1:25" x14ac:dyDescent="0.25">
      <c r="A50" s="2"/>
      <c r="B50" s="25"/>
      <c r="C50" s="1"/>
      <c r="D50" s="1"/>
      <c r="E50" s="1"/>
      <c r="F50" s="1"/>
      <c r="G50" s="1"/>
      <c r="H50" s="1"/>
      <c r="I50" s="1"/>
      <c r="J50" s="1"/>
      <c r="K50" s="1"/>
      <c r="L50" s="15"/>
      <c r="M50" s="15"/>
      <c r="P50" s="13"/>
      <c r="Q50" s="13"/>
      <c r="R50" s="6"/>
      <c r="S50" s="33"/>
      <c r="T50" s="13"/>
      <c r="U50" s="13"/>
      <c r="V50" s="13"/>
      <c r="W50" s="13"/>
      <c r="X50" s="13"/>
      <c r="Y50" s="13"/>
    </row>
    <row r="51" spans="1:25" x14ac:dyDescent="0.25">
      <c r="A51" s="26" t="s">
        <v>100</v>
      </c>
      <c r="B51" s="124">
        <f>K37</f>
      </c>
      <c r="C51" s="15"/>
      <c r="D51" s="15"/>
      <c r="E51" s="15"/>
      <c r="F51" s="15"/>
      <c r="G51" s="15"/>
      <c r="H51" s="15"/>
      <c r="I51" s="15"/>
      <c r="J51" s="15"/>
      <c r="K51" s="1"/>
      <c r="L51" s="15"/>
      <c r="M51" s="15"/>
      <c r="N51" s="2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x14ac:dyDescent="0.25">
      <c r="A52" t="s">
        <v>94</v>
      </c>
      <c r="B52" s="52">
        <f>K38</f>
      </c>
      <c r="E52" s="54"/>
      <c r="F52" s="15"/>
      <c r="G52" s="15"/>
      <c r="H52" s="15"/>
      <c r="I52" s="15"/>
      <c r="J52" s="15"/>
      <c r="K52" s="15"/>
      <c r="L52" s="15"/>
      <c r="M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7.25" x14ac:dyDescent="0.4">
      <c r="A53" s="114" t="s">
        <v>101</v>
      </c>
      <c r="B53" s="52">
        <v>0</v>
      </c>
      <c r="C53" s="153"/>
      <c r="D53" s="154" t="s">
        <v>99</v>
      </c>
      <c r="E53" s="119">
        <f>'Data Sheet'!K64</f>
      </c>
      <c r="F53" s="52" t="s">
        <v>126</v>
      </c>
      <c r="G53" s="15"/>
      <c r="H53" s="15"/>
      <c r="I53" s="15"/>
      <c r="J53" s="15"/>
      <c r="K53" s="15"/>
      <c r="L53" s="15"/>
      <c r="M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x14ac:dyDescent="0.25">
      <c r="A54" s="40" t="s">
        <v>98</v>
      </c>
      <c r="B54" s="53">
        <f>'Data Sheet'!K69</f>
      </c>
      <c r="F54" s="116"/>
      <c r="G54" s="16"/>
      <c r="I54" s="54"/>
      <c r="J54" s="15"/>
      <c r="K54" s="15"/>
      <c r="L54" s="15"/>
      <c r="M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x14ac:dyDescent="0.25">
      <c r="A55" s="2" t="s">
        <v>96</v>
      </c>
      <c r="B55" s="15">
        <f>B52-B53-B54</f>
      </c>
      <c r="C55" s="176" t="str">
        <f>IF(B55&lt;0,"This is a GOOD thing. It means that the company has no net debt as its cash reserves exceeds debt","")</f>
      </c>
      <c r="D55" s="116"/>
      <c r="E55" s="54"/>
      <c r="F55" s="15"/>
      <c r="G55" s="15"/>
      <c r="H55" s="15"/>
      <c r="I55" s="15"/>
      <c r="J55" s="15"/>
      <c r="K55" s="15"/>
      <c r="L55" s="15"/>
      <c r="M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O56" s="103"/>
      <c r="T56" s="104"/>
      <c r="U56" s="6"/>
      <c r="V56" s="6"/>
      <c r="W56" s="6"/>
      <c r="X56" s="6"/>
      <c r="Y56" s="6"/>
    </row>
    <row r="57" spans="1:25" x14ac:dyDescent="0.25">
      <c r="A57" s="69" t="s">
        <v>158</v>
      </c>
      <c r="B57" s="39"/>
      <c r="C57" s="39"/>
      <c r="D57" s="39"/>
      <c r="E57" s="39"/>
      <c r="F57" s="39"/>
      <c r="G57" s="39"/>
      <c r="H57" s="39"/>
      <c r="I57" s="39"/>
      <c r="J57" s="39"/>
      <c r="K57" s="70"/>
      <c r="L57" s="15"/>
      <c r="M57" s="15"/>
      <c r="O57" s="2"/>
      <c r="P57" s="2"/>
      <c r="Q57" s="2"/>
      <c r="R57" s="2"/>
      <c r="S57" s="2"/>
      <c r="T57" s="104"/>
      <c r="U57" s="6"/>
      <c r="V57" s="6"/>
      <c r="W57" s="6"/>
      <c r="X57" s="6"/>
      <c r="Y57" s="6"/>
    </row>
    <row r="58" spans="1:25" x14ac:dyDescent="0.25">
      <c r="A58" s="26"/>
      <c r="B58" s="27">
        <f t="shared" ref="B58:K58" si="28">B4</f>
      </c>
      <c r="C58" s="27">
        <f t="shared" si="28"/>
      </c>
      <c r="D58" s="27">
        <f t="shared" si="28"/>
      </c>
      <c r="E58" s="27">
        <f t="shared" si="28"/>
      </c>
      <c r="F58" s="27">
        <f t="shared" si="28"/>
      </c>
      <c r="G58" s="27">
        <f t="shared" si="28"/>
      </c>
      <c r="H58" s="27">
        <f t="shared" si="28"/>
      </c>
      <c r="I58" s="27">
        <f t="shared" si="28"/>
      </c>
      <c r="J58" s="27">
        <f t="shared" si="28"/>
      </c>
      <c r="K58" s="27">
        <f t="shared" si="28"/>
      </c>
      <c r="L58" s="15"/>
      <c r="M58" s="15"/>
      <c r="P58" s="105"/>
      <c r="Q58" s="105"/>
      <c r="R58" s="104"/>
      <c r="S58" s="105"/>
      <c r="T58" s="104"/>
      <c r="U58" s="6"/>
      <c r="V58" s="6"/>
      <c r="W58" s="6"/>
      <c r="X58" s="6"/>
      <c r="Y58" s="6"/>
    </row>
    <row r="59" spans="1:25" x14ac:dyDescent="0.25">
      <c r="A59" s="113" t="s">
        <v>102</v>
      </c>
      <c r="B59" s="16"/>
      <c r="C59" s="16">
        <f>'Data Sheet'!C82</f>
      </c>
      <c r="D59" s="16">
        <f>'Data Sheet'!D82</f>
      </c>
      <c r="E59" s="16">
        <f>'Data Sheet'!E82</f>
      </c>
      <c r="F59" s="16">
        <f>'Data Sheet'!F82</f>
      </c>
      <c r="G59" s="16">
        <f>'Data Sheet'!G82</f>
      </c>
      <c r="H59" s="16">
        <f>'Data Sheet'!H82</f>
      </c>
      <c r="I59" s="16">
        <f>'Data Sheet'!I82</f>
      </c>
      <c r="J59" s="16">
        <f>'Data Sheet'!J82</f>
      </c>
      <c r="K59" s="16">
        <f>'Data Sheet'!K82</f>
      </c>
      <c r="L59" s="15"/>
      <c r="M59" s="15"/>
      <c r="P59" s="105"/>
      <c r="Q59" s="105"/>
      <c r="R59" s="104"/>
      <c r="S59" s="105"/>
      <c r="T59" s="104"/>
      <c r="U59" s="6"/>
      <c r="V59" s="6"/>
      <c r="W59" s="6"/>
      <c r="X59" s="6"/>
      <c r="Y59" s="6"/>
    </row>
    <row r="60" spans="1:25" x14ac:dyDescent="0.25">
      <c r="A60" s="114" t="s">
        <v>95</v>
      </c>
      <c r="B60" s="16"/>
      <c r="C60" s="16">
        <f>-('Balance Sheet'!C12+'Balance Sheet'!C13-'Balance Sheet'!B12-'Balance Sheet'!B13+Snapshot!C15)</f>
      </c>
      <c r="D60" s="16">
        <f>-('Balance Sheet'!D12+'Balance Sheet'!D13-'Balance Sheet'!C12-'Balance Sheet'!C13+Snapshot!D15)</f>
      </c>
      <c r="E60" s="16">
        <f>-('Balance Sheet'!E12+'Balance Sheet'!E13-'Balance Sheet'!D12-'Balance Sheet'!D13+Snapshot!E15)</f>
      </c>
      <c r="F60" s="16">
        <f>-('Balance Sheet'!F12+'Balance Sheet'!F13-'Balance Sheet'!E12-'Balance Sheet'!E13+Snapshot!F15)</f>
      </c>
      <c r="G60" s="16">
        <f>-('Balance Sheet'!G12+'Balance Sheet'!G13-'Balance Sheet'!F12-'Balance Sheet'!F13+Snapshot!G15)</f>
      </c>
      <c r="H60" s="16">
        <f>-('Balance Sheet'!H12+'Balance Sheet'!H13-'Balance Sheet'!G12-'Balance Sheet'!G13+Snapshot!H15)</f>
      </c>
      <c r="I60" s="16">
        <f>-('Balance Sheet'!I12+'Balance Sheet'!I13-'Balance Sheet'!H12-'Balance Sheet'!H13+Snapshot!I15)</f>
      </c>
      <c r="J60" s="16">
        <f>-('Balance Sheet'!J12+'Balance Sheet'!J13-'Balance Sheet'!I12-'Balance Sheet'!I13+Snapshot!J15)</f>
      </c>
      <c r="K60" s="16">
        <f>-('Balance Sheet'!K12+'Balance Sheet'!K13-'Balance Sheet'!J12-'Balance Sheet'!J13+Snapshot!K15)</f>
      </c>
      <c r="N60" s="256" t="s">
        <v>240</v>
      </c>
      <c r="O60" s="256"/>
      <c r="P60" s="159"/>
      <c r="Q60" s="105"/>
      <c r="R60" s="104"/>
      <c r="S60" s="105"/>
      <c r="T60" s="104"/>
      <c r="U60" s="6"/>
      <c r="V60" s="6"/>
      <c r="W60" s="6"/>
      <c r="X60" s="6"/>
      <c r="Y60" s="6"/>
    </row>
    <row r="61" spans="1:25" x14ac:dyDescent="0.25">
      <c r="A61" s="115" t="s">
        <v>123</v>
      </c>
      <c r="B61" s="17"/>
      <c r="C61" s="17">
        <f>IF(C6=0,"0",C64*C25)</f>
      </c>
      <c r="D61" s="17">
        <f t="shared" ref="D61:K61" si="29">IF(D6=0,"0",D64*D25)</f>
      </c>
      <c r="E61" s="17">
        <f t="shared" si="29"/>
      </c>
      <c r="F61" s="17">
        <f t="shared" si="29"/>
      </c>
      <c r="G61" s="17">
        <f t="shared" si="29"/>
      </c>
      <c r="H61" s="17">
        <f t="shared" si="29"/>
      </c>
      <c r="I61" s="17">
        <f t="shared" si="29"/>
      </c>
      <c r="J61" s="17">
        <f t="shared" si="29"/>
      </c>
      <c r="K61" s="17">
        <f t="shared" si="29"/>
      </c>
      <c r="L61" s="173"/>
      <c r="M61" s="173"/>
      <c r="N61" s="317"/>
      <c r="O61" s="317"/>
      <c r="P61" s="317"/>
      <c r="Q61" s="105"/>
      <c r="R61" s="104"/>
      <c r="S61" s="105"/>
      <c r="T61" s="104"/>
      <c r="U61" s="6"/>
      <c r="V61" s="6"/>
      <c r="W61" s="6"/>
      <c r="X61" s="6"/>
      <c r="Y61" s="6"/>
    </row>
    <row r="62" spans="1:25" x14ac:dyDescent="0.25">
      <c r="A62" s="122" t="s">
        <v>156</v>
      </c>
      <c r="B62" s="123"/>
      <c r="C62" s="123">
        <f>C59+C60+C61</f>
      </c>
      <c r="D62" s="123">
        <f t="shared" ref="D62:K62" si="30">D59+D60+D61</f>
      </c>
      <c r="E62" s="123">
        <f t="shared" si="30"/>
      </c>
      <c r="F62" s="123">
        <f t="shared" si="30"/>
      </c>
      <c r="G62" s="123">
        <f t="shared" si="30"/>
      </c>
      <c r="H62" s="123">
        <f t="shared" si="30"/>
      </c>
      <c r="I62" s="123">
        <f t="shared" si="30"/>
      </c>
      <c r="J62" s="123">
        <f t="shared" si="30"/>
      </c>
      <c r="K62" s="123">
        <f t="shared" si="30"/>
      </c>
      <c r="L62" s="173"/>
      <c r="M62" s="173"/>
      <c r="N62" s="317"/>
      <c r="O62" s="317"/>
      <c r="P62" s="317"/>
      <c r="Q62" s="105"/>
      <c r="R62" s="104"/>
      <c r="S62" s="105"/>
      <c r="T62" s="104"/>
      <c r="U62" s="6"/>
      <c r="V62" s="6"/>
      <c r="W62" s="6"/>
      <c r="X62" s="6"/>
      <c r="Y62" s="6"/>
    </row>
    <row r="63" spans="1:25" x14ac:dyDescent="0.25">
      <c r="A63" s="11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5"/>
      <c r="M63" s="15"/>
      <c r="P63" s="105"/>
      <c r="Q63" s="105"/>
      <c r="R63" s="104"/>
      <c r="S63" s="105"/>
      <c r="T63" s="104"/>
      <c r="U63" s="6"/>
      <c r="V63" s="6"/>
      <c r="W63" s="6"/>
      <c r="X63" s="6"/>
      <c r="Y63" s="6"/>
    </row>
    <row r="64" spans="1:25" x14ac:dyDescent="0.25">
      <c r="A64" s="114" t="s">
        <v>110</v>
      </c>
      <c r="B64" s="16"/>
      <c r="C64" s="16">
        <f>-C19</f>
      </c>
      <c r="D64" s="16">
        <f t="shared" ref="D64:K64" si="31">-D19</f>
      </c>
      <c r="E64" s="16">
        <f t="shared" si="31"/>
      </c>
      <c r="F64" s="16">
        <f t="shared" si="31"/>
      </c>
      <c r="G64" s="16">
        <f t="shared" si="31"/>
      </c>
      <c r="H64" s="16">
        <f t="shared" si="31"/>
      </c>
      <c r="I64" s="16">
        <f t="shared" si="31"/>
      </c>
      <c r="J64" s="16">
        <f t="shared" si="31"/>
      </c>
      <c r="K64" s="16">
        <f t="shared" si="31"/>
      </c>
      <c r="L64" s="15"/>
      <c r="M64" s="15"/>
      <c r="P64" s="105"/>
      <c r="Q64" s="105"/>
      <c r="R64" s="104"/>
      <c r="S64" s="105"/>
      <c r="T64" s="104"/>
      <c r="U64" s="6"/>
      <c r="V64" s="6"/>
      <c r="W64" s="6"/>
      <c r="X64" s="6"/>
      <c r="Y64" s="6"/>
    </row>
    <row r="65" spans="1:25" x14ac:dyDescent="0.25">
      <c r="A65" s="114" t="s">
        <v>122</v>
      </c>
      <c r="B65" s="16"/>
      <c r="C65" s="16">
        <f>-C61</f>
      </c>
      <c r="D65" s="16">
        <f t="shared" ref="D65:K65" si="32">-D61</f>
      </c>
      <c r="E65" s="16">
        <f t="shared" si="32"/>
      </c>
      <c r="F65" s="16">
        <f t="shared" si="32"/>
      </c>
      <c r="G65" s="16">
        <f t="shared" si="32"/>
      </c>
      <c r="H65" s="16">
        <f t="shared" si="32"/>
      </c>
      <c r="I65" s="16">
        <f t="shared" si="32"/>
      </c>
      <c r="J65" s="16">
        <f t="shared" si="32"/>
      </c>
      <c r="K65" s="16">
        <f t="shared" si="32"/>
      </c>
      <c r="L65" s="15"/>
      <c r="M65" s="15"/>
      <c r="N65" s="23"/>
      <c r="P65" s="105"/>
      <c r="Q65" s="105"/>
      <c r="R65" s="104"/>
      <c r="S65" s="105"/>
      <c r="T65" s="104"/>
      <c r="U65" s="6"/>
      <c r="V65" s="6"/>
      <c r="W65" s="6"/>
      <c r="X65" s="6"/>
      <c r="Y65" s="6"/>
    </row>
    <row r="66" spans="1:25" x14ac:dyDescent="0.25">
      <c r="A66" s="114" t="s">
        <v>118</v>
      </c>
      <c r="C66" s="52">
        <f>IF(C38&lt;B38,-(B38-C38),0)</f>
      </c>
      <c r="D66" s="52">
        <f>IF(D38&lt;C38,-(C38-D38),0)</f>
      </c>
      <c r="E66" s="52">
        <f t="shared" ref="E66:K66" si="33">IF(E38&lt;D38,-(D38-E38),0)</f>
      </c>
      <c r="F66" s="52">
        <f t="shared" si="33"/>
      </c>
      <c r="G66" s="52">
        <f t="shared" si="33"/>
      </c>
      <c r="H66" s="52">
        <f t="shared" si="33"/>
      </c>
      <c r="I66" s="52">
        <f t="shared" si="33"/>
      </c>
      <c r="J66" s="52">
        <f t="shared" si="33"/>
      </c>
      <c r="K66" s="52">
        <f t="shared" si="33"/>
      </c>
      <c r="L66" s="15"/>
      <c r="M66" s="15"/>
      <c r="N66" s="88"/>
      <c r="P66" s="105"/>
      <c r="Q66" s="105"/>
      <c r="R66" s="104"/>
      <c r="S66" s="105"/>
      <c r="T66" s="104"/>
      <c r="U66" s="6"/>
      <c r="V66" s="6"/>
      <c r="W66" s="6"/>
      <c r="X66" s="6"/>
      <c r="Y66" s="6"/>
    </row>
    <row r="67" spans="1:25" x14ac:dyDescent="0.25">
      <c r="A67" s="115" t="s">
        <v>119</v>
      </c>
      <c r="B67" s="40"/>
      <c r="C67" s="53">
        <f t="shared" ref="C67:K67" si="34">IF(C38&gt;B38,(C38-B38),0)</f>
      </c>
      <c r="D67" s="53">
        <f t="shared" si="34"/>
      </c>
      <c r="E67" s="53">
        <f t="shared" si="34"/>
      </c>
      <c r="F67" s="53">
        <f t="shared" si="34"/>
      </c>
      <c r="G67" s="53">
        <f t="shared" si="34"/>
      </c>
      <c r="H67" s="53">
        <f t="shared" si="34"/>
      </c>
      <c r="I67" s="53">
        <f t="shared" si="34"/>
      </c>
      <c r="J67" s="53">
        <f t="shared" si="34"/>
      </c>
      <c r="K67" s="53">
        <f t="shared" si="34"/>
      </c>
      <c r="L67" s="15"/>
      <c r="M67" s="15"/>
      <c r="N67" s="88"/>
      <c r="P67" s="105"/>
      <c r="Q67" s="105"/>
      <c r="R67" s="104"/>
      <c r="S67" s="105"/>
      <c r="T67" s="104"/>
      <c r="U67" s="6"/>
      <c r="V67" s="6"/>
      <c r="W67" s="6"/>
      <c r="X67" s="6"/>
      <c r="Y67" s="6"/>
    </row>
    <row r="68" spans="1:25" x14ac:dyDescent="0.25">
      <c r="A68" s="122" t="s">
        <v>157</v>
      </c>
      <c r="B68" s="123"/>
      <c r="C68" s="123">
        <f>C62+C64+C65+C66+C67</f>
      </c>
      <c r="D68" s="123">
        <f t="shared" ref="D68:K68" si="35">D62+D64+D65+D66+D67</f>
      </c>
      <c r="E68" s="123">
        <f t="shared" si="35"/>
      </c>
      <c r="F68" s="123">
        <f t="shared" si="35"/>
      </c>
      <c r="G68" s="123">
        <f t="shared" si="35"/>
      </c>
      <c r="H68" s="123">
        <f t="shared" si="35"/>
      </c>
      <c r="I68" s="123">
        <f t="shared" si="35"/>
      </c>
      <c r="J68" s="123">
        <f t="shared" si="35"/>
      </c>
      <c r="K68" s="123">
        <f t="shared" si="35"/>
      </c>
      <c r="L68" s="15"/>
      <c r="M68" s="15"/>
      <c r="N68" s="23"/>
      <c r="P68" s="105"/>
      <c r="Q68" s="105"/>
      <c r="R68" s="104"/>
      <c r="S68" s="105"/>
      <c r="T68" s="104"/>
      <c r="U68" s="6"/>
      <c r="V68" s="6"/>
      <c r="W68" s="6"/>
      <c r="X68" s="6"/>
      <c r="Y68" s="6"/>
    </row>
    <row r="69" spans="1:25" s="2" customFormat="1" x14ac:dyDescent="0.25">
      <c r="C69" s="36"/>
      <c r="D69" s="36"/>
      <c r="E69" s="36"/>
      <c r="F69" s="36"/>
      <c r="G69" s="36"/>
      <c r="H69" s="36"/>
      <c r="I69" s="36"/>
      <c r="J69" s="36"/>
      <c r="K69" s="36"/>
      <c r="O69"/>
      <c r="P69" s="105"/>
      <c r="Q69" s="105"/>
      <c r="R69" s="104"/>
      <c r="S69" s="105"/>
    </row>
    <row r="70" spans="1:25" s="2" customFormat="1" x14ac:dyDescent="0.25">
      <c r="A70" s="118" t="s">
        <v>115</v>
      </c>
      <c r="B70" s="125"/>
      <c r="C70" s="126">
        <f>C58</f>
      </c>
      <c r="D70" s="127" t="s">
        <v>116</v>
      </c>
      <c r="E70" s="126">
        <f>K58</f>
      </c>
      <c r="G70" s="36"/>
      <c r="H70" s="36"/>
      <c r="I70" s="36"/>
      <c r="J70" s="36"/>
      <c r="K70" s="36"/>
      <c r="O70"/>
      <c r="P70" s="105"/>
      <c r="Q70" s="105"/>
      <c r="R70" s="104"/>
      <c r="S70" s="105"/>
    </row>
    <row r="71" spans="1:25" s="2" customFormat="1" x14ac:dyDescent="0.25"/>
    <row r="72" spans="1:25" x14ac:dyDescent="0.25">
      <c r="A72" s="114" t="s">
        <v>169</v>
      </c>
      <c r="B72" s="23">
        <f>SUM(C59:K59)+SUM(C61:K61)</f>
      </c>
      <c r="G72" s="2" t="s">
        <v>133</v>
      </c>
      <c r="J72" s="33">
        <f>(SUM(C59:K59)-SUM(C64:K64))/SUM(C22:K22)</f>
      </c>
      <c r="K72" t="s">
        <v>72</v>
      </c>
    </row>
    <row r="73" spans="1:25" x14ac:dyDescent="0.25">
      <c r="A73" s="115" t="s">
        <v>111</v>
      </c>
      <c r="B73" s="35">
        <f>SUM(B60:K60)</f>
      </c>
      <c r="D73" s="23"/>
    </row>
    <row r="74" spans="1:25" x14ac:dyDescent="0.25">
      <c r="A74" s="136" t="s">
        <v>113</v>
      </c>
      <c r="B74" s="137">
        <f>B72+B73</f>
      </c>
      <c r="D74" s="23"/>
      <c r="G74" s="2" t="s">
        <v>114</v>
      </c>
      <c r="J74" s="33">
        <f>B74/SUM('Balance Sheet'!C44:K44)</f>
      </c>
    </row>
    <row r="75" spans="1:25" x14ac:dyDescent="0.25">
      <c r="G75" t="s">
        <v>117</v>
      </c>
    </row>
    <row r="76" spans="1:25" x14ac:dyDescent="0.25">
      <c r="A76" s="115" t="s">
        <v>170</v>
      </c>
      <c r="B76" s="35">
        <f>SUM(C64:K64)+SUM(C65:K65)</f>
      </c>
    </row>
    <row r="77" spans="1:25" x14ac:dyDescent="0.25">
      <c r="A77" s="113" t="s">
        <v>112</v>
      </c>
      <c r="B77" s="36">
        <f>B74+B76</f>
      </c>
    </row>
    <row r="78" spans="1:25" x14ac:dyDescent="0.25">
      <c r="G78" s="23"/>
    </row>
    <row r="79" spans="1:25" x14ac:dyDescent="0.25">
      <c r="A79" s="40" t="str">
        <f>IF(B79=0,"",(IF(B79&gt;0,"+ INCREASE in Debt","Repayment of Debt")))</f>
      </c>
      <c r="B79" s="138">
        <f>SUM(C67:K67)+SUM(C66:K66)</f>
      </c>
    </row>
    <row r="80" spans="1:25" x14ac:dyDescent="0.25">
      <c r="A80" s="136" t="s">
        <v>97</v>
      </c>
      <c r="B80" s="137">
        <f>B77+B79</f>
      </c>
      <c r="D80" s="33"/>
      <c r="H80" s="2"/>
    </row>
    <row r="81" spans="1:15" x14ac:dyDescent="0.25">
      <c r="A81" s="113"/>
      <c r="B81" s="23"/>
      <c r="C81" t="str">
        <f>IF(AND(B82&gt;0,B77&gt;0,SUM(B38:K38)&gt;0,B82&gt;B77),"It appears that dividends have been PARTLY financed from Debt","")</f>
      </c>
    </row>
    <row r="82" spans="1:15" x14ac:dyDescent="0.25">
      <c r="A82" t="s">
        <v>127</v>
      </c>
      <c r="B82" s="23">
        <f>SUM('Data Sheet'!C31:K32)</f>
      </c>
      <c r="C82" s="3" t="str">
        <f>IF(AND(B82&gt;0,B79&gt;0,B77&lt;0),"It appears that dividends have been FULLY financed from Debt","")</f>
      </c>
    </row>
    <row r="83" spans="1:15" x14ac:dyDescent="0.25">
      <c r="A83" s="2"/>
      <c r="B83" s="36"/>
      <c r="C83" s="3"/>
    </row>
    <row r="84" spans="1:15" x14ac:dyDescent="0.25">
      <c r="A84" s="69" t="s">
        <v>131</v>
      </c>
      <c r="B84" s="71"/>
      <c r="C84" s="71"/>
      <c r="D84" s="71"/>
      <c r="E84" s="71"/>
      <c r="F84" s="71"/>
      <c r="G84" s="71"/>
      <c r="H84" s="71"/>
      <c r="I84" s="71"/>
      <c r="J84" s="71"/>
      <c r="K84" s="72"/>
    </row>
    <row r="85" spans="1:15" x14ac:dyDescent="0.25">
      <c r="A85" s="69"/>
      <c r="B85" s="142">
        <f t="shared" ref="B85:K85" si="36">B58</f>
      </c>
      <c r="C85" s="142">
        <f t="shared" si="36"/>
      </c>
      <c r="D85" s="142">
        <f t="shared" si="36"/>
      </c>
      <c r="E85" s="142">
        <f t="shared" si="36"/>
      </c>
      <c r="F85" s="142">
        <f t="shared" si="36"/>
      </c>
      <c r="G85" s="142">
        <f t="shared" si="36"/>
      </c>
      <c r="H85" s="142">
        <f t="shared" si="36"/>
      </c>
      <c r="I85" s="142">
        <f t="shared" si="36"/>
      </c>
      <c r="J85" s="142">
        <f t="shared" si="36"/>
      </c>
      <c r="K85" s="168">
        <f t="shared" si="36"/>
      </c>
      <c r="L85" s="148" t="s">
        <v>130</v>
      </c>
    </row>
    <row r="86" spans="1:15" x14ac:dyDescent="0.25">
      <c r="A86" s="143" t="s">
        <v>17</v>
      </c>
      <c r="B86" s="23">
        <f>'Data Sheet'!B82</f>
      </c>
      <c r="C86" s="23">
        <f>'Data Sheet'!C82</f>
      </c>
      <c r="D86" s="23">
        <f>'Data Sheet'!D82</f>
      </c>
      <c r="E86" s="23">
        <f>'Data Sheet'!E82</f>
      </c>
      <c r="F86" s="23">
        <f>'Data Sheet'!F82</f>
      </c>
      <c r="G86" s="23">
        <f>'Data Sheet'!G82</f>
      </c>
      <c r="H86" s="23">
        <f>'Data Sheet'!H82</f>
      </c>
      <c r="I86" s="23">
        <f>'Data Sheet'!I82</f>
      </c>
      <c r="J86" s="23">
        <f>'Data Sheet'!J82</f>
      </c>
      <c r="K86" s="23">
        <f>'Data Sheet'!K82</f>
      </c>
      <c r="L86" s="146">
        <f>SUM(B86:K86)</f>
      </c>
    </row>
    <row r="87" spans="1:15" x14ac:dyDescent="0.25">
      <c r="A87" s="5" t="s">
        <v>18</v>
      </c>
      <c r="B87" s="23">
        <f>'Data Sheet'!B83</f>
      </c>
      <c r="C87" s="23">
        <f>'Data Sheet'!C83</f>
      </c>
      <c r="D87" s="23">
        <f>'Data Sheet'!D83</f>
      </c>
      <c r="E87" s="23">
        <f>'Data Sheet'!E83</f>
      </c>
      <c r="F87" s="23">
        <f>'Data Sheet'!F83</f>
      </c>
      <c r="G87" s="23">
        <f>'Data Sheet'!G83</f>
      </c>
      <c r="H87" s="23">
        <f>'Data Sheet'!H83</f>
      </c>
      <c r="I87" s="23">
        <f>'Data Sheet'!I83</f>
      </c>
      <c r="J87" s="23">
        <f>'Data Sheet'!J83</f>
      </c>
      <c r="K87" s="23">
        <f>'Data Sheet'!K83</f>
      </c>
      <c r="L87" s="146">
        <f>SUM(B87:K87)</f>
      </c>
    </row>
    <row r="88" spans="1:15" x14ac:dyDescent="0.25">
      <c r="A88" s="144" t="s">
        <v>19</v>
      </c>
      <c r="B88" s="35">
        <f>'Data Sheet'!B84</f>
      </c>
      <c r="C88" s="35">
        <f>'Data Sheet'!C84</f>
      </c>
      <c r="D88" s="35">
        <f>'Data Sheet'!D84</f>
      </c>
      <c r="E88" s="35">
        <f>'Data Sheet'!E84</f>
      </c>
      <c r="F88" s="35">
        <f>'Data Sheet'!F84</f>
      </c>
      <c r="G88" s="35">
        <f>'Data Sheet'!G84</f>
      </c>
      <c r="H88" s="35">
        <f>'Data Sheet'!H84</f>
      </c>
      <c r="I88" s="35">
        <f>'Data Sheet'!I84</f>
      </c>
      <c r="J88" s="35">
        <f>'Data Sheet'!J84</f>
      </c>
      <c r="K88" s="35">
        <f>'Data Sheet'!K84</f>
      </c>
      <c r="L88" s="149">
        <f>SUM(B88:K88)</f>
      </c>
    </row>
    <row r="89" spans="1:15" x14ac:dyDescent="0.25">
      <c r="A89" s="145" t="s">
        <v>20</v>
      </c>
      <c r="B89" s="36">
        <f>B86+B87+B88</f>
      </c>
      <c r="C89" s="36">
        <f t="shared" ref="C89:K89" si="37">C86+C87+C88</f>
      </c>
      <c r="D89" s="36">
        <f t="shared" si="37"/>
      </c>
      <c r="E89" s="36">
        <f t="shared" si="37"/>
      </c>
      <c r="F89" s="36">
        <f t="shared" si="37"/>
      </c>
      <c r="G89" s="36">
        <f t="shared" si="37"/>
      </c>
      <c r="H89" s="36">
        <f t="shared" si="37"/>
      </c>
      <c r="I89" s="36">
        <f t="shared" si="37"/>
      </c>
      <c r="J89" s="36">
        <f t="shared" si="37"/>
      </c>
      <c r="K89" s="36">
        <f t="shared" si="37"/>
      </c>
      <c r="L89" s="147">
        <f>SUM(B89:K89)</f>
      </c>
    </row>
    <row r="90" spans="1:15" x14ac:dyDescent="0.25">
      <c r="A90" s="2"/>
      <c r="B90" s="36"/>
    </row>
    <row r="91" spans="1:15" x14ac:dyDescent="0.25">
      <c r="A91" s="69" t="s">
        <v>185</v>
      </c>
      <c r="B91" s="78"/>
      <c r="C91" s="75"/>
      <c r="D91" s="75"/>
      <c r="E91" s="71" t="s">
        <v>186</v>
      </c>
      <c r="F91" s="75"/>
      <c r="G91" s="75"/>
      <c r="H91" s="75"/>
      <c r="I91" s="75"/>
      <c r="J91" s="75"/>
      <c r="K91" s="76"/>
    </row>
    <row r="92" spans="1:15" x14ac:dyDescent="0.25">
      <c r="A92" s="194"/>
      <c r="B92" s="195"/>
      <c r="C92" s="196"/>
      <c r="D92" s="197" t="s">
        <v>187</v>
      </c>
      <c r="E92" s="196"/>
      <c r="F92" s="196"/>
      <c r="G92" s="196"/>
      <c r="H92" s="196"/>
      <c r="I92" s="196"/>
      <c r="J92" s="196"/>
      <c r="K92" s="198"/>
    </row>
    <row r="93" spans="1:15" x14ac:dyDescent="0.25">
      <c r="A93" s="194"/>
      <c r="B93" s="199">
        <f t="shared" ref="B93:K93" si="38">B4</f>
      </c>
      <c r="C93" s="199">
        <f t="shared" si="38"/>
      </c>
      <c r="D93" s="199">
        <f t="shared" si="38"/>
      </c>
      <c r="E93" s="199">
        <f t="shared" si="38"/>
      </c>
      <c r="F93" s="199">
        <f t="shared" si="38"/>
      </c>
      <c r="G93" s="199">
        <f t="shared" si="38"/>
      </c>
      <c r="H93" s="199">
        <f t="shared" si="38"/>
      </c>
      <c r="I93" s="199">
        <f t="shared" si="38"/>
      </c>
      <c r="J93" s="199">
        <f t="shared" si="38"/>
      </c>
      <c r="K93" s="200">
        <f t="shared" si="38"/>
      </c>
      <c r="L93" s="184">
        <f ca="1">TODAY()</f>
      </c>
      <c r="M93" s="108"/>
    </row>
    <row r="94" spans="1:15" x14ac:dyDescent="0.25">
      <c r="A94" t="s">
        <v>71</v>
      </c>
      <c r="B94" s="88">
        <f>'Data Sheet'!B93</f>
      </c>
      <c r="C94" s="88">
        <f>'Data Sheet'!C93</f>
      </c>
      <c r="D94" s="88">
        <f>'Data Sheet'!D93</f>
      </c>
      <c r="E94" s="88">
        <f>'Data Sheet'!E93</f>
      </c>
      <c r="F94" s="88">
        <f>'Data Sheet'!F93</f>
      </c>
      <c r="G94" s="88">
        <f>'Data Sheet'!G93</f>
      </c>
      <c r="H94" s="88">
        <f>'Data Sheet'!H93</f>
      </c>
      <c r="I94" s="88">
        <f>'Data Sheet'!I93</f>
      </c>
      <c r="J94" s="88">
        <f>'Data Sheet'!J93</f>
      </c>
      <c r="K94" s="88">
        <f>'Data Sheet'!K93</f>
      </c>
      <c r="L94" s="88">
        <f>K94</f>
      </c>
      <c r="M94" s="24"/>
    </row>
    <row r="95" spans="1:15" x14ac:dyDescent="0.25">
      <c r="A95" t="s">
        <v>30</v>
      </c>
      <c r="B95" s="52">
        <f t="shared" ref="B95:L95" si="39">IF(B6=0,"",B22/B94)</f>
      </c>
      <c r="C95" s="52">
        <f t="shared" si="39"/>
      </c>
      <c r="D95" s="52">
        <f t="shared" si="39"/>
      </c>
      <c r="E95" s="52">
        <f t="shared" si="39"/>
      </c>
      <c r="F95" s="52">
        <f t="shared" si="39"/>
      </c>
      <c r="G95" s="52">
        <f t="shared" si="39"/>
      </c>
      <c r="H95" s="52">
        <f t="shared" si="39"/>
      </c>
      <c r="I95" s="52">
        <f t="shared" si="39"/>
      </c>
      <c r="J95" s="52">
        <f t="shared" si="39"/>
      </c>
      <c r="K95" s="52">
        <f t="shared" si="39"/>
      </c>
      <c r="L95" s="52">
        <f t="shared" si="39"/>
      </c>
    </row>
    <row r="96" spans="1:15" x14ac:dyDescent="0.25">
      <c r="A96" s="40" t="s">
        <v>73</v>
      </c>
      <c r="B96" s="17">
        <f>'Data Sheet'!B90</f>
      </c>
      <c r="C96" s="17">
        <f>'Data Sheet'!C90</f>
      </c>
      <c r="D96" s="17">
        <f>'Data Sheet'!D90</f>
      </c>
      <c r="E96" s="17">
        <f>'Data Sheet'!E90</f>
      </c>
      <c r="F96" s="17">
        <f>'Data Sheet'!F90</f>
      </c>
      <c r="G96" s="17">
        <f>'Data Sheet'!G90</f>
      </c>
      <c r="H96" s="17">
        <f>'Data Sheet'!H90</f>
      </c>
      <c r="I96" s="17">
        <f>'Data Sheet'!I90</f>
      </c>
      <c r="J96" s="17">
        <f>'Data Sheet'!J90</f>
      </c>
      <c r="K96" s="17">
        <f>'Data Sheet'!K90</f>
      </c>
      <c r="L96" s="174">
        <f>'Data Sheet'!B8</f>
      </c>
      <c r="M96" s="314"/>
      <c r="N96" s="314"/>
      <c r="O96" s="314"/>
    </row>
    <row r="97" spans="1:15" ht="18.75" x14ac:dyDescent="0.35">
      <c r="A97" s="2" t="s">
        <v>148</v>
      </c>
      <c r="B97" s="25">
        <f>IF(B96=0,"",IF(B95&lt;0,"Not App",B96/B95))</f>
      </c>
      <c r="C97" s="25">
        <f t="shared" ref="C97:L97" si="40">IF(C96=0,"",IF(C95&lt;0,"Not App",C96/C95))</f>
      </c>
      <c r="D97" s="25">
        <f t="shared" si="40"/>
      </c>
      <c r="E97" s="25">
        <f t="shared" si="40"/>
      </c>
      <c r="F97" s="25">
        <f t="shared" si="40"/>
      </c>
      <c r="G97" s="25">
        <f t="shared" si="40"/>
      </c>
      <c r="H97" s="25">
        <f t="shared" si="40"/>
      </c>
      <c r="I97" s="25">
        <f t="shared" si="40"/>
      </c>
      <c r="J97" s="25">
        <f t="shared" si="40"/>
      </c>
      <c r="K97" s="25">
        <f t="shared" si="40"/>
      </c>
      <c r="L97" s="25">
        <f t="shared" si="40"/>
      </c>
      <c r="M97" s="314"/>
      <c r="N97" s="314"/>
      <c r="O97" s="314"/>
    </row>
    <row r="98" spans="1:15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5" x14ac:dyDescent="0.25">
      <c r="A99" s="40" t="s">
        <v>150</v>
      </c>
      <c r="B99" s="172">
        <f>IF(B6=0,"",('Data Sheet'!B57+'Data Sheet'!B58)/B94)</f>
      </c>
      <c r="C99" s="172">
        <f>IF(C6=0,"",('Data Sheet'!C57+'Data Sheet'!C58)/C94)</f>
      </c>
      <c r="D99" s="172">
        <f>IF(D6=0,"",('Data Sheet'!D57+'Data Sheet'!D58)/D94)</f>
      </c>
      <c r="E99" s="172">
        <f>IF(E6=0,"",('Data Sheet'!E57+'Data Sheet'!E58)/E94)</f>
      </c>
      <c r="F99" s="172">
        <f>IF(F6=0,"",('Data Sheet'!F57+'Data Sheet'!F58)/F94)</f>
      </c>
      <c r="G99" s="172">
        <f>IF(G6=0,"",('Data Sheet'!G57+'Data Sheet'!G58)/G94)</f>
      </c>
      <c r="H99" s="172">
        <f>IF(H6=0,"",('Data Sheet'!H57+'Data Sheet'!H58)/H94)</f>
      </c>
      <c r="I99" s="172">
        <f>IF(I6=0,"",('Data Sheet'!I57+'Data Sheet'!I58)/I94)</f>
      </c>
      <c r="J99" s="172">
        <f>IF(J6=0,"",('Data Sheet'!J57+'Data Sheet'!J58)/J94)</f>
      </c>
      <c r="K99" s="172">
        <f>IF(K6=0,"",('Data Sheet'!K57+'Data Sheet'!K58)/K94)</f>
      </c>
      <c r="L99" s="172">
        <f>K99</f>
      </c>
    </row>
    <row r="100" spans="1:15" x14ac:dyDescent="0.25">
      <c r="A100" s="2" t="s">
        <v>147</v>
      </c>
      <c r="B100" s="25">
        <f t="shared" ref="B100:L100" si="41">IF(B96=0,"",B96/B99)</f>
      </c>
      <c r="C100" s="25">
        <f t="shared" si="41"/>
      </c>
      <c r="D100" s="25">
        <f t="shared" si="41"/>
      </c>
      <c r="E100" s="25">
        <f t="shared" si="41"/>
      </c>
      <c r="F100" s="25">
        <f t="shared" si="41"/>
      </c>
      <c r="G100" s="25">
        <f t="shared" si="41"/>
      </c>
      <c r="H100" s="25">
        <f t="shared" si="41"/>
      </c>
      <c r="I100" s="25">
        <f t="shared" si="41"/>
      </c>
      <c r="J100" s="25">
        <f t="shared" si="41"/>
      </c>
      <c r="K100" s="25">
        <f t="shared" si="41"/>
      </c>
      <c r="L100" s="25">
        <f t="shared" si="41"/>
      </c>
    </row>
    <row r="101" spans="1:15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5" x14ac:dyDescent="0.25">
      <c r="A102" s="201" t="s">
        <v>184</v>
      </c>
      <c r="B102" s="202"/>
      <c r="C102" s="203"/>
      <c r="D102" s="205" t="s">
        <v>188</v>
      </c>
      <c r="E102" s="203"/>
      <c r="F102" s="203"/>
      <c r="G102" s="203"/>
      <c r="H102" s="203"/>
      <c r="I102" s="203"/>
      <c r="J102" s="203"/>
      <c r="K102" s="204"/>
      <c r="L102" s="164"/>
    </row>
    <row r="103" spans="1:15" x14ac:dyDescent="0.25">
      <c r="A103" t="s">
        <v>151</v>
      </c>
      <c r="B103" s="16">
        <f>B38-'Balance Sheet'!B14</f>
      </c>
      <c r="C103" s="16">
        <f>C38-'Balance Sheet'!C14</f>
      </c>
      <c r="D103" s="16">
        <f>D38-'Balance Sheet'!D14</f>
      </c>
      <c r="E103" s="16">
        <f>E38-'Balance Sheet'!E14</f>
      </c>
      <c r="F103" s="16">
        <f>F38-'Balance Sheet'!F14</f>
      </c>
      <c r="G103" s="16">
        <f>G38-'Balance Sheet'!G14</f>
      </c>
      <c r="H103" s="16">
        <f>H38-'Balance Sheet'!H14</f>
      </c>
      <c r="I103" s="16">
        <f>I38-'Balance Sheet'!I14</f>
      </c>
      <c r="J103" s="16">
        <f>J38-'Balance Sheet'!J14</f>
      </c>
      <c r="K103" s="16">
        <f>K38-'Balance Sheet'!K14</f>
      </c>
      <c r="L103" s="190"/>
      <c r="N103" t="s">
        <v>183</v>
      </c>
    </row>
    <row r="104" spans="1:15" x14ac:dyDescent="0.25">
      <c r="A104" t="s">
        <v>79</v>
      </c>
      <c r="B104" s="16">
        <f>B96*B94+B38+B103</f>
      </c>
      <c r="C104" s="16">
        <f>C96*C94+C38-'Data Sheet'!C69</f>
      </c>
      <c r="D104" s="16">
        <f>D96*D94+D38-'Data Sheet'!D69</f>
      </c>
      <c r="E104" s="16">
        <f>E96*E94+E38-'Data Sheet'!E69</f>
      </c>
      <c r="F104" s="16">
        <f>F96*F94+F38-'Data Sheet'!F69</f>
      </c>
      <c r="G104" s="16">
        <f>G96*G94+G38-'Data Sheet'!G69</f>
      </c>
      <c r="H104" s="16">
        <f>H96*H94+H38-'Data Sheet'!H69</f>
      </c>
      <c r="I104" s="16">
        <f>I96*I94+I38-'Data Sheet'!I69</f>
      </c>
      <c r="J104" s="16">
        <f>J96*J94+J38-'Data Sheet'!J69</f>
      </c>
      <c r="K104" s="16">
        <f>K96*K94+K38-'Data Sheet'!K69</f>
      </c>
      <c r="L104" s="68">
        <f>IF(L103=0,0,L96*L94+L103)</f>
      </c>
    </row>
    <row r="105" spans="1:15" x14ac:dyDescent="0.25">
      <c r="A105" s="40" t="s">
        <v>74</v>
      </c>
      <c r="B105" s="17">
        <f t="shared" ref="B105:L105" si="42">B20+B19</f>
      </c>
      <c r="C105" s="17">
        <f t="shared" si="42"/>
      </c>
      <c r="D105" s="17">
        <f t="shared" si="42"/>
      </c>
      <c r="E105" s="17">
        <f t="shared" si="42"/>
      </c>
      <c r="F105" s="17">
        <f t="shared" si="42"/>
      </c>
      <c r="G105" s="17">
        <f t="shared" si="42"/>
      </c>
      <c r="H105" s="17">
        <f t="shared" si="42"/>
      </c>
      <c r="I105" s="17">
        <f t="shared" si="42"/>
      </c>
      <c r="J105" s="17">
        <f t="shared" si="42"/>
      </c>
      <c r="K105" s="17">
        <f t="shared" si="42"/>
      </c>
      <c r="L105" s="17">
        <f t="shared" si="42"/>
      </c>
    </row>
    <row r="106" spans="1:15" ht="18.75" x14ac:dyDescent="0.35">
      <c r="A106" s="2" t="s">
        <v>149</v>
      </c>
      <c r="B106" s="25">
        <f>IF(B104=0,"",IF(B105&lt;0,"Not App",B104/B105))</f>
      </c>
      <c r="C106" s="25">
        <f t="shared" ref="C106:K106" si="43">IF(C104=0,"",IF(C105&lt;0,"Not App",C104/C105))</f>
      </c>
      <c r="D106" s="25">
        <f t="shared" si="43"/>
      </c>
      <c r="E106" s="25">
        <f t="shared" si="43"/>
      </c>
      <c r="F106" s="25">
        <f t="shared" si="43"/>
      </c>
      <c r="G106" s="25">
        <f t="shared" si="43"/>
      </c>
      <c r="H106" s="25">
        <f t="shared" si="43"/>
      </c>
      <c r="I106" s="25">
        <f t="shared" si="43"/>
      </c>
      <c r="J106" s="25">
        <f t="shared" si="43"/>
      </c>
      <c r="K106" s="25">
        <f t="shared" si="43"/>
      </c>
      <c r="L106" s="25" t="str">
        <f>IF(L104=0,"",IF(L105&lt;0,"Not App",L104/L105))</f>
      </c>
    </row>
    <row r="107" spans="1:15" x14ac:dyDescent="0.25">
      <c r="A107" s="2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 s="156"/>
    </row>
    <row r="108" spans="1:15" x14ac:dyDescent="0.25">
      <c r="A108" s="40" t="s">
        <v>179</v>
      </c>
      <c r="B108" s="17">
        <f t="shared" ref="B108:L108" si="44">B105+B15</f>
      </c>
      <c r="C108" s="17">
        <f t="shared" si="44"/>
      </c>
      <c r="D108" s="17">
        <f t="shared" si="44"/>
      </c>
      <c r="E108" s="17">
        <f t="shared" si="44"/>
      </c>
      <c r="F108" s="17">
        <f t="shared" si="44"/>
      </c>
      <c r="G108" s="17">
        <f t="shared" si="44"/>
      </c>
      <c r="H108" s="17">
        <f t="shared" si="44"/>
      </c>
      <c r="I108" s="17">
        <f t="shared" si="44"/>
      </c>
      <c r="J108" s="17">
        <f t="shared" si="44"/>
      </c>
      <c r="K108" s="17">
        <f t="shared" si="44"/>
      </c>
      <c r="L108" s="17">
        <f t="shared" si="44"/>
      </c>
      <c r="M108" s="314"/>
      <c r="N108" s="314"/>
      <c r="O108" s="314"/>
    </row>
    <row r="109" spans="1:15" ht="18.75" x14ac:dyDescent="0.35">
      <c r="A109" s="2" t="s">
        <v>180</v>
      </c>
      <c r="B109" s="25">
        <f>IF(B104=0,"",IF(B108&lt;0,"Not App",B104/B108))</f>
      </c>
      <c r="C109" s="25">
        <f t="shared" ref="C109:J109" si="45">IF(C104=0,"",IF(C108&lt;0,"Not App",C104/C108))</f>
      </c>
      <c r="D109" s="25">
        <f t="shared" si="45"/>
      </c>
      <c r="E109" s="25">
        <f t="shared" si="45"/>
      </c>
      <c r="F109" s="25">
        <f t="shared" si="45"/>
      </c>
      <c r="G109" s="25">
        <f t="shared" si="45"/>
      </c>
      <c r="H109" s="25">
        <f t="shared" si="45"/>
      </c>
      <c r="I109" s="25">
        <f t="shared" si="45"/>
      </c>
      <c r="J109" s="25">
        <f t="shared" si="45"/>
      </c>
      <c r="K109" s="25">
        <f>IF(K104=0,"",IF(K108&lt;0,"Not App",K104/K108))</f>
      </c>
      <c r="L109" s="25" t="str">
        <f>IF(L104=0,"",IF(L108&lt;0,"Not App",L104/L108))</f>
      </c>
      <c r="M109" s="314"/>
      <c r="N109" s="314"/>
      <c r="O109" s="314"/>
    </row>
    <row r="110" spans="1:15" x14ac:dyDescent="0.25">
      <c r="A110" s="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 s="156"/>
    </row>
    <row r="111" spans="1:15" x14ac:dyDescent="0.25">
      <c r="A111" s="2" t="s">
        <v>182</v>
      </c>
      <c r="B111" s="25">
        <f t="shared" ref="B111:L111" si="46">IF(B104=0,"",B104/B6)</f>
      </c>
      <c r="C111" s="25">
        <f t="shared" si="46"/>
      </c>
      <c r="D111" s="25">
        <f t="shared" si="46"/>
      </c>
      <c r="E111" s="25">
        <f t="shared" si="46"/>
      </c>
      <c r="F111" s="25">
        <f t="shared" si="46"/>
      </c>
      <c r="G111" s="25">
        <f t="shared" si="46"/>
      </c>
      <c r="H111" s="25">
        <f t="shared" si="46"/>
      </c>
      <c r="I111" s="25">
        <f t="shared" si="46"/>
      </c>
      <c r="J111" s="25">
        <f t="shared" si="46"/>
      </c>
      <c r="K111" s="25">
        <f t="shared" si="46"/>
      </c>
      <c r="L111" s="25" t="str">
        <f t="shared" si="46"/>
      </c>
    </row>
    <row r="113" spans="1:15" x14ac:dyDescent="0.25">
      <c r="A113" s="69" t="s">
        <v>160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6"/>
      <c r="L113" s="25"/>
      <c r="O113" s="156"/>
    </row>
    <row r="114" spans="1:15" x14ac:dyDescent="0.25">
      <c r="A114" s="71"/>
      <c r="B114" s="142">
        <f t="shared" ref="B114:L114" si="47">B93</f>
      </c>
      <c r="C114" s="142">
        <f t="shared" si="47"/>
      </c>
      <c r="D114" s="142">
        <f t="shared" si="47"/>
      </c>
      <c r="E114" s="142">
        <f t="shared" si="47"/>
      </c>
      <c r="F114" s="142">
        <f t="shared" si="47"/>
      </c>
      <c r="G114" s="142">
        <f t="shared" si="47"/>
      </c>
      <c r="H114" s="142">
        <f t="shared" si="47"/>
      </c>
      <c r="I114" s="142">
        <f t="shared" si="47"/>
      </c>
      <c r="J114" s="142">
        <f t="shared" si="47"/>
      </c>
      <c r="K114" s="168">
        <f t="shared" si="47"/>
      </c>
      <c r="L114" s="108">
        <f t="shared" ca="1" si="47"/>
      </c>
      <c r="O114" s="156"/>
    </row>
    <row r="115" spans="1:15" x14ac:dyDescent="0.25">
      <c r="A115" t="s">
        <v>159</v>
      </c>
      <c r="B115" s="16">
        <f>'Data Sheet'!B31</f>
      </c>
      <c r="C115" s="16">
        <f>'Data Sheet'!C31</f>
      </c>
      <c r="D115" s="16">
        <f>'Data Sheet'!D31</f>
      </c>
      <c r="E115" s="16">
        <f>'Data Sheet'!E31</f>
      </c>
      <c r="F115" s="16">
        <f>'Data Sheet'!F31</f>
      </c>
      <c r="G115" s="16">
        <f>'Data Sheet'!G31</f>
      </c>
      <c r="H115" s="16">
        <f>'Data Sheet'!H31</f>
      </c>
      <c r="I115" s="16">
        <f>'Data Sheet'!I31</f>
      </c>
      <c r="J115" s="16">
        <f>'Data Sheet'!J31</f>
      </c>
      <c r="K115" s="16">
        <f>'Data Sheet'!K31</f>
      </c>
      <c r="L115" s="14"/>
      <c r="O115" s="156"/>
    </row>
    <row r="116" spans="1:15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O116" s="156"/>
    </row>
    <row r="117" spans="1:15" x14ac:dyDescent="0.25">
      <c r="A117" t="s">
        <v>146</v>
      </c>
      <c r="B117" s="33">
        <f t="shared" ref="B117:K117" si="48">IF(B6=0,"",B115/B22)</f>
      </c>
      <c r="C117" s="33">
        <f t="shared" si="48"/>
      </c>
      <c r="D117" s="33">
        <f t="shared" si="48"/>
      </c>
      <c r="E117" s="33">
        <f t="shared" si="48"/>
      </c>
      <c r="F117" s="33">
        <f t="shared" si="48"/>
      </c>
      <c r="G117" s="33">
        <f t="shared" si="48"/>
      </c>
      <c r="H117" s="33">
        <f t="shared" si="48"/>
      </c>
      <c r="I117" s="33">
        <f t="shared" si="48"/>
      </c>
      <c r="J117" s="33">
        <f t="shared" si="48"/>
      </c>
      <c r="K117" s="33">
        <f t="shared" si="48"/>
      </c>
      <c r="L117" s="33"/>
    </row>
    <row r="118" spans="1:15" x14ac:dyDescent="0.25">
      <c r="A118" t="s">
        <v>145</v>
      </c>
      <c r="B118" s="34">
        <f t="shared" ref="B118:K118" si="49">IF(B6=0,"",B115/B94)</f>
      </c>
      <c r="C118" s="34">
        <f t="shared" si="49"/>
      </c>
      <c r="D118" s="34">
        <f t="shared" si="49"/>
      </c>
      <c r="E118" s="34">
        <f t="shared" si="49"/>
      </c>
      <c r="F118" s="34">
        <f t="shared" si="49"/>
      </c>
      <c r="G118" s="34">
        <f t="shared" si="49"/>
      </c>
      <c r="H118" s="34">
        <f t="shared" si="49"/>
      </c>
      <c r="I118" s="34">
        <f t="shared" si="49"/>
      </c>
      <c r="J118" s="34">
        <f t="shared" si="49"/>
      </c>
      <c r="K118" s="34">
        <f t="shared" si="49"/>
      </c>
    </row>
    <row r="119" spans="1:15" x14ac:dyDescent="0.25">
      <c r="A119" t="s">
        <v>161</v>
      </c>
      <c r="B119" s="33">
        <f t="shared" ref="B119:K119" si="50">IF(B96=0,"",B118/B96)</f>
      </c>
      <c r="C119" s="33">
        <f t="shared" si="50"/>
      </c>
      <c r="D119" s="33">
        <f t="shared" si="50"/>
      </c>
      <c r="E119" s="33">
        <f t="shared" si="50"/>
      </c>
      <c r="F119" s="33">
        <f t="shared" si="50"/>
      </c>
      <c r="G119" s="33">
        <f t="shared" si="50"/>
      </c>
      <c r="H119" s="33">
        <f t="shared" si="50"/>
      </c>
      <c r="I119" s="33">
        <f t="shared" si="50"/>
      </c>
      <c r="J119" s="33">
        <f t="shared" si="50"/>
      </c>
      <c r="K119" s="33">
        <f t="shared" si="50"/>
      </c>
      <c r="L119" s="33">
        <f>IF(L96=0,"",K118/L96)</f>
      </c>
    </row>
    <row r="121" spans="1:15" x14ac:dyDescent="0.25">
      <c r="A121" s="117"/>
      <c r="B121" s="75"/>
      <c r="C121" s="71" t="s">
        <v>162</v>
      </c>
      <c r="D121" s="75"/>
      <c r="E121" s="75"/>
      <c r="F121" s="75"/>
      <c r="G121" s="75"/>
      <c r="H121" s="75"/>
      <c r="I121" s="75"/>
      <c r="J121" s="75"/>
      <c r="K121" s="76"/>
    </row>
    <row r="122" spans="1:15" x14ac:dyDescent="0.25">
      <c r="A122" s="2" t="s">
        <v>106</v>
      </c>
      <c r="B122" s="107">
        <v>43921</v>
      </c>
    </row>
    <row r="123" spans="1:15" x14ac:dyDescent="0.25">
      <c r="A123" s="2"/>
    </row>
    <row r="124" spans="1:15" x14ac:dyDescent="0.25">
      <c r="A124" s="2"/>
      <c r="B124" s="12">
        <f t="shared" ref="B124:L124" si="51">B93</f>
      </c>
      <c r="C124" s="12">
        <f t="shared" si="51"/>
      </c>
      <c r="D124" s="12">
        <f t="shared" si="51"/>
      </c>
      <c r="E124" s="12">
        <f t="shared" si="51"/>
      </c>
      <c r="F124" s="12">
        <f t="shared" si="51"/>
      </c>
      <c r="G124" s="12">
        <f t="shared" si="51"/>
      </c>
      <c r="H124" s="12">
        <f t="shared" si="51"/>
      </c>
      <c r="I124" s="12">
        <f t="shared" si="51"/>
      </c>
      <c r="J124" s="12">
        <f t="shared" si="51"/>
      </c>
      <c r="K124" s="12">
        <f t="shared" si="51"/>
      </c>
      <c r="L124" s="108">
        <f t="shared" ca="1" si="51"/>
      </c>
      <c r="M124" s="108"/>
    </row>
    <row r="125" spans="1:15" x14ac:dyDescent="0.25">
      <c r="A125" t="s">
        <v>77</v>
      </c>
      <c r="B125" s="23">
        <f t="shared" ref="B125:K125" si="52">IF(B124=$B$122,-B96,0)</f>
      </c>
      <c r="C125" s="23">
        <f t="shared" si="52"/>
      </c>
      <c r="D125" s="23">
        <f t="shared" si="52"/>
      </c>
      <c r="E125" s="23">
        <f t="shared" si="52"/>
      </c>
      <c r="F125" s="23">
        <f t="shared" si="52"/>
      </c>
      <c r="G125" s="23">
        <f t="shared" si="52"/>
      </c>
      <c r="H125" s="23">
        <f t="shared" si="52"/>
      </c>
      <c r="I125" s="23">
        <f t="shared" si="52"/>
      </c>
      <c r="J125" s="23">
        <f t="shared" si="52"/>
      </c>
      <c r="K125" s="23">
        <f t="shared" si="52"/>
      </c>
    </row>
    <row r="126" spans="1:15" x14ac:dyDescent="0.25">
      <c r="A126" t="s">
        <v>76</v>
      </c>
      <c r="B126" s="34">
        <f>IF(B124&gt;=$B$122,('Data Sheet'!B31/Snapshot!B94),0)</f>
      </c>
      <c r="C126" s="34">
        <f>IF(C124&gt;=$B$122,('Data Sheet'!C31/Snapshot!C94),0)</f>
      </c>
      <c r="D126" s="34">
        <f>IF(D124&gt;=$B$122,('Data Sheet'!D31/Snapshot!D94),0)</f>
      </c>
      <c r="E126" s="34">
        <f>IF(E124&gt;=$B$122,('Data Sheet'!E31/Snapshot!E94),0)</f>
      </c>
      <c r="F126" s="34">
        <f>IF(F124&gt;=$B$122,('Data Sheet'!F31/Snapshot!F94),0)</f>
      </c>
      <c r="G126" s="34">
        <f>IF(G124&gt;=$B$122,('Data Sheet'!G31/Snapshot!G94),0)</f>
      </c>
      <c r="H126" s="34">
        <f>IF(H124&gt;=$B$122,('Data Sheet'!H31/Snapshot!H94),0)</f>
      </c>
      <c r="I126" s="34">
        <f>IF(I124&gt;=$B$122,('Data Sheet'!I31/Snapshot!I94),0)</f>
      </c>
      <c r="J126" s="34">
        <f>IF(J124&gt;=$B$122,('Data Sheet'!J31/Snapshot!J94),0)</f>
      </c>
      <c r="K126" s="34">
        <f>IF(K124&gt;=$B$122,('Data Sheet'!K31/Snapshot!K94),0)</f>
      </c>
    </row>
    <row r="127" spans="1:15" x14ac:dyDescent="0.25">
      <c r="A127" s="40" t="s">
        <v>78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35">
        <f>L96</f>
      </c>
      <c r="M127" s="23"/>
    </row>
    <row r="128" spans="1:15" x14ac:dyDescent="0.25">
      <c r="A128" t="s">
        <v>12</v>
      </c>
      <c r="B128" s="52">
        <f>B125+B126+B127</f>
      </c>
      <c r="C128" s="52">
        <f t="shared" ref="C128:F128" si="53">C125+C126+C127</f>
      </c>
      <c r="D128" s="52">
        <f t="shared" si="53"/>
      </c>
      <c r="E128" s="52">
        <f t="shared" si="53"/>
      </c>
      <c r="F128" s="52">
        <f t="shared" si="53"/>
      </c>
      <c r="G128" s="52">
        <f t="shared" ref="G128" si="54">G125+G126+G127</f>
      </c>
      <c r="H128" s="52">
        <f t="shared" ref="H128" si="55">H125+H126+H127</f>
      </c>
      <c r="I128" s="52">
        <f t="shared" ref="I128" si="56">I125+I126+I127</f>
      </c>
      <c r="J128" s="52">
        <f t="shared" ref="J128" si="57">J125+J126+J127</f>
      </c>
      <c r="K128" s="52">
        <f t="shared" ref="K128" si="58">K125+K126+K127</f>
      </c>
      <c r="L128" s="52">
        <f t="shared" ref="L128" si="59">L125+L126+L127</f>
      </c>
      <c r="M128" s="52"/>
    </row>
    <row r="129" spans="1:13" ht="15.75" thickBot="1" x14ac:dyDescent="0.3"/>
    <row r="130" spans="1:13" ht="15.75" thickBot="1" x14ac:dyDescent="0.3">
      <c r="A130" s="110" t="s">
        <v>59</v>
      </c>
      <c r="B130" s="111" t="str">
        <f>IF(B124=$B$122,(XIRR(B128:$L$128,B93:$L$93)),"")</f>
      </c>
      <c r="C130" s="111" t="str">
        <f>IF(C124=$B$122,(XIRR(C128:$L$128,C93:$L$93)),"")</f>
      </c>
      <c r="D130" s="111" t="str">
        <f>IF(D124=$B$122,(XIRR(D128:$L$128,D93:$L$93)),"")</f>
      </c>
      <c r="E130" s="111" t="str">
        <f>IF(E124=$B$122,(XIRR(E128:$L$128,E93:$L$93)),"")</f>
      </c>
      <c r="F130" s="111" t="str">
        <f>IF(F124=$B$122,(XIRR(F128:$L$128,F93:$L$93)),"")</f>
      </c>
      <c r="G130" s="111" t="str">
        <f>IF(G124=$B$122,(XIRR(G128:$L$128,G93:$L$93)),"")</f>
      </c>
      <c r="H130" s="111">
        <f ca="1">IF(H124=$B$122,(XIRR(H128:$L$128,H93:$L$93)),"")</f>
      </c>
      <c r="I130" s="111" t="str">
        <f>IF(I124=$B$122,(XIRR(I128:$L$128,I93:$L$93)),"")</f>
      </c>
      <c r="J130" s="111" t="str">
        <f>IF(J124=$B$122,(XIRR(J128:$L$128,J93:$L$93)),"")</f>
      </c>
      <c r="K130" s="112" t="str">
        <f>IF(K124=$B$122,(XIRR(K128:$L$128,K93:$L$93)),"")</f>
      </c>
      <c r="L130" s="109" t="str">
        <f ca="1">IF(L124=$B$122,(XIRR(L128:$L$128,L93:$L$93)),"")</f>
      </c>
      <c r="M130" s="109"/>
    </row>
    <row r="132" spans="1:13" x14ac:dyDescent="0.25">
      <c r="A132" s="2" t="s">
        <v>163</v>
      </c>
    </row>
    <row r="134" spans="1:13" x14ac:dyDescent="0.25">
      <c r="A134" s="71" t="s">
        <v>278</v>
      </c>
      <c r="B134" s="142">
        <f>B124</f>
      </c>
      <c r="C134" s="142">
        <f t="shared" ref="C134:K134" si="60">C124</f>
      </c>
      <c r="D134" s="142">
        <f t="shared" si="60"/>
      </c>
      <c r="E134" s="142">
        <f t="shared" si="60"/>
      </c>
      <c r="F134" s="142">
        <f t="shared" si="60"/>
      </c>
      <c r="G134" s="142">
        <f t="shared" si="60"/>
      </c>
      <c r="H134" s="142">
        <f t="shared" si="60"/>
      </c>
      <c r="I134" s="142">
        <f t="shared" si="60"/>
      </c>
      <c r="J134" s="142">
        <f t="shared" si="60"/>
      </c>
      <c r="K134" s="168">
        <f t="shared" si="60"/>
      </c>
    </row>
    <row r="135" spans="1:13" x14ac:dyDescent="0.25">
      <c r="A135" t="s">
        <v>258</v>
      </c>
      <c r="B135" s="308">
        <f>B62</f>
      </c>
      <c r="C135" s="308">
        <f t="shared" ref="C135:K135" si="61">C62</f>
      </c>
      <c r="D135" s="308">
        <f t="shared" si="61"/>
      </c>
      <c r="E135" s="308">
        <f t="shared" si="61"/>
      </c>
      <c r="F135" s="308">
        <f t="shared" si="61"/>
      </c>
      <c r="G135" s="308">
        <f t="shared" si="61"/>
      </c>
      <c r="H135" s="308">
        <f t="shared" si="61"/>
      </c>
      <c r="I135" s="308">
        <f t="shared" si="61"/>
      </c>
      <c r="J135" s="308">
        <f t="shared" si="61"/>
      </c>
      <c r="K135" s="308">
        <f t="shared" si="61"/>
      </c>
    </row>
    <row r="136" spans="1:13" x14ac:dyDescent="0.25">
      <c r="A136" t="s">
        <v>259</v>
      </c>
      <c r="B136" s="23">
        <f>B104</f>
      </c>
      <c r="C136" s="23">
        <f t="shared" ref="C136:K136" si="62">C104</f>
      </c>
      <c r="D136" s="23">
        <f t="shared" si="62"/>
      </c>
      <c r="E136" s="23">
        <f t="shared" si="62"/>
      </c>
      <c r="F136" s="23">
        <f t="shared" si="62"/>
      </c>
      <c r="G136" s="23">
        <f t="shared" si="62"/>
      </c>
      <c r="H136" s="23">
        <f t="shared" si="62"/>
      </c>
      <c r="I136" s="23">
        <f t="shared" si="62"/>
      </c>
      <c r="J136" s="23">
        <f t="shared" si="62"/>
      </c>
      <c r="K136" s="23">
        <f t="shared" si="62"/>
      </c>
    </row>
    <row r="137" spans="1:13" x14ac:dyDescent="0.25">
      <c r="A137" s="311" t="s">
        <v>256</v>
      </c>
      <c r="B137" s="312">
        <f>B135/B136</f>
      </c>
      <c r="C137" s="312">
        <f t="shared" ref="C137:K137" si="63">C135/C136</f>
      </c>
      <c r="D137" s="312">
        <f t="shared" si="63"/>
      </c>
      <c r="E137" s="312">
        <f t="shared" si="63"/>
      </c>
      <c r="F137" s="312">
        <f t="shared" si="63"/>
      </c>
      <c r="G137" s="312">
        <f t="shared" si="63"/>
      </c>
      <c r="H137" s="312">
        <f t="shared" si="63"/>
      </c>
      <c r="I137" s="312">
        <f t="shared" si="63"/>
      </c>
      <c r="J137" s="312">
        <f t="shared" si="63"/>
      </c>
      <c r="K137" s="312">
        <f t="shared" si="63"/>
      </c>
      <c r="L137" s="309" t="str">
        <f>IF(K137&gt;10%,"This is good as its higher than 10%","")</f>
      </c>
    </row>
    <row r="138" spans="1:13" x14ac:dyDescent="0.25">
      <c r="A138" s="311" t="s">
        <v>257</v>
      </c>
      <c r="B138" s="310">
        <f t="shared" ref="B138:K138" si="64">B104/B16</f>
      </c>
      <c r="C138" s="310">
        <f t="shared" si="64"/>
      </c>
      <c r="D138" s="310">
        <f t="shared" si="64"/>
      </c>
      <c r="E138" s="310">
        <f t="shared" si="64"/>
      </c>
      <c r="F138" s="310">
        <f t="shared" si="64"/>
      </c>
      <c r="G138" s="310">
        <f t="shared" si="64"/>
      </c>
      <c r="H138" s="310">
        <f t="shared" si="64"/>
      </c>
      <c r="I138" s="310">
        <f t="shared" si="64"/>
      </c>
      <c r="J138" s="310">
        <f t="shared" si="64"/>
      </c>
      <c r="K138" s="310">
        <f t="shared" si="64"/>
      </c>
    </row>
    <row r="141" spans="1:13" x14ac:dyDescent="0.25">
      <c r="A141" s="313" t="s">
        <v>260</v>
      </c>
      <c r="B141" s="313"/>
      <c r="C141" s="313"/>
      <c r="D141" s="313"/>
      <c r="E141" s="313"/>
      <c r="F141" s="313"/>
      <c r="G141" s="313"/>
      <c r="H141" s="313"/>
      <c r="I141" s="313"/>
      <c r="J141" s="313"/>
      <c r="K141" s="313"/>
    </row>
    <row r="142" spans="1:13" x14ac:dyDescent="0.25">
      <c r="B142" s="12">
        <f t="shared" ref="B142:K142" si="65">B134</f>
      </c>
      <c r="C142" s="12">
        <f t="shared" si="65"/>
      </c>
      <c r="D142" s="12">
        <f t="shared" si="65"/>
      </c>
      <c r="E142" s="12">
        <f t="shared" si="65"/>
      </c>
      <c r="F142" s="12">
        <f t="shared" si="65"/>
      </c>
      <c r="G142" s="12">
        <f t="shared" si="65"/>
      </c>
      <c r="H142" s="12">
        <f t="shared" si="65"/>
      </c>
      <c r="I142" s="12">
        <f t="shared" si="65"/>
      </c>
      <c r="J142" s="12">
        <f t="shared" si="65"/>
      </c>
      <c r="K142" s="12">
        <f t="shared" si="65"/>
      </c>
    </row>
    <row r="143" spans="1:13" x14ac:dyDescent="0.25">
      <c r="A143" t="s">
        <v>261</v>
      </c>
      <c r="B143">
        <f>SUM('Balance Sheet'!B5:B6)</f>
      </c>
      <c r="C143">
        <f>SUM('Balance Sheet'!C5:C6)</f>
      </c>
      <c r="D143">
        <f>SUM('Balance Sheet'!D5:D6)</f>
      </c>
      <c r="E143">
        <f>SUM('Balance Sheet'!E5:E6)</f>
      </c>
      <c r="F143">
        <f>SUM('Balance Sheet'!F5:F6)</f>
      </c>
      <c r="G143">
        <f>SUM('Balance Sheet'!G5:G6)</f>
      </c>
      <c r="H143">
        <f>SUM('Balance Sheet'!H5:H6)</f>
      </c>
      <c r="I143">
        <f>SUM('Balance Sheet'!I5:I6)</f>
      </c>
      <c r="J143">
        <f>SUM('Balance Sheet'!J5:J6)</f>
      </c>
      <c r="K143">
        <f>SUM('Balance Sheet'!K5:K6)</f>
      </c>
    </row>
    <row r="144" spans="1:13" x14ac:dyDescent="0.25">
      <c r="A144" t="s">
        <v>262</v>
      </c>
      <c r="B144">
        <f>'Balance Sheet'!B10</f>
      </c>
      <c r="C144">
        <f>'Balance Sheet'!C10</f>
      </c>
      <c r="D144">
        <f>'Balance Sheet'!D10</f>
      </c>
      <c r="E144">
        <f>'Balance Sheet'!E10</f>
      </c>
      <c r="F144">
        <f>'Balance Sheet'!F10</f>
      </c>
      <c r="G144">
        <f>'Balance Sheet'!G10</f>
      </c>
      <c r="H144">
        <f>'Balance Sheet'!H10</f>
      </c>
      <c r="I144">
        <f>'Balance Sheet'!I10</f>
      </c>
      <c r="J144">
        <f>'Balance Sheet'!J10</f>
      </c>
      <c r="K144">
        <f>'Balance Sheet'!K10</f>
      </c>
    </row>
    <row r="145" spans="1:12" x14ac:dyDescent="0.25">
      <c r="A145" s="2" t="s">
        <v>263</v>
      </c>
      <c r="B145" s="309">
        <f>B143/B144</f>
      </c>
      <c r="C145" s="309">
        <f t="shared" ref="C145:K145" si="66">C143/C144</f>
      </c>
      <c r="D145" s="309">
        <f t="shared" si="66"/>
      </c>
      <c r="E145" s="309">
        <f t="shared" si="66"/>
      </c>
      <c r="F145" s="309">
        <f t="shared" si="66"/>
      </c>
      <c r="G145" s="309">
        <f t="shared" si="66"/>
      </c>
      <c r="H145" s="309">
        <f t="shared" si="66"/>
      </c>
      <c r="I145" s="309">
        <f t="shared" si="66"/>
      </c>
      <c r="J145" s="309">
        <f t="shared" si="66"/>
      </c>
      <c r="K145" s="309">
        <f t="shared" si="66"/>
      </c>
      <c r="L145" s="2" t="s">
        <v>272</v>
      </c>
    </row>
    <row r="148" spans="1:12" x14ac:dyDescent="0.25">
      <c r="A148" t="s">
        <v>264</v>
      </c>
      <c r="B148">
        <f>'Data Sheet'!B26+'Data Sheet'!B27</f>
      </c>
      <c r="C148">
        <f>'Data Sheet'!C26+'Data Sheet'!C27</f>
      </c>
      <c r="D148">
        <f>'Data Sheet'!D26+'Data Sheet'!D27</f>
      </c>
      <c r="E148">
        <f>'Data Sheet'!E26+'Data Sheet'!E27</f>
      </c>
      <c r="F148">
        <f>'Data Sheet'!F26+'Data Sheet'!F27</f>
      </c>
      <c r="G148">
        <f>'Data Sheet'!G26+'Data Sheet'!G27</f>
      </c>
      <c r="H148">
        <f>'Data Sheet'!H26+'Data Sheet'!H27</f>
      </c>
      <c r="I148">
        <f>'Data Sheet'!I26+'Data Sheet'!I27</f>
      </c>
      <c r="J148">
        <f>'Data Sheet'!J26+'Data Sheet'!J27</f>
      </c>
      <c r="K148">
        <f>'Data Sheet'!K26+'Data Sheet'!K27</f>
      </c>
    </row>
    <row r="149" spans="1:12" x14ac:dyDescent="0.25">
      <c r="A149" t="s">
        <v>265</v>
      </c>
      <c r="B149" s="237">
        <f t="shared" ref="B149:K149" si="67">B16/B6</f>
      </c>
      <c r="C149" s="237">
        <f t="shared" si="67"/>
      </c>
      <c r="D149" s="237">
        <f t="shared" si="67"/>
      </c>
      <c r="E149" s="237">
        <f t="shared" si="67"/>
      </c>
      <c r="F149" s="237">
        <f t="shared" si="67"/>
      </c>
      <c r="G149" s="237">
        <f t="shared" si="67"/>
      </c>
      <c r="H149" s="237">
        <f t="shared" si="67"/>
      </c>
      <c r="I149" s="237">
        <f t="shared" si="67"/>
      </c>
      <c r="J149" s="237">
        <f t="shared" si="67"/>
      </c>
      <c r="K149" s="237">
        <f t="shared" si="67"/>
      </c>
    </row>
    <row r="150" spans="1:12" x14ac:dyDescent="0.25">
      <c r="A150" t="s">
        <v>266</v>
      </c>
      <c r="B150">
        <f>B148/B149</f>
      </c>
      <c r="C150">
        <f t="shared" ref="C150:K150" si="68">C148/C149</f>
      </c>
      <c r="D150">
        <f t="shared" si="68"/>
      </c>
      <c r="E150">
        <f t="shared" si="68"/>
      </c>
      <c r="F150">
        <f t="shared" si="68"/>
      </c>
      <c r="G150">
        <f t="shared" si="68"/>
      </c>
      <c r="H150">
        <f t="shared" si="68"/>
      </c>
      <c r="I150">
        <f t="shared" si="68"/>
      </c>
      <c r="J150">
        <f t="shared" si="68"/>
      </c>
      <c r="K150">
        <f t="shared" si="68"/>
      </c>
    </row>
    <row r="151" spans="1:12" x14ac:dyDescent="0.25">
      <c r="A151" t="s">
        <v>267</v>
      </c>
      <c r="B151" s="23">
        <f t="shared" ref="B151:K151" si="69">B6</f>
      </c>
      <c r="C151" s="23">
        <f t="shared" si="69"/>
      </c>
      <c r="D151" s="23">
        <f t="shared" si="69"/>
      </c>
      <c r="E151" s="23">
        <f t="shared" si="69"/>
      </c>
      <c r="F151" s="23">
        <f t="shared" si="69"/>
      </c>
      <c r="G151" s="23">
        <f t="shared" si="69"/>
      </c>
      <c r="H151" s="23">
        <f t="shared" si="69"/>
      </c>
      <c r="I151" s="23">
        <f t="shared" si="69"/>
      </c>
      <c r="J151" s="23">
        <f t="shared" si="69"/>
      </c>
      <c r="K151" s="23">
        <f t="shared" si="69"/>
      </c>
    </row>
    <row r="152" spans="1:12" x14ac:dyDescent="0.25">
      <c r="A152" s="2" t="s">
        <v>268</v>
      </c>
      <c r="B152" s="309">
        <f>B150/B151</f>
      </c>
      <c r="C152" s="309">
        <f t="shared" ref="C152:K152" si="70">C150/C151</f>
      </c>
      <c r="D152" s="309">
        <f t="shared" si="70"/>
      </c>
      <c r="E152" s="309">
        <f t="shared" si="70"/>
      </c>
      <c r="F152" s="309">
        <f t="shared" si="70"/>
      </c>
      <c r="G152" s="309">
        <f t="shared" si="70"/>
      </c>
      <c r="H152" s="309">
        <f t="shared" si="70"/>
      </c>
      <c r="I152" s="309">
        <f t="shared" si="70"/>
      </c>
      <c r="J152" s="309">
        <f t="shared" si="70"/>
      </c>
      <c r="K152" s="309">
        <f t="shared" si="70"/>
      </c>
      <c r="L152" s="2" t="s">
        <v>279</v>
      </c>
    </row>
    <row r="155" spans="1:12" x14ac:dyDescent="0.25">
      <c r="A155" s="2" t="s">
        <v>191</v>
      </c>
      <c r="B155" s="309">
        <f>'Balance Sheet'!B99</f>
      </c>
      <c r="C155" s="309">
        <f>'Balance Sheet'!C99</f>
      </c>
      <c r="D155" s="309">
        <f>'Balance Sheet'!D99</f>
      </c>
      <c r="E155" s="309">
        <f>'Balance Sheet'!E99</f>
      </c>
      <c r="F155" s="309">
        <f>'Balance Sheet'!F99</f>
      </c>
      <c r="G155" s="309">
        <f>'Balance Sheet'!G99</f>
      </c>
      <c r="H155" s="309">
        <f>'Balance Sheet'!H99</f>
      </c>
      <c r="I155" s="309">
        <f>'Balance Sheet'!I99</f>
      </c>
      <c r="J155" s="309">
        <f>'Balance Sheet'!J99</f>
      </c>
      <c r="K155" s="309">
        <f>'Balance Sheet'!K99</f>
      </c>
      <c r="L155" s="2" t="s">
        <v>272</v>
      </c>
    </row>
    <row r="157" spans="1:12" x14ac:dyDescent="0.25">
      <c r="A157" t="s">
        <v>269</v>
      </c>
      <c r="B157" s="23">
        <f t="shared" ref="B157:K157" si="71">B86</f>
      </c>
      <c r="C157" s="23">
        <f t="shared" si="71"/>
      </c>
      <c r="D157" s="23">
        <f t="shared" si="71"/>
      </c>
      <c r="E157" s="23">
        <f t="shared" si="71"/>
      </c>
      <c r="F157" s="23">
        <f t="shared" si="71"/>
      </c>
      <c r="G157" s="23">
        <f t="shared" si="71"/>
      </c>
      <c r="H157" s="23">
        <f t="shared" si="71"/>
      </c>
      <c r="I157" s="23">
        <f t="shared" si="71"/>
      </c>
      <c r="J157" s="23">
        <f t="shared" si="71"/>
      </c>
      <c r="K157" s="23">
        <f t="shared" si="71"/>
      </c>
    </row>
    <row r="158" spans="1:12" x14ac:dyDescent="0.25">
      <c r="A158" t="s">
        <v>264</v>
      </c>
      <c r="B158">
        <f>B148</f>
      </c>
      <c r="C158">
        <f t="shared" ref="C158:K158" si="72">C148</f>
      </c>
      <c r="D158">
        <f t="shared" si="72"/>
      </c>
      <c r="E158">
        <f t="shared" si="72"/>
      </c>
      <c r="F158">
        <f t="shared" si="72"/>
      </c>
      <c r="G158">
        <f t="shared" si="72"/>
      </c>
      <c r="H158">
        <f t="shared" si="72"/>
      </c>
      <c r="I158">
        <f t="shared" si="72"/>
      </c>
      <c r="J158">
        <f t="shared" si="72"/>
      </c>
      <c r="K158">
        <f t="shared" si="72"/>
      </c>
    </row>
    <row r="159" spans="1:12" x14ac:dyDescent="0.25">
      <c r="A159" t="s">
        <v>270</v>
      </c>
      <c r="B159">
        <f>0.2*'Data Sheet'!B59</f>
      </c>
      <c r="C159">
        <f>0.2*'Data Sheet'!C59</f>
      </c>
      <c r="D159">
        <f>0.2*'Data Sheet'!D59</f>
      </c>
      <c r="E159">
        <f>0.2*'Data Sheet'!E59</f>
      </c>
      <c r="F159">
        <f>0.2*'Data Sheet'!F59</f>
      </c>
      <c r="G159">
        <f>0.2*'Data Sheet'!G59</f>
      </c>
      <c r="H159">
        <f>0.2*'Data Sheet'!H59</f>
      </c>
      <c r="I159">
        <f>0.2*'Data Sheet'!I59</f>
      </c>
      <c r="J159">
        <f>0.2*'Data Sheet'!J59</f>
      </c>
      <c r="K159">
        <f>0.2*'Data Sheet'!K59</f>
      </c>
    </row>
    <row r="160" spans="1:12" x14ac:dyDescent="0.25">
      <c r="A160" s="2" t="s">
        <v>271</v>
      </c>
      <c r="B160" s="320">
        <f>B157/(B158+B159)</f>
      </c>
      <c r="C160" s="320">
        <f t="shared" ref="C160:K160" si="73">C157/(C158+C159)</f>
      </c>
      <c r="D160" s="320">
        <f t="shared" si="73"/>
      </c>
      <c r="E160" s="320">
        <f t="shared" si="73"/>
      </c>
      <c r="F160" s="320">
        <f t="shared" si="73"/>
      </c>
      <c r="G160" s="320">
        <f t="shared" si="73"/>
      </c>
      <c r="H160" s="320">
        <f t="shared" si="73"/>
      </c>
      <c r="I160" s="320">
        <f t="shared" si="73"/>
      </c>
      <c r="J160" s="320">
        <f t="shared" si="73"/>
      </c>
      <c r="K160" s="320">
        <f t="shared" si="73"/>
      </c>
      <c r="L160" s="2" t="s">
        <v>272</v>
      </c>
    </row>
    <row r="162" spans="1:2" x14ac:dyDescent="0.25">
      <c r="A162" s="2" t="s">
        <v>273</v>
      </c>
    </row>
    <row r="164" spans="1:2" x14ac:dyDescent="0.25">
      <c r="A164" t="s">
        <v>274</v>
      </c>
      <c r="B164">
        <f>IF(K145&gt;=75%,1,0)</f>
      </c>
    </row>
    <row r="165" spans="1:2" x14ac:dyDescent="0.25">
      <c r="A165" t="s">
        <v>275</v>
      </c>
      <c r="B165">
        <f>IF(K152&lt;15%,1,0)</f>
      </c>
    </row>
    <row r="166" spans="1:2" x14ac:dyDescent="0.25">
      <c r="A166" t="s">
        <v>191</v>
      </c>
      <c r="B166">
        <f>IF(K155&gt;=20%,1,0)</f>
      </c>
    </row>
    <row r="167" spans="1:2" x14ac:dyDescent="0.25">
      <c r="A167" t="s">
        <v>276</v>
      </c>
      <c r="B167">
        <f>IF(K160&gt;2.5,1,0)</f>
      </c>
    </row>
    <row r="168" spans="1:2" x14ac:dyDescent="0.25">
      <c r="A168" s="2" t="s">
        <v>277</v>
      </c>
      <c r="B168" s="2">
        <f>SUM(B164:B167)</f>
      </c>
    </row>
  </sheetData>
  <mergeCells count="6">
    <mergeCell ref="A141:K141"/>
    <mergeCell ref="M96:O97"/>
    <mergeCell ref="Z21:AC22"/>
    <mergeCell ref="Z15:AC16"/>
    <mergeCell ref="M108:O109"/>
    <mergeCell ref="N61:P62"/>
  </mergeCells>
  <conditionalFormatting sqref="A16:M17">
    <cfRule type="cellIs" dxfId="14" priority="21" operator="lessThan">
      <formula>0</formula>
    </cfRule>
  </conditionalFormatting>
  <conditionalFormatting sqref="B55">
    <cfRule type="cellIs" dxfId="13" priority="6" operator="greaterThan">
      <formula>0</formula>
    </cfRule>
    <cfRule type="cellIs" dxfId="12" priority="7" operator="lessThan">
      <formula>0</formula>
    </cfRule>
  </conditionalFormatting>
  <conditionalFormatting sqref="B74">
    <cfRule type="cellIs" dxfId="11" priority="26" operator="lessThan">
      <formula>0</formula>
    </cfRule>
  </conditionalFormatting>
  <conditionalFormatting sqref="B77">
    <cfRule type="cellIs" dxfId="10" priority="4" operator="lessThan">
      <formula>0</formula>
    </cfRule>
    <cfRule type="cellIs" dxfId="9" priority="5" operator="greaterThan">
      <formula>0</formula>
    </cfRule>
  </conditionalFormatting>
  <conditionalFormatting sqref="B79">
    <cfRule type="cellIs" dxfId="8" priority="8" operator="greaterThan">
      <formula>0</formula>
    </cfRule>
  </conditionalFormatting>
  <conditionalFormatting sqref="B62:K62">
    <cfRule type="cellIs" dxfId="7" priority="10" operator="lessThan">
      <formula>0</formula>
    </cfRule>
  </conditionalFormatting>
  <conditionalFormatting sqref="B68:K68">
    <cfRule type="cellIs" dxfId="6" priority="27" operator="lessThan">
      <formula>0</formula>
    </cfRule>
  </conditionalFormatting>
  <conditionalFormatting sqref="J72">
    <cfRule type="cellIs" dxfId="5" priority="24" operator="lessThan">
      <formula>0.7</formula>
    </cfRule>
  </conditionalFormatting>
  <conditionalFormatting sqref="J74">
    <cfRule type="cellIs" dxfId="4" priority="23" operator="lessThan">
      <formula>0.25</formula>
    </cfRule>
  </conditionalFormatting>
  <conditionalFormatting sqref="B135:K135">
    <cfRule type="cellIs" dxfId="3" priority="3" operator="lessThan">
      <formula>0</formula>
    </cfRule>
  </conditionalFormatting>
  <conditionalFormatting sqref="B137:L137">
    <cfRule type="cellIs" dxfId="2" priority="2" operator="lessThan">
      <formula>0</formula>
    </cfRule>
  </conditionalFormatting>
  <conditionalFormatting sqref="B160:K160">
    <cfRule type="cellIs" dxfId="1" priority="1" operator="lessThan">
      <formula>0</formula>
    </cfRule>
  </conditionalFormatting>
  <dataValidations count="1">
    <dataValidation type="list" showInputMessage="1" showErrorMessage="1" promptTitle="Input Date" prompt="Please input date of purchase" sqref="B122" xr:uid="{30C8A8D0-973E-4902-8C2A-72773CD924C3}">
      <formula1>$B$93:$K$93</formula1>
    </dataValidation>
  </dataValidations>
  <hyperlinks>
    <hyperlink ref="L1" r:id="rId1" display="Amol N" xr:uid="{8ACBE8B0-FCBA-460E-B2C5-05249EAE166C}"/>
    <hyperlink ref="S27" r:id="rId2" xr:uid="{368698DD-6E6B-451F-9BE9-C49CC47DB619}"/>
  </hyperlinks>
  <printOptions gridLines="1"/>
  <pageMargins left="0.7" right="0.7" top="0.75" bottom="0.75" header="0.3" footer="0.3"/>
  <pageSetup paperSize="9" scale="51" orientation="landscape" horizontalDpi="300" verticalDpi="300" r:id="rId3"/>
  <ignoredErrors>
    <ignoredError sqref="L18 L6 L21 L19 L15:L16" formulaRange="1"/>
  </ignoredErrors>
  <legacy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1C8EA346-2B8D-47BA-9A52-B45E6DF7ED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Snapshot!B97:L97</xm:f>
              <xm:sqref>M96</xm:sqref>
            </x14:sparkline>
          </x14:sparklines>
        </x14:sparklineGroup>
        <x14:sparklineGroup displayEmptyCellsAs="gap" markers="1" xr2:uid="{A60C8B02-2FEE-44F4-8271-6B37886BA1B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Snapshot!C62:K62</xm:f>
              <xm:sqref>N61</xm:sqref>
            </x14:sparkline>
          </x14:sparklines>
        </x14:sparklineGroup>
        <x14:sparklineGroup displayEmptyCellsAs="gap" markers="1" xr2:uid="{747B512F-21BF-4C0D-AE09-80B1F55FB41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Snapshot!O16:Y16</xm:f>
              <xm:sqref>Z15</xm:sqref>
            </x14:sparkline>
          </x14:sparklines>
        </x14:sparklineGroup>
        <x14:sparklineGroup displayEmptyCellsAs="gap" markers="1" displayXAxis="1" xr2:uid="{C5A7B95A-C3A7-4BE3-BC76-DD464355B4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Snapshot!O22:Y22</xm:f>
              <xm:sqref>Z21</xm:sqref>
            </x14:sparkline>
          </x14:sparklines>
        </x14:sparklineGroup>
        <x14:sparklineGroup displayEmptyCellsAs="gap" markers="1" xr2:uid="{9AC16EBF-2EE4-4258-83EF-F7AA6D7EEC1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Snapshot!B109:K109</xm:f>
              <xm:sqref>M108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V122"/>
  <sheetViews>
    <sheetView zoomScale="80" zoomScaleNormal="80" workbookViewId="0">
      <selection activeCell="C99" sqref="C99"/>
    </sheetView>
  </sheetViews>
  <sheetFormatPr defaultColWidth="8.85546875" defaultRowHeight="15" x14ac:dyDescent="0.25"/>
  <cols>
    <col min="1" max="1" width="25.7109375" customWidth="1"/>
    <col min="2" max="2" width="10" customWidth="1"/>
    <col min="3" max="3" width="8.7109375" customWidth="1"/>
    <col min="4" max="11" width="8.7109375" bestFit="1" customWidth="1"/>
  </cols>
  <sheetData>
    <row r="1" spans="1:22" ht="9.75" customHeight="1" x14ac:dyDescent="0.25">
      <c r="J1" s="189" t="s">
        <v>168</v>
      </c>
      <c r="K1" s="241" t="s">
        <v>232</v>
      </c>
    </row>
    <row r="2" spans="1:22" s="2" customFormat="1" x14ac:dyDescent="0.25">
      <c r="A2" s="2" t="str">
        <f>Snapshot!A2</f>
      </c>
      <c r="E2" t="str">
        <f>UPDATE</f>
      </c>
      <c r="G2"/>
    </row>
    <row r="3" spans="1:22" x14ac:dyDescent="0.25">
      <c r="A3" s="69" t="s">
        <v>109</v>
      </c>
      <c r="B3" s="75"/>
      <c r="C3" s="75"/>
      <c r="D3" s="75"/>
      <c r="E3" s="75"/>
      <c r="F3" s="75"/>
      <c r="G3" s="71"/>
      <c r="H3" s="71"/>
      <c r="I3" s="75"/>
      <c r="J3" s="75"/>
      <c r="K3" s="76"/>
      <c r="M3" s="69" t="s">
        <v>82</v>
      </c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91"/>
      <c r="B4" s="92">
        <f>'Data Sheet'!B56</f>
      </c>
      <c r="C4" s="92">
        <f>'Data Sheet'!C56</f>
      </c>
      <c r="D4" s="92">
        <f>'Data Sheet'!D56</f>
      </c>
      <c r="E4" s="92">
        <f>'Data Sheet'!E56</f>
      </c>
      <c r="F4" s="92">
        <f>'Data Sheet'!F56</f>
      </c>
      <c r="G4" s="92">
        <f>'Data Sheet'!G56</f>
      </c>
      <c r="H4" s="92">
        <f>'Data Sheet'!H56</f>
      </c>
      <c r="I4" s="92">
        <f>'Data Sheet'!I56</f>
      </c>
      <c r="J4" s="92">
        <f>'Data Sheet'!J56</f>
      </c>
      <c r="K4" s="93">
        <f>'Data Sheet'!K56</f>
      </c>
      <c r="M4" s="167">
        <f t="shared" ref="M4:V4" si="0">B4</f>
      </c>
      <c r="N4" s="142">
        <f t="shared" si="0"/>
      </c>
      <c r="O4" s="142">
        <f t="shared" si="0"/>
      </c>
      <c r="P4" s="142">
        <f t="shared" si="0"/>
      </c>
      <c r="Q4" s="142">
        <f t="shared" si="0"/>
      </c>
      <c r="R4" s="142">
        <f t="shared" si="0"/>
      </c>
      <c r="S4" s="142">
        <f t="shared" si="0"/>
      </c>
      <c r="T4" s="142">
        <f t="shared" si="0"/>
      </c>
      <c r="U4" s="142">
        <f t="shared" si="0"/>
      </c>
      <c r="V4" s="168">
        <f t="shared" si="0"/>
      </c>
    </row>
    <row r="5" spans="1:22" x14ac:dyDescent="0.25">
      <c r="A5" s="57" t="str">
        <f>'Data Sheet'!A57</f>
      </c>
      <c r="B5" s="79">
        <f>'Data Sheet'!B57</f>
      </c>
      <c r="C5" s="79">
        <f>'Data Sheet'!C57</f>
      </c>
      <c r="D5" s="79">
        <f>'Data Sheet'!D57</f>
      </c>
      <c r="E5" s="79">
        <f>'Data Sheet'!E57</f>
      </c>
      <c r="F5" s="79">
        <f>'Data Sheet'!F57</f>
      </c>
      <c r="G5" s="79">
        <f>'Data Sheet'!G57</f>
      </c>
      <c r="H5" s="79">
        <f>'Data Sheet'!H57</f>
      </c>
      <c r="I5" s="79">
        <f>'Data Sheet'!I57</f>
      </c>
      <c r="J5" s="79">
        <f>'Data Sheet'!J57</f>
      </c>
      <c r="K5" s="80">
        <f>'Data Sheet'!K57</f>
      </c>
      <c r="M5" s="66">
        <f>IF(B10=0,"",B5/B10)</f>
      </c>
      <c r="N5" s="66">
        <f t="shared" ref="N5:V5" si="1">IF(C10=0,"",C5/C10)</f>
      </c>
      <c r="O5" s="66">
        <f t="shared" si="1"/>
      </c>
      <c r="P5" s="66">
        <f t="shared" si="1"/>
      </c>
      <c r="Q5" s="66">
        <f t="shared" si="1"/>
      </c>
      <c r="R5" s="66">
        <f t="shared" si="1"/>
      </c>
      <c r="S5" s="66">
        <f t="shared" si="1"/>
      </c>
      <c r="T5" s="66">
        <f t="shared" si="1"/>
      </c>
      <c r="U5" s="66">
        <f t="shared" si="1"/>
      </c>
      <c r="V5" s="89">
        <f t="shared" si="1"/>
      </c>
    </row>
    <row r="6" spans="1:22" x14ac:dyDescent="0.25">
      <c r="A6" s="57" t="str">
        <f>'Data Sheet'!A58</f>
      </c>
      <c r="B6" s="79">
        <f>'Data Sheet'!B58</f>
      </c>
      <c r="C6" s="79">
        <f>'Data Sheet'!C58</f>
      </c>
      <c r="D6" s="79">
        <f>'Data Sheet'!D58</f>
      </c>
      <c r="E6" s="79">
        <f>'Data Sheet'!E58</f>
      </c>
      <c r="F6" s="79">
        <f>'Data Sheet'!F58</f>
      </c>
      <c r="G6" s="79">
        <f>'Data Sheet'!G58</f>
      </c>
      <c r="H6" s="79">
        <f>'Data Sheet'!H58</f>
      </c>
      <c r="I6" s="79">
        <f>'Data Sheet'!I58</f>
      </c>
      <c r="J6" s="79">
        <f>'Data Sheet'!J58</f>
      </c>
      <c r="K6" s="80">
        <f>'Data Sheet'!K58</f>
      </c>
      <c r="M6" s="66">
        <f>IF(B10=0,"",B6/B10)</f>
      </c>
      <c r="N6" s="66">
        <f t="shared" ref="N6:V6" si="2">IF(C10=0,"",C6/C10)</f>
      </c>
      <c r="O6" s="66">
        <f t="shared" si="2"/>
      </c>
      <c r="P6" s="66">
        <f t="shared" si="2"/>
      </c>
      <c r="Q6" s="66">
        <f t="shared" si="2"/>
      </c>
      <c r="R6" s="66">
        <f t="shared" si="2"/>
      </c>
      <c r="S6" s="66">
        <f t="shared" si="2"/>
      </c>
      <c r="T6" s="66">
        <f t="shared" si="2"/>
      </c>
      <c r="U6" s="66">
        <f t="shared" si="2"/>
      </c>
      <c r="V6" s="89">
        <f t="shared" si="2"/>
      </c>
    </row>
    <row r="7" spans="1:22" x14ac:dyDescent="0.25">
      <c r="A7" s="57" t="str">
        <f>'Data Sheet'!A59</f>
      </c>
      <c r="B7" s="79">
        <f>'Data Sheet'!B59</f>
      </c>
      <c r="C7" s="79">
        <f>'Data Sheet'!C59</f>
      </c>
      <c r="D7" s="79">
        <f>'Data Sheet'!D59</f>
      </c>
      <c r="E7" s="79">
        <f>'Data Sheet'!E59</f>
      </c>
      <c r="F7" s="79">
        <f>'Data Sheet'!F59</f>
      </c>
      <c r="G7" s="79">
        <f>'Data Sheet'!G59</f>
      </c>
      <c r="H7" s="79">
        <f>'Data Sheet'!H59</f>
      </c>
      <c r="I7" s="79">
        <f>'Data Sheet'!I59</f>
      </c>
      <c r="J7" s="79">
        <f>'Data Sheet'!J59</f>
      </c>
      <c r="K7" s="80">
        <f>'Data Sheet'!K59</f>
      </c>
      <c r="M7" s="66">
        <f>IF(B10=0,"",B7/B10)</f>
      </c>
      <c r="N7" s="66">
        <f t="shared" ref="N7:V7" si="3">IF(C10=0,"",C7/C10)</f>
      </c>
      <c r="O7" s="66">
        <f t="shared" si="3"/>
      </c>
      <c r="P7" s="66">
        <f t="shared" si="3"/>
      </c>
      <c r="Q7" s="66">
        <f t="shared" si="3"/>
      </c>
      <c r="R7" s="66">
        <f t="shared" si="3"/>
      </c>
      <c r="S7" s="66">
        <f t="shared" si="3"/>
      </c>
      <c r="T7" s="66">
        <f t="shared" si="3"/>
      </c>
      <c r="U7" s="66">
        <f t="shared" si="3"/>
      </c>
      <c r="V7" s="89">
        <f t="shared" si="3"/>
      </c>
    </row>
    <row r="8" spans="1:22" x14ac:dyDescent="0.25">
      <c r="A8" s="55" t="s">
        <v>153</v>
      </c>
      <c r="B8" s="85"/>
      <c r="C8" s="85"/>
      <c r="D8" s="85"/>
      <c r="E8" s="85"/>
      <c r="F8" s="85"/>
      <c r="G8" s="85"/>
      <c r="H8" s="85"/>
      <c r="I8" s="85"/>
      <c r="J8" s="85"/>
      <c r="K8" s="86"/>
      <c r="M8" s="66">
        <f>IF(B10=0,"",B8/B10)</f>
      </c>
      <c r="N8" s="66">
        <f t="shared" ref="N8:V8" si="4">IF(C10=0,"",C8/C10)</f>
      </c>
      <c r="O8" s="66">
        <f t="shared" si="4"/>
      </c>
      <c r="P8" s="66">
        <f t="shared" si="4"/>
      </c>
      <c r="Q8" s="66">
        <f t="shared" si="4"/>
      </c>
      <c r="R8" s="66">
        <f t="shared" si="4"/>
      </c>
      <c r="S8" s="66">
        <f t="shared" si="4"/>
      </c>
      <c r="T8" s="66">
        <f t="shared" si="4"/>
      </c>
      <c r="U8" s="66">
        <f t="shared" si="4"/>
      </c>
      <c r="V8" s="89">
        <f t="shared" si="4"/>
      </c>
    </row>
    <row r="9" spans="1:22" x14ac:dyDescent="0.25">
      <c r="A9" s="179" t="s">
        <v>37</v>
      </c>
      <c r="B9" s="180">
        <f>'Data Sheet'!B60-B8</f>
      </c>
      <c r="C9" s="180">
        <f>'Data Sheet'!C60-C8</f>
      </c>
      <c r="D9" s="180">
        <f>'Data Sheet'!D60-D8</f>
      </c>
      <c r="E9" s="180">
        <f>'Data Sheet'!E60-E8</f>
      </c>
      <c r="F9" s="180">
        <f>'Data Sheet'!F60-F8</f>
      </c>
      <c r="G9" s="180">
        <f>'Data Sheet'!G60-G8</f>
      </c>
      <c r="H9" s="180">
        <f>'Data Sheet'!H60-H8</f>
      </c>
      <c r="I9" s="180">
        <f>'Data Sheet'!I60-I8</f>
      </c>
      <c r="J9" s="180">
        <f>'Data Sheet'!J60-J8</f>
      </c>
      <c r="K9" s="183">
        <f>'Data Sheet'!K60-K8</f>
      </c>
      <c r="M9" s="66">
        <f>IF(B10=0,"",B9/B10)</f>
      </c>
      <c r="N9" s="66">
        <f t="shared" ref="N9:V9" si="5">IF(C10=0,"",C9/C10)</f>
      </c>
      <c r="O9" s="66">
        <f t="shared" si="5"/>
      </c>
      <c r="P9" s="66">
        <f t="shared" si="5"/>
      </c>
      <c r="Q9" s="66">
        <f t="shared" si="5"/>
      </c>
      <c r="R9" s="66">
        <f t="shared" si="5"/>
      </c>
      <c r="S9" s="66">
        <f t="shared" si="5"/>
      </c>
      <c r="T9" s="66">
        <f t="shared" si="5"/>
      </c>
      <c r="U9" s="66">
        <f t="shared" si="5"/>
      </c>
      <c r="V9" s="89">
        <f t="shared" si="5"/>
      </c>
    </row>
    <row r="10" spans="1:22" s="2" customFormat="1" x14ac:dyDescent="0.25">
      <c r="A10" s="51" t="s">
        <v>68</v>
      </c>
      <c r="B10" s="81">
        <f>SUM(B5:B9)</f>
      </c>
      <c r="C10" s="81">
        <f t="shared" ref="C10:K10" si="6">SUM(C5:C9)</f>
      </c>
      <c r="D10" s="81">
        <f t="shared" si="6"/>
      </c>
      <c r="E10" s="81">
        <f t="shared" si="6"/>
      </c>
      <c r="F10" s="81">
        <f t="shared" si="6"/>
      </c>
      <c r="G10" s="81">
        <f t="shared" si="6"/>
      </c>
      <c r="H10" s="81">
        <f t="shared" si="6"/>
      </c>
      <c r="I10" s="81">
        <f t="shared" si="6"/>
      </c>
      <c r="J10" s="81">
        <f t="shared" si="6"/>
      </c>
      <c r="K10" s="82">
        <f t="shared" si="6"/>
      </c>
      <c r="M10" s="60">
        <f>IF(B10=0,"",SUM(M5:M9))</f>
      </c>
      <c r="N10" s="60">
        <f t="shared" ref="N10:V10" si="7">IF(C10=0,"",SUM(N5:N9))</f>
      </c>
      <c r="O10" s="60">
        <f t="shared" si="7"/>
      </c>
      <c r="P10" s="60">
        <f t="shared" si="7"/>
      </c>
      <c r="Q10" s="60">
        <f t="shared" si="7"/>
      </c>
      <c r="R10" s="60">
        <f t="shared" si="7"/>
      </c>
      <c r="S10" s="60">
        <f t="shared" si="7"/>
      </c>
      <c r="T10" s="60">
        <f t="shared" si="7"/>
      </c>
      <c r="U10" s="60">
        <f t="shared" si="7"/>
      </c>
      <c r="V10" s="90">
        <f t="shared" si="7"/>
      </c>
    </row>
    <row r="11" spans="1:22" s="2" customFormat="1" x14ac:dyDescent="0.25">
      <c r="A11" s="56"/>
      <c r="B11" s="171"/>
      <c r="C11" s="171"/>
      <c r="D11" s="171"/>
      <c r="E11" s="171"/>
      <c r="F11" s="171"/>
      <c r="G11" s="171"/>
      <c r="H11" s="171"/>
      <c r="I11" s="171"/>
      <c r="J11" s="171"/>
      <c r="K11" s="83"/>
      <c r="M11" s="56"/>
      <c r="N11" s="56"/>
      <c r="O11" s="56"/>
      <c r="P11" s="56"/>
      <c r="Q11" s="56"/>
      <c r="R11" s="56"/>
      <c r="S11" s="56"/>
      <c r="T11" s="56"/>
      <c r="U11" s="56"/>
      <c r="V11" s="177"/>
    </row>
    <row r="12" spans="1:22" x14ac:dyDescent="0.25">
      <c r="A12" s="57" t="str">
        <f>'Data Sheet'!A62</f>
      </c>
      <c r="B12" s="79">
        <f>'Data Sheet'!B62</f>
      </c>
      <c r="C12" s="79">
        <f>'Data Sheet'!C62</f>
      </c>
      <c r="D12" s="79">
        <f>'Data Sheet'!D62</f>
      </c>
      <c r="E12" s="79">
        <f>'Data Sheet'!E62</f>
      </c>
      <c r="F12" s="79">
        <f>'Data Sheet'!F62</f>
      </c>
      <c r="G12" s="79">
        <f>'Data Sheet'!G62</f>
      </c>
      <c r="H12" s="79">
        <f>'Data Sheet'!H62</f>
      </c>
      <c r="I12" s="79">
        <f>'Data Sheet'!I62</f>
      </c>
      <c r="J12" s="79">
        <f>'Data Sheet'!J62</f>
      </c>
      <c r="K12" s="80">
        <f>'Data Sheet'!K62</f>
      </c>
      <c r="M12" s="66">
        <f>IF(B20=0,"",B12/B20)</f>
      </c>
      <c r="N12" s="66">
        <f t="shared" ref="N12:V12" si="8">IF(C20=0,"",C12/C20)</f>
      </c>
      <c r="O12" s="66">
        <f t="shared" si="8"/>
      </c>
      <c r="P12" s="66">
        <f t="shared" si="8"/>
      </c>
      <c r="Q12" s="66">
        <f t="shared" si="8"/>
      </c>
      <c r="R12" s="66">
        <f t="shared" si="8"/>
      </c>
      <c r="S12" s="66">
        <f t="shared" si="8"/>
      </c>
      <c r="T12" s="66">
        <f t="shared" si="8"/>
      </c>
      <c r="U12" s="66">
        <f t="shared" si="8"/>
      </c>
      <c r="V12" s="89">
        <f t="shared" si="8"/>
      </c>
    </row>
    <row r="13" spans="1:22" x14ac:dyDescent="0.25">
      <c r="A13" s="57" t="str">
        <f>'Data Sheet'!A63</f>
      </c>
      <c r="B13" s="79">
        <f>'Data Sheet'!B63</f>
      </c>
      <c r="C13" s="79">
        <f>'Data Sheet'!C63</f>
      </c>
      <c r="D13" s="79">
        <f>'Data Sheet'!D63</f>
      </c>
      <c r="E13" s="79">
        <f>'Data Sheet'!E63</f>
      </c>
      <c r="F13" s="79">
        <f>'Data Sheet'!F63</f>
      </c>
      <c r="G13" s="79">
        <f>'Data Sheet'!G63</f>
      </c>
      <c r="H13" s="79">
        <f>'Data Sheet'!H63</f>
      </c>
      <c r="I13" s="79">
        <f>'Data Sheet'!I63</f>
      </c>
      <c r="J13" s="79">
        <f>'Data Sheet'!J63</f>
      </c>
      <c r="K13" s="80">
        <f>'Data Sheet'!K63</f>
      </c>
      <c r="M13" s="66">
        <f>IF(B20=0,"",B13/B20)</f>
      </c>
      <c r="N13" s="66">
        <f t="shared" ref="N13:V13" si="9">IF(C20=0,"",C13/C20)</f>
      </c>
      <c r="O13" s="66">
        <f t="shared" si="9"/>
      </c>
      <c r="P13" s="66">
        <f t="shared" si="9"/>
      </c>
      <c r="Q13" s="66">
        <f t="shared" si="9"/>
      </c>
      <c r="R13" s="66">
        <f t="shared" si="9"/>
      </c>
      <c r="S13" s="66">
        <f t="shared" si="9"/>
      </c>
      <c r="T13" s="66">
        <f t="shared" si="9"/>
      </c>
      <c r="U13" s="66">
        <f t="shared" si="9"/>
      </c>
      <c r="V13" s="89">
        <f t="shared" si="9"/>
      </c>
    </row>
    <row r="14" spans="1:22" x14ac:dyDescent="0.25">
      <c r="A14" s="57" t="str">
        <f>'Data Sheet'!A69</f>
      </c>
      <c r="B14" s="79">
        <f>'Data Sheet'!B69</f>
      </c>
      <c r="C14" s="79">
        <f>'Data Sheet'!C69</f>
      </c>
      <c r="D14" s="79">
        <f>'Data Sheet'!D69</f>
      </c>
      <c r="E14" s="79">
        <f>'Data Sheet'!E69</f>
      </c>
      <c r="F14" s="79">
        <f>'Data Sheet'!F69</f>
      </c>
      <c r="G14" s="79">
        <f>'Data Sheet'!G69</f>
      </c>
      <c r="H14" s="79">
        <f>'Data Sheet'!H69</f>
      </c>
      <c r="I14" s="79">
        <f>'Data Sheet'!I69</f>
      </c>
      <c r="J14" s="79">
        <f>'Data Sheet'!J69</f>
      </c>
      <c r="K14" s="80">
        <f>'Data Sheet'!K69</f>
      </c>
      <c r="M14" s="66">
        <f>IF(B20=0,"",B14/B20)</f>
      </c>
      <c r="N14" s="66">
        <f t="shared" ref="N14:V14" si="10">IF(C20=0,"",C14/C20)</f>
      </c>
      <c r="O14" s="66">
        <f t="shared" si="10"/>
      </c>
      <c r="P14" s="66">
        <f t="shared" si="10"/>
      </c>
      <c r="Q14" s="66">
        <f t="shared" si="10"/>
      </c>
      <c r="R14" s="66">
        <f t="shared" si="10"/>
      </c>
      <c r="S14" s="66">
        <f t="shared" si="10"/>
      </c>
      <c r="T14" s="66">
        <f t="shared" si="10"/>
      </c>
      <c r="U14" s="66">
        <f t="shared" si="10"/>
      </c>
      <c r="V14" s="89">
        <f t="shared" si="10"/>
      </c>
    </row>
    <row r="15" spans="1:22" x14ac:dyDescent="0.25">
      <c r="A15" s="57" t="str">
        <f>'Data Sheet'!A64</f>
      </c>
      <c r="B15" s="79">
        <f>'Data Sheet'!B64</f>
      </c>
      <c r="C15" s="79">
        <f>'Data Sheet'!C64</f>
      </c>
      <c r="D15" s="79">
        <f>'Data Sheet'!D64</f>
      </c>
      <c r="E15" s="79">
        <f>'Data Sheet'!E64</f>
      </c>
      <c r="F15" s="79">
        <f>'Data Sheet'!F64</f>
      </c>
      <c r="G15" s="79">
        <f>'Data Sheet'!G64</f>
      </c>
      <c r="H15" s="79">
        <f>'Data Sheet'!H64</f>
      </c>
      <c r="I15" s="79">
        <f>'Data Sheet'!I64</f>
      </c>
      <c r="J15" s="79">
        <f>'Data Sheet'!J64</f>
      </c>
      <c r="K15" s="80">
        <f>'Data Sheet'!K64</f>
      </c>
      <c r="M15" s="66">
        <f>IF(B20=0,"",B15/B20)</f>
      </c>
      <c r="N15" s="66">
        <f t="shared" ref="N15:V15" si="11">IF(C20=0,"",C15/C20)</f>
      </c>
      <c r="O15" s="66">
        <f t="shared" si="11"/>
      </c>
      <c r="P15" s="66">
        <f t="shared" si="11"/>
      </c>
      <c r="Q15" s="66">
        <f t="shared" si="11"/>
      </c>
      <c r="R15" s="66">
        <f t="shared" si="11"/>
      </c>
      <c r="S15" s="66">
        <f t="shared" si="11"/>
      </c>
      <c r="T15" s="66">
        <f t="shared" si="11"/>
      </c>
      <c r="U15" s="66">
        <f t="shared" si="11"/>
      </c>
      <c r="V15" s="89">
        <f t="shared" si="11"/>
      </c>
    </row>
    <row r="16" spans="1:22" x14ac:dyDescent="0.25">
      <c r="A16" s="57" t="str">
        <f>'Data Sheet'!A68</f>
      </c>
      <c r="B16" s="52">
        <f>'Data Sheet'!B68</f>
      </c>
      <c r="C16" s="52">
        <f>'Data Sheet'!C68</f>
      </c>
      <c r="D16" s="52">
        <f>'Data Sheet'!D68</f>
      </c>
      <c r="E16" s="52">
        <f>'Data Sheet'!E68</f>
      </c>
      <c r="F16" s="52">
        <f>'Data Sheet'!F68</f>
      </c>
      <c r="G16" s="52">
        <f>'Data Sheet'!G68</f>
      </c>
      <c r="H16" s="52">
        <f>'Data Sheet'!H68</f>
      </c>
      <c r="I16" s="52">
        <f>'Data Sheet'!I68</f>
      </c>
      <c r="J16" s="52">
        <f>'Data Sheet'!J68</f>
      </c>
      <c r="K16" s="84">
        <f>'Data Sheet'!K68</f>
      </c>
      <c r="M16" s="66">
        <f>IF(B20=0,"",B16/B20)</f>
      </c>
      <c r="N16" s="66">
        <f t="shared" ref="N16:V16" si="12">IF(C20=0,"",C16/C20)</f>
      </c>
      <c r="O16" s="66">
        <f t="shared" si="12"/>
      </c>
      <c r="P16" s="66">
        <f t="shared" si="12"/>
      </c>
      <c r="Q16" s="66">
        <f t="shared" si="12"/>
      </c>
      <c r="R16" s="66">
        <f t="shared" si="12"/>
      </c>
      <c r="S16" s="66">
        <f t="shared" si="12"/>
      </c>
      <c r="T16" s="66">
        <f t="shared" si="12"/>
      </c>
      <c r="U16" s="66">
        <f t="shared" si="12"/>
      </c>
      <c r="V16" s="89">
        <f t="shared" si="12"/>
      </c>
    </row>
    <row r="17" spans="1:22" x14ac:dyDescent="0.25">
      <c r="A17" s="57" t="str">
        <f>'Data Sheet'!A67</f>
      </c>
      <c r="B17" s="52">
        <f>'Data Sheet'!B67</f>
      </c>
      <c r="C17" s="52">
        <f>'Data Sheet'!C67</f>
      </c>
      <c r="D17" s="52">
        <f>'Data Sheet'!D67</f>
      </c>
      <c r="E17" s="52">
        <f>'Data Sheet'!E67</f>
      </c>
      <c r="F17" s="52">
        <f>'Data Sheet'!F67</f>
      </c>
      <c r="G17" s="52">
        <f>'Data Sheet'!G67</f>
      </c>
      <c r="H17" s="52">
        <f>'Data Sheet'!H67</f>
      </c>
      <c r="I17" s="52">
        <f>'Data Sheet'!I67</f>
      </c>
      <c r="J17" s="52">
        <f>'Data Sheet'!J67</f>
      </c>
      <c r="K17" s="84">
        <f>'Data Sheet'!K67</f>
      </c>
      <c r="M17" s="66">
        <f>IF(B20=0,"",B17/B20)</f>
      </c>
      <c r="N17" s="66">
        <f t="shared" ref="N17:V17" si="13">IF(C20=0,"",C17/C20)</f>
      </c>
      <c r="O17" s="66">
        <f t="shared" si="13"/>
      </c>
      <c r="P17" s="66">
        <f t="shared" si="13"/>
      </c>
      <c r="Q17" s="66">
        <f t="shared" si="13"/>
      </c>
      <c r="R17" s="66">
        <f t="shared" si="13"/>
      </c>
      <c r="S17" s="66">
        <f t="shared" si="13"/>
      </c>
      <c r="T17" s="66">
        <f t="shared" si="13"/>
      </c>
      <c r="U17" s="66">
        <f t="shared" si="13"/>
      </c>
      <c r="V17" s="89">
        <f t="shared" si="13"/>
      </c>
    </row>
    <row r="18" spans="1:22" x14ac:dyDescent="0.25">
      <c r="A18" s="59" t="s">
        <v>164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  <c r="M18" s="66">
        <f>IF(B20=0,"",B18/B20)</f>
      </c>
      <c r="N18" s="66">
        <f t="shared" ref="N18:V18" si="14">IF(C20=0,"",C18/C20)</f>
      </c>
      <c r="O18" s="66">
        <f t="shared" si="14"/>
      </c>
      <c r="P18" s="66">
        <f t="shared" si="14"/>
      </c>
      <c r="Q18" s="66">
        <f>IF(F20=0,"",F18/F20)</f>
      </c>
      <c r="R18" s="66">
        <f t="shared" si="14"/>
      </c>
      <c r="S18" s="66">
        <f t="shared" si="14"/>
      </c>
      <c r="T18" s="66">
        <f t="shared" si="14"/>
      </c>
      <c r="U18" s="66">
        <f t="shared" si="14"/>
      </c>
      <c r="V18" s="89">
        <f t="shared" si="14"/>
      </c>
    </row>
    <row r="19" spans="1:22" s="2" customFormat="1" x14ac:dyDescent="0.25">
      <c r="A19" s="182" t="str">
        <f>'Data Sheet'!A65</f>
      </c>
      <c r="B19" s="180">
        <f>'Data Sheet'!B65-'Data Sheet'!B67-'Data Sheet'!B68-'Data Sheet'!B69-B18</f>
      </c>
      <c r="C19" s="180">
        <f>'Data Sheet'!C65-'Data Sheet'!C67-'Data Sheet'!C68-'Data Sheet'!C69-C18</f>
      </c>
      <c r="D19" s="180">
        <f>'Data Sheet'!D65-'Data Sheet'!D67-'Data Sheet'!D68-'Data Sheet'!D69-D18</f>
      </c>
      <c r="E19" s="180">
        <f>'Data Sheet'!E65-'Data Sheet'!E67-'Data Sheet'!E68-'Data Sheet'!E69-E18</f>
      </c>
      <c r="F19" s="180">
        <f>'Data Sheet'!F65-'Data Sheet'!F67-'Data Sheet'!F68-'Data Sheet'!F69-F18</f>
      </c>
      <c r="G19" s="180">
        <f>'Data Sheet'!G65-'Data Sheet'!G67-'Data Sheet'!G68-'Data Sheet'!G69-G18</f>
      </c>
      <c r="H19" s="180">
        <f>'Data Sheet'!H65-'Data Sheet'!H67-'Data Sheet'!H68-'Data Sheet'!H69-H18</f>
      </c>
      <c r="I19" s="180">
        <f>'Data Sheet'!I65-'Data Sheet'!I67-'Data Sheet'!I68-'Data Sheet'!I69-I18</f>
      </c>
      <c r="J19" s="180">
        <f>'Data Sheet'!J65-'Data Sheet'!J67-'Data Sheet'!J68-'Data Sheet'!J69-J18</f>
      </c>
      <c r="K19" s="183">
        <f>'Data Sheet'!K65-'Data Sheet'!K67-'Data Sheet'!K68-'Data Sheet'!K69-K18</f>
      </c>
      <c r="M19" s="49">
        <f>IF(B20=0,"",B19/B20)</f>
      </c>
      <c r="N19" s="49">
        <f t="shared" ref="N19:V19" si="15">IF(C20=0,"",C19/C20)</f>
      </c>
      <c r="O19" s="49">
        <f t="shared" si="15"/>
      </c>
      <c r="P19" s="49">
        <f t="shared" si="15"/>
      </c>
      <c r="Q19" s="49">
        <f t="shared" si="15"/>
      </c>
      <c r="R19" s="49">
        <f t="shared" si="15"/>
      </c>
      <c r="S19" s="49">
        <f t="shared" si="15"/>
      </c>
      <c r="T19" s="49">
        <f t="shared" si="15"/>
      </c>
      <c r="U19" s="49">
        <f t="shared" si="15"/>
      </c>
      <c r="V19" s="178">
        <f t="shared" si="15"/>
      </c>
    </row>
    <row r="20" spans="1:22" x14ac:dyDescent="0.25">
      <c r="A20" s="51" t="s">
        <v>67</v>
      </c>
      <c r="B20" s="81">
        <f>SUM(B12:B19)</f>
      </c>
      <c r="C20" s="81">
        <f t="shared" ref="C20:K20" si="16">SUM(C12:C19)</f>
      </c>
      <c r="D20" s="81">
        <f t="shared" si="16"/>
      </c>
      <c r="E20" s="81">
        <f t="shared" si="16"/>
      </c>
      <c r="F20" s="81">
        <f t="shared" si="16"/>
      </c>
      <c r="G20" s="81">
        <f t="shared" si="16"/>
      </c>
      <c r="H20" s="81">
        <f t="shared" si="16"/>
      </c>
      <c r="I20" s="81">
        <f t="shared" si="16"/>
      </c>
      <c r="J20" s="81">
        <f t="shared" si="16"/>
      </c>
      <c r="K20" s="82">
        <f t="shared" si="16"/>
      </c>
      <c r="M20" s="60">
        <f>IF(B20=0,"",SUM(M12:M19))</f>
      </c>
      <c r="N20" s="60">
        <f t="shared" ref="N20:V20" si="17">IF(C20=0,"",SUM(N12:N19))</f>
      </c>
      <c r="O20" s="60">
        <f t="shared" si="17"/>
      </c>
      <c r="P20" s="60">
        <f t="shared" si="17"/>
      </c>
      <c r="Q20" s="60">
        <f t="shared" si="17"/>
      </c>
      <c r="R20" s="60">
        <f t="shared" si="17"/>
      </c>
      <c r="S20" s="60">
        <f t="shared" si="17"/>
      </c>
      <c r="T20" s="60">
        <f t="shared" si="17"/>
      </c>
      <c r="U20" s="60">
        <f t="shared" si="17"/>
      </c>
      <c r="V20" s="60">
        <f t="shared" si="17"/>
      </c>
    </row>
    <row r="21" spans="1:22" x14ac:dyDescent="0.25">
      <c r="A21" s="2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x14ac:dyDescent="0.25">
      <c r="A22" s="69" t="s">
        <v>167</v>
      </c>
      <c r="B22" s="188"/>
      <c r="C22" s="188"/>
      <c r="D22" s="188"/>
      <c r="E22" s="188"/>
      <c r="F22" s="75"/>
      <c r="G22" s="75"/>
      <c r="H22" s="71"/>
      <c r="I22" s="75"/>
      <c r="J22" s="75"/>
      <c r="K22" s="76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x14ac:dyDescent="0.25">
      <c r="A23" s="2"/>
      <c r="B23" s="171"/>
      <c r="C23" s="171"/>
      <c r="D23" s="171"/>
      <c r="E23" s="171"/>
      <c r="F23" s="2" t="s">
        <v>84</v>
      </c>
      <c r="H23" s="2"/>
      <c r="I23" s="2"/>
      <c r="J23" s="2"/>
      <c r="K23" s="2" t="s">
        <v>83</v>
      </c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x14ac:dyDescent="0.25">
      <c r="A24" s="24" t="str">
        <f>A5</f>
      </c>
      <c r="B24" s="171"/>
      <c r="C24" s="171"/>
      <c r="D24" s="171"/>
      <c r="E24" s="171"/>
      <c r="F24" s="52">
        <f>K5-F5</f>
      </c>
      <c r="H24" s="52"/>
      <c r="I24" s="52"/>
      <c r="J24" s="52"/>
      <c r="K24" s="52">
        <f>K5-J5</f>
      </c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x14ac:dyDescent="0.25">
      <c r="A25" s="24" t="s">
        <v>11</v>
      </c>
      <c r="B25" s="171"/>
      <c r="C25" s="171"/>
      <c r="D25" s="171"/>
      <c r="E25" s="171"/>
      <c r="F25" s="52">
        <f>K6-F6</f>
      </c>
      <c r="H25" s="52"/>
      <c r="I25" s="52"/>
      <c r="J25" s="52"/>
      <c r="K25" s="52">
        <f>K6-J6</f>
      </c>
      <c r="N25" s="181"/>
      <c r="O25" s="181"/>
      <c r="P25" s="181"/>
      <c r="Q25" s="181"/>
      <c r="R25" s="181"/>
      <c r="S25" s="181"/>
      <c r="T25" s="181"/>
      <c r="U25" s="181"/>
      <c r="V25" s="181"/>
    </row>
    <row r="26" spans="1:22" x14ac:dyDescent="0.25">
      <c r="A26" s="24" t="str">
        <f>A7</f>
      </c>
      <c r="B26" s="171"/>
      <c r="C26" s="171"/>
      <c r="D26" s="171"/>
      <c r="E26" s="171"/>
      <c r="F26" s="88">
        <f>K7-F7</f>
      </c>
      <c r="H26" s="88"/>
      <c r="I26" s="88"/>
      <c r="J26" s="88"/>
      <c r="K26" s="88">
        <f>K7-J7</f>
      </c>
      <c r="N26" s="181"/>
      <c r="O26" s="181"/>
      <c r="P26" s="181"/>
      <c r="Q26" s="181"/>
      <c r="R26" s="181"/>
      <c r="S26" s="181"/>
      <c r="T26" s="181"/>
      <c r="U26" s="181"/>
      <c r="V26" s="181"/>
    </row>
    <row r="27" spans="1:22" x14ac:dyDescent="0.25">
      <c r="A27" s="24" t="s">
        <v>80</v>
      </c>
      <c r="B27" s="171"/>
      <c r="C27" s="171"/>
      <c r="D27" s="171"/>
      <c r="E27" s="171"/>
      <c r="F27" s="52">
        <f>K8-F8</f>
      </c>
      <c r="H27" s="52"/>
      <c r="I27" s="52"/>
      <c r="J27" s="52"/>
      <c r="K27" s="52">
        <f>K8-J8</f>
      </c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x14ac:dyDescent="0.25">
      <c r="A28" s="40" t="s">
        <v>37</v>
      </c>
      <c r="B28" s="187"/>
      <c r="C28" s="187"/>
      <c r="D28" s="187"/>
      <c r="E28" s="187"/>
      <c r="F28" s="53">
        <f>K9-F9</f>
      </c>
      <c r="G28" s="40"/>
      <c r="H28" s="53"/>
      <c r="I28" s="53"/>
      <c r="J28" s="53"/>
      <c r="K28" s="53">
        <f>K9-J9</f>
      </c>
      <c r="N28" s="181"/>
      <c r="O28" s="181"/>
      <c r="P28" s="181"/>
      <c r="Q28" s="181"/>
      <c r="R28" s="181"/>
      <c r="S28" s="181"/>
      <c r="T28" s="181"/>
      <c r="U28" s="181"/>
      <c r="V28" s="181"/>
    </row>
    <row r="29" spans="1:22" x14ac:dyDescent="0.25">
      <c r="A29" s="2" t="s">
        <v>86</v>
      </c>
      <c r="B29" s="171"/>
      <c r="C29" s="171"/>
      <c r="D29" s="171"/>
      <c r="E29" s="171"/>
      <c r="F29" s="15">
        <f>SUM(F24:F28)</f>
      </c>
      <c r="H29" s="52"/>
      <c r="I29" s="15"/>
      <c r="J29" s="52"/>
      <c r="K29" s="15">
        <f>SUM(K24:K28)</f>
      </c>
      <c r="N29" s="181"/>
      <c r="O29" s="181"/>
      <c r="P29" s="181"/>
      <c r="Q29" s="181"/>
      <c r="R29" s="181"/>
      <c r="S29" s="181"/>
      <c r="T29" s="181"/>
      <c r="U29" s="181"/>
      <c r="V29" s="181"/>
    </row>
    <row r="30" spans="1:22" x14ac:dyDescent="0.25">
      <c r="B30" s="171"/>
      <c r="C30" s="171"/>
      <c r="D30" s="171"/>
      <c r="E30" s="171"/>
      <c r="H30" s="2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1:22" x14ac:dyDescent="0.25">
      <c r="A31" t="s">
        <v>85</v>
      </c>
      <c r="B31" s="171"/>
      <c r="C31" s="171"/>
      <c r="D31" s="171"/>
      <c r="E31" s="171"/>
      <c r="F31" s="52">
        <f>(K12+K13)-(F12+F13)</f>
      </c>
      <c r="H31" s="52"/>
      <c r="I31" s="52"/>
      <c r="J31" s="52"/>
      <c r="K31" s="52">
        <f>(K12+K13)-(J12+J13)</f>
      </c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22" x14ac:dyDescent="0.25">
      <c r="A32" s="24" t="str">
        <f>A14</f>
      </c>
      <c r="B32" s="171"/>
      <c r="C32" s="171"/>
      <c r="D32" s="171"/>
      <c r="E32" s="171"/>
      <c r="F32" s="16">
        <f t="shared" ref="F32:F37" si="18">K14-F14</f>
      </c>
      <c r="H32" s="15"/>
      <c r="I32" s="16"/>
      <c r="J32" s="15"/>
      <c r="K32" s="52">
        <f t="shared" ref="K32:K37" si="19">K14-J14</f>
      </c>
      <c r="N32" s="181"/>
      <c r="O32" s="181"/>
      <c r="P32" s="181"/>
      <c r="Q32" s="181"/>
      <c r="R32" s="181"/>
      <c r="S32" s="181"/>
      <c r="T32" s="181"/>
      <c r="U32" s="181"/>
      <c r="V32" s="181"/>
    </row>
    <row r="33" spans="1:22" x14ac:dyDescent="0.25">
      <c r="A33" s="24" t="str">
        <f>A15</f>
      </c>
      <c r="B33" s="171"/>
      <c r="C33" s="171"/>
      <c r="D33" s="171"/>
      <c r="E33" s="171"/>
      <c r="F33" s="16">
        <f t="shared" si="18"/>
      </c>
      <c r="H33" s="52"/>
      <c r="I33" s="52"/>
      <c r="J33" s="52"/>
      <c r="K33" s="52">
        <f t="shared" si="19"/>
      </c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x14ac:dyDescent="0.25">
      <c r="A34" s="24" t="str">
        <f>A16</f>
      </c>
      <c r="B34" s="171"/>
      <c r="C34" s="171"/>
      <c r="D34" s="171"/>
      <c r="E34" s="171"/>
      <c r="F34" s="16">
        <f t="shared" si="18"/>
      </c>
      <c r="K34" s="52">
        <f t="shared" si="19"/>
      </c>
      <c r="N34" s="181"/>
      <c r="O34" s="181"/>
      <c r="P34" s="181"/>
      <c r="Q34" s="181"/>
      <c r="R34" s="181"/>
      <c r="S34" s="181"/>
      <c r="T34" s="181"/>
      <c r="U34" s="181"/>
      <c r="V34" s="181"/>
    </row>
    <row r="35" spans="1:22" x14ac:dyDescent="0.25">
      <c r="A35" s="24" t="str">
        <f>A17</f>
      </c>
      <c r="B35" s="171"/>
      <c r="C35" s="171"/>
      <c r="D35" s="171"/>
      <c r="E35" s="171"/>
      <c r="F35" s="16">
        <f t="shared" si="18"/>
      </c>
      <c r="H35" s="52"/>
      <c r="I35" s="52"/>
      <c r="J35" s="52"/>
      <c r="K35" s="52">
        <f t="shared" si="19"/>
      </c>
      <c r="N35" s="181"/>
      <c r="O35" s="181"/>
      <c r="P35" s="181"/>
      <c r="Q35" s="181"/>
      <c r="R35" s="181"/>
      <c r="S35" s="181"/>
      <c r="T35" s="181"/>
      <c r="U35" s="181"/>
      <c r="V35" s="181"/>
    </row>
    <row r="36" spans="1:22" x14ac:dyDescent="0.25">
      <c r="A36" s="24" t="s">
        <v>81</v>
      </c>
      <c r="B36" s="171"/>
      <c r="C36" s="171"/>
      <c r="D36" s="171"/>
      <c r="E36" s="171"/>
      <c r="F36" s="16">
        <f t="shared" si="18"/>
      </c>
      <c r="H36" s="16" t="str">
        <f>IF(ISERROR(AVERAGEIF(#REF!,"&gt;0")),"",AVERAGEIF(#REF!,"&gt;0"))</f>
      </c>
      <c r="I36" s="52"/>
      <c r="J36" s="16" t="str">
        <f>IF(ISERROR(AVERAGEIF(#REF!,"&gt;0")),"",AVERAGEIF(#REF!,"&gt;0"))</f>
      </c>
      <c r="K36" s="52">
        <f t="shared" si="19"/>
      </c>
      <c r="N36" s="181"/>
      <c r="O36" s="181"/>
      <c r="P36" s="181"/>
      <c r="Q36" s="181"/>
      <c r="R36" s="181"/>
      <c r="S36" s="181"/>
      <c r="T36" s="181"/>
      <c r="U36" s="181"/>
      <c r="V36" s="181"/>
    </row>
    <row r="37" spans="1:22" x14ac:dyDescent="0.25">
      <c r="A37" s="97" t="str">
        <f>A19</f>
      </c>
      <c r="B37" s="187"/>
      <c r="C37" s="187"/>
      <c r="D37" s="187"/>
      <c r="E37" s="187"/>
      <c r="F37" s="17">
        <f t="shared" si="18"/>
      </c>
      <c r="G37" s="40"/>
      <c r="H37" s="53"/>
      <c r="I37" s="53"/>
      <c r="J37" s="53"/>
      <c r="K37" s="53">
        <f t="shared" si="19"/>
      </c>
      <c r="N37" s="181"/>
      <c r="O37" s="181"/>
      <c r="P37" s="181"/>
      <c r="Q37" s="181"/>
      <c r="R37" s="181"/>
      <c r="S37" s="181"/>
      <c r="T37" s="181"/>
      <c r="U37" s="181"/>
      <c r="V37" s="181"/>
    </row>
    <row r="38" spans="1:22" x14ac:dyDescent="0.25">
      <c r="A38" s="2" t="s">
        <v>124</v>
      </c>
      <c r="B38" s="171"/>
      <c r="C38" s="171"/>
      <c r="D38" s="171"/>
      <c r="E38" s="171"/>
      <c r="F38" s="36">
        <f>SUM(F31:F37)</f>
      </c>
      <c r="H38" s="2"/>
      <c r="I38" s="2"/>
      <c r="J38" s="2"/>
      <c r="K38" s="36">
        <f>SUM(K31:K37)</f>
      </c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x14ac:dyDescent="0.25">
      <c r="A39" s="2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x14ac:dyDescent="0.25">
      <c r="A40" s="208" t="s">
        <v>189</v>
      </c>
      <c r="B40" s="242"/>
      <c r="C40" s="242"/>
      <c r="D40" s="243" t="s">
        <v>202</v>
      </c>
      <c r="E40" s="243"/>
      <c r="F40" s="242"/>
      <c r="G40" s="243"/>
      <c r="H40" s="243"/>
      <c r="I40" s="242"/>
      <c r="J40" s="242"/>
      <c r="K40" s="244"/>
    </row>
    <row r="41" spans="1:22" x14ac:dyDescent="0.25">
      <c r="A41" s="75"/>
      <c r="B41" s="139">
        <f>Snapshot!B4</f>
      </c>
      <c r="C41" s="139">
        <f>Snapshot!C4</f>
      </c>
      <c r="D41" s="170">
        <f>Snapshot!D4</f>
      </c>
      <c r="E41" s="170">
        <f>Snapshot!E4</f>
      </c>
      <c r="F41" s="170">
        <f>Snapshot!F4</f>
      </c>
      <c r="G41" s="170">
        <f>Snapshot!G4</f>
      </c>
      <c r="H41" s="170">
        <f>Snapshot!H4</f>
      </c>
      <c r="I41" s="139">
        <f>Snapshot!I4</f>
      </c>
      <c r="J41" s="139">
        <f>Snapshot!J4</f>
      </c>
      <c r="K41" s="166">
        <f>Snapshot!K4</f>
      </c>
    </row>
    <row r="42" spans="1:22" x14ac:dyDescent="0.25">
      <c r="A42" t="s">
        <v>140</v>
      </c>
      <c r="B42" s="52">
        <f>Snapshot!B16</f>
      </c>
      <c r="C42" s="52">
        <f>Snapshot!C16</f>
      </c>
      <c r="D42" s="52">
        <f>Snapshot!D16</f>
      </c>
      <c r="E42" s="52">
        <f>Snapshot!E16</f>
      </c>
      <c r="F42" s="52">
        <f>Snapshot!F16</f>
      </c>
      <c r="G42" s="52">
        <f>Snapshot!G16</f>
      </c>
      <c r="H42" s="52">
        <f>Snapshot!H16</f>
      </c>
      <c r="I42" s="52">
        <f>Snapshot!I16</f>
      </c>
      <c r="J42" s="52">
        <f>Snapshot!J16</f>
      </c>
      <c r="K42" s="52">
        <f>Snapshot!K16</f>
      </c>
      <c r="L42" s="15"/>
      <c r="M42" s="131" t="s">
        <v>103</v>
      </c>
      <c r="N42" s="131" t="s">
        <v>104</v>
      </c>
      <c r="O42" s="131" t="s">
        <v>105</v>
      </c>
    </row>
    <row r="43" spans="1:22" x14ac:dyDescent="0.25">
      <c r="A43" s="40" t="s">
        <v>132</v>
      </c>
      <c r="B43" s="158">
        <f>Snapshot!B23</f>
      </c>
      <c r="C43" s="158">
        <f>Snapshot!C23</f>
      </c>
      <c r="D43" s="158">
        <f>Snapshot!D23</f>
      </c>
      <c r="E43" s="158">
        <f>Snapshot!E23</f>
      </c>
      <c r="F43" s="158">
        <f>Snapshot!F23</f>
      </c>
      <c r="G43" s="158">
        <f>Snapshot!G23</f>
      </c>
      <c r="H43" s="158">
        <f>Snapshot!H23</f>
      </c>
      <c r="I43" s="158">
        <f>Snapshot!I23</f>
      </c>
      <c r="J43" s="158">
        <f>Snapshot!J23</f>
      </c>
      <c r="K43" s="158">
        <f>Snapshot!K23</f>
      </c>
      <c r="L43" s="15"/>
      <c r="M43" s="120">
        <f>MEDIAN(B43:K43)</f>
      </c>
      <c r="N43" s="120">
        <f>MIN(B43:K43)</f>
      </c>
      <c r="O43" s="120">
        <f>MAX(B43:K43)</f>
      </c>
    </row>
    <row r="44" spans="1:22" x14ac:dyDescent="0.25">
      <c r="A44" s="2" t="s">
        <v>141</v>
      </c>
      <c r="B44" s="16">
        <f>IF(Snapshot!B6=0,"",B42*(1-B43))</f>
      </c>
      <c r="C44" s="16">
        <f>IF(Snapshot!C6=0,"",C42*(1-C43))</f>
      </c>
      <c r="D44" s="16">
        <f>IF(Snapshot!D6=0,"",D42*(1-D43))</f>
      </c>
      <c r="E44" s="16">
        <f>IF(Snapshot!E6=0,"",E42*(1-E43))</f>
      </c>
      <c r="F44" s="16">
        <f>IF(Snapshot!F6=0,"",F42*(1-F43))</f>
      </c>
      <c r="G44" s="16">
        <f>IF(Snapshot!G6=0,"",G42*(1-G43))</f>
      </c>
      <c r="H44" s="16">
        <f>IF(Snapshot!H6=0,"",H42*(1-H43))</f>
      </c>
      <c r="I44" s="16">
        <f>IF(Snapshot!I6=0,"",I42*(1-I43))</f>
      </c>
      <c r="J44" s="16">
        <f>IF(Snapshot!J6=0,"",J42*(1-J43))</f>
      </c>
      <c r="K44" s="16">
        <f>IF(Snapshot!K6=0,"",K42*(1-K43))</f>
      </c>
    </row>
    <row r="46" spans="1:22" x14ac:dyDescent="0.25">
      <c r="A46" s="159" t="s">
        <v>181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1:22" x14ac:dyDescent="0.25">
      <c r="A47" s="2" t="s">
        <v>135</v>
      </c>
      <c r="B47" s="23">
        <f t="shared" ref="B47:K47" si="20">B5+B6+B7-B14</f>
      </c>
      <c r="C47" s="23">
        <f t="shared" si="20"/>
      </c>
      <c r="D47" s="23">
        <f t="shared" si="20"/>
      </c>
      <c r="E47" s="23">
        <f t="shared" si="20"/>
      </c>
      <c r="F47" s="23">
        <f t="shared" si="20"/>
      </c>
      <c r="G47" s="23">
        <f t="shared" si="20"/>
      </c>
      <c r="H47" s="23">
        <f t="shared" si="20"/>
      </c>
      <c r="I47" s="23">
        <f t="shared" si="20"/>
      </c>
      <c r="J47" s="23">
        <f t="shared" si="20"/>
      </c>
      <c r="K47" s="23">
        <f t="shared" si="20"/>
      </c>
    </row>
    <row r="48" spans="1:22" x14ac:dyDescent="0.25">
      <c r="A48" s="2" t="s">
        <v>154</v>
      </c>
      <c r="B48" s="23"/>
      <c r="C48" s="23">
        <f>IF(B47=0,"",AVERAGE(B47:C47))</f>
      </c>
      <c r="D48" s="23">
        <f>IF(C47=0,"",AVERAGE(C47:D47))</f>
      </c>
      <c r="E48" s="23">
        <f>IF(D47=0,"",AVERAGE(D47:E47))</f>
      </c>
      <c r="F48" s="23">
        <f t="shared" ref="F48:K48" si="21">IF(E47=0,"",AVERAGE(E47:F47))</f>
      </c>
      <c r="G48" s="23">
        <f>IF(F47=0,"",AVERAGE(F47:G47))</f>
      </c>
      <c r="H48" s="23">
        <f t="shared" si="21"/>
      </c>
      <c r="I48" s="23">
        <f t="shared" si="21"/>
      </c>
      <c r="J48" s="23">
        <f t="shared" si="21"/>
      </c>
      <c r="K48" s="23">
        <f t="shared" si="21"/>
      </c>
      <c r="M48" s="2"/>
      <c r="N48" s="2"/>
      <c r="O48" s="2"/>
    </row>
    <row r="49" spans="1:15" x14ac:dyDescent="0.25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M49" s="131" t="s">
        <v>103</v>
      </c>
      <c r="N49" s="131" t="s">
        <v>104</v>
      </c>
      <c r="O49" s="131" t="s">
        <v>105</v>
      </c>
    </row>
    <row r="50" spans="1:15" x14ac:dyDescent="0.25">
      <c r="A50" s="69" t="s">
        <v>166</v>
      </c>
      <c r="B50" s="169"/>
      <c r="C50" s="169">
        <f t="shared" ref="C50:K50" si="22">IF(B47=0,"",C44/C48)</f>
      </c>
      <c r="D50" s="169">
        <f t="shared" si="22"/>
      </c>
      <c r="E50" s="169">
        <f t="shared" si="22"/>
      </c>
      <c r="F50" s="169">
        <f t="shared" si="22"/>
      </c>
      <c r="G50" s="169">
        <f t="shared" si="22"/>
      </c>
      <c r="H50" s="169">
        <f t="shared" si="22"/>
      </c>
      <c r="I50" s="169">
        <f t="shared" si="22"/>
      </c>
      <c r="J50" s="169">
        <f t="shared" si="22"/>
      </c>
      <c r="K50" s="169">
        <f t="shared" si="22"/>
      </c>
      <c r="M50" s="120">
        <f>MEDIAN(B50:K50)</f>
      </c>
      <c r="N50" s="120">
        <f>MIN(B50:K50)</f>
      </c>
      <c r="O50" s="120">
        <f>MAX(B50:K50)</f>
      </c>
    </row>
    <row r="51" spans="1:15" x14ac:dyDescent="0.25">
      <c r="A51" s="160" t="s">
        <v>108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30"/>
    </row>
    <row r="52" spans="1:15" x14ac:dyDescent="0.25">
      <c r="A52" s="162" t="s">
        <v>107</v>
      </c>
      <c r="B52" s="260"/>
      <c r="C52" s="260">
        <f>IF(Snapshot!C6=0,"",C44/Snapshot!C6)</f>
      </c>
      <c r="D52" s="260">
        <f>IF(Snapshot!D6=0,"",D44/Snapshot!D6)</f>
      </c>
      <c r="E52" s="260">
        <f>IF(Snapshot!E6=0,"",E44/Snapshot!E6)</f>
      </c>
      <c r="F52" s="260">
        <f>IF(Snapshot!F6=0,"",F44/Snapshot!F6)</f>
      </c>
      <c r="G52" s="260">
        <f>IF(Snapshot!G6=0,"",G44/Snapshot!G6)</f>
      </c>
      <c r="H52" s="260">
        <f>IF(Snapshot!H6=0,"",H44/Snapshot!H6)</f>
      </c>
      <c r="I52" s="260">
        <f>IF(Snapshot!I6=0,"",I44/Snapshot!I6)</f>
      </c>
      <c r="J52" s="260">
        <f>IF(Snapshot!J6=0,"",J44/Snapshot!J6)</f>
      </c>
      <c r="K52" s="260">
        <f>IF(Snapshot!K6=0,"",K44/Snapshot!K6)</f>
      </c>
      <c r="L52" s="30"/>
      <c r="M52" s="120">
        <f>MEDIAN(B52:K52)</f>
      </c>
      <c r="N52" s="120">
        <f>MIN(B52:K52)</f>
      </c>
      <c r="O52" s="120">
        <f>MAX(B52:K52)</f>
      </c>
    </row>
    <row r="53" spans="1:15" x14ac:dyDescent="0.25">
      <c r="A53" s="163" t="s">
        <v>155</v>
      </c>
      <c r="B53" s="261"/>
      <c r="C53" s="261">
        <f>IF(B47=0,"",Snapshot!C6/C48)</f>
      </c>
      <c r="D53" s="261">
        <f>IF(C47=0,"",Snapshot!D6/D48)</f>
      </c>
      <c r="E53" s="261">
        <f>IF(D47=0,"",Snapshot!E6/E48)</f>
      </c>
      <c r="F53" s="261">
        <f>IF(E47=0,"",Snapshot!F6/F48)</f>
      </c>
      <c r="G53" s="261">
        <f>IF(F47=0,"",Snapshot!G6/G48)</f>
      </c>
      <c r="H53" s="261">
        <f>IF(G47=0,"",Snapshot!H6/H48)</f>
      </c>
      <c r="I53" s="261">
        <f>IF(H47=0,"",Snapshot!I6/I48)</f>
      </c>
      <c r="J53" s="261">
        <f>IF(I47=0,"",Snapshot!J6/J48)</f>
      </c>
      <c r="K53" s="261">
        <f>IF(J47=0,"",Snapshot!K6/K48)</f>
      </c>
      <c r="L53" s="30"/>
      <c r="M53" s="140">
        <f>MEDIAN(B53:K53)</f>
      </c>
      <c r="N53" s="141">
        <f>MIN(B53:K53)</f>
      </c>
      <c r="O53" s="141">
        <f>MAX(B53:K53)</f>
      </c>
    </row>
    <row r="54" spans="1:15" x14ac:dyDescent="0.25">
      <c r="C54" s="33"/>
      <c r="D54" s="33"/>
      <c r="E54" s="33"/>
      <c r="F54" s="33"/>
      <c r="G54" s="33"/>
      <c r="H54" s="33"/>
      <c r="I54" s="33"/>
      <c r="J54" s="33"/>
      <c r="K54" s="33"/>
      <c r="L54" s="30"/>
    </row>
    <row r="55" spans="1:15" x14ac:dyDescent="0.25">
      <c r="A55" s="40"/>
      <c r="B55" s="40"/>
      <c r="C55" s="121"/>
      <c r="D55" s="121"/>
      <c r="E55" s="121"/>
      <c r="F55" s="121"/>
      <c r="G55" s="121"/>
      <c r="H55" s="121"/>
      <c r="I55" s="121"/>
      <c r="J55" s="121"/>
      <c r="K55" s="121"/>
      <c r="L55" s="30"/>
    </row>
    <row r="56" spans="1:15" x14ac:dyDescent="0.25">
      <c r="A56" s="208" t="s">
        <v>227</v>
      </c>
      <c r="B56" s="242"/>
      <c r="C56" s="242"/>
      <c r="D56" s="243" t="s">
        <v>202</v>
      </c>
      <c r="E56" s="243"/>
      <c r="F56" s="242"/>
      <c r="G56" s="243"/>
      <c r="H56" s="243"/>
      <c r="I56" s="242"/>
      <c r="J56" s="242"/>
      <c r="K56" s="244"/>
      <c r="L56" s="30"/>
    </row>
    <row r="57" spans="1:15" x14ac:dyDescent="0.25">
      <c r="A57" t="s">
        <v>203</v>
      </c>
      <c r="C57" s="33"/>
      <c r="D57" s="33"/>
      <c r="E57" s="33"/>
      <c r="F57" s="33"/>
      <c r="G57" s="33"/>
      <c r="H57" s="33"/>
      <c r="I57" s="33"/>
      <c r="J57" s="33"/>
      <c r="K57" s="33"/>
      <c r="L57" s="30"/>
    </row>
    <row r="58" spans="1:15" x14ac:dyDescent="0.25">
      <c r="A58" t="s">
        <v>222</v>
      </c>
      <c r="C58" s="33"/>
      <c r="D58" s="33"/>
      <c r="E58" s="33"/>
      <c r="F58" s="33"/>
      <c r="G58" s="239" t="s">
        <v>223</v>
      </c>
      <c r="I58" s="33" t="s">
        <v>224</v>
      </c>
      <c r="J58" s="33"/>
      <c r="K58" s="33"/>
      <c r="L58" s="30"/>
    </row>
    <row r="59" spans="1:15" x14ac:dyDescent="0.25">
      <c r="A59" s="3" t="s">
        <v>193</v>
      </c>
      <c r="C59" s="33"/>
      <c r="D59" s="33"/>
      <c r="E59" s="33"/>
      <c r="F59" s="33"/>
      <c r="G59" s="239"/>
      <c r="I59" s="33"/>
      <c r="J59" s="33"/>
      <c r="K59" s="33"/>
      <c r="L59" s="30"/>
    </row>
    <row r="60" spans="1:15" x14ac:dyDescent="0.25">
      <c r="C60" s="33"/>
      <c r="D60" s="33"/>
      <c r="E60" s="33"/>
      <c r="F60" s="33"/>
      <c r="G60" s="239"/>
      <c r="I60" s="33"/>
      <c r="J60" s="33"/>
      <c r="K60" s="33"/>
      <c r="L60" s="30"/>
    </row>
    <row r="61" spans="1:15" x14ac:dyDescent="0.25">
      <c r="A61" s="217"/>
      <c r="B61" s="206"/>
      <c r="C61" s="206"/>
      <c r="D61" s="207" t="s">
        <v>197</v>
      </c>
      <c r="E61" s="207"/>
      <c r="F61" s="206"/>
      <c r="G61" s="207"/>
      <c r="H61" s="207"/>
      <c r="I61" s="206"/>
      <c r="J61" s="206"/>
      <c r="K61" s="216"/>
    </row>
    <row r="62" spans="1:15" x14ac:dyDescent="0.25">
      <c r="A62" t="s">
        <v>136</v>
      </c>
      <c r="B62" s="152">
        <f t="shared" ref="B62:K62" si="23">B16+B17-B8</f>
      </c>
      <c r="C62" s="152">
        <f t="shared" si="23"/>
      </c>
      <c r="D62" s="152">
        <f t="shared" si="23"/>
      </c>
      <c r="E62" s="152">
        <f t="shared" si="23"/>
      </c>
      <c r="F62" s="152">
        <f t="shared" si="23"/>
      </c>
      <c r="G62" s="152">
        <f t="shared" si="23"/>
      </c>
      <c r="H62" s="152">
        <f t="shared" si="23"/>
      </c>
      <c r="I62" s="152">
        <f t="shared" si="23"/>
      </c>
      <c r="J62" s="152">
        <f t="shared" si="23"/>
      </c>
      <c r="K62" s="152">
        <f t="shared" si="23"/>
      </c>
      <c r="M62" s="2"/>
      <c r="N62" s="2"/>
      <c r="O62" s="2"/>
    </row>
    <row r="63" spans="1:15" x14ac:dyDescent="0.25">
      <c r="A63" t="s">
        <v>196</v>
      </c>
      <c r="B63" s="152"/>
      <c r="C63" s="152">
        <f>IF(B62=0,0,AVERAGE(B62:C62))</f>
      </c>
      <c r="D63" s="152">
        <f t="shared" ref="D63:K63" si="24">IF(C62=0,0,AVERAGE(C62:D62))</f>
      </c>
      <c r="E63" s="152">
        <f t="shared" si="24"/>
      </c>
      <c r="F63" s="152">
        <f t="shared" si="24"/>
      </c>
      <c r="G63" s="152">
        <f t="shared" si="24"/>
      </c>
      <c r="H63" s="152">
        <f t="shared" si="24"/>
      </c>
      <c r="I63" s="152">
        <f t="shared" si="24"/>
      </c>
      <c r="J63" s="152">
        <f t="shared" si="24"/>
      </c>
      <c r="K63" s="152">
        <f t="shared" si="24"/>
      </c>
    </row>
    <row r="64" spans="1:15" x14ac:dyDescent="0.25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M64" s="131" t="s">
        <v>103</v>
      </c>
      <c r="N64" s="131" t="s">
        <v>104</v>
      </c>
      <c r="O64" s="131" t="s">
        <v>105</v>
      </c>
    </row>
    <row r="65" spans="1:20" x14ac:dyDescent="0.25">
      <c r="A65" s="234" t="s">
        <v>220</v>
      </c>
      <c r="B65" s="152"/>
      <c r="C65" s="105">
        <f>IF(C63=0,0,C63/Snapshot!C6)</f>
      </c>
      <c r="D65" s="105">
        <f>IF(D63=0,0,D63/Snapshot!D6)</f>
      </c>
      <c r="E65" s="105">
        <f>IF(E63=0,0,E63/Snapshot!E6)</f>
      </c>
      <c r="F65" s="105">
        <f>IF(F63=0,0,F63/Snapshot!F6)</f>
      </c>
      <c r="G65" s="105">
        <f>IF(G63=0,0,G63/Snapshot!G6)</f>
      </c>
      <c r="H65" s="105">
        <f>IF(H63=0,0,H63/Snapshot!H6)</f>
      </c>
      <c r="I65" s="105">
        <f>IF(I63=0,0,I63/Snapshot!I6)</f>
      </c>
      <c r="J65" s="105">
        <f>IF(J63=0,0,J63/Snapshot!J6)</f>
      </c>
      <c r="K65" s="105">
        <f>IF(K63=0,0,K63/Snapshot!K6)</f>
      </c>
      <c r="M65" s="132">
        <f>MEDIAN(B65:K65)</f>
      </c>
      <c r="N65" s="220">
        <f>MIN(B65:K65)</f>
      </c>
      <c r="O65" s="220">
        <f>MAX(B65:K65)</f>
      </c>
    </row>
    <row r="66" spans="1:20" x14ac:dyDescent="0.25">
      <c r="A66" s="255" t="s">
        <v>225</v>
      </c>
      <c r="B66" s="256"/>
      <c r="C66" s="257">
        <f>1/C65</f>
      </c>
      <c r="D66" s="257">
        <f t="shared" ref="D66:K66" si="25">1/D65</f>
      </c>
      <c r="E66" s="257">
        <f t="shared" si="25"/>
      </c>
      <c r="F66" s="257">
        <f t="shared" si="25"/>
      </c>
      <c r="G66" s="257">
        <f t="shared" si="25"/>
      </c>
      <c r="H66" s="257">
        <f t="shared" si="25"/>
      </c>
      <c r="I66" s="257">
        <f t="shared" si="25"/>
      </c>
      <c r="J66" s="257">
        <f t="shared" si="25"/>
      </c>
      <c r="K66" s="257">
        <f t="shared" si="25"/>
      </c>
      <c r="M66" s="140">
        <f>MEDIAN(B66:K66)</f>
      </c>
      <c r="N66" s="141">
        <f>MIN(B66:K66)</f>
      </c>
      <c r="O66" s="141">
        <f>MAX(B66:K66)</f>
      </c>
    </row>
    <row r="67" spans="1:20" x14ac:dyDescent="0.25">
      <c r="A67" s="21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10"/>
      <c r="M67" s="104"/>
      <c r="N67" s="104"/>
      <c r="O67" s="104"/>
    </row>
    <row r="68" spans="1:20" x14ac:dyDescent="0.25">
      <c r="A68" s="10" t="s">
        <v>198</v>
      </c>
      <c r="B68" s="219">
        <f t="shared" ref="B68:K68" si="26">B12+B13</f>
      </c>
      <c r="C68" s="219">
        <f t="shared" si="26"/>
      </c>
      <c r="D68" s="219">
        <f t="shared" si="26"/>
      </c>
      <c r="E68" s="219">
        <f t="shared" si="26"/>
      </c>
      <c r="F68" s="219">
        <f t="shared" si="26"/>
      </c>
      <c r="G68" s="219">
        <f t="shared" si="26"/>
      </c>
      <c r="H68" s="219">
        <f t="shared" si="26"/>
      </c>
      <c r="I68" s="219">
        <f t="shared" si="26"/>
      </c>
      <c r="J68" s="219">
        <f t="shared" si="26"/>
      </c>
      <c r="K68" s="219">
        <f t="shared" si="26"/>
      </c>
      <c r="L68" s="10"/>
      <c r="M68" s="209"/>
      <c r="N68" s="209"/>
      <c r="O68" s="209"/>
    </row>
    <row r="69" spans="1:20" x14ac:dyDescent="0.25">
      <c r="A69" t="s">
        <v>199</v>
      </c>
      <c r="B69" s="219"/>
      <c r="C69" s="219">
        <f>IF(B68=0,0,AVERAGE(B68:C68))</f>
      </c>
      <c r="D69" s="219">
        <f t="shared" ref="D69:K69" si="27">IF(C68=0,0,AVERAGE(C68:D68))</f>
      </c>
      <c r="E69" s="219">
        <f t="shared" si="27"/>
      </c>
      <c r="F69" s="219">
        <f t="shared" si="27"/>
      </c>
      <c r="G69" s="219">
        <f t="shared" si="27"/>
      </c>
      <c r="H69" s="219">
        <f t="shared" si="27"/>
      </c>
      <c r="I69" s="219">
        <f t="shared" si="27"/>
      </c>
      <c r="J69" s="219">
        <f t="shared" si="27"/>
      </c>
      <c r="K69" s="219">
        <f t="shared" si="27"/>
      </c>
      <c r="L69" s="10"/>
      <c r="M69" s="209"/>
      <c r="N69" s="209"/>
      <c r="O69" s="209"/>
    </row>
    <row r="70" spans="1:20" x14ac:dyDescent="0.25"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10"/>
      <c r="M70" s="209"/>
      <c r="N70" s="209"/>
      <c r="O70" s="209"/>
    </row>
    <row r="71" spans="1:20" x14ac:dyDescent="0.25">
      <c r="A71" s="234" t="s">
        <v>221</v>
      </c>
      <c r="B71" s="219"/>
      <c r="C71" s="101">
        <f>IF(C69=0,0,C69/Snapshot!C6)</f>
      </c>
      <c r="D71" s="101">
        <f>IF(D69=0,0,D69/Snapshot!D6)</f>
      </c>
      <c r="E71" s="101">
        <f>IF(E69=0,0,E69/Snapshot!E6)</f>
      </c>
      <c r="F71" s="101">
        <f>IF(F69=0,0,F69/Snapshot!F6)</f>
      </c>
      <c r="G71" s="101">
        <f>IF(G69=0,0,G69/Snapshot!G6)</f>
      </c>
      <c r="H71" s="101">
        <f>IF(H69=0,0,H69/Snapshot!H6)</f>
      </c>
      <c r="I71" s="101">
        <f>IF(I69=0,0,I69/Snapshot!I6)</f>
      </c>
      <c r="J71" s="101">
        <f>IF(J69=0,0,J69/Snapshot!J6)</f>
      </c>
      <c r="K71" s="101">
        <f>IF(K69=0,0,K69/Snapshot!K6)</f>
      </c>
      <c r="L71" s="10"/>
      <c r="M71" s="132">
        <f>MEDIAN(B71:K71)</f>
      </c>
      <c r="N71" s="220">
        <f>MIN(B71:K71)</f>
      </c>
      <c r="O71" s="220">
        <f>MAX(B71:K71)</f>
      </c>
    </row>
    <row r="72" spans="1:20" x14ac:dyDescent="0.25">
      <c r="A72" s="255" t="s">
        <v>226</v>
      </c>
      <c r="B72" s="258"/>
      <c r="C72" s="259">
        <f>1/C71</f>
      </c>
      <c r="D72" s="259">
        <f t="shared" ref="D72:K72" si="28">1/D71</f>
      </c>
      <c r="E72" s="259">
        <f t="shared" si="28"/>
      </c>
      <c r="F72" s="259">
        <f t="shared" si="28"/>
      </c>
      <c r="G72" s="259">
        <f t="shared" si="28"/>
      </c>
      <c r="H72" s="259">
        <f t="shared" si="28"/>
      </c>
      <c r="I72" s="259">
        <f t="shared" si="28"/>
      </c>
      <c r="J72" s="259">
        <f t="shared" si="28"/>
      </c>
      <c r="K72" s="259">
        <f t="shared" si="28"/>
      </c>
      <c r="L72" s="10"/>
      <c r="M72" s="140">
        <f>MEDIAN(B72:K72)</f>
      </c>
      <c r="N72" s="141">
        <f>MIN(B72:K72)</f>
      </c>
      <c r="O72" s="141">
        <f>MAX(B72:K72)</f>
      </c>
    </row>
    <row r="73" spans="1:20" x14ac:dyDescent="0.25">
      <c r="A73" s="218"/>
      <c r="B73" s="10"/>
      <c r="C73" s="10"/>
      <c r="D73" s="218"/>
      <c r="E73" s="10"/>
      <c r="F73" s="10"/>
      <c r="G73" s="218"/>
      <c r="H73" s="218"/>
      <c r="I73" s="10"/>
      <c r="J73" s="10"/>
      <c r="K73" s="10"/>
      <c r="L73" s="10"/>
    </row>
    <row r="74" spans="1:20" x14ac:dyDescent="0.25">
      <c r="A74" s="159" t="s">
        <v>200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</row>
    <row r="75" spans="1:20" x14ac:dyDescent="0.25">
      <c r="A75" s="2" t="s">
        <v>154</v>
      </c>
      <c r="B75" s="2"/>
      <c r="C75" s="36">
        <f>C69+C63</f>
      </c>
      <c r="D75" s="36">
        <f t="shared" ref="D75:K75" si="29">D69+D63</f>
      </c>
      <c r="E75" s="36">
        <f t="shared" si="29"/>
      </c>
      <c r="F75" s="36">
        <f t="shared" si="29"/>
      </c>
      <c r="G75" s="36">
        <f t="shared" si="29"/>
      </c>
      <c r="H75" s="36">
        <f t="shared" si="29"/>
      </c>
      <c r="I75" s="36">
        <f t="shared" si="29"/>
      </c>
      <c r="J75" s="36">
        <f t="shared" si="29"/>
      </c>
      <c r="K75" s="36">
        <f t="shared" si="29"/>
      </c>
    </row>
    <row r="77" spans="1:20" x14ac:dyDescent="0.25">
      <c r="A77" s="69"/>
      <c r="B77" s="75"/>
      <c r="C77" s="71" t="s">
        <v>201</v>
      </c>
      <c r="D77" s="71"/>
      <c r="E77" s="71"/>
      <c r="F77" s="75"/>
      <c r="G77" s="71"/>
      <c r="H77" s="71"/>
      <c r="I77" s="75"/>
      <c r="J77" s="75"/>
      <c r="K77" s="76"/>
    </row>
    <row r="78" spans="1:20" x14ac:dyDescent="0.25">
      <c r="A78" s="26"/>
      <c r="B78" s="41"/>
      <c r="C78" s="210">
        <f t="shared" ref="C78:K78" si="30">C4</f>
      </c>
      <c r="D78" s="210">
        <f t="shared" si="30"/>
      </c>
      <c r="E78" s="210">
        <f t="shared" si="30"/>
      </c>
      <c r="F78" s="210">
        <f t="shared" si="30"/>
      </c>
      <c r="G78" s="210">
        <f t="shared" si="30"/>
      </c>
      <c r="H78" s="210">
        <f t="shared" si="30"/>
      </c>
      <c r="I78" s="210">
        <f t="shared" si="30"/>
      </c>
      <c r="J78" s="210">
        <f t="shared" si="30"/>
      </c>
      <c r="K78" s="210">
        <f t="shared" si="30"/>
      </c>
    </row>
    <row r="79" spans="1:20" x14ac:dyDescent="0.25">
      <c r="A79" s="2"/>
      <c r="C79" s="230"/>
      <c r="D79" s="230"/>
      <c r="E79" s="230"/>
      <c r="F79" s="230"/>
      <c r="G79" s="230"/>
      <c r="H79" s="230"/>
      <c r="I79" s="230"/>
      <c r="J79" s="230"/>
      <c r="K79" s="230"/>
      <c r="M79" s="131" t="s">
        <v>103</v>
      </c>
      <c r="N79" s="131" t="s">
        <v>104</v>
      </c>
      <c r="O79" s="131" t="s">
        <v>105</v>
      </c>
      <c r="Q79" s="267" t="s">
        <v>242</v>
      </c>
      <c r="R79" s="159"/>
      <c r="S79" s="159"/>
      <c r="T79" s="159"/>
    </row>
    <row r="80" spans="1:20" x14ac:dyDescent="0.25">
      <c r="A80" s="205" t="s">
        <v>192</v>
      </c>
      <c r="B80" s="231"/>
      <c r="C80" s="232">
        <f t="shared" ref="C80:K80" si="31">IF(C75=0,0,SUM(C81:C83))</f>
      </c>
      <c r="D80" s="232">
        <f t="shared" si="31"/>
      </c>
      <c r="E80" s="232">
        <f t="shared" si="31"/>
      </c>
      <c r="F80" s="232">
        <f t="shared" si="31"/>
      </c>
      <c r="G80" s="232">
        <f t="shared" si="31"/>
      </c>
      <c r="H80" s="232">
        <f t="shared" si="31"/>
      </c>
      <c r="I80" s="232">
        <f t="shared" si="31"/>
      </c>
      <c r="J80" s="232">
        <f t="shared" si="31"/>
      </c>
      <c r="K80" s="232">
        <f t="shared" si="31"/>
      </c>
      <c r="M80" s="132">
        <f>MEDIAN(B80:K80)</f>
      </c>
      <c r="N80" s="220">
        <f>MIN(B80:K80)</f>
      </c>
      <c r="O80" s="220">
        <f>MAX(B80:K80)</f>
      </c>
      <c r="Q80" s="314"/>
      <c r="R80" s="314"/>
      <c r="S80" s="314"/>
      <c r="T80" s="314"/>
    </row>
    <row r="81" spans="1:20" x14ac:dyDescent="0.25">
      <c r="A81" s="212" t="s">
        <v>171</v>
      </c>
      <c r="B81" s="214"/>
      <c r="C81" s="265">
        <f>IF(Snapshot!C6=0,0,Snapshot!P10)</f>
      </c>
      <c r="D81" s="265">
        <f>IF(Snapshot!D6=0,0,Snapshot!Q10)</f>
      </c>
      <c r="E81" s="265">
        <f>IF(Snapshot!E6=0,0,Snapshot!R10)</f>
      </c>
      <c r="F81" s="265">
        <f>IF(Snapshot!F6=0,0,Snapshot!S10)</f>
      </c>
      <c r="G81" s="265">
        <f>IF(Snapshot!G6=0,0,Snapshot!T10)</f>
      </c>
      <c r="H81" s="265">
        <f>IF(Snapshot!H6=0,0,Snapshot!U10)</f>
      </c>
      <c r="I81" s="265">
        <f>IF(Snapshot!I6=0,0,Snapshot!V10)</f>
      </c>
      <c r="J81" s="265">
        <f>IF(Snapshot!J6=0,0,Snapshot!W10)</f>
      </c>
      <c r="K81" s="265">
        <f>IF(Snapshot!K6=0,0,Snapshot!X10)</f>
      </c>
      <c r="Q81" s="314"/>
      <c r="R81" s="314"/>
      <c r="S81" s="314"/>
      <c r="T81" s="314"/>
    </row>
    <row r="82" spans="1:20" x14ac:dyDescent="0.25">
      <c r="A82" s="211" t="s">
        <v>194</v>
      </c>
      <c r="B82" s="214"/>
      <c r="C82" s="265">
        <f>IF(Snapshot!C6=0,0,-(Snapshot!P12+Snapshot!P13+Snapshot!P14))</f>
      </c>
      <c r="D82" s="265">
        <f>IF(Snapshot!D6=0,0,-(Snapshot!Q12+Snapshot!Q13+Snapshot!Q14))</f>
      </c>
      <c r="E82" s="265">
        <f>IF(Snapshot!E6=0,0,-(Snapshot!R12+Snapshot!R13+Snapshot!R14))</f>
      </c>
      <c r="F82" s="265">
        <f>IF(Snapshot!F6=0,0,-(Snapshot!S12+Snapshot!S13+Snapshot!S14))</f>
      </c>
      <c r="G82" s="265">
        <f>IF(Snapshot!G6=0,0,-(Snapshot!T12+Snapshot!T13+Snapshot!T14))</f>
      </c>
      <c r="H82" s="265">
        <f>IF(Snapshot!H6=0,0,-(Snapshot!U12+Snapshot!U13+Snapshot!U14))</f>
      </c>
      <c r="I82" s="265">
        <f>IF(Snapshot!I6=0,0,-(Snapshot!V12+Snapshot!V13+Snapshot!V14))</f>
      </c>
      <c r="J82" s="265">
        <f>IF(Snapshot!J6=0,0,-(Snapshot!W12+Snapshot!W13+Snapshot!W14))</f>
      </c>
      <c r="K82" s="265">
        <f>IF(Snapshot!K6=0,0,-(Snapshot!X12+Snapshot!X13+Snapshot!X14))</f>
      </c>
    </row>
    <row r="83" spans="1:20" x14ac:dyDescent="0.25">
      <c r="A83" s="213" t="s">
        <v>195</v>
      </c>
      <c r="B83" s="215"/>
      <c r="C83" s="266">
        <f>IF(Snapshot!C6=0,0,-Snapshot!P15)</f>
      </c>
      <c r="D83" s="266">
        <f>IF(Snapshot!D6=0,0,-Snapshot!Q15)</f>
      </c>
      <c r="E83" s="266">
        <f>IF(Snapshot!E6=0,0,-Snapshot!R15)</f>
      </c>
      <c r="F83" s="266">
        <f>IF(Snapshot!F6=0,0,-Snapshot!S15)</f>
      </c>
      <c r="G83" s="266">
        <f>IF(Snapshot!G6=0,0,-Snapshot!T15)</f>
      </c>
      <c r="H83" s="266">
        <f>IF(Snapshot!H6=0,0,-Snapshot!U15)</f>
      </c>
      <c r="I83" s="266">
        <f>IF(Snapshot!I6=0,0,-Snapshot!V15)</f>
      </c>
      <c r="J83" s="266">
        <f>IF(Snapshot!J6=0,0,-Snapshot!W15)</f>
      </c>
      <c r="K83" s="266">
        <f>IF(Snapshot!K6=0,0,-Snapshot!X15)</f>
      </c>
    </row>
    <row r="84" spans="1:20" x14ac:dyDescent="0.25">
      <c r="A84" s="2"/>
      <c r="C84" s="209"/>
      <c r="D84" s="209"/>
      <c r="E84" s="209"/>
      <c r="F84" s="209"/>
      <c r="G84" s="209"/>
      <c r="H84" s="209"/>
      <c r="I84" s="209"/>
      <c r="J84" s="209"/>
      <c r="K84" s="209"/>
      <c r="Q84" s="267" t="s">
        <v>241</v>
      </c>
      <c r="R84" s="159"/>
      <c r="S84" s="159"/>
      <c r="T84" s="159"/>
    </row>
    <row r="85" spans="1:20" x14ac:dyDescent="0.25">
      <c r="A85" s="205" t="s">
        <v>155</v>
      </c>
      <c r="B85" s="205"/>
      <c r="C85" s="221">
        <f>IF(C75=0,0,1/(1/C88+1/C90))</f>
      </c>
      <c r="D85" s="221">
        <f t="shared" ref="D85:K85" si="32">IF(D75=0,0,1/(1/D88+1/D90))</f>
      </c>
      <c r="E85" s="221">
        <f t="shared" si="32"/>
      </c>
      <c r="F85" s="221">
        <f t="shared" si="32"/>
      </c>
      <c r="G85" s="221">
        <f t="shared" si="32"/>
      </c>
      <c r="H85" s="221">
        <f t="shared" si="32"/>
      </c>
      <c r="I85" s="221">
        <f t="shared" si="32"/>
      </c>
      <c r="J85" s="221">
        <f t="shared" si="32"/>
      </c>
      <c r="K85" s="221">
        <f t="shared" si="32"/>
      </c>
      <c r="M85" s="140">
        <f>MEDIAN(B85:K85)</f>
      </c>
      <c r="N85" s="141">
        <f>MIN(B85:K85)</f>
      </c>
      <c r="O85" s="141">
        <f>MAX(B85:K85)</f>
      </c>
      <c r="Q85" s="314"/>
      <c r="R85" s="314"/>
      <c r="S85" s="314"/>
      <c r="T85" s="314"/>
    </row>
    <row r="86" spans="1:20" x14ac:dyDescent="0.25">
      <c r="A86" s="281" t="s">
        <v>244</v>
      </c>
      <c r="B86" s="281"/>
      <c r="C86" s="282"/>
      <c r="D86" s="282"/>
      <c r="E86" s="282"/>
      <c r="F86" s="282"/>
      <c r="G86" s="282"/>
      <c r="H86" s="282"/>
      <c r="I86" s="282"/>
      <c r="J86" s="282"/>
      <c r="K86" s="282"/>
      <c r="M86" s="34"/>
      <c r="N86" s="165"/>
      <c r="O86" s="165"/>
      <c r="Q86" s="314"/>
      <c r="R86" s="314"/>
      <c r="S86" s="314"/>
      <c r="T86" s="314"/>
    </row>
    <row r="87" spans="1:20" x14ac:dyDescent="0.25">
      <c r="A87" s="2"/>
      <c r="B87" s="2"/>
      <c r="C87" s="254"/>
      <c r="D87" s="254"/>
      <c r="E87" s="254"/>
      <c r="F87" s="254"/>
      <c r="G87" s="254"/>
      <c r="H87" s="254"/>
      <c r="I87" s="254"/>
      <c r="J87" s="254"/>
      <c r="K87" s="254"/>
      <c r="M87" s="34"/>
      <c r="N87" s="165"/>
      <c r="O87" s="165"/>
    </row>
    <row r="88" spans="1:20" x14ac:dyDescent="0.25">
      <c r="A88" s="269" t="s">
        <v>226</v>
      </c>
      <c r="B88" s="270"/>
      <c r="C88" s="271">
        <f>C72</f>
      </c>
      <c r="D88" s="271">
        <f t="shared" ref="D88:K88" si="33">D72</f>
      </c>
      <c r="E88" s="271">
        <f t="shared" si="33"/>
      </c>
      <c r="F88" s="271">
        <f t="shared" si="33"/>
      </c>
      <c r="G88" s="271">
        <f t="shared" si="33"/>
      </c>
      <c r="H88" s="271">
        <f t="shared" si="33"/>
      </c>
      <c r="I88" s="271">
        <f t="shared" si="33"/>
      </c>
      <c r="J88" s="271">
        <f t="shared" si="33"/>
      </c>
      <c r="K88" s="271">
        <f t="shared" si="33"/>
      </c>
    </row>
    <row r="89" spans="1:20" x14ac:dyDescent="0.25">
      <c r="A89" s="212"/>
      <c r="B89" s="212"/>
      <c r="C89" s="272"/>
      <c r="D89" s="272"/>
      <c r="E89" s="272"/>
      <c r="F89" s="272"/>
      <c r="G89" s="272"/>
      <c r="H89" s="272"/>
      <c r="I89" s="272"/>
      <c r="J89" s="272"/>
      <c r="K89" s="272"/>
    </row>
    <row r="90" spans="1:20" x14ac:dyDescent="0.25">
      <c r="A90" s="273" t="s">
        <v>225</v>
      </c>
      <c r="B90" s="274"/>
      <c r="C90" s="275">
        <f>IF(C94=0,0,365/C94)</f>
      </c>
      <c r="D90" s="275">
        <f t="shared" ref="D90:K90" si="34">IF(D94=0,0,365/D94)</f>
      </c>
      <c r="E90" s="275">
        <f t="shared" si="34"/>
      </c>
      <c r="F90" s="275">
        <f t="shared" si="34"/>
      </c>
      <c r="G90" s="275">
        <f t="shared" si="34"/>
      </c>
      <c r="H90" s="275">
        <f t="shared" si="34"/>
      </c>
      <c r="I90" s="275">
        <f t="shared" si="34"/>
      </c>
      <c r="J90" s="275">
        <f t="shared" si="34"/>
      </c>
      <c r="K90" s="275">
        <f t="shared" si="34"/>
      </c>
    </row>
    <row r="91" spans="1:20" x14ac:dyDescent="0.25">
      <c r="A91" s="276" t="s">
        <v>137</v>
      </c>
      <c r="B91" s="276"/>
      <c r="C91" s="262">
        <f>IF(B16=0,0,365/(Snapshot!C6/(AVERAGE('Balance Sheet'!B16:C16))))</f>
      </c>
      <c r="D91" s="262">
        <f>IF(C16=0,0,365/(Snapshot!D6/(AVERAGE('Balance Sheet'!C16:D16))))</f>
      </c>
      <c r="E91" s="262">
        <f>IF(D16=0,0,365/(Snapshot!E6/(AVERAGE('Balance Sheet'!D16:E16))))</f>
      </c>
      <c r="F91" s="262">
        <f>IF(E16=0,0,365/(Snapshot!F6/(AVERAGE('Balance Sheet'!E16:F16))))</f>
      </c>
      <c r="G91" s="262">
        <f>IF(F16=0,0,365/(Snapshot!G6/(AVERAGE('Balance Sheet'!F16:G16))))</f>
      </c>
      <c r="H91" s="262">
        <f>IF(G16=0,0,365/(Snapshot!H6/(AVERAGE('Balance Sheet'!G16:H16))))</f>
      </c>
      <c r="I91" s="262">
        <f>IF(H16=0,0,365/(Snapshot!I6/(AVERAGE('Balance Sheet'!H16:I16))))</f>
      </c>
      <c r="J91" s="262">
        <f>IF(I16=0,0,365/(Snapshot!J6/(AVERAGE('Balance Sheet'!I16:J16))))</f>
      </c>
      <c r="K91" s="262">
        <f>IF(J16=0,0,365/(Snapshot!K6/(AVERAGE('Balance Sheet'!J16:K16))))</f>
      </c>
      <c r="M91" t="s">
        <v>204</v>
      </c>
    </row>
    <row r="92" spans="1:20" x14ac:dyDescent="0.25">
      <c r="A92" s="276" t="s">
        <v>138</v>
      </c>
      <c r="B92" s="276"/>
      <c r="C92" s="262">
        <f>IF(B17=0,0,365/(Snapshot!C6/(AVERAGE('Balance Sheet'!B17:C17))))</f>
      </c>
      <c r="D92" s="262">
        <f>IF(C17=0,0,365/(Snapshot!D6/(AVERAGE('Balance Sheet'!C17:D17))))</f>
      </c>
      <c r="E92" s="262">
        <f>IF(D17=0,0,365/(Snapshot!E6/(AVERAGE('Balance Sheet'!D17:E17))))</f>
      </c>
      <c r="F92" s="262">
        <f>IF(E17=0,0,365/(Snapshot!F6/(AVERAGE('Balance Sheet'!E17:F17))))</f>
      </c>
      <c r="G92" s="262">
        <f>IF(F17=0,0,365/(Snapshot!G6/(AVERAGE('Balance Sheet'!F17:G17))))</f>
      </c>
      <c r="H92" s="262">
        <f>IF(G17=0,0,365/(Snapshot!H6/(AVERAGE('Balance Sheet'!G17:H17))))</f>
      </c>
      <c r="I92" s="262">
        <f>IF(H17=0,0,365/(Snapshot!I6/(AVERAGE('Balance Sheet'!H17:I17))))</f>
      </c>
      <c r="J92" s="262">
        <f>IF(I17=0,0,365/(Snapshot!J6/(AVERAGE('Balance Sheet'!I17:J17))))</f>
      </c>
      <c r="K92" s="262">
        <f>IF(J17=0,0,365/(Snapshot!K6/(AVERAGE('Balance Sheet'!J17:K17))))</f>
      </c>
    </row>
    <row r="93" spans="1:20" x14ac:dyDescent="0.25">
      <c r="A93" s="277" t="s">
        <v>139</v>
      </c>
      <c r="B93" s="278"/>
      <c r="C93" s="263">
        <f>IF(B8=0,0,365/(Snapshot!C6/(AVERAGE(B8:C8))))</f>
      </c>
      <c r="D93" s="263">
        <f>IF(C8=0,0,365/(Snapshot!D6/(AVERAGE(C8:D8))))</f>
      </c>
      <c r="E93" s="263">
        <f>IF(D8=0,0,365/(Snapshot!E6/(AVERAGE(D8:E8))))</f>
      </c>
      <c r="F93" s="263">
        <f>IF(E8=0,0,365/(Snapshot!F6/(AVERAGE(E8:F8))))</f>
      </c>
      <c r="G93" s="263">
        <f>IF(F8=0,0,365/(Snapshot!G6/(AVERAGE(F8:G8))))</f>
      </c>
      <c r="H93" s="263">
        <f>IF(G8=0,0,365/(Snapshot!H6/(AVERAGE(G8:H8))))</f>
      </c>
      <c r="I93" s="263">
        <f>IF(H8=0,0,365/(Snapshot!I6/(AVERAGE(H8:I8))))</f>
      </c>
      <c r="J93" s="263">
        <f>IF(I8=0,0,365/(Snapshot!J6/(AVERAGE(I8:J8))))</f>
      </c>
      <c r="K93" s="263">
        <f>IF(J8=0,0,365/(Snapshot!K6/(AVERAGE(J8:K8))))</f>
      </c>
    </row>
    <row r="94" spans="1:20" x14ac:dyDescent="0.25">
      <c r="A94" s="279" t="s">
        <v>165</v>
      </c>
      <c r="B94" s="280"/>
      <c r="C94" s="264">
        <f t="shared" ref="C94:K94" si="35">IF(B16=0,0,C91+C92-C93)</f>
      </c>
      <c r="D94" s="264">
        <f t="shared" si="35"/>
      </c>
      <c r="E94" s="264">
        <f t="shared" si="35"/>
      </c>
      <c r="F94" s="264">
        <f t="shared" si="35"/>
      </c>
      <c r="G94" s="264">
        <f t="shared" si="35"/>
      </c>
      <c r="H94" s="264">
        <f t="shared" si="35"/>
      </c>
      <c r="I94" s="264">
        <f t="shared" si="35"/>
      </c>
      <c r="J94" s="264">
        <f t="shared" si="35"/>
      </c>
      <c r="K94" s="264">
        <f t="shared" si="35"/>
      </c>
    </row>
    <row r="95" spans="1:20" x14ac:dyDescent="0.25">
      <c r="A95" s="228"/>
      <c r="B95" s="228"/>
      <c r="C95" s="229"/>
      <c r="D95" s="229"/>
      <c r="E95" s="229"/>
      <c r="F95" s="229"/>
      <c r="G95" s="229"/>
      <c r="H95" s="229"/>
      <c r="I95" s="229"/>
      <c r="J95" s="229"/>
      <c r="K95" s="229"/>
      <c r="M95" s="131" t="s">
        <v>103</v>
      </c>
      <c r="N95" s="131" t="s">
        <v>104</v>
      </c>
      <c r="O95" s="131" t="s">
        <v>105</v>
      </c>
      <c r="Q95" s="267" t="s">
        <v>243</v>
      </c>
      <c r="R95" s="159"/>
      <c r="S95" s="159"/>
      <c r="T95" s="159"/>
    </row>
    <row r="96" spans="1:20" x14ac:dyDescent="0.25">
      <c r="A96" s="222" t="s">
        <v>190</v>
      </c>
      <c r="B96" s="223"/>
      <c r="C96" s="224">
        <f>IF(C75=0,"",C85*C80)</f>
      </c>
      <c r="D96" s="224">
        <f t="shared" ref="D96:K96" si="36">IF(D75=0,"",D85*D80)</f>
      </c>
      <c r="E96" s="224">
        <f t="shared" si="36"/>
      </c>
      <c r="F96" s="224">
        <f t="shared" si="36"/>
      </c>
      <c r="G96" s="224">
        <f t="shared" si="36"/>
      </c>
      <c r="H96" s="224">
        <f t="shared" si="36"/>
      </c>
      <c r="I96" s="224">
        <f t="shared" si="36"/>
      </c>
      <c r="J96" s="224">
        <f t="shared" si="36"/>
      </c>
      <c r="K96" s="224">
        <f t="shared" si="36"/>
      </c>
      <c r="M96" s="250">
        <f>MEDIAN(B96:K96)</f>
      </c>
      <c r="N96" s="250">
        <f>MIN(B96:K96)</f>
      </c>
      <c r="O96" s="250">
        <f>MAX(B96:K96)</f>
      </c>
      <c r="Q96" s="314"/>
      <c r="R96" s="314"/>
      <c r="S96" s="314"/>
      <c r="T96" s="314"/>
    </row>
    <row r="97" spans="1:20" x14ac:dyDescent="0.25">
      <c r="A97" s="2"/>
      <c r="Q97" s="314"/>
      <c r="R97" s="314"/>
      <c r="S97" s="314"/>
      <c r="T97" s="314"/>
    </row>
    <row r="98" spans="1:20" x14ac:dyDescent="0.25">
      <c r="A98" s="40" t="s">
        <v>132</v>
      </c>
      <c r="B98" s="40"/>
      <c r="C98" s="158">
        <f t="shared" ref="C98:K98" si="37">C43</f>
      </c>
      <c r="D98" s="158">
        <f t="shared" si="37"/>
      </c>
      <c r="E98" s="158">
        <f t="shared" si="37"/>
      </c>
      <c r="F98" s="158">
        <f t="shared" si="37"/>
      </c>
      <c r="G98" s="158">
        <f t="shared" si="37"/>
      </c>
      <c r="H98" s="158">
        <f t="shared" si="37"/>
      </c>
      <c r="I98" s="158">
        <f t="shared" si="37"/>
      </c>
      <c r="J98" s="158">
        <f t="shared" si="37"/>
      </c>
      <c r="K98" s="158">
        <f t="shared" si="37"/>
      </c>
      <c r="M98" s="34"/>
      <c r="N98" s="165"/>
      <c r="O98" s="165"/>
    </row>
    <row r="99" spans="1:20" ht="15.75" thickBot="1" x14ac:dyDescent="0.3">
      <c r="A99" s="225" t="s">
        <v>191</v>
      </c>
      <c r="B99" s="226"/>
      <c r="C99" s="227">
        <f>IF(C75=0,"",C96*(1-C98))</f>
      </c>
      <c r="D99" s="227">
        <f t="shared" ref="D99:K99" si="38">IF(D75=0,"",D96*(1-D98))</f>
      </c>
      <c r="E99" s="227">
        <f t="shared" si="38"/>
      </c>
      <c r="F99" s="227">
        <f t="shared" si="38"/>
      </c>
      <c r="G99" s="227">
        <f t="shared" si="38"/>
      </c>
      <c r="H99" s="227">
        <f t="shared" si="38"/>
      </c>
      <c r="I99" s="227">
        <f t="shared" si="38"/>
      </c>
      <c r="J99" s="227">
        <f t="shared" si="38"/>
      </c>
      <c r="K99" s="227">
        <f t="shared" si="38"/>
      </c>
      <c r="M99" s="251">
        <f>MEDIAN(B99:K99)</f>
      </c>
      <c r="N99" s="251">
        <f>MIN(B99:K99)</f>
      </c>
      <c r="O99" s="252">
        <f>MAX(B99:K99)</f>
      </c>
      <c r="P99" s="45"/>
    </row>
    <row r="100" spans="1:20" ht="15.75" thickTop="1" x14ac:dyDescent="0.25"/>
    <row r="102" spans="1:20" x14ac:dyDescent="0.25">
      <c r="A102" s="2" t="s">
        <v>205</v>
      </c>
    </row>
    <row r="103" spans="1:20" x14ac:dyDescent="0.25">
      <c r="A103" t="s">
        <v>211</v>
      </c>
    </row>
    <row r="105" spans="1:20" x14ac:dyDescent="0.25">
      <c r="A105" t="s">
        <v>206</v>
      </c>
    </row>
    <row r="106" spans="1:20" x14ac:dyDescent="0.25">
      <c r="A106" t="s">
        <v>207</v>
      </c>
    </row>
    <row r="107" spans="1:20" x14ac:dyDescent="0.25">
      <c r="A107" t="s">
        <v>210</v>
      </c>
    </row>
    <row r="108" spans="1:20" x14ac:dyDescent="0.25">
      <c r="A108" t="s">
        <v>209</v>
      </c>
    </row>
    <row r="109" spans="1:20" x14ac:dyDescent="0.25">
      <c r="A109" s="2" t="s">
        <v>208</v>
      </c>
      <c r="B109" s="2"/>
      <c r="C109" s="2"/>
      <c r="D109" s="2"/>
      <c r="E109" s="2"/>
      <c r="F109" s="2"/>
      <c r="G109" s="2"/>
    </row>
    <row r="122" spans="3:11" x14ac:dyDescent="0.25">
      <c r="C122" s="33"/>
      <c r="D122" s="33"/>
      <c r="E122" s="33"/>
      <c r="F122" s="33"/>
      <c r="G122" s="33"/>
      <c r="H122" s="33"/>
      <c r="I122" s="33"/>
      <c r="J122" s="33"/>
      <c r="K122" s="33"/>
    </row>
  </sheetData>
  <mergeCells count="3">
    <mergeCell ref="Q96:T97"/>
    <mergeCell ref="Q80:T81"/>
    <mergeCell ref="Q85:T86"/>
  </mergeCells>
  <hyperlinks>
    <hyperlink ref="K1" r:id="rId1" display="Amol N" xr:uid="{077B6164-96C5-445B-999E-7EEE29868FD2}"/>
    <hyperlink ref="G58" r:id="rId2" xr:uid="{9F0117F0-48BA-45A1-948C-AA0FB95EF959}"/>
  </hyperlinks>
  <printOptions gridLines="1"/>
  <pageMargins left="0.7" right="0.7" top="0.75" bottom="0.75" header="0.3" footer="0.3"/>
  <pageSetup paperSize="9" orientation="landscape" horizontalDpi="300" verticalDpi="300" r:id="rId3"/>
  <drawing r:id="rId4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34904F66-9CB6-4ECA-911B-E1C555398AC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Sheet'!C80:K80</xm:f>
              <xm:sqref>Q80</xm:sqref>
            </x14:sparkline>
          </x14:sparklines>
        </x14:sparklineGroup>
        <x14:sparklineGroup displayEmptyCellsAs="gap" markers="1" xr2:uid="{FBDAF21A-BB7C-423C-90EA-9AE6D1DBD5E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Sheet'!C85:K85</xm:f>
              <xm:sqref>Q85</xm:sqref>
            </x14:sparkline>
          </x14:sparklines>
        </x14:sparklineGroup>
        <x14:sparklineGroup displayEmptyCellsAs="gap" markers="1" xr2:uid="{A1B7308E-6DEA-406F-89AD-B929FB1ED37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Sheet'!C96:K96</xm:f>
              <xm:sqref>Q96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A11C-9728-4D10-A73A-FFF603DEA359}">
  <dimension ref="A1:L47"/>
  <sheetViews>
    <sheetView topLeftCell="A16" zoomScale="81" workbookViewId="0">
      <selection activeCell="H44" sqref="H44"/>
    </sheetView>
  </sheetViews>
  <sheetFormatPr defaultRowHeight="15" x14ac:dyDescent="0.25"/>
  <cols>
    <col min="1" max="1" width="4.140625" customWidth="1"/>
    <col min="2" max="2" width="35.140625" customWidth="1"/>
  </cols>
  <sheetData>
    <row r="1" spans="1:12" x14ac:dyDescent="0.25">
      <c r="B1" s="234" t="s">
        <v>219</v>
      </c>
      <c r="C1" s="233"/>
    </row>
    <row r="2" spans="1:12" x14ac:dyDescent="0.25">
      <c r="B2" s="234"/>
      <c r="C2" s="289"/>
    </row>
    <row r="3" spans="1:12" x14ac:dyDescent="0.25">
      <c r="B3" s="283"/>
      <c r="C3" s="284" t="s">
        <v>246</v>
      </c>
      <c r="D3" s="283"/>
      <c r="E3" s="283"/>
      <c r="F3" s="283"/>
      <c r="G3" s="283"/>
      <c r="H3" s="283"/>
      <c r="I3" s="283"/>
    </row>
    <row r="4" spans="1:12" x14ac:dyDescent="0.25">
      <c r="B4" s="2" t="s">
        <v>216</v>
      </c>
      <c r="C4" s="2"/>
    </row>
    <row r="5" spans="1:12" x14ac:dyDescent="0.25">
      <c r="B5" s="2"/>
      <c r="C5" s="2"/>
    </row>
    <row r="6" spans="1:12" x14ac:dyDescent="0.25">
      <c r="G6" s="26" t="s">
        <v>212</v>
      </c>
      <c r="H6" s="41"/>
      <c r="I6" s="41"/>
    </row>
    <row r="7" spans="1:12" x14ac:dyDescent="0.25">
      <c r="B7" s="290" t="s">
        <v>254</v>
      </c>
      <c r="C7" s="291"/>
      <c r="G7" s="131" t="s">
        <v>103</v>
      </c>
      <c r="H7" s="131" t="s">
        <v>104</v>
      </c>
      <c r="I7" s="131" t="s">
        <v>105</v>
      </c>
    </row>
    <row r="8" spans="1:12" x14ac:dyDescent="0.25">
      <c r="B8" s="292" t="s">
        <v>171</v>
      </c>
      <c r="C8" s="293">
        <f>G8</f>
      </c>
      <c r="G8" s="120">
        <f>MEDIAN('Balance Sheet'!C81:K81)</f>
      </c>
      <c r="H8" s="120">
        <f>MIN('Balance Sheet'!C81:K81)</f>
      </c>
      <c r="I8" s="120">
        <f>MAX('Balance Sheet'!C81:K81)</f>
      </c>
      <c r="L8" s="237"/>
    </row>
    <row r="9" spans="1:12" x14ac:dyDescent="0.25">
      <c r="B9" s="294" t="s">
        <v>194</v>
      </c>
      <c r="C9" s="293">
        <f>G9</f>
      </c>
      <c r="D9" t="s">
        <v>217</v>
      </c>
      <c r="G9" s="120">
        <f>MEDIAN('Balance Sheet'!C82:K82)</f>
      </c>
      <c r="H9" s="120">
        <f>MIN('Balance Sheet'!C82:K82)</f>
      </c>
      <c r="I9" s="120">
        <f>MAX('Balance Sheet'!C82:K82)</f>
      </c>
      <c r="L9" s="237"/>
    </row>
    <row r="10" spans="1:12" x14ac:dyDescent="0.25">
      <c r="B10" s="295" t="s">
        <v>195</v>
      </c>
      <c r="C10" s="293">
        <f>G10</f>
      </c>
      <c r="D10" t="s">
        <v>217</v>
      </c>
      <c r="G10" s="120">
        <f>MEDIAN('Balance Sheet'!C83:K83)</f>
      </c>
      <c r="H10" s="120">
        <f>MIN('Balance Sheet'!C83:K83)</f>
      </c>
      <c r="I10" s="120">
        <f>MAX('Balance Sheet'!C83:K83)</f>
      </c>
      <c r="L10" s="237"/>
    </row>
    <row r="11" spans="1:12" x14ac:dyDescent="0.25">
      <c r="A11">
        <v>1</v>
      </c>
      <c r="B11" s="201" t="s">
        <v>192</v>
      </c>
      <c r="C11" s="296">
        <f>SUM(C8:C10)</f>
      </c>
      <c r="L11" s="237"/>
    </row>
    <row r="12" spans="1:12" x14ac:dyDescent="0.25">
      <c r="B12" s="2"/>
      <c r="L12" s="237"/>
    </row>
    <row r="13" spans="1:12" x14ac:dyDescent="0.25">
      <c r="B13" s="2"/>
      <c r="L13" s="237"/>
    </row>
    <row r="14" spans="1:12" x14ac:dyDescent="0.25">
      <c r="B14" s="290" t="s">
        <v>155</v>
      </c>
      <c r="C14" s="297"/>
    </row>
    <row r="15" spans="1:12" x14ac:dyDescent="0.25">
      <c r="B15" s="298" t="s">
        <v>236</v>
      </c>
      <c r="C15" s="299">
        <f>G15</f>
      </c>
      <c r="G15" s="140">
        <f>MEDIAN('Balance Sheet'!G88:K88)</f>
      </c>
      <c r="H15" s="140">
        <f>MIN('Balance Sheet'!G88:K88)</f>
      </c>
      <c r="I15" s="140">
        <f>MAX('Balance Sheet'!G88:K88)</f>
      </c>
      <c r="L15" s="237"/>
    </row>
    <row r="16" spans="1:12" x14ac:dyDescent="0.25">
      <c r="B16" s="300"/>
      <c r="C16" s="301"/>
      <c r="L16" s="237"/>
    </row>
    <row r="17" spans="1:12" x14ac:dyDescent="0.25">
      <c r="B17" s="298" t="s">
        <v>237</v>
      </c>
      <c r="C17" s="302">
        <f>IF(C21=0,0,365/C21)</f>
      </c>
      <c r="L17" s="237"/>
    </row>
    <row r="18" spans="1:12" x14ac:dyDescent="0.25">
      <c r="B18" s="303" t="s">
        <v>137</v>
      </c>
      <c r="C18" s="304">
        <f>G18</f>
      </c>
      <c r="G18" s="240">
        <f>MEDIAN('Balance Sheet'!C91:K91)</f>
      </c>
      <c r="H18" s="240">
        <f>MIN('Balance Sheet'!C91:K91)</f>
      </c>
      <c r="I18" s="240">
        <f>MAX('Balance Sheet'!C91:K91)</f>
      </c>
      <c r="L18" s="235"/>
    </row>
    <row r="19" spans="1:12" x14ac:dyDescent="0.25">
      <c r="B19" s="303" t="s">
        <v>138</v>
      </c>
      <c r="C19" s="304">
        <f t="shared" ref="C19:C20" si="0">G19</f>
      </c>
      <c r="G19" s="240">
        <f>MEDIAN('Balance Sheet'!C92:K92)</f>
      </c>
      <c r="H19" s="240">
        <f>MIN('Balance Sheet'!C92:K92)</f>
      </c>
      <c r="I19" s="240">
        <f>MAX('Balance Sheet'!C92:K92)</f>
      </c>
      <c r="L19" s="235"/>
    </row>
    <row r="20" spans="1:12" x14ac:dyDescent="0.25">
      <c r="B20" s="303" t="s">
        <v>139</v>
      </c>
      <c r="C20" s="304">
        <f t="shared" si="0"/>
      </c>
      <c r="G20" s="268">
        <f>MEDIAN('Balance Sheet'!C93:K93)</f>
      </c>
      <c r="H20" s="268">
        <f>MIN('Balance Sheet'!C93:K93)</f>
      </c>
      <c r="I20" s="268">
        <f>MAX('Balance Sheet'!C93:K93)</f>
      </c>
      <c r="L20" s="235"/>
    </row>
    <row r="21" spans="1:12" x14ac:dyDescent="0.25">
      <c r="B21" s="305" t="s">
        <v>165</v>
      </c>
      <c r="C21" s="306">
        <f>C18+C19-C20</f>
      </c>
      <c r="L21" s="237"/>
    </row>
    <row r="22" spans="1:12" x14ac:dyDescent="0.25">
      <c r="A22">
        <v>2</v>
      </c>
      <c r="B22" s="194" t="s">
        <v>155</v>
      </c>
      <c r="C22" s="307">
        <f>IF(C15=0,0,1/(1/C15+1/C17))</f>
      </c>
      <c r="L22" s="237"/>
    </row>
    <row r="23" spans="1:12" x14ac:dyDescent="0.25">
      <c r="B23" s="228"/>
      <c r="C23" s="228"/>
      <c r="L23" s="237"/>
    </row>
    <row r="24" spans="1:12" x14ac:dyDescent="0.25">
      <c r="B24" s="228"/>
      <c r="C24" s="228"/>
      <c r="L24" s="237"/>
    </row>
    <row r="25" spans="1:12" x14ac:dyDescent="0.25">
      <c r="B25" s="222" t="s">
        <v>255</v>
      </c>
      <c r="C25" s="224">
        <f>C22*C11</f>
      </c>
      <c r="L25" s="237"/>
    </row>
    <row r="26" spans="1:12" x14ac:dyDescent="0.25">
      <c r="B26" s="2"/>
      <c r="L26" s="237"/>
    </row>
    <row r="27" spans="1:12" x14ac:dyDescent="0.25">
      <c r="B27" s="40" t="s">
        <v>132</v>
      </c>
      <c r="C27" s="236">
        <v>0.25169999999999998</v>
      </c>
      <c r="G27" s="120">
        <f>MEDIAN('Balance Sheet'!C98:K98)</f>
      </c>
      <c r="H27" s="120">
        <f>MIN('Balance Sheet'!C98:K98)</f>
      </c>
      <c r="I27" s="120">
        <f>MAX('Balance Sheet'!C98:K98)</f>
      </c>
      <c r="L27" s="237"/>
    </row>
    <row r="28" spans="1:12" ht="15.75" thickBot="1" x14ac:dyDescent="0.3">
      <c r="B28" s="225" t="s">
        <v>253</v>
      </c>
      <c r="C28" s="227">
        <f>C25*(1-C27)</f>
      </c>
      <c r="L28" s="237"/>
    </row>
    <row r="29" spans="1:12" ht="15.75" thickTop="1" x14ac:dyDescent="0.25"/>
    <row r="30" spans="1:12" x14ac:dyDescent="0.25">
      <c r="B30" t="s">
        <v>215</v>
      </c>
      <c r="C30" s="2"/>
    </row>
    <row r="31" spans="1:12" x14ac:dyDescent="0.25">
      <c r="B31" t="s">
        <v>213</v>
      </c>
      <c r="C31" s="2"/>
    </row>
    <row r="32" spans="1:12" x14ac:dyDescent="0.25">
      <c r="B32" t="s">
        <v>214</v>
      </c>
      <c r="C32" s="2"/>
    </row>
    <row r="33" spans="2:9" x14ac:dyDescent="0.25">
      <c r="B33" t="s">
        <v>218</v>
      </c>
      <c r="C33" s="2"/>
    </row>
    <row r="35" spans="2:9" x14ac:dyDescent="0.25">
      <c r="B35" s="283"/>
      <c r="C35" s="284" t="s">
        <v>245</v>
      </c>
      <c r="D35" s="283"/>
      <c r="E35" s="283"/>
      <c r="F35" s="283"/>
      <c r="G35" s="283"/>
      <c r="H35" s="283"/>
      <c r="I35" s="283"/>
    </row>
    <row r="36" spans="2:9" x14ac:dyDescent="0.25">
      <c r="C36" s="2"/>
      <c r="G36" s="26" t="s">
        <v>212</v>
      </c>
      <c r="H36" s="41"/>
      <c r="I36" s="41"/>
    </row>
    <row r="37" spans="2:9" x14ac:dyDescent="0.25">
      <c r="G37" s="131" t="s">
        <v>103</v>
      </c>
      <c r="H37" s="131" t="s">
        <v>104</v>
      </c>
      <c r="I37" s="131" t="s">
        <v>105</v>
      </c>
    </row>
    <row r="38" spans="2:9" x14ac:dyDescent="0.25">
      <c r="B38" t="s">
        <v>247</v>
      </c>
      <c r="C38" s="286">
        <f>G38</f>
      </c>
      <c r="G38" s="285">
        <f>MEDIAN(Snapshot!F42:K42)</f>
      </c>
      <c r="H38" s="285">
        <f>MIN(Snapshot!F42:K42)</f>
      </c>
      <c r="I38" s="285">
        <f>MAX(Snapshot!F42:K42)</f>
      </c>
    </row>
    <row r="39" spans="2:9" x14ac:dyDescent="0.25">
      <c r="B39" t="s">
        <v>250</v>
      </c>
      <c r="C39" s="286">
        <f>G39</f>
      </c>
      <c r="G39" s="287">
        <f>MEDIAN(Snapshot!F45:K45)</f>
      </c>
      <c r="H39" s="287">
        <f>MIN(Snapshot!F45:K45)</f>
      </c>
      <c r="I39" s="287">
        <f>MAX(Snapshot!F45:K45)</f>
      </c>
    </row>
    <row r="40" spans="2:9" x14ac:dyDescent="0.25">
      <c r="B40" t="s">
        <v>251</v>
      </c>
      <c r="C40" s="288">
        <v>0.25168000000000001</v>
      </c>
      <c r="G40" s="287">
        <f>MEDIAN(Snapshot!B23:K23)</f>
      </c>
      <c r="H40" s="287">
        <f>MIN(Snapshot!B23:K23)</f>
      </c>
      <c r="I40" s="287">
        <f>MAX(Snapshot!B23:K23)</f>
      </c>
    </row>
    <row r="41" spans="2:9" ht="15.75" thickBot="1" x14ac:dyDescent="0.3">
      <c r="B41" s="225" t="s">
        <v>248</v>
      </c>
      <c r="C41" s="227">
        <f>C28+C38*(C28-C39*(1-C40))</f>
      </c>
    </row>
    <row r="42" spans="2:9" ht="15.75" thickTop="1" x14ac:dyDescent="0.25"/>
    <row r="43" spans="2:9" x14ac:dyDescent="0.25">
      <c r="B43" s="2" t="s">
        <v>205</v>
      </c>
    </row>
    <row r="44" spans="2:9" x14ac:dyDescent="0.25">
      <c r="B44" t="s">
        <v>249</v>
      </c>
    </row>
    <row r="46" spans="2:9" x14ac:dyDescent="0.25">
      <c r="C46" s="31"/>
    </row>
    <row r="47" spans="2:9" x14ac:dyDescent="0.25">
      <c r="C47" s="23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N28"/>
  <sheetViews>
    <sheetView zoomScale="119" workbookViewId="0">
      <selection activeCell="G31" sqref="G31"/>
    </sheetView>
  </sheetViews>
  <sheetFormatPr defaultColWidth="8.85546875" defaultRowHeight="15" x14ac:dyDescent="0.25"/>
  <cols>
    <col min="1" max="1" width="15.28515625" bestFit="1" customWidth="1"/>
    <col min="2" max="2" width="7.85546875" customWidth="1"/>
    <col min="3" max="3" width="8.7109375" customWidth="1"/>
    <col min="4" max="4" width="9.7109375" customWidth="1"/>
    <col min="5" max="5" width="7.140625" customWidth="1"/>
    <col min="6" max="7" width="8.85546875" customWidth="1"/>
    <col min="8" max="8" width="9.7109375" customWidth="1"/>
    <col min="9" max="9" width="7.5703125" customWidth="1"/>
    <col min="10" max="10" width="8.5703125" customWidth="1"/>
    <col min="11" max="11" width="9" customWidth="1"/>
    <col min="12" max="12" width="7.140625" customWidth="1"/>
  </cols>
  <sheetData>
    <row r="1" spans="1:12" s="2" customFormat="1" x14ac:dyDescent="0.25">
      <c r="A1" s="2" t="str">
        <f>Snapshot!A2</f>
      </c>
      <c r="E1" t="str">
        <f>UPDATE</f>
      </c>
    </row>
    <row r="2" spans="1:12" x14ac:dyDescent="0.25">
      <c r="A2" s="2" t="s">
        <v>92</v>
      </c>
    </row>
    <row r="4" spans="1:12" x14ac:dyDescent="0.25">
      <c r="B4" s="100" t="s">
        <v>90</v>
      </c>
      <c r="C4" s="99"/>
      <c r="D4" s="99"/>
      <c r="F4" s="100" t="s">
        <v>91</v>
      </c>
      <c r="G4" s="100"/>
      <c r="H4" s="41"/>
      <c r="I4" s="96"/>
      <c r="J4" s="100" t="s">
        <v>93</v>
      </c>
      <c r="K4" s="100"/>
      <c r="L4" s="41"/>
    </row>
    <row r="5" spans="1:12" x14ac:dyDescent="0.25">
      <c r="B5" s="102">
        <f>'Data Sheet'!K41</f>
      </c>
      <c r="C5" s="102">
        <f>'Data Sheet'!G41</f>
      </c>
      <c r="D5" s="2" t="s">
        <v>87</v>
      </c>
      <c r="F5" s="2" t="s">
        <v>89</v>
      </c>
      <c r="G5" s="2" t="s">
        <v>88</v>
      </c>
      <c r="H5" s="2" t="s">
        <v>87</v>
      </c>
      <c r="J5" s="2" t="s">
        <v>89</v>
      </c>
      <c r="K5" s="2" t="s">
        <v>88</v>
      </c>
      <c r="L5" s="2" t="s">
        <v>87</v>
      </c>
    </row>
    <row r="6" spans="1:12" x14ac:dyDescent="0.25">
      <c r="A6" s="24" t="str">
        <f>'Data Sheet'!A42</f>
      </c>
      <c r="B6" s="52">
        <f>'Data Sheet'!K42</f>
      </c>
      <c r="C6" s="52">
        <f>'Data Sheet'!G42</f>
      </c>
      <c r="D6" s="33">
        <f>B6/C6-1</f>
      </c>
      <c r="E6" s="52"/>
      <c r="F6" s="52">
        <f>SUM('Data Sheet'!J42:K42)</f>
      </c>
      <c r="G6" s="52">
        <f>SUM('Data Sheet'!F42:G42)</f>
      </c>
      <c r="H6" s="33">
        <f>F6/G6-1</f>
      </c>
      <c r="J6" s="52">
        <f>SUM('Data Sheet'!I42:K42)</f>
      </c>
      <c r="K6" s="52">
        <f>SUM('Data Sheet'!E42:G42)</f>
      </c>
      <c r="L6" s="33">
        <f>J6/K6-1</f>
      </c>
    </row>
    <row r="7" spans="1:12" x14ac:dyDescent="0.25">
      <c r="A7" s="24" t="str">
        <f>'Data Sheet'!A43</f>
      </c>
      <c r="B7" s="52">
        <f>'Data Sheet'!K43</f>
      </c>
      <c r="C7" s="52">
        <f>'Data Sheet'!G43</f>
      </c>
      <c r="D7" s="33"/>
      <c r="E7" s="52"/>
      <c r="F7" s="52">
        <f>SUM('Data Sheet'!J43:K43)</f>
      </c>
      <c r="G7" s="52">
        <f>SUM('Data Sheet'!F43:G43)</f>
      </c>
      <c r="H7" s="33"/>
      <c r="J7" s="52">
        <f>SUM('Data Sheet'!I43:K43)</f>
      </c>
      <c r="K7" s="52">
        <f>SUM('Data Sheet'!E43:G43)</f>
      </c>
      <c r="L7" s="33"/>
    </row>
    <row r="8" spans="1:12" x14ac:dyDescent="0.25">
      <c r="A8" s="97" t="str">
        <f>'Data Sheet'!A45</f>
      </c>
      <c r="B8" s="53">
        <f>'Data Sheet'!K45</f>
      </c>
      <c r="C8" s="53">
        <f>'Data Sheet'!G45</f>
      </c>
      <c r="D8" s="121"/>
      <c r="E8" s="53"/>
      <c r="F8" s="53">
        <f>SUM('Data Sheet'!J45:K45)</f>
      </c>
      <c r="G8" s="53">
        <f>SUM('Data Sheet'!F45:G45)</f>
      </c>
      <c r="H8" s="121"/>
      <c r="I8" s="40"/>
      <c r="J8" s="53">
        <f>SUM('Data Sheet'!I45:K45)</f>
      </c>
      <c r="K8" s="53">
        <f>SUM('Data Sheet'!E45:G45)</f>
      </c>
      <c r="L8" s="121"/>
    </row>
    <row r="9" spans="1:12" x14ac:dyDescent="0.25">
      <c r="A9" s="96" t="str">
        <f>'Data Sheet'!A50</f>
      </c>
      <c r="B9" s="15">
        <f>B6-B7-B8</f>
      </c>
      <c r="C9" s="15">
        <f>C6-C7-C8</f>
      </c>
      <c r="D9" s="33">
        <f>B9/C9-1</f>
      </c>
      <c r="E9" s="52"/>
      <c r="F9" s="15">
        <f>F6-F7-F8</f>
      </c>
      <c r="G9" s="15">
        <f>G6-G7-G8</f>
      </c>
      <c r="H9" s="33">
        <f>F9/G9-1</f>
      </c>
      <c r="J9" s="15">
        <f>J6-J7-J8</f>
      </c>
      <c r="K9" s="15">
        <f>K6-K7-K8</f>
      </c>
      <c r="L9" s="33">
        <f>J9/K9-1</f>
      </c>
    </row>
    <row r="10" spans="1:12" x14ac:dyDescent="0.25">
      <c r="A10" s="96"/>
      <c r="B10" s="15"/>
      <c r="C10" s="15"/>
      <c r="D10" s="33"/>
      <c r="E10" s="52"/>
      <c r="F10" s="15"/>
      <c r="G10" s="15"/>
      <c r="H10" s="33"/>
      <c r="J10" s="15"/>
      <c r="K10" s="15"/>
      <c r="L10" s="33"/>
    </row>
    <row r="11" spans="1:12" x14ac:dyDescent="0.25">
      <c r="A11" s="24" t="str">
        <f>'Data Sheet'!A44</f>
      </c>
      <c r="B11" s="52">
        <f>'Data Sheet'!K44</f>
      </c>
      <c r="C11" s="52">
        <f>'Data Sheet'!G44</f>
      </c>
      <c r="D11" s="33"/>
      <c r="E11" s="52"/>
      <c r="F11" s="52">
        <f>SUM('Data Sheet'!J44:K44)</f>
      </c>
      <c r="G11" s="52">
        <f>SUM('Data Sheet'!F44:G44)</f>
      </c>
      <c r="H11" s="33"/>
      <c r="J11" s="52">
        <f>SUM('Data Sheet'!I44:K44)</f>
      </c>
      <c r="K11" s="52">
        <f>SUM('Data Sheet'!E44:G44)</f>
      </c>
      <c r="L11" s="33"/>
    </row>
    <row r="12" spans="1:12" s="10" customFormat="1" x14ac:dyDescent="0.25">
      <c r="A12" s="24" t="str">
        <f>'Data Sheet'!A46</f>
      </c>
      <c r="B12" s="68">
        <f>'Data Sheet'!K46</f>
      </c>
      <c r="C12" s="68">
        <f>'Data Sheet'!G46</f>
      </c>
      <c r="D12" s="101"/>
      <c r="E12" s="68"/>
      <c r="F12" s="68">
        <f>SUM('Data Sheet'!J46:K46)</f>
      </c>
      <c r="G12" s="68">
        <f>SUM('Data Sheet'!F46:G46)</f>
      </c>
      <c r="H12" s="101"/>
      <c r="J12" s="68">
        <f>SUM('Data Sheet'!I46:K46)</f>
      </c>
      <c r="K12" s="68">
        <f>SUM('Data Sheet'!E46:G46)</f>
      </c>
      <c r="L12" s="101"/>
    </row>
    <row r="13" spans="1:12" x14ac:dyDescent="0.25">
      <c r="A13" s="24" t="str">
        <f>'Data Sheet'!A47</f>
      </c>
      <c r="B13" s="52">
        <f>B9+B11-B8-B12</f>
      </c>
      <c r="C13" s="52">
        <f>C9+C11-C8-C12</f>
      </c>
      <c r="D13" s="33"/>
      <c r="E13" s="52"/>
      <c r="F13" s="52">
        <f>F9+F11-F8-F12</f>
      </c>
      <c r="G13" s="52">
        <f>G9+G11-G8-G12</f>
      </c>
      <c r="H13" s="33"/>
      <c r="J13" s="52">
        <f>J9+J11-J8-J12</f>
      </c>
      <c r="K13" s="52">
        <f>K9+K11-K8-K12</f>
      </c>
      <c r="L13" s="33"/>
    </row>
    <row r="14" spans="1:12" x14ac:dyDescent="0.25">
      <c r="A14" s="24" t="str">
        <f>'Data Sheet'!A48</f>
      </c>
      <c r="B14" s="52">
        <f>'Data Sheet'!K48</f>
      </c>
      <c r="C14" s="52">
        <f>'Data Sheet'!G48</f>
      </c>
      <c r="D14" s="33"/>
      <c r="E14" s="52"/>
      <c r="F14" s="52">
        <f>SUM('Data Sheet'!J48:K48)</f>
      </c>
      <c r="G14" s="52">
        <f>SUM('Data Sheet'!F48:G48)</f>
      </c>
      <c r="H14" s="33"/>
      <c r="J14" s="52">
        <f>SUM('Data Sheet'!I48:K48)</f>
      </c>
      <c r="K14" s="52">
        <f>SUM('Data Sheet'!E48:G48)</f>
      </c>
      <c r="L14" s="33"/>
    </row>
    <row r="15" spans="1:12" x14ac:dyDescent="0.25">
      <c r="A15" s="98" t="str">
        <f>'Data Sheet'!A49</f>
      </c>
      <c r="B15" s="21">
        <f>B13-B14</f>
      </c>
      <c r="C15" s="21">
        <f>C13-C14</f>
      </c>
      <c r="D15" s="33">
        <f>B15/C15-1</f>
      </c>
      <c r="E15" s="52"/>
      <c r="F15" s="21">
        <f>F13-F14</f>
      </c>
      <c r="G15" s="21">
        <f>G13-G14</f>
      </c>
      <c r="H15" s="33">
        <f>F15/G15-1</f>
      </c>
      <c r="J15" s="21">
        <f>J13-J14</f>
      </c>
      <c r="K15" s="21">
        <f>K13-K14</f>
      </c>
      <c r="L15" s="33">
        <f>J15/K15-1</f>
      </c>
    </row>
    <row r="17" spans="1:14" x14ac:dyDescent="0.25">
      <c r="A17" s="2" t="s">
        <v>144</v>
      </c>
      <c r="B17" s="33">
        <f>B9/B6</f>
      </c>
      <c r="C17" s="33">
        <f>C9/C6</f>
      </c>
      <c r="F17" s="33">
        <f>F9/F6</f>
      </c>
      <c r="G17" s="33">
        <f>G9/G6</f>
      </c>
      <c r="J17" s="33">
        <f>J9/J6</f>
      </c>
      <c r="K17" s="33">
        <f>K9/K6</f>
      </c>
    </row>
    <row r="18" spans="1:14" x14ac:dyDescent="0.25">
      <c r="A18" s="2" t="s">
        <v>143</v>
      </c>
      <c r="B18" s="33">
        <f>(B9+B8)/B6</f>
      </c>
      <c r="C18" s="33">
        <f t="shared" ref="C18:K18" si="0">(C9+C8)/C6</f>
      </c>
      <c r="D18" s="33"/>
      <c r="E18" s="33"/>
      <c r="F18" s="33">
        <f t="shared" si="0"/>
      </c>
      <c r="G18" s="33">
        <f t="shared" si="0"/>
      </c>
      <c r="H18" s="33"/>
      <c r="I18" s="33"/>
      <c r="J18" s="33">
        <f t="shared" si="0"/>
      </c>
      <c r="K18" s="33">
        <f t="shared" si="0"/>
      </c>
    </row>
    <row r="19" spans="1:14" x14ac:dyDescent="0.25">
      <c r="A19" s="2" t="s">
        <v>142</v>
      </c>
      <c r="B19" s="33">
        <f>B15/B6</f>
      </c>
      <c r="C19" s="33">
        <f>C15/C6</f>
      </c>
      <c r="F19" s="33">
        <f>F15/F6</f>
      </c>
      <c r="G19" s="33">
        <f>G15/G6</f>
      </c>
      <c r="J19" s="33">
        <f>J15/J6</f>
      </c>
      <c r="K19" s="33">
        <f>K15/K6</f>
      </c>
    </row>
    <row r="23" spans="1:14" x14ac:dyDescent="0.25">
      <c r="B23" s="102">
        <f>'Data Sheet'!K41</f>
      </c>
      <c r="C23" s="102">
        <f>'Data Sheet'!G41</f>
      </c>
      <c r="D23" s="102">
        <f>'Data Sheet'!C41</f>
      </c>
      <c r="F23" s="102">
        <f>'Data Sheet'!J41</f>
      </c>
      <c r="G23" s="102">
        <f>'Data Sheet'!F41</f>
      </c>
      <c r="H23" s="102">
        <f>'Data Sheet'!B41</f>
      </c>
      <c r="J23" s="102">
        <f>'Data Sheet'!I41</f>
      </c>
      <c r="K23" s="102">
        <f>'Data Sheet'!E41</f>
      </c>
      <c r="L23" s="102"/>
      <c r="M23" s="102">
        <f>'Data Sheet'!H41</f>
      </c>
      <c r="N23" s="102">
        <f>'Data Sheet'!D41</f>
      </c>
    </row>
    <row r="24" spans="1:14" x14ac:dyDescent="0.25">
      <c r="A24" s="2" t="s">
        <v>1</v>
      </c>
      <c r="B24" s="52">
        <f>'Data Sheet'!K42</f>
      </c>
      <c r="C24" s="52">
        <f>'Data Sheet'!G42</f>
      </c>
      <c r="D24" s="52">
        <f>'Data Sheet'!C42</f>
      </c>
      <c r="E24" s="52"/>
      <c r="F24" s="52">
        <f>'Data Sheet'!J42</f>
      </c>
      <c r="G24" s="52">
        <f>'Data Sheet'!F42</f>
      </c>
      <c r="H24" s="52">
        <f>'Data Sheet'!B42</f>
      </c>
      <c r="I24" s="52"/>
      <c r="J24" s="52">
        <f>'Data Sheet'!I42</f>
      </c>
      <c r="K24" s="52">
        <f>'Data Sheet'!E42</f>
      </c>
      <c r="L24" s="52"/>
      <c r="M24" s="52">
        <f>'Data Sheet'!H42</f>
      </c>
      <c r="N24" s="52">
        <f>'Data Sheet'!D42</f>
      </c>
    </row>
    <row r="25" spans="1:14" x14ac:dyDescent="0.25">
      <c r="B25" s="33">
        <f>B24/C24-1</f>
      </c>
      <c r="C25" s="33">
        <f>C24/D24-1</f>
      </c>
      <c r="F25" s="33">
        <f>F24/G24-1</f>
      </c>
      <c r="G25" s="33">
        <f>G24/H24-1</f>
      </c>
      <c r="J25" s="33">
        <f>J24/K24-1</f>
      </c>
      <c r="M25" s="33">
        <f>M24/N24-1</f>
      </c>
    </row>
    <row r="27" spans="1:14" x14ac:dyDescent="0.25">
      <c r="A27" s="2" t="s">
        <v>3</v>
      </c>
      <c r="B27" s="52">
        <f>B9</f>
      </c>
      <c r="C27" s="52">
        <f>C9</f>
      </c>
      <c r="D27" s="52">
        <f>'Data Sheet'!C42-'Data Sheet'!C43-'Data Sheet'!C45</f>
      </c>
      <c r="E27" s="52"/>
      <c r="F27" s="52">
        <f>'Data Sheet'!J42-'Data Sheet'!J43-'Data Sheet'!J45</f>
      </c>
      <c r="G27" s="52">
        <f>'Data Sheet'!F42-'Data Sheet'!F43-'Data Sheet'!F45</f>
      </c>
      <c r="H27" s="52">
        <f>'Data Sheet'!B42-'Data Sheet'!B43-'Data Sheet'!B45</f>
      </c>
      <c r="I27" s="52"/>
      <c r="J27" s="52">
        <f>'Data Sheet'!I42-'Data Sheet'!I43-'Data Sheet'!I45</f>
      </c>
      <c r="K27" s="52">
        <f>'Data Sheet'!E42-'Data Sheet'!E43-'Data Sheet'!E45</f>
      </c>
      <c r="L27" s="52"/>
      <c r="M27" s="52">
        <f>'Data Sheet'!H42-'Data Sheet'!H43-'Data Sheet'!H45</f>
      </c>
      <c r="N27" s="52">
        <f>'Data Sheet'!D42-'Data Sheet'!D43-'Data Sheet'!D45</f>
      </c>
    </row>
    <row r="28" spans="1:14" x14ac:dyDescent="0.25">
      <c r="B28" s="33">
        <f>B27/C27-1</f>
      </c>
      <c r="C28" s="33">
        <f>C27/D27-1</f>
      </c>
      <c r="F28" s="33">
        <f>F27/G27-1</f>
      </c>
      <c r="G28" s="33">
        <f>G27/H27-1</f>
      </c>
      <c r="J28" s="33">
        <f>J27/K27-1</f>
      </c>
      <c r="M28" s="33">
        <f>M27/N27-1</f>
      </c>
    </row>
  </sheetData>
  <printOptions gridLines="1"/>
  <pageMargins left="0.7" right="0.7" top="0.75" bottom="0.75" header="0.3" footer="0.3"/>
  <pageSetup paperSize="9" scale="83" orientation="landscape" horizontalDpi="300" verticalDpi="300" r:id="rId1"/>
  <ignoredErrors>
    <ignoredError sqref="F11:G11 J11:K11 J6:K7 F6:G7 F12:G14 J12:K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3"/>
  <sheetViews>
    <sheetView topLeftCell="A78" zoomScale="97" zoomScaleNormal="120" zoomScalePageLayoutView="120" workbookViewId="0">
      <selection activeCell="B59" sqref="B59"/>
    </sheetView>
  </sheetViews>
  <sheetFormatPr defaultColWidth="8.85546875" defaultRowHeight="15" x14ac:dyDescent="0.25"/>
  <cols>
    <col min="1" max="1" width="27.7109375" style="4" bestFit="1" customWidth="1"/>
    <col min="2" max="11" width="13.42578125" style="4" bestFit="1" customWidth="1"/>
    <col min="12" max="16384" width="8.85546875" style="4"/>
  </cols>
  <sheetData>
    <row r="1" spans="1:11" s="1" customFormat="1" x14ac:dyDescent="0.25">
      <c r="A1" s="1" t="s">
        <v>0</v>
      </c>
      <c r="B1" s="1" t="s">
        <v>33</v>
      </c>
      <c r="E1" s="318" t="str">
        <f>IF(B2&lt;&gt;B3, "A NEW VERSION OF THE WORKSHEET IS AVAILABLE", "")</f>
      </c>
      <c r="F1" s="318"/>
      <c r="G1" s="318"/>
      <c r="H1" s="318"/>
      <c r="I1" s="318"/>
      <c r="J1" s="318"/>
      <c r="K1" s="318"/>
    </row>
    <row r="2" spans="1:11" x14ac:dyDescent="0.25">
      <c r="A2" s="1" t="s">
        <v>31</v>
      </c>
      <c r="B2" s="4">
        <v>2.1</v>
      </c>
      <c r="E2" s="319" t="s">
        <v>21</v>
      </c>
      <c r="F2" s="319"/>
      <c r="G2" s="319"/>
      <c r="H2" s="319"/>
      <c r="I2" s="319"/>
      <c r="J2" s="319"/>
      <c r="K2" s="319"/>
    </row>
    <row r="3" spans="1:11" x14ac:dyDescent="0.25">
      <c r="A3" s="1" t="s">
        <v>32</v>
      </c>
      <c r="B3" s="4">
        <v>2.1</v>
      </c>
    </row>
    <row r="4" spans="1:11" x14ac:dyDescent="0.25">
      <c r="A4" s="1"/>
    </row>
    <row r="5" spans="1:11" x14ac:dyDescent="0.25">
      <c r="A5" s="1" t="s">
        <v>34</v>
      </c>
    </row>
    <row r="6" spans="1:11" x14ac:dyDescent="0.25">
      <c r="A6" s="4" t="s">
        <v>27</v>
      </c>
      <c r="B6" s="4">
        <f>IF(B9&gt;0, B9/B8, 0)</f>
      </c>
    </row>
    <row r="7" spans="1:11" x14ac:dyDescent="0.25">
      <c r="A7" s="4" t="s">
        <v>16</v>
      </c>
      <c r="B7">
        <v>10.00</v>
      </c>
    </row>
    <row r="8" spans="1:11" x14ac:dyDescent="0.25">
      <c r="A8" s="4" t="s">
        <v>28</v>
      </c>
      <c r="B8">
        <v>601.30</v>
      </c>
    </row>
    <row r="9" spans="1:11" x14ac:dyDescent="0.25">
      <c r="A9" s="4" t="s">
        <v>44</v>
      </c>
      <c r="B9">
        <v>2391.37</v>
      </c>
    </row>
    <row r="15" spans="1:11" x14ac:dyDescent="0.25">
      <c r="A15" s="1" t="s">
        <v>22</v>
      </c>
    </row>
    <row r="16" spans="1:11" s="9" customFormat="1" x14ac:dyDescent="0.25">
      <c r="A16" s="8" t="s">
        <v>23</v>
      </c>
      <c r="B16" s="7">
        <v>41729.0</v>
      </c>
      <c r="C16" s="7">
        <v>42094.0</v>
      </c>
      <c r="D16" s="7">
        <v>42460.0</v>
      </c>
      <c r="E16" s="7">
        <v>42825.0</v>
      </c>
      <c r="F16" s="7">
        <v>43190.0</v>
      </c>
      <c r="G16" s="7">
        <v>43555.0</v>
      </c>
      <c r="H16" s="7">
        <v>43921.0</v>
      </c>
      <c r="I16" s="7">
        <v>44286.0</v>
      </c>
      <c r="J16" s="7">
        <v>44651.0</v>
      </c>
      <c r="K16" s="7">
        <v>45016.0</v>
      </c>
    </row>
    <row r="17" spans="1:11" s="5" customFormat="1" x14ac:dyDescent="0.25">
      <c r="A17" s="5" t="s">
        <v>1</v>
      </c>
      <c r="B17">
        <v>1091.65</v>
      </c>
      <c r="C17">
        <v>1163.25</v>
      </c>
      <c r="D17">
        <v>1123.58</v>
      </c>
      <c r="E17">
        <v>1172.36</v>
      </c>
      <c r="F17">
        <v>1264.0</v>
      </c>
      <c r="G17">
        <v>1427.33</v>
      </c>
      <c r="H17">
        <v>1269.7</v>
      </c>
      <c r="I17">
        <v>886.75</v>
      </c>
      <c r="J17">
        <v>1380.23</v>
      </c>
      <c r="K17">
        <v>2097.66</v>
      </c>
    </row>
    <row r="18" spans="1:11" s="5" customFormat="1" x14ac:dyDescent="0.25">
      <c r="A18" s="4" t="s">
        <v>45</v>
      </c>
      <c r="B18">
        <v>472.26</v>
      </c>
      <c r="C18">
        <v>523.52</v>
      </c>
      <c r="D18">
        <v>507.94</v>
      </c>
      <c r="E18">
        <v>487.23</v>
      </c>
      <c r="F18">
        <v>482.39</v>
      </c>
      <c r="G18">
        <v>479.73</v>
      </c>
      <c r="H18">
        <v>437.92</v>
      </c>
      <c r="I18">
        <v>303.32</v>
      </c>
      <c r="J18">
        <v>646.27</v>
      </c>
      <c r="K18">
        <v>821.18</v>
      </c>
    </row>
    <row r="19" spans="1:11" s="5" customFormat="1" x14ac:dyDescent="0.25">
      <c r="A19" s="4" t="s">
        <v>46</v>
      </c>
      <c r="B19">
        <v>31.58</v>
      </c>
      <c r="C19">
        <v>3.21</v>
      </c>
      <c r="D19">
        <v>-8.56</v>
      </c>
      <c r="E19">
        <v>-23.94</v>
      </c>
      <c r="F19">
        <v>-16.51</v>
      </c>
      <c r="G19">
        <v>1.2</v>
      </c>
      <c r="H19">
        <v>59.53</v>
      </c>
      <c r="I19">
        <v>-52.59</v>
      </c>
      <c r="J19">
        <v>-18.14</v>
      </c>
      <c r="K19">
        <v>-1.76</v>
      </c>
    </row>
    <row r="20" spans="1:11" s="5" customFormat="1" x14ac:dyDescent="0.25">
      <c r="A20" s="4" t="s">
        <v>47</v>
      </c>
      <c r="B20">
        <v>87.74</v>
      </c>
      <c r="C20">
        <v>86.17</v>
      </c>
      <c r="D20">
        <v>79.44</v>
      </c>
      <c r="E20">
        <v>86.46</v>
      </c>
      <c r="F20">
        <v>93.7</v>
      </c>
      <c r="G20">
        <v>88.27</v>
      </c>
      <c r="H20">
        <v>97.77</v>
      </c>
      <c r="I20">
        <v>91.32</v>
      </c>
      <c r="J20">
        <v>126.46</v>
      </c>
      <c r="K20">
        <v>179.51</v>
      </c>
    </row>
    <row r="21" spans="1:11" s="5" customFormat="1" x14ac:dyDescent="0.25">
      <c r="A21" s="4" t="s">
        <v>48</v>
      </c>
      <c r="B21">
        <v>300.43</v>
      </c>
      <c r="C21">
        <v>216.72</v>
      </c>
      <c r="D21">
        <v>190.48</v>
      </c>
      <c r="E21">
        <v>196.84</v>
      </c>
      <c r="F21">
        <v>225.13</v>
      </c>
      <c r="G21">
        <v>225.24</v>
      </c>
      <c r="H21">
        <v>237.46</v>
      </c>
      <c r="I21">
        <v>157.86</v>
      </c>
      <c r="J21">
        <v>93.94</v>
      </c>
      <c r="K21">
        <v>97.06</v>
      </c>
    </row>
    <row r="22" spans="1:11" s="5" customFormat="1" x14ac:dyDescent="0.25">
      <c r="A22" s="4" t="s">
        <v>49</v>
      </c>
      <c r="B22">
        <v>108.24</v>
      </c>
      <c r="C22">
        <v>121.54</v>
      </c>
      <c r="D22">
        <v>129.25</v>
      </c>
      <c r="E22">
        <v>139.22</v>
      </c>
      <c r="F22">
        <v>152.2</v>
      </c>
      <c r="G22">
        <v>156.26</v>
      </c>
      <c r="H22">
        <v>159.19</v>
      </c>
      <c r="I22">
        <v>143.42</v>
      </c>
      <c r="J22">
        <v>157.55</v>
      </c>
      <c r="K22">
        <v>164.99</v>
      </c>
    </row>
    <row r="23" spans="1:11" s="5" customFormat="1" x14ac:dyDescent="0.25">
      <c r="A23" s="4" t="s">
        <v>50</v>
      </c>
      <c r="B23">
        <v>75.9</v>
      </c>
      <c r="C23">
        <v>105.95</v>
      </c>
      <c r="D23">
        <v>92.76</v>
      </c>
      <c r="E23">
        <v>51.14</v>
      </c>
      <c r="F23">
        <v>51.47</v>
      </c>
      <c r="G23">
        <v>79.43</v>
      </c>
      <c r="H23">
        <v>76.06</v>
      </c>
      <c r="I23">
        <v>62.14</v>
      </c>
      <c r="J23">
        <v>98.86</v>
      </c>
      <c r="K23">
        <v>76.51</v>
      </c>
    </row>
    <row r="24" spans="1:11" s="5" customFormat="1" x14ac:dyDescent="0.25">
      <c r="A24" s="4" t="s">
        <v>51</v>
      </c>
      <c r="B24">
        <v>17.19</v>
      </c>
      <c r="C24">
        <v>17.1</v>
      </c>
      <c r="D24">
        <v>-16.07</v>
      </c>
      <c r="E24">
        <v>17.46</v>
      </c>
      <c r="F24">
        <v>16.96</v>
      </c>
      <c r="G24">
        <v>19.28</v>
      </c>
      <c r="H24">
        <v>16.61</v>
      </c>
      <c r="I24">
        <v>15.02</v>
      </c>
      <c r="J24">
        <v>15.0</v>
      </c>
      <c r="K24">
        <v>18.46</v>
      </c>
    </row>
    <row r="25" spans="1:11" s="5" customFormat="1" x14ac:dyDescent="0.25">
      <c r="A25" s="5" t="s">
        <v>4</v>
      </c>
      <c r="B25">
        <v>12.51</v>
      </c>
      <c r="C25">
        <v>11.83</v>
      </c>
      <c r="D25">
        <v>38.62</v>
      </c>
      <c r="E25">
        <v>-22.22</v>
      </c>
      <c r="F25">
        <v>-7.28</v>
      </c>
      <c r="G25">
        <v>7.42</v>
      </c>
      <c r="H25">
        <v>12.8</v>
      </c>
      <c r="I25">
        <v>10.62</v>
      </c>
      <c r="J25">
        <v>41.81</v>
      </c>
      <c r="K25">
        <v>33.16</v>
      </c>
    </row>
    <row r="26" spans="1:11" s="5" customFormat="1" x14ac:dyDescent="0.25">
      <c r="A26" s="5" t="s">
        <v>5</v>
      </c>
      <c r="B26">
        <v>87.01</v>
      </c>
      <c r="C26">
        <v>69.0</v>
      </c>
      <c r="D26">
        <v>73.18</v>
      </c>
      <c r="E26">
        <v>70.03</v>
      </c>
      <c r="F26">
        <v>65.81</v>
      </c>
      <c r="G26">
        <v>67.87</v>
      </c>
      <c r="H26">
        <v>75.9</v>
      </c>
      <c r="I26">
        <v>73.38</v>
      </c>
      <c r="J26">
        <v>72.01</v>
      </c>
      <c r="K26">
        <v>63.2</v>
      </c>
    </row>
    <row r="27" spans="1:11" s="5" customFormat="1" x14ac:dyDescent="0.25">
      <c r="A27" s="5" t="s">
        <v>6</v>
      </c>
      <c r="B27">
        <v>43.39</v>
      </c>
      <c r="C27">
        <v>44.6</v>
      </c>
      <c r="D27">
        <v>40.3</v>
      </c>
      <c r="E27">
        <v>33.59</v>
      </c>
      <c r="F27">
        <v>26.09</v>
      </c>
      <c r="G27">
        <v>8.54</v>
      </c>
      <c r="H27">
        <v>5.32</v>
      </c>
      <c r="I27">
        <v>4.51</v>
      </c>
      <c r="J27">
        <v>5.45</v>
      </c>
      <c r="K27">
        <v>7.17</v>
      </c>
    </row>
    <row r="28" spans="1:11" s="5" customFormat="1" x14ac:dyDescent="0.25">
      <c r="A28" s="5" t="s">
        <v>7</v>
      </c>
      <c r="B28">
        <v>-56.42</v>
      </c>
      <c r="C28">
        <v>-6.31</v>
      </c>
      <c r="D28">
        <v>56.36</v>
      </c>
      <c r="E28">
        <v>44.23</v>
      </c>
      <c r="F28">
        <v>126.46</v>
      </c>
      <c r="G28">
        <v>311.33</v>
      </c>
      <c r="H28">
        <v>235.8</v>
      </c>
      <c r="I28">
        <v>-6.19</v>
      </c>
      <c r="J28">
        <v>188.36</v>
      </c>
      <c r="K28">
        <v>700.98</v>
      </c>
    </row>
    <row r="29" spans="1:11" s="5" customFormat="1" x14ac:dyDescent="0.25">
      <c r="A29" s="5" t="s">
        <v>8</v>
      </c>
      <c r="B29">
        <v>-14.81</v>
      </c>
      <c r="C29">
        <v>-6.56</v>
      </c>
      <c r="D29">
        <v>19.47</v>
      </c>
      <c r="E29">
        <v>11.83</v>
      </c>
      <c r="F29">
        <v>43.39</v>
      </c>
      <c r="G29">
        <v>111.25</v>
      </c>
      <c r="H29">
        <v>22.88</v>
      </c>
      <c r="I29">
        <v>-1.6</v>
      </c>
      <c r="J29">
        <v>48.62</v>
      </c>
      <c r="K29">
        <v>178.52</v>
      </c>
    </row>
    <row r="30" spans="1:11" s="5" customFormat="1" x14ac:dyDescent="0.25">
      <c r="A30" s="5" t="s">
        <v>9</v>
      </c>
      <c r="B30">
        <v>-41.61</v>
      </c>
      <c r="C30">
        <v>0.25</v>
      </c>
      <c r="D30">
        <v>36.89</v>
      </c>
      <c r="E30">
        <v>32.4</v>
      </c>
      <c r="F30">
        <v>83.07</v>
      </c>
      <c r="G30">
        <v>200.08</v>
      </c>
      <c r="H30">
        <v>212.92</v>
      </c>
      <c r="I30">
        <v>-4.6</v>
      </c>
      <c r="J30">
        <v>139.73</v>
      </c>
      <c r="K30">
        <v>522.46</v>
      </c>
    </row>
    <row r="31" spans="1:11" s="5" customFormat="1" x14ac:dyDescent="0.25">
      <c r="A31" s="5" t="s">
        <v>35</v>
      </c>
      <c r="B31"/>
      <c r="C31"/>
      <c r="D31"/>
      <c r="E31"/>
      <c r="F31"/>
      <c r="G31"/>
      <c r="H31"/>
      <c r="I31">
        <v>19.88</v>
      </c>
      <c r="J31">
        <v>29.83</v>
      </c>
      <c r="K31">
        <v>49.71</v>
      </c>
    </row>
    <row r="32" spans="1:11" s="5" customFormat="1" x14ac:dyDescent="0.25"/>
    <row r="33" spans="1:11" x14ac:dyDescent="0.25">
      <c r="A33" s="5"/>
    </row>
    <row r="34" spans="1:11" x14ac:dyDescent="0.25">
      <c r="A34" s="5"/>
    </row>
    <row r="35" spans="1:11" x14ac:dyDescent="0.25">
      <c r="A35" s="5"/>
    </row>
    <row r="36" spans="1:11" x14ac:dyDescent="0.25">
      <c r="A36" s="5"/>
    </row>
    <row r="37" spans="1:11" x14ac:dyDescent="0.25">
      <c r="A37" s="5"/>
    </row>
    <row r="38" spans="1:11" x14ac:dyDescent="0.25">
      <c r="A38" s="5"/>
    </row>
    <row r="39" spans="1:11" x14ac:dyDescent="0.25">
      <c r="A39" s="5"/>
    </row>
    <row r="40" spans="1:11" x14ac:dyDescent="0.25">
      <c r="A40" s="1" t="s">
        <v>24</v>
      </c>
    </row>
    <row r="41" spans="1:11" s="9" customFormat="1" x14ac:dyDescent="0.25">
      <c r="A41" s="8" t="s">
        <v>23</v>
      </c>
      <c r="B41" s="7">
        <v>44286.0</v>
      </c>
      <c r="C41" s="7">
        <v>44377.0</v>
      </c>
      <c r="D41" s="7">
        <v>44469.0</v>
      </c>
      <c r="E41" s="7">
        <v>44561.0</v>
      </c>
      <c r="F41" s="7">
        <v>44651.0</v>
      </c>
      <c r="G41" s="7">
        <v>44742.0</v>
      </c>
      <c r="H41" s="7">
        <v>44834.0</v>
      </c>
      <c r="I41" s="7">
        <v>44926.0</v>
      </c>
      <c r="J41" s="7">
        <v>45016.0</v>
      </c>
      <c r="K41" s="7">
        <v>45107.0</v>
      </c>
    </row>
    <row r="42" spans="1:11" s="5" customFormat="1" x14ac:dyDescent="0.25">
      <c r="A42" s="5" t="s">
        <v>1</v>
      </c>
      <c r="B42">
        <v>362.31</v>
      </c>
      <c r="C42">
        <v>258.42</v>
      </c>
      <c r="D42">
        <v>349.4</v>
      </c>
      <c r="E42">
        <v>346.48</v>
      </c>
      <c r="F42">
        <v>425.93</v>
      </c>
      <c r="G42">
        <v>452.01</v>
      </c>
      <c r="H42">
        <v>484.63</v>
      </c>
      <c r="I42">
        <v>570.86</v>
      </c>
      <c r="J42">
        <v>590.16</v>
      </c>
      <c r="K42">
        <v>477.59</v>
      </c>
    </row>
    <row r="43" spans="1:11" s="5" customFormat="1" x14ac:dyDescent="0.25">
      <c r="A43" s="5" t="s">
        <v>2</v>
      </c>
      <c r="B43">
        <v>302.71</v>
      </c>
      <c r="C43">
        <v>216.72</v>
      </c>
      <c r="D43">
        <v>313.98</v>
      </c>
      <c r="E43">
        <v>284.46</v>
      </c>
      <c r="F43">
        <v>344.14</v>
      </c>
      <c r="G43">
        <v>328.38</v>
      </c>
      <c r="H43">
        <v>338.96</v>
      </c>
      <c r="I43">
        <v>334.05</v>
      </c>
      <c r="J43">
        <v>361.54</v>
      </c>
      <c r="K43">
        <v>322.74</v>
      </c>
    </row>
    <row r="44" spans="1:11" s="5" customFormat="1" x14ac:dyDescent="0.25">
      <c r="A44" s="5" t="s">
        <v>4</v>
      </c>
      <c r="B44">
        <v>4.35</v>
      </c>
      <c r="C44">
        <v>12.13</v>
      </c>
      <c r="D44">
        <v>9.26</v>
      </c>
      <c r="E44">
        <v>7.36</v>
      </c>
      <c r="F44">
        <v>16.13</v>
      </c>
      <c r="G44">
        <v>8.71</v>
      </c>
      <c r="H44">
        <v>13.21</v>
      </c>
      <c r="I44">
        <v>16.34</v>
      </c>
      <c r="J44">
        <v>-1.63</v>
      </c>
      <c r="K44">
        <v>21.61</v>
      </c>
    </row>
    <row r="45" spans="1:11" s="5" customFormat="1" x14ac:dyDescent="0.25">
      <c r="A45" s="5" t="s">
        <v>5</v>
      </c>
      <c r="B45">
        <v>17.89</v>
      </c>
      <c r="C45">
        <v>17.61</v>
      </c>
      <c r="D45">
        <v>18.23</v>
      </c>
      <c r="E45">
        <v>17.99</v>
      </c>
      <c r="F45">
        <v>18.18</v>
      </c>
      <c r="G45">
        <v>16.8</v>
      </c>
      <c r="H45">
        <v>15.1</v>
      </c>
      <c r="I45">
        <v>15.56</v>
      </c>
      <c r="J45">
        <v>15.73</v>
      </c>
      <c r="K45">
        <v>15.83</v>
      </c>
    </row>
    <row r="46" spans="1:11" s="5" customFormat="1" x14ac:dyDescent="0.25">
      <c r="A46" s="5" t="s">
        <v>6</v>
      </c>
      <c r="B46">
        <v>1.54</v>
      </c>
      <c r="C46">
        <v>1.02</v>
      </c>
      <c r="D46">
        <v>1.08</v>
      </c>
      <c r="E46">
        <v>1.13</v>
      </c>
      <c r="F46">
        <v>2.21</v>
      </c>
      <c r="G46">
        <v>1.17</v>
      </c>
      <c r="H46">
        <v>1.2</v>
      </c>
      <c r="I46">
        <v>1.4</v>
      </c>
      <c r="J46">
        <v>3.4</v>
      </c>
      <c r="K46">
        <v>1.32</v>
      </c>
    </row>
    <row r="47" spans="1:11" s="5" customFormat="1" x14ac:dyDescent="0.25">
      <c r="A47" s="5" t="s">
        <v>7</v>
      </c>
      <c r="B47">
        <v>44.52</v>
      </c>
      <c r="C47">
        <v>35.2</v>
      </c>
      <c r="D47">
        <v>25.37</v>
      </c>
      <c r="E47">
        <v>50.26</v>
      </c>
      <c r="F47">
        <v>77.53</v>
      </c>
      <c r="G47">
        <v>114.37</v>
      </c>
      <c r="H47">
        <v>142.58</v>
      </c>
      <c r="I47">
        <v>236.19</v>
      </c>
      <c r="J47">
        <v>207.86</v>
      </c>
      <c r="K47">
        <v>159.31</v>
      </c>
    </row>
    <row r="48" spans="1:11" s="5" customFormat="1" x14ac:dyDescent="0.25">
      <c r="A48" s="5" t="s">
        <v>8</v>
      </c>
      <c r="B48">
        <v>12.18</v>
      </c>
      <c r="C48">
        <v>9.06</v>
      </c>
      <c r="D48">
        <v>6.5</v>
      </c>
      <c r="E48">
        <v>12.99</v>
      </c>
      <c r="F48">
        <v>20.08</v>
      </c>
      <c r="G48">
        <v>29.41</v>
      </c>
      <c r="H48">
        <v>29.15</v>
      </c>
      <c r="I48">
        <v>66.0</v>
      </c>
      <c r="J48">
        <v>53.95</v>
      </c>
      <c r="K48">
        <v>40.77</v>
      </c>
    </row>
    <row r="49" spans="1:11" s="5" customFormat="1" x14ac:dyDescent="0.25">
      <c r="A49" s="5" t="s">
        <v>9</v>
      </c>
      <c r="B49">
        <v>32.35</v>
      </c>
      <c r="C49">
        <v>26.14</v>
      </c>
      <c r="D49">
        <v>18.87</v>
      </c>
      <c r="E49">
        <v>37.27</v>
      </c>
      <c r="F49">
        <v>57.45</v>
      </c>
      <c r="G49">
        <v>84.95</v>
      </c>
      <c r="H49">
        <v>113.43</v>
      </c>
      <c r="I49">
        <v>170.18</v>
      </c>
      <c r="J49">
        <v>153.9</v>
      </c>
      <c r="K49">
        <v>118.55</v>
      </c>
    </row>
    <row r="50" spans="1:11" x14ac:dyDescent="0.25">
      <c r="A50" s="5" t="s">
        <v>3</v>
      </c>
      <c r="B50">
        <v>59.6</v>
      </c>
      <c r="C50">
        <v>41.7</v>
      </c>
      <c r="D50">
        <v>35.42</v>
      </c>
      <c r="E50">
        <v>62.02</v>
      </c>
      <c r="F50">
        <v>81.79</v>
      </c>
      <c r="G50">
        <v>123.63</v>
      </c>
      <c r="H50">
        <v>145.67</v>
      </c>
      <c r="I50">
        <v>236.81</v>
      </c>
      <c r="J50">
        <v>228.62</v>
      </c>
      <c r="K50">
        <v>154.85</v>
      </c>
    </row>
    <row r="51" spans="1:11" x14ac:dyDescent="0.25">
      <c r="A51" s="5"/>
    </row>
    <row r="52" spans="1:11" x14ac:dyDescent="0.25">
      <c r="A52" s="5"/>
    </row>
    <row r="53" spans="1:11" x14ac:dyDescent="0.25">
      <c r="A53" s="5"/>
    </row>
    <row r="54" spans="1:11" x14ac:dyDescent="0.25">
      <c r="A54" s="5"/>
    </row>
    <row r="55" spans="1:11" x14ac:dyDescent="0.25">
      <c r="A55" s="1" t="s">
        <v>25</v>
      </c>
    </row>
    <row r="56" spans="1:11" s="9" customFormat="1" x14ac:dyDescent="0.25">
      <c r="A56" s="8" t="s">
        <v>23</v>
      </c>
      <c r="B56" s="7">
        <v>41729.0</v>
      </c>
      <c r="C56" s="7">
        <v>42094.0</v>
      </c>
      <c r="D56" s="7">
        <v>42460.0</v>
      </c>
      <c r="E56" s="7">
        <v>42825.0</v>
      </c>
      <c r="F56" s="7">
        <v>43190.0</v>
      </c>
      <c r="G56" s="7">
        <v>43555.0</v>
      </c>
      <c r="H56" s="7">
        <v>43921.0</v>
      </c>
      <c r="I56" s="7">
        <v>44286.0</v>
      </c>
      <c r="J56" s="7">
        <v>44651.0</v>
      </c>
      <c r="K56" s="7">
        <v>45016.0</v>
      </c>
    </row>
    <row r="57" spans="1:11" x14ac:dyDescent="0.25">
      <c r="A57" s="5" t="s">
        <v>10</v>
      </c>
      <c r="B57">
        <v>39.77</v>
      </c>
      <c r="C57">
        <v>39.77</v>
      </c>
      <c r="D57">
        <v>39.77</v>
      </c>
      <c r="E57">
        <v>39.77</v>
      </c>
      <c r="F57">
        <v>39.77</v>
      </c>
      <c r="G57">
        <v>39.77</v>
      </c>
      <c r="H57">
        <v>39.77</v>
      </c>
      <c r="I57">
        <v>39.77</v>
      </c>
      <c r="J57">
        <v>39.77</v>
      </c>
      <c r="K57">
        <v>39.77</v>
      </c>
    </row>
    <row r="58" spans="1:11" x14ac:dyDescent="0.25">
      <c r="A58" s="5" t="s">
        <v>11</v>
      </c>
      <c r="B58">
        <v>375.43</v>
      </c>
      <c r="C58">
        <v>374.28</v>
      </c>
      <c r="D58">
        <v>411.17</v>
      </c>
      <c r="E58">
        <v>438.18</v>
      </c>
      <c r="F58">
        <v>524.24</v>
      </c>
      <c r="G58">
        <v>724.04</v>
      </c>
      <c r="H58">
        <v>936.08</v>
      </c>
      <c r="I58">
        <v>935.45</v>
      </c>
      <c r="J58">
        <v>1054.32</v>
      </c>
      <c r="K58">
        <v>1542.4</v>
      </c>
    </row>
    <row r="59" spans="1:11" x14ac:dyDescent="0.25">
      <c r="A59" s="5" t="s">
        <v>36</v>
      </c>
      <c r="B59">
        <v>564.13</v>
      </c>
      <c r="C59">
        <v>502.33</v>
      </c>
      <c r="D59">
        <v>476.52</v>
      </c>
      <c r="E59">
        <v>359.45</v>
      </c>
      <c r="F59">
        <v>207.52</v>
      </c>
      <c r="G59">
        <v>14.8</v>
      </c>
      <c r="H59">
        <v>9.33</v>
      </c>
      <c r="I59">
        <v>44.2</v>
      </c>
      <c r="J59">
        <v>59.17</v>
      </c>
      <c r="K59">
        <v>55.46</v>
      </c>
    </row>
    <row r="60" spans="1:11" x14ac:dyDescent="0.25">
      <c r="A60" s="5" t="s">
        <v>37</v>
      </c>
      <c r="B60">
        <v>335.51</v>
      </c>
      <c r="C60">
        <v>329.57</v>
      </c>
      <c r="D60">
        <v>340.33</v>
      </c>
      <c r="E60">
        <v>317.23</v>
      </c>
      <c r="F60">
        <v>325.11</v>
      </c>
      <c r="G60">
        <v>407.48</v>
      </c>
      <c r="H60">
        <v>335.96</v>
      </c>
      <c r="I60">
        <v>313.17</v>
      </c>
      <c r="J60">
        <v>344.66</v>
      </c>
      <c r="K60">
        <v>367.07</v>
      </c>
    </row>
    <row r="61" spans="1:11" s="1" customFormat="1" x14ac:dyDescent="0.25">
      <c r="A61" s="1" t="s">
        <v>12</v>
      </c>
      <c r="B61">
        <v>1314.84</v>
      </c>
      <c r="C61">
        <v>1245.95</v>
      </c>
      <c r="D61">
        <v>1267.79</v>
      </c>
      <c r="E61">
        <v>1154.63</v>
      </c>
      <c r="F61">
        <v>1096.64</v>
      </c>
      <c r="G61">
        <v>1186.09</v>
      </c>
      <c r="H61">
        <v>1321.14</v>
      </c>
      <c r="I61">
        <v>1332.59</v>
      </c>
      <c r="J61">
        <v>1497.92</v>
      </c>
      <c r="K61">
        <v>2004.7</v>
      </c>
    </row>
    <row r="62" spans="1:11" x14ac:dyDescent="0.25">
      <c r="A62" s="5" t="s">
        <v>13</v>
      </c>
      <c r="B62">
        <v>876.62</v>
      </c>
      <c r="C62">
        <v>833.11</v>
      </c>
      <c r="D62">
        <v>820.47</v>
      </c>
      <c r="E62">
        <v>798.28</v>
      </c>
      <c r="F62">
        <v>741.66</v>
      </c>
      <c r="G62">
        <v>707.45</v>
      </c>
      <c r="H62">
        <v>680.39</v>
      </c>
      <c r="I62">
        <v>618.63</v>
      </c>
      <c r="J62">
        <v>585.01</v>
      </c>
      <c r="K62">
        <v>576.93</v>
      </c>
    </row>
    <row r="63" spans="1:11" x14ac:dyDescent="0.25">
      <c r="A63" s="5" t="s">
        <v>14</v>
      </c>
      <c r="B63">
        <v>9.79</v>
      </c>
      <c r="C63">
        <v>15.84</v>
      </c>
      <c r="D63">
        <v>17.14</v>
      </c>
      <c r="E63">
        <v>2.51</v>
      </c>
      <c r="F63">
        <v>4.19</v>
      </c>
      <c r="G63">
        <v>8.43</v>
      </c>
      <c r="H63">
        <v>1.6</v>
      </c>
      <c r="I63">
        <v>8.99</v>
      </c>
      <c r="J63">
        <v>7.68</v>
      </c>
      <c r="K63">
        <v>29.38</v>
      </c>
    </row>
    <row r="64" spans="1:11" x14ac:dyDescent="0.25">
      <c r="A64" s="5" t="s">
        <v>15</v>
      </c>
      <c r="B64">
        <v>15.43</v>
      </c>
      <c r="C64">
        <v>15.43</v>
      </c>
      <c r="D64">
        <v>15.43</v>
      </c>
      <c r="E64">
        <v>10.11</v>
      </c>
      <c r="F64">
        <v>14.65</v>
      </c>
      <c r="G64">
        <v>15.58</v>
      </c>
      <c r="H64">
        <v>44.29</v>
      </c>
      <c r="I64">
        <v>219.26</v>
      </c>
      <c r="J64">
        <v>382.69</v>
      </c>
      <c r="K64">
        <v>886.62</v>
      </c>
    </row>
    <row r="65" spans="1:11" x14ac:dyDescent="0.25">
      <c r="A65" s="5" t="s">
        <v>38</v>
      </c>
      <c r="B65">
        <v>413.0</v>
      </c>
      <c r="C65">
        <v>381.57</v>
      </c>
      <c r="D65">
        <v>414.75</v>
      </c>
      <c r="E65">
        <v>343.73</v>
      </c>
      <c r="F65">
        <v>336.14</v>
      </c>
      <c r="G65">
        <v>454.63</v>
      </c>
      <c r="H65">
        <v>594.86</v>
      </c>
      <c r="I65">
        <v>485.71</v>
      </c>
      <c r="J65">
        <v>522.54</v>
      </c>
      <c r="K65">
        <v>511.77</v>
      </c>
    </row>
    <row r="66" spans="1:11" s="1" customFormat="1" x14ac:dyDescent="0.25">
      <c r="A66" s="1" t="s">
        <v>12</v>
      </c>
      <c r="B66">
        <v>1314.84</v>
      </c>
      <c r="C66">
        <v>1245.95</v>
      </c>
      <c r="D66">
        <v>1267.79</v>
      </c>
      <c r="E66">
        <v>1154.63</v>
      </c>
      <c r="F66">
        <v>1096.64</v>
      </c>
      <c r="G66">
        <v>1186.09</v>
      </c>
      <c r="H66">
        <v>1321.14</v>
      </c>
      <c r="I66">
        <v>1332.59</v>
      </c>
      <c r="J66">
        <v>1497.92</v>
      </c>
      <c r="K66">
        <v>2004.7</v>
      </c>
    </row>
    <row r="67" spans="1:11" s="5" customFormat="1" x14ac:dyDescent="0.25">
      <c r="A67" s="5" t="s">
        <v>43</v>
      </c>
      <c r="B67">
        <v>58.35</v>
      </c>
      <c r="C67">
        <v>63.86</v>
      </c>
      <c r="D67">
        <v>70.69</v>
      </c>
      <c r="E67">
        <v>67.5</v>
      </c>
      <c r="F67">
        <v>69.57</v>
      </c>
      <c r="G67">
        <v>73.56</v>
      </c>
      <c r="H67">
        <v>40.78</v>
      </c>
      <c r="I67">
        <v>75.6</v>
      </c>
      <c r="J67">
        <v>102.55</v>
      </c>
      <c r="K67">
        <v>147.53</v>
      </c>
    </row>
    <row r="68" spans="1:11" x14ac:dyDescent="0.25">
      <c r="A68" s="5" t="s">
        <v>29</v>
      </c>
      <c r="B68">
        <v>207.64</v>
      </c>
      <c r="C68">
        <v>201.21</v>
      </c>
      <c r="D68">
        <v>213.71</v>
      </c>
      <c r="E68">
        <v>183.84</v>
      </c>
      <c r="F68">
        <v>154.78</v>
      </c>
      <c r="G68">
        <v>157.0</v>
      </c>
      <c r="H68">
        <v>223.41</v>
      </c>
      <c r="I68">
        <v>164.31</v>
      </c>
      <c r="J68">
        <v>145.09</v>
      </c>
      <c r="K68">
        <v>173.66</v>
      </c>
    </row>
    <row r="69" spans="1:11" x14ac:dyDescent="0.25">
      <c r="A69" s="4" t="s">
        <v>52</v>
      </c>
      <c r="B69">
        <v>15.78</v>
      </c>
      <c r="C69">
        <v>4.23</v>
      </c>
      <c r="D69">
        <v>10.14</v>
      </c>
      <c r="E69">
        <v>7.07</v>
      </c>
      <c r="F69">
        <v>16.66</v>
      </c>
      <c r="G69">
        <v>67.06</v>
      </c>
      <c r="H69">
        <v>170.9</v>
      </c>
      <c r="I69">
        <v>81.57</v>
      </c>
      <c r="J69">
        <v>54.81</v>
      </c>
      <c r="K69">
        <v>47.37</v>
      </c>
    </row>
    <row r="70" spans="1:11" x14ac:dyDescent="0.25">
      <c r="A70" s="4" t="s">
        <v>39</v>
      </c>
      <c r="B70">
        <v>39770039.0</v>
      </c>
      <c r="C70">
        <v>39770039.0</v>
      </c>
      <c r="D70">
        <v>39770039.0</v>
      </c>
      <c r="E70">
        <v>39770039.0</v>
      </c>
      <c r="F70">
        <v>39770039.0</v>
      </c>
      <c r="G70">
        <v>39770039.0</v>
      </c>
      <c r="H70">
        <v>39770039.0</v>
      </c>
      <c r="I70">
        <v>39770039.0</v>
      </c>
      <c r="J70">
        <v>39770039.0</v>
      </c>
      <c r="K70">
        <v>39770039.0</v>
      </c>
    </row>
    <row r="71" spans="1:11" x14ac:dyDescent="0.25">
      <c r="A71" s="4" t="s">
        <v>40</v>
      </c>
      <c r="B71"/>
      <c r="G71"/>
      <c r="H71"/>
      <c r="I71"/>
      <c r="J71"/>
      <c r="K71"/>
    </row>
    <row r="72" spans="1:11" x14ac:dyDescent="0.25">
      <c r="A72" s="4" t="s">
        <v>53</v>
      </c>
      <c r="B72">
        <v>10.0</v>
      </c>
      <c r="C72">
        <v>10.0</v>
      </c>
      <c r="D72">
        <v>10.0</v>
      </c>
      <c r="E72">
        <v>10.0</v>
      </c>
      <c r="F72">
        <v>10.0</v>
      </c>
      <c r="G72">
        <v>10.0</v>
      </c>
      <c r="H72">
        <v>10.0</v>
      </c>
      <c r="I72">
        <v>10.0</v>
      </c>
      <c r="J72">
        <v>10.0</v>
      </c>
      <c r="K72">
        <v>10.0</v>
      </c>
    </row>
    <row r="74" spans="1:11" x14ac:dyDescent="0.25">
      <c r="A74" s="5"/>
    </row>
    <row r="75" spans="1:11" x14ac:dyDescent="0.25">
      <c r="A75" s="5"/>
    </row>
    <row r="76" spans="1:11" x14ac:dyDescent="0.25">
      <c r="A76" s="5"/>
    </row>
    <row r="77" spans="1:11" x14ac:dyDescent="0.25">
      <c r="A77" s="5"/>
    </row>
    <row r="78" spans="1:11" x14ac:dyDescent="0.25">
      <c r="A78" s="5"/>
    </row>
    <row r="79" spans="1:11" x14ac:dyDescent="0.25">
      <c r="A79" s="5"/>
    </row>
    <row r="80" spans="1:11" x14ac:dyDescent="0.25">
      <c r="A80" s="1" t="s">
        <v>26</v>
      </c>
    </row>
    <row r="81" spans="1:11" s="9" customFormat="1" x14ac:dyDescent="0.25">
      <c r="A81" s="8" t="s">
        <v>23</v>
      </c>
      <c r="B81" s="7">
        <v>41729.0</v>
      </c>
      <c r="C81" s="7">
        <v>42094.0</v>
      </c>
      <c r="D81" s="7">
        <v>42460.0</v>
      </c>
      <c r="E81" s="7">
        <v>42825.0</v>
      </c>
      <c r="F81" s="7">
        <v>43190.0</v>
      </c>
      <c r="G81" s="7">
        <v>43555.0</v>
      </c>
      <c r="H81" s="7">
        <v>43921.0</v>
      </c>
      <c r="I81" s="7">
        <v>44286.0</v>
      </c>
      <c r="J81" s="7">
        <v>44651.0</v>
      </c>
      <c r="K81" s="7">
        <v>45016.0</v>
      </c>
    </row>
    <row r="82" spans="1:11" s="1" customFormat="1" x14ac:dyDescent="0.25">
      <c r="A82" s="5" t="s">
        <v>17</v>
      </c>
      <c r="B82">
        <v>20.37</v>
      </c>
      <c r="C82">
        <v>128.29</v>
      </c>
      <c r="D82">
        <v>111.33</v>
      </c>
      <c r="E82">
        <v>171.82</v>
      </c>
      <c r="F82">
        <v>215.1</v>
      </c>
      <c r="G82">
        <v>310.03</v>
      </c>
      <c r="H82">
        <v>177.15</v>
      </c>
      <c r="I82">
        <v>103.8</v>
      </c>
      <c r="J82">
        <v>202.35</v>
      </c>
      <c r="K82">
        <v>535.82</v>
      </c>
    </row>
    <row r="83" spans="1:11" s="5" customFormat="1" x14ac:dyDescent="0.25">
      <c r="A83" s="5" t="s">
        <v>18</v>
      </c>
      <c r="B83">
        <v>-88.63</v>
      </c>
      <c r="C83">
        <v>-31.42</v>
      </c>
      <c r="D83">
        <v>-38.0</v>
      </c>
      <c r="E83">
        <v>-29.47</v>
      </c>
      <c r="F83">
        <v>-31.28</v>
      </c>
      <c r="G83">
        <v>-110.07</v>
      </c>
      <c r="H83">
        <v>-166.93</v>
      </c>
      <c r="I83">
        <v>-113.52</v>
      </c>
      <c r="J83">
        <v>-181.36</v>
      </c>
      <c r="K83">
        <v>-497.7</v>
      </c>
    </row>
    <row r="84" spans="1:11" s="5" customFormat="1" x14ac:dyDescent="0.25">
      <c r="A84" s="5" t="s">
        <v>19</v>
      </c>
      <c r="B84">
        <v>67.93</v>
      </c>
      <c r="C84">
        <v>-107.8</v>
      </c>
      <c r="D84">
        <v>-67.4</v>
      </c>
      <c r="E84">
        <v>-145.2</v>
      </c>
      <c r="F84">
        <v>-174.58</v>
      </c>
      <c r="G84">
        <v>-201.32</v>
      </c>
      <c r="H84">
        <v>-10.61</v>
      </c>
      <c r="I84">
        <v>10.75</v>
      </c>
      <c r="J84">
        <v>-11.74</v>
      </c>
      <c r="K84">
        <v>-41.33</v>
      </c>
    </row>
    <row r="85" spans="1:11" s="1" customFormat="1" x14ac:dyDescent="0.25">
      <c r="A85" s="5" t="s">
        <v>20</v>
      </c>
      <c r="B85">
        <v>-0.33</v>
      </c>
      <c r="C85">
        <v>-10.93</v>
      </c>
      <c r="D85">
        <v>5.93</v>
      </c>
      <c r="E85">
        <v>-2.85</v>
      </c>
      <c r="F85">
        <v>9.24</v>
      </c>
      <c r="G85">
        <v>-1.36</v>
      </c>
      <c r="H85">
        <v>-0.39</v>
      </c>
      <c r="I85">
        <v>1.03</v>
      </c>
      <c r="J85">
        <v>9.24</v>
      </c>
      <c r="K85">
        <v>-3.22</v>
      </c>
    </row>
    <row r="86" spans="1:11" x14ac:dyDescent="0.25">
      <c r="A86" s="5"/>
    </row>
    <row r="87" spans="1:11" x14ac:dyDescent="0.25">
      <c r="A87" s="5"/>
    </row>
    <row r="88" spans="1:11" x14ac:dyDescent="0.25">
      <c r="A88" s="5"/>
    </row>
    <row r="89" spans="1:11" x14ac:dyDescent="0.25">
      <c r="A89" s="5"/>
    </row>
    <row r="90" spans="1:11" s="1" customFormat="1" x14ac:dyDescent="0.25">
      <c r="A90" s="1" t="s">
        <v>42</v>
      </c>
      <c r="B90">
        <v>230.25</v>
      </c>
      <c r="C90">
        <v>315.35</v>
      </c>
      <c r="D90">
        <v>292.25</v>
      </c>
      <c r="E90">
        <v>323.05</v>
      </c>
      <c r="F90">
        <v>291.35</v>
      </c>
      <c r="G90">
        <v>446.6</v>
      </c>
      <c r="H90">
        <v>141.6</v>
      </c>
      <c r="I90">
        <v>219.05</v>
      </c>
      <c r="J90">
        <v>294.7</v>
      </c>
      <c r="K90">
        <v>413.85</v>
      </c>
    </row>
    <row r="92" spans="1:11" s="1" customFormat="1" x14ac:dyDescent="0.25">
      <c r="A92" s="1" t="s">
        <v>41</v>
      </c>
    </row>
    <row r="93" spans="1:11" x14ac:dyDescent="0.25">
      <c r="A93" s="4" t="s">
        <v>54</v>
      </c>
      <c r="B93" s="11">
        <v>3.98</v>
      </c>
      <c r="C93" s="11">
        <v>3.98</v>
      </c>
      <c r="D93" s="11">
        <v>3.98</v>
      </c>
      <c r="E93" s="11">
        <v>3.98</v>
      </c>
      <c r="F93" s="11">
        <v>3.98</v>
      </c>
      <c r="G93" s="11">
        <v>3.98</v>
      </c>
      <c r="H93" s="11">
        <v>3.98</v>
      </c>
      <c r="I93" s="11">
        <v>3.98</v>
      </c>
      <c r="J93" s="11">
        <v>3.98</v>
      </c>
      <c r="K93" s="11">
        <v>3.98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 xr:uid="{00000000-0004-0000-05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Snapshot</vt:lpstr>
      <vt:lpstr>Balance Sheet</vt:lpstr>
      <vt:lpstr>ROIC &amp; ROE Predictor</vt:lpstr>
      <vt:lpstr>Quarter Analysis</vt:lpstr>
      <vt:lpstr>Data Sheet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Abhik Jha</cp:lastModifiedBy>
  <cp:lastPrinted>2012-12-06T18:14:13Z</cp:lastPrinted>
  <dcterms:created xsi:type="dcterms:W3CDTF">2012-08-17T09:55:37Z</dcterms:created>
  <dcterms:modified xsi:type="dcterms:W3CDTF">2023-09-19T07:21:18Z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c2fedb-0da6-4717-8531-d16a1b9930f4_Enabled">
    <vt:lpwstr>true</vt:lpwstr>
  </property>
  <property fmtid="{D5CDD505-2E9C-101B-9397-08002B2CF9AE}" pid="3" name="MSIP_Label_90c2fedb-0da6-4717-8531-d16a1b9930f4_SetDate">
    <vt:lpwstr>2023-09-19T07:21:18Z</vt:lpwstr>
  </property>
  <property fmtid="{D5CDD505-2E9C-101B-9397-08002B2CF9AE}" pid="4" name="MSIP_Label_90c2fedb-0da6-4717-8531-d16a1b9930f4_Method">
    <vt:lpwstr>Standard</vt:lpwstr>
  </property>
  <property fmtid="{D5CDD505-2E9C-101B-9397-08002B2CF9AE}" pid="5" name="MSIP_Label_90c2fedb-0da6-4717-8531-d16a1b9930f4_Name">
    <vt:lpwstr>90c2fedb-0da6-4717-8531-d16a1b9930f4</vt:lpwstr>
  </property>
  <property fmtid="{D5CDD505-2E9C-101B-9397-08002B2CF9AE}" pid="6" name="MSIP_Label_90c2fedb-0da6-4717-8531-d16a1b9930f4_SiteId">
    <vt:lpwstr>45597f60-6e37-4be7-acfb-4c9e23b261ea</vt:lpwstr>
  </property>
  <property fmtid="{D5CDD505-2E9C-101B-9397-08002B2CF9AE}" pid="7" name="MSIP_Label_90c2fedb-0da6-4717-8531-d16a1b9930f4_ActionId">
    <vt:lpwstr>a78df63d-5e4b-4250-8740-515552286bf4</vt:lpwstr>
  </property>
  <property fmtid="{D5CDD505-2E9C-101B-9397-08002B2CF9AE}" pid="8" name="MSIP_Label_90c2fedb-0da6-4717-8531-d16a1b9930f4_ContentBits">
    <vt:lpwstr>0</vt:lpwstr>
  </property>
  <property fmtid="{D5CDD505-2E9C-101B-9397-08002B2CF9AE}" pid="9" name="Sensitivity">
    <vt:lpwstr>Internal</vt:lpwstr>
  </property>
</Properties>
</file>