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Investments\Indiamart Intermesh\"/>
    </mc:Choice>
  </mc:AlternateContent>
  <xr:revisionPtr revIDLastSave="0" documentId="13_ncr:1_{416FAB11-6EBE-45A0-AA4C-AC2CDCD7ECA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jections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8" l="1"/>
  <c r="J45" i="8"/>
  <c r="T45" i="8"/>
  <c r="T43" i="8"/>
  <c r="S43" i="8"/>
  <c r="R43" i="8"/>
  <c r="Q43" i="8"/>
  <c r="P43" i="8"/>
  <c r="O43" i="8"/>
  <c r="N43" i="8"/>
  <c r="M43" i="8"/>
  <c r="L43" i="8"/>
  <c r="K43" i="8"/>
  <c r="F45" i="8"/>
  <c r="T41" i="8"/>
  <c r="S41" i="8"/>
  <c r="R41" i="8"/>
  <c r="Q41" i="8"/>
  <c r="P41" i="8"/>
  <c r="O41" i="8"/>
  <c r="N41" i="8"/>
  <c r="M41" i="8"/>
  <c r="L41" i="8"/>
  <c r="K41" i="8"/>
  <c r="G31" i="8"/>
  <c r="H31" i="8" s="1"/>
  <c r="I31" i="8" s="1"/>
  <c r="J31" i="8" s="1"/>
  <c r="K31" i="8" s="1"/>
  <c r="L31" i="8" s="1"/>
  <c r="M31" i="8" s="1"/>
  <c r="N31" i="8" s="1"/>
  <c r="O31" i="8" s="1"/>
  <c r="P31" i="8" s="1"/>
  <c r="Q31" i="8" s="1"/>
  <c r="R31" i="8" s="1"/>
  <c r="S31" i="8" s="1"/>
  <c r="T31" i="8" s="1"/>
  <c r="F31" i="8"/>
  <c r="I20" i="8"/>
  <c r="J20" i="8" s="1"/>
  <c r="K20" i="8" s="1"/>
  <c r="L20" i="8" s="1"/>
  <c r="M20" i="8" s="1"/>
  <c r="N20" i="8" s="1"/>
  <c r="O20" i="8" s="1"/>
  <c r="P20" i="8" s="1"/>
  <c r="Q20" i="8" s="1"/>
  <c r="R20" i="8" s="1"/>
  <c r="S20" i="8" s="1"/>
  <c r="T20" i="8" s="1"/>
  <c r="H20" i="8"/>
  <c r="G24" i="8"/>
  <c r="F24" i="8"/>
  <c r="E24" i="8"/>
  <c r="F19" i="8"/>
  <c r="F36" i="8"/>
  <c r="G26" i="8"/>
  <c r="H26" i="8" s="1"/>
  <c r="I26" i="8" s="1"/>
  <c r="J26" i="8" s="1"/>
  <c r="K26" i="8" s="1"/>
  <c r="L26" i="8" s="1"/>
  <c r="M26" i="8" s="1"/>
  <c r="N26" i="8" s="1"/>
  <c r="O26" i="8" s="1"/>
  <c r="P26" i="8" s="1"/>
  <c r="Q26" i="8" s="1"/>
  <c r="R26" i="8" s="1"/>
  <c r="S26" i="8" s="1"/>
  <c r="T26" i="8" s="1"/>
  <c r="G25" i="8"/>
  <c r="H25" i="8" s="1"/>
  <c r="I25" i="8" s="1"/>
  <c r="J25" i="8" s="1"/>
  <c r="K25" i="8" s="1"/>
  <c r="L25" i="8" s="1"/>
  <c r="M25" i="8" s="1"/>
  <c r="N25" i="8" s="1"/>
  <c r="O25" i="8" s="1"/>
  <c r="P25" i="8" s="1"/>
  <c r="Q25" i="8" s="1"/>
  <c r="R25" i="8" s="1"/>
  <c r="S25" i="8" s="1"/>
  <c r="T25" i="8" s="1"/>
  <c r="C29" i="8"/>
  <c r="C30" i="8" s="1"/>
  <c r="C9" i="8"/>
  <c r="C10" i="8" s="1"/>
  <c r="H6" i="8"/>
  <c r="C22" i="8"/>
  <c r="C24" i="8" s="1"/>
  <c r="D19" i="8"/>
  <c r="D22" i="8"/>
  <c r="F22" i="8"/>
  <c r="E22" i="8"/>
  <c r="F21" i="8"/>
  <c r="E21" i="8"/>
  <c r="G20" i="8"/>
  <c r="E19" i="8"/>
  <c r="G17" i="8"/>
  <c r="H17" i="8" s="1"/>
  <c r="G16" i="8"/>
  <c r="H16" i="8" s="1"/>
  <c r="I16" i="8" s="1"/>
  <c r="F15" i="8"/>
  <c r="G15" i="8" l="1"/>
  <c r="H15" i="8" s="1"/>
  <c r="I15" i="8" s="1"/>
  <c r="J15" i="8" s="1"/>
  <c r="D29" i="8"/>
  <c r="D30" i="8" s="1"/>
  <c r="D34" i="8" s="1"/>
  <c r="C27" i="8"/>
  <c r="C40" i="8" s="1"/>
  <c r="E27" i="8"/>
  <c r="C34" i="8"/>
  <c r="H18" i="8"/>
  <c r="D27" i="8"/>
  <c r="D40" i="8" s="1"/>
  <c r="F27" i="8"/>
  <c r="K15" i="8"/>
  <c r="L15" i="8" s="1"/>
  <c r="M15" i="8" s="1"/>
  <c r="N15" i="8" s="1"/>
  <c r="O15" i="8" s="1"/>
  <c r="P15" i="8" s="1"/>
  <c r="Q15" i="8" s="1"/>
  <c r="R15" i="8" s="1"/>
  <c r="S15" i="8" s="1"/>
  <c r="T15" i="8" s="1"/>
  <c r="G18" i="8"/>
  <c r="G19" i="8" s="1"/>
  <c r="J16" i="8"/>
  <c r="I17" i="8"/>
  <c r="I18" i="8" s="1"/>
  <c r="G21" i="8"/>
  <c r="D24" i="8"/>
  <c r="E23" i="8"/>
  <c r="F23" i="8"/>
  <c r="D43" i="8"/>
  <c r="E29" i="8" l="1"/>
  <c r="E30" i="8" s="1"/>
  <c r="F33" i="8"/>
  <c r="F40" i="8" s="1"/>
  <c r="F43" i="8" s="1"/>
  <c r="H19" i="8"/>
  <c r="E33" i="8"/>
  <c r="E40" i="8" s="1"/>
  <c r="E43" i="8" s="1"/>
  <c r="F29" i="8"/>
  <c r="F30" i="8" s="1"/>
  <c r="G22" i="8"/>
  <c r="G23" i="8" s="1"/>
  <c r="K16" i="8"/>
  <c r="J17" i="8"/>
  <c r="J18" i="8" s="1"/>
  <c r="I19" i="8"/>
  <c r="H22" i="8"/>
  <c r="H24" i="8" s="1"/>
  <c r="H21" i="8"/>
  <c r="G29" i="8" l="1"/>
  <c r="F41" i="8"/>
  <c r="E34" i="8"/>
  <c r="F34" i="8"/>
  <c r="F35" i="8" s="1"/>
  <c r="H27" i="8"/>
  <c r="G27" i="8"/>
  <c r="L16" i="8"/>
  <c r="K17" i="8"/>
  <c r="K18" i="8" s="1"/>
  <c r="K19" i="8" s="1"/>
  <c r="J19" i="8"/>
  <c r="I22" i="8"/>
  <c r="I24" i="8" s="1"/>
  <c r="I21" i="8"/>
  <c r="H23" i="8"/>
  <c r="H29" i="8" l="1"/>
  <c r="G30" i="8"/>
  <c r="G33" i="8"/>
  <c r="H33" i="8"/>
  <c r="I27" i="8"/>
  <c r="M16" i="8"/>
  <c r="L17" i="8"/>
  <c r="L18" i="8" s="1"/>
  <c r="L19" i="8" s="1"/>
  <c r="K22" i="8"/>
  <c r="I23" i="8"/>
  <c r="J22" i="8"/>
  <c r="J24" i="8" s="1"/>
  <c r="J21" i="8"/>
  <c r="K24" i="8" l="1"/>
  <c r="K23" i="8"/>
  <c r="G34" i="8"/>
  <c r="G35" i="8" s="1"/>
  <c r="H30" i="8"/>
  <c r="H34" i="8" s="1"/>
  <c r="H35" i="8" s="1"/>
  <c r="H40" i="8"/>
  <c r="G40" i="8"/>
  <c r="I29" i="8"/>
  <c r="J29" i="8" s="1"/>
  <c r="I33" i="8"/>
  <c r="I40" i="8" s="1"/>
  <c r="I43" i="8" s="1"/>
  <c r="J27" i="8"/>
  <c r="K27" i="8"/>
  <c r="N16" i="8"/>
  <c r="M17" i="8"/>
  <c r="M18" i="8" s="1"/>
  <c r="M19" i="8" s="1"/>
  <c r="L22" i="8"/>
  <c r="J23" i="8"/>
  <c r="L24" i="8" l="1"/>
  <c r="L23" i="8"/>
  <c r="G41" i="8"/>
  <c r="G43" i="8"/>
  <c r="J30" i="8"/>
  <c r="I41" i="8"/>
  <c r="I30" i="8"/>
  <c r="I34" i="8" s="1"/>
  <c r="I35" i="8" s="1"/>
  <c r="K29" i="8"/>
  <c r="L29" i="8" s="1"/>
  <c r="L30" i="8" s="1"/>
  <c r="H41" i="8"/>
  <c r="H43" i="8"/>
  <c r="K33" i="8"/>
  <c r="K40" i="8" s="1"/>
  <c r="J33" i="8"/>
  <c r="J34" i="8" s="1"/>
  <c r="J35" i="8" s="1"/>
  <c r="L27" i="8"/>
  <c r="O16" i="8"/>
  <c r="N17" i="8"/>
  <c r="N18" i="8" s="1"/>
  <c r="N19" i="8" s="1"/>
  <c r="M22" i="8"/>
  <c r="M24" i="8" l="1"/>
  <c r="M23" i="8"/>
  <c r="J40" i="8"/>
  <c r="K30" i="8"/>
  <c r="K34" i="8" s="1"/>
  <c r="K35" i="8" s="1"/>
  <c r="M29" i="8"/>
  <c r="L33" i="8"/>
  <c r="L34" i="8" s="1"/>
  <c r="L35" i="8" s="1"/>
  <c r="M27" i="8"/>
  <c r="P16" i="8"/>
  <c r="O17" i="8"/>
  <c r="O18" i="8" s="1"/>
  <c r="O19" i="8" s="1"/>
  <c r="N22" i="8"/>
  <c r="N24" i="8" l="1"/>
  <c r="N23" i="8"/>
  <c r="J41" i="8"/>
  <c r="J43" i="8"/>
  <c r="M30" i="8"/>
  <c r="N29" i="8"/>
  <c r="N30" i="8" s="1"/>
  <c r="L40" i="8"/>
  <c r="M33" i="8"/>
  <c r="M34" i="8" s="1"/>
  <c r="M35" i="8" s="1"/>
  <c r="N27" i="8"/>
  <c r="Q16" i="8"/>
  <c r="P17" i="8"/>
  <c r="P18" i="8" s="1"/>
  <c r="P19" i="8" s="1"/>
  <c r="O22" i="8"/>
  <c r="O24" i="8" l="1"/>
  <c r="O23" i="8"/>
  <c r="M40" i="8"/>
  <c r="O29" i="8"/>
  <c r="O30" i="8" s="1"/>
  <c r="N33" i="8"/>
  <c r="N34" i="8" s="1"/>
  <c r="N35" i="8" s="1"/>
  <c r="O27" i="8"/>
  <c r="R16" i="8"/>
  <c r="Q17" i="8"/>
  <c r="Q18" i="8" s="1"/>
  <c r="Q19" i="8" s="1"/>
  <c r="P22" i="8"/>
  <c r="P24" i="8" l="1"/>
  <c r="P23" i="8"/>
  <c r="N40" i="8"/>
  <c r="P29" i="8"/>
  <c r="P30" i="8" s="1"/>
  <c r="O33" i="8"/>
  <c r="O34" i="8" s="1"/>
  <c r="O35" i="8" s="1"/>
  <c r="P27" i="8"/>
  <c r="S16" i="8"/>
  <c r="R17" i="8"/>
  <c r="R18" i="8" s="1"/>
  <c r="R19" i="8" s="1"/>
  <c r="Q22" i="8"/>
  <c r="Q24" i="8" l="1"/>
  <c r="Q23" i="8"/>
  <c r="O40" i="8"/>
  <c r="Q29" i="8"/>
  <c r="Q30" i="8" s="1"/>
  <c r="P33" i="8"/>
  <c r="P34" i="8" s="1"/>
  <c r="P35" i="8" s="1"/>
  <c r="Q27" i="8"/>
  <c r="T16" i="8"/>
  <c r="S17" i="8"/>
  <c r="S18" i="8" s="1"/>
  <c r="S19" i="8" s="1"/>
  <c r="R22" i="8"/>
  <c r="R24" i="8" l="1"/>
  <c r="R23" i="8"/>
  <c r="P40" i="8"/>
  <c r="R29" i="8"/>
  <c r="R30" i="8" s="1"/>
  <c r="Q33" i="8"/>
  <c r="Q34" i="8" s="1"/>
  <c r="Q35" i="8" s="1"/>
  <c r="R27" i="8"/>
  <c r="T17" i="8"/>
  <c r="S22" i="8"/>
  <c r="S24" i="8" l="1"/>
  <c r="S23" i="8"/>
  <c r="Q40" i="8"/>
  <c r="S29" i="8"/>
  <c r="S30" i="8" s="1"/>
  <c r="R33" i="8"/>
  <c r="R34" i="8" s="1"/>
  <c r="R35" i="8" s="1"/>
  <c r="S27" i="8"/>
  <c r="T18" i="8"/>
  <c r="T22" i="8" l="1"/>
  <c r="T19" i="8"/>
  <c r="T29" i="8"/>
  <c r="T30" i="8" s="1"/>
  <c r="R40" i="8"/>
  <c r="S33" i="8"/>
  <c r="S34" i="8" s="1"/>
  <c r="S35" i="8" s="1"/>
  <c r="T27" i="8"/>
  <c r="T24" i="8" l="1"/>
  <c r="T23" i="8"/>
  <c r="S40" i="8"/>
  <c r="T33" i="8"/>
  <c r="T34" i="8" s="1"/>
  <c r="T35" i="8" l="1"/>
  <c r="F37" i="8" s="1"/>
  <c r="T40" i="8"/>
  <c r="T46" i="8" s="1"/>
  <c r="S46" i="8" s="1"/>
  <c r="R46" i="8" s="1"/>
  <c r="Q46" i="8" s="1"/>
  <c r="P46" i="8" s="1"/>
  <c r="O46" i="8" s="1"/>
  <c r="N46" i="8" s="1"/>
  <c r="M46" i="8" s="1"/>
  <c r="L46" i="8" s="1"/>
  <c r="K46" i="8" s="1"/>
  <c r="J46" i="8" s="1"/>
  <c r="I46" i="8" s="1"/>
  <c r="H46" i="8" s="1"/>
  <c r="G46" i="8" s="1"/>
  <c r="F46" i="8" s="1"/>
</calcChain>
</file>

<file path=xl/sharedStrings.xml><?xml version="1.0" encoding="utf-8"?>
<sst xmlns="http://schemas.openxmlformats.org/spreadsheetml/2006/main" count="65" uniqueCount="62">
  <si>
    <t>%Growth</t>
  </si>
  <si>
    <t>% Growth</t>
  </si>
  <si>
    <t>EBIDTA Margins</t>
  </si>
  <si>
    <t>FY20</t>
  </si>
  <si>
    <t>FY19</t>
  </si>
  <si>
    <t>FY18</t>
  </si>
  <si>
    <t>Item</t>
  </si>
  <si>
    <t>FY21</t>
  </si>
  <si>
    <t>FY22</t>
  </si>
  <si>
    <t>FY23</t>
  </si>
  <si>
    <t>FY24</t>
  </si>
  <si>
    <t>FY25</t>
  </si>
  <si>
    <t>Tax</t>
  </si>
  <si>
    <t>No. of shares</t>
  </si>
  <si>
    <t>EPS</t>
  </si>
  <si>
    <t>PE</t>
  </si>
  <si>
    <t>Total Subscribers (in '000)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</si>
  <si>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</si>
  <si>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</si>
  <si>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</si>
  <si>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</si>
  <si>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</si>
  <si>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</si>
  <si>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</si>
  <si>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</si>
  <si>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</si>
  <si>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</si>
  <si>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 xml:space="preserve">Assumptions: </t>
  </si>
  <si>
    <t>Facts:</t>
  </si>
  <si>
    <t>Tax Rate</t>
  </si>
  <si>
    <t>Discount Rate</t>
  </si>
  <si>
    <t>Paying Subscriber Growth rate</t>
  </si>
  <si>
    <t>Subscription Fees Growth Rate</t>
  </si>
  <si>
    <t>Current Cash equivalents (Cr)</t>
  </si>
  <si>
    <t>Share Price (Rs)</t>
  </si>
  <si>
    <t>Shares outstanding (Cr)</t>
  </si>
  <si>
    <t>Market Cap (Cr)</t>
  </si>
  <si>
    <t>QIB amount to be raised (Cr)</t>
  </si>
  <si>
    <t>QIB placement Price (Per share in Rs)</t>
  </si>
  <si>
    <t>No. of new shares issued (Cr)</t>
  </si>
  <si>
    <t>Shares outstanding after QIB (Cr)</t>
  </si>
  <si>
    <t>% of subscribers opting for multi year plan</t>
  </si>
  <si>
    <t>Total Deferred Revenue</t>
  </si>
  <si>
    <t>Revenue from Operations (in Cr)</t>
  </si>
  <si>
    <t>Avg. Subscription per Subscriber (Rs)</t>
  </si>
  <si>
    <t>No. of subscribers for multi year plan</t>
  </si>
  <si>
    <t>Deferred Revenue change (in Cr)</t>
  </si>
  <si>
    <t xml:space="preserve">Paying Subscribers </t>
  </si>
  <si>
    <t>Depreciation</t>
  </si>
  <si>
    <t>Interest</t>
  </si>
  <si>
    <t>Cash on Books</t>
  </si>
  <si>
    <t>Current Market Cap  (in Cr)</t>
  </si>
  <si>
    <t>Cash Generated from operations after Tax</t>
  </si>
  <si>
    <t>PV of Futre Cash from operations</t>
  </si>
  <si>
    <t>Total Costs (in Cr)</t>
  </si>
  <si>
    <t xml:space="preserve">Cost growth rate </t>
  </si>
  <si>
    <t>EBIDTA (in Cr)</t>
  </si>
  <si>
    <t>PBT (in Cr.)</t>
  </si>
  <si>
    <t>Avg tenure of multi year subsctiption</t>
  </si>
  <si>
    <t>Net Profit (in Cr)</t>
  </si>
  <si>
    <t>Per Share Price</t>
  </si>
  <si>
    <t>Present Value of Company (in 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</si>
</sst>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"/>
    <numFmt numFmtId="172" formatCode="0.000"/>
    <numFmt numFmtId="17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9" fontId="0" fillId="0" borderId="0" xfId="1" applyFont="1"/>
    <xf numFmtId="164" fontId="0" fillId="0" borderId="0" xfId="1" applyNumberFormat="1" applyFont="1"/>
    <xf numFmtId="9" fontId="0" fillId="0" borderId="0" xfId="0" applyNumberFormat="1"/>
    <xf numFmtId="1" fontId="0" fillId="0" borderId="0" xfId="0" applyNumberFormat="1"/>
    <xf numFmtId="2" fontId="0" fillId="0" borderId="0" xfId="0" applyNumberFormat="1"/>
    <xf numFmtId="172" fontId="0" fillId="0" borderId="0" xfId="0" applyNumberFormat="1"/>
    <xf numFmtId="165" fontId="0" fillId="0" borderId="0" xfId="1" applyNumberFormat="1" applyFont="1"/>
    <xf numFmtId="1" fontId="0" fillId="0" borderId="0" xfId="1" applyNumberFormat="1" applyFont="1"/>
    <xf numFmtId="174" fontId="0" fillId="0" borderId="0" xfId="2" applyNumberFormat="1" applyFont="1"/>
    <xf numFmtId="174" fontId="0" fillId="0" borderId="0" xfId="0" applyNumberFormat="1"/>
    <xf numFmtId="174" fontId="2" fillId="3" borderId="0" xfId="2" applyNumberFormat="1" applyFont="1" applyFill="1"/>
    <xf numFmtId="174" fontId="2" fillId="2" borderId="0" xfId="2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A9AD-7842-4251-BF7B-89CE30301830}">
  <dimension ref="A2:AH46"/>
  <sheetViews>
    <sheetView tabSelected="1" zoomScaleNormal="100" workbookViewId="0">
      <selection activeCell="B1" sqref="B1"/>
    </sheetView>
  </sheetViews>
  <sheetFormatPr defaultRowHeight="15" x14ac:dyDescent="0.25"/>
  <cols>
    <col min="1" max="1" width="2.42578125" customWidth="1"/>
    <col min="2" max="2" width="38.140625" customWidth="1"/>
    <col min="3" max="20" width="10.7109375" customWidth="1"/>
  </cols>
  <sheetData>
    <row r="2" spans="2:20" x14ac:dyDescent="0.25">
      <c r="B2" s="1" t="s">
        <v>27</v>
      </c>
      <c r="E2" s="1" t="s">
        <v>28</v>
      </c>
    </row>
    <row r="3" spans="2:20" x14ac:dyDescent="0.25">
      <c r="B3" t="s">
        <v>29</v>
      </c>
      <c r="C3" s="4">
        <v>0.25</v>
      </c>
      <c r="E3" t="s">
        <v>33</v>
      </c>
      <c r="H3">
        <v>1100</v>
      </c>
    </row>
    <row r="4" spans="2:20" x14ac:dyDescent="0.25">
      <c r="B4" t="s">
        <v>30</v>
      </c>
      <c r="C4" s="4">
        <v>0.08</v>
      </c>
      <c r="E4" t="s">
        <v>34</v>
      </c>
      <c r="H4">
        <v>9211</v>
      </c>
    </row>
    <row r="5" spans="2:20" x14ac:dyDescent="0.25">
      <c r="B5" t="s">
        <v>31</v>
      </c>
      <c r="C5" s="4">
        <v>0.15</v>
      </c>
      <c r="E5" t="s">
        <v>35</v>
      </c>
      <c r="H5" s="6">
        <v>2.9119999999999999</v>
      </c>
    </row>
    <row r="6" spans="2:20" x14ac:dyDescent="0.25">
      <c r="B6" t="s">
        <v>32</v>
      </c>
      <c r="C6" s="4">
        <v>0.1</v>
      </c>
      <c r="E6" t="s">
        <v>36</v>
      </c>
      <c r="H6" s="5">
        <f>H5*H4</f>
        <v>26822.432000000001</v>
      </c>
    </row>
    <row r="7" spans="2:20" x14ac:dyDescent="0.25">
      <c r="B7" t="s">
        <v>55</v>
      </c>
      <c r="C7" s="4">
        <v>0.1</v>
      </c>
      <c r="E7" t="s">
        <v>37</v>
      </c>
      <c r="H7">
        <v>1500</v>
      </c>
    </row>
    <row r="8" spans="2:20" x14ac:dyDescent="0.25">
      <c r="B8" t="s">
        <v>38</v>
      </c>
      <c r="C8" s="5">
        <v>9000</v>
      </c>
    </row>
    <row r="9" spans="2:20" x14ac:dyDescent="0.25">
      <c r="B9" t="s">
        <v>39</v>
      </c>
      <c r="C9" s="7">
        <f>H7/C8</f>
        <v>0.16666666666666666</v>
      </c>
    </row>
    <row r="10" spans="2:20" x14ac:dyDescent="0.25">
      <c r="B10" t="s">
        <v>40</v>
      </c>
      <c r="C10" s="6">
        <f>H5+C9</f>
        <v>3.0786666666666664</v>
      </c>
    </row>
    <row r="11" spans="2:20" x14ac:dyDescent="0.25">
      <c r="B11" t="s">
        <v>58</v>
      </c>
      <c r="C11">
        <v>3</v>
      </c>
    </row>
    <row r="13" spans="2:20" x14ac:dyDescent="0.25">
      <c r="F13">
        <v>1</v>
      </c>
      <c r="G13">
        <v>2</v>
      </c>
      <c r="H13">
        <v>3</v>
      </c>
      <c r="I13">
        <v>4</v>
      </c>
      <c r="J13">
        <v>5</v>
      </c>
      <c r="K13">
        <v>6</v>
      </c>
      <c r="L13">
        <v>7</v>
      </c>
      <c r="M13">
        <v>8</v>
      </c>
      <c r="N13">
        <v>9</v>
      </c>
      <c r="O13">
        <v>10</v>
      </c>
      <c r="P13">
        <v>11</v>
      </c>
      <c r="Q13">
        <v>12</v>
      </c>
      <c r="R13">
        <v>13</v>
      </c>
      <c r="S13">
        <v>14</v>
      </c>
      <c r="T13">
        <v>15</v>
      </c>
    </row>
    <row r="14" spans="2:20" x14ac:dyDescent="0.25">
      <c r="B14" s="1" t="s">
        <v>6</v>
      </c>
      <c r="C14" s="1" t="s">
        <v>5</v>
      </c>
      <c r="D14" s="1" t="s">
        <v>4</v>
      </c>
      <c r="E14" s="1" t="s">
        <v>3</v>
      </c>
      <c r="F14" s="1" t="s">
        <v>7</v>
      </c>
      <c r="G14" s="1" t="s">
        <v>8</v>
      </c>
      <c r="H14" s="1" t="s">
        <v>9</v>
      </c>
      <c r="I14" s="1" t="s">
        <v>10</v>
      </c>
      <c r="J14" s="1" t="s">
        <v>11</v>
      </c>
      <c r="K14" s="1" t="s">
        <v>17</v>
      </c>
      <c r="L14" s="1" t="s">
        <v>18</v>
      </c>
      <c r="M14" s="1" t="s">
        <v>19</v>
      </c>
      <c r="N14" s="1" t="s">
        <v>20</v>
      </c>
      <c r="O14" s="1" t="s">
        <v>21</v>
      </c>
      <c r="P14" s="1" t="s">
        <v>22</v>
      </c>
      <c r="Q14" s="1" t="s">
        <v>23</v>
      </c>
      <c r="R14" s="1" t="s">
        <v>24</v>
      </c>
      <c r="S14" s="1" t="s">
        <v>25</v>
      </c>
      <c r="T14" s="1" t="s">
        <v>26</v>
      </c>
    </row>
    <row r="15" spans="2:20" x14ac:dyDescent="0.25">
      <c r="B15" t="s">
        <v>16</v>
      </c>
      <c r="C15" s="10">
        <v>4700</v>
      </c>
      <c r="D15" s="10">
        <v>5500</v>
      </c>
      <c r="E15" s="10">
        <v>6000</v>
      </c>
      <c r="F15" s="10">
        <f>E15*1.1</f>
        <v>6600.0000000000009</v>
      </c>
      <c r="G15" s="10">
        <f t="shared" ref="G15:T15" si="0">F15*1.1</f>
        <v>7260.0000000000018</v>
      </c>
      <c r="H15" s="10">
        <f t="shared" si="0"/>
        <v>7986.0000000000027</v>
      </c>
      <c r="I15" s="10">
        <f t="shared" si="0"/>
        <v>8784.600000000004</v>
      </c>
      <c r="J15" s="10">
        <f t="shared" si="0"/>
        <v>9663.0600000000049</v>
      </c>
      <c r="K15" s="10">
        <f t="shared" si="0"/>
        <v>10629.366000000005</v>
      </c>
      <c r="L15" s="10">
        <f t="shared" si="0"/>
        <v>11692.302600000006</v>
      </c>
      <c r="M15" s="10">
        <f t="shared" si="0"/>
        <v>12861.532860000008</v>
      </c>
      <c r="N15" s="10">
        <f t="shared" si="0"/>
        <v>14147.686146000011</v>
      </c>
      <c r="O15" s="10">
        <f t="shared" si="0"/>
        <v>15562.454760600012</v>
      </c>
      <c r="P15" s="10">
        <f t="shared" si="0"/>
        <v>17118.700236660014</v>
      </c>
      <c r="Q15" s="10">
        <f t="shared" si="0"/>
        <v>18830.570260326018</v>
      </c>
      <c r="R15" s="10">
        <f t="shared" si="0"/>
        <v>20713.62728635862</v>
      </c>
      <c r="S15" s="10">
        <f t="shared" si="0"/>
        <v>22784.990014994484</v>
      </c>
      <c r="T15" s="10">
        <f t="shared" si="0"/>
        <v>25063.489016493935</v>
      </c>
    </row>
    <row r="16" spans="2:20" x14ac:dyDescent="0.25">
      <c r="B16" t="s">
        <v>47</v>
      </c>
      <c r="C16" s="10">
        <v>108000</v>
      </c>
      <c r="D16" s="10">
        <v>130000</v>
      </c>
      <c r="E16" s="10">
        <v>147000</v>
      </c>
      <c r="F16" s="10">
        <v>156000</v>
      </c>
      <c r="G16" s="10">
        <f>F16*1.15</f>
        <v>179400</v>
      </c>
      <c r="H16" s="10">
        <f t="shared" ref="H16:T16" si="1">G16*1.15</f>
        <v>206309.99999999997</v>
      </c>
      <c r="I16" s="10">
        <f t="shared" si="1"/>
        <v>237256.49999999994</v>
      </c>
      <c r="J16" s="10">
        <f t="shared" si="1"/>
        <v>272844.97499999992</v>
      </c>
      <c r="K16" s="10">
        <f t="shared" si="1"/>
        <v>313771.72124999989</v>
      </c>
      <c r="L16" s="10">
        <f t="shared" si="1"/>
        <v>360837.47943749983</v>
      </c>
      <c r="M16" s="10">
        <f t="shared" si="1"/>
        <v>414963.10135312477</v>
      </c>
      <c r="N16" s="10">
        <f t="shared" si="1"/>
        <v>477207.56655609346</v>
      </c>
      <c r="O16" s="10">
        <f t="shared" si="1"/>
        <v>548788.70153950748</v>
      </c>
      <c r="P16" s="10">
        <f t="shared" si="1"/>
        <v>631107.00677043351</v>
      </c>
      <c r="Q16" s="10">
        <f t="shared" si="1"/>
        <v>725773.05778599845</v>
      </c>
      <c r="R16" s="10">
        <f t="shared" si="1"/>
        <v>834639.01645389816</v>
      </c>
      <c r="S16" s="10">
        <f t="shared" si="1"/>
        <v>959834.86892198282</v>
      </c>
      <c r="T16" s="10">
        <f t="shared" si="1"/>
        <v>1103810.0992602801</v>
      </c>
    </row>
    <row r="17" spans="2:34" x14ac:dyDescent="0.25">
      <c r="B17" t="s">
        <v>44</v>
      </c>
      <c r="C17" s="10">
        <v>38000</v>
      </c>
      <c r="D17" s="10">
        <v>38370</v>
      </c>
      <c r="E17" s="10">
        <v>42270</v>
      </c>
      <c r="F17" s="10">
        <v>48000</v>
      </c>
      <c r="G17" s="10">
        <f>F17*1.1</f>
        <v>52800.000000000007</v>
      </c>
      <c r="H17" s="10">
        <f t="shared" ref="H17:T17" si="2">G17*1.1</f>
        <v>58080.000000000015</v>
      </c>
      <c r="I17" s="10">
        <f t="shared" si="2"/>
        <v>63888.000000000022</v>
      </c>
      <c r="J17" s="10">
        <f t="shared" si="2"/>
        <v>70276.800000000032</v>
      </c>
      <c r="K17" s="10">
        <f t="shared" si="2"/>
        <v>77304.48000000004</v>
      </c>
      <c r="L17" s="10">
        <f t="shared" si="2"/>
        <v>85034.928000000044</v>
      </c>
      <c r="M17" s="10">
        <f t="shared" si="2"/>
        <v>93538.420800000051</v>
      </c>
      <c r="N17" s="10">
        <f t="shared" si="2"/>
        <v>102892.26288000007</v>
      </c>
      <c r="O17" s="10">
        <f t="shared" si="2"/>
        <v>113181.48916800009</v>
      </c>
      <c r="P17" s="10">
        <f t="shared" si="2"/>
        <v>124499.6380848001</v>
      </c>
      <c r="Q17" s="10">
        <f t="shared" si="2"/>
        <v>136949.60189328011</v>
      </c>
      <c r="R17" s="10">
        <f t="shared" si="2"/>
        <v>150644.56208260814</v>
      </c>
      <c r="S17" s="10">
        <f t="shared" si="2"/>
        <v>165709.01829086896</v>
      </c>
      <c r="T17" s="10">
        <f t="shared" si="2"/>
        <v>182279.92011995587</v>
      </c>
    </row>
    <row r="18" spans="2:34" x14ac:dyDescent="0.25">
      <c r="B18" t="s">
        <v>43</v>
      </c>
      <c r="C18">
        <v>411</v>
      </c>
      <c r="D18">
        <v>507</v>
      </c>
      <c r="E18">
        <v>639</v>
      </c>
      <c r="F18">
        <v>675</v>
      </c>
      <c r="G18" s="11">
        <f>G16*G17/10000000</f>
        <v>947.2320000000002</v>
      </c>
      <c r="H18" s="11">
        <f>H16*H17/10000000</f>
        <v>1198.2484800000002</v>
      </c>
      <c r="I18" s="11">
        <f>I16*I17/10000000</f>
        <v>1515.7843272000002</v>
      </c>
      <c r="J18" s="11">
        <f>J16*J17/10000000</f>
        <v>1917.4671739080002</v>
      </c>
      <c r="K18" s="11">
        <f>K16*K17/10000000</f>
        <v>2425.5959749936201</v>
      </c>
      <c r="L18" s="11">
        <f>L16*L17/10000000</f>
        <v>3068.3789083669294</v>
      </c>
      <c r="M18" s="11">
        <f>M16*M17/10000000</f>
        <v>3881.4993190841651</v>
      </c>
      <c r="N18" s="11">
        <f>N16*N17/10000000</f>
        <v>4910.0966386414693</v>
      </c>
      <c r="O18" s="11">
        <f>O16*O17/10000000</f>
        <v>6211.2722478814594</v>
      </c>
      <c r="P18" s="11">
        <f>P16*P17/10000000</f>
        <v>7857.2593935700452</v>
      </c>
      <c r="Q18" s="11">
        <f>Q16*Q17/10000000</f>
        <v>9939.4331328661065</v>
      </c>
      <c r="R18" s="11">
        <f>R16*R17/10000000</f>
        <v>12573.382913075626</v>
      </c>
      <c r="S18" s="11">
        <f>S16*S17/10000000</f>
        <v>15905.329385040668</v>
      </c>
      <c r="T18" s="11">
        <f>T16*T17/10000000</f>
        <v>20120.241672076445</v>
      </c>
    </row>
    <row r="19" spans="2:34" x14ac:dyDescent="0.25">
      <c r="B19" t="s">
        <v>1</v>
      </c>
      <c r="D19" s="3">
        <f t="shared" ref="D19:F19" si="3">(D18-C18)/C18</f>
        <v>0.23357664233576642</v>
      </c>
      <c r="E19" s="3">
        <f t="shared" si="3"/>
        <v>0.26035502958579881</v>
      </c>
      <c r="F19" s="3">
        <f t="shared" si="3"/>
        <v>5.6338028169014086E-2</v>
      </c>
      <c r="G19" s="3">
        <f t="shared" ref="G19" si="4">(G18-F18)/F18</f>
        <v>0.40330666666666698</v>
      </c>
      <c r="H19" s="3">
        <f t="shared" ref="H19" si="5">(H18-G18)/G18</f>
        <v>0.26499999999999996</v>
      </c>
      <c r="I19" s="3">
        <f t="shared" ref="I19" si="6">(I18-H18)/H18</f>
        <v>0.26499999999999996</v>
      </c>
      <c r="J19" s="3">
        <f t="shared" ref="J19" si="7">(J18-I18)/I18</f>
        <v>0.2649999999999999</v>
      </c>
      <c r="K19" s="3">
        <f t="shared" ref="K19" si="8">(K18-J18)/J18</f>
        <v>0.2649999999999999</v>
      </c>
      <c r="L19" s="3">
        <f t="shared" ref="L19" si="9">(L18-K18)/K18</f>
        <v>0.26500000000000001</v>
      </c>
      <c r="M19" s="3">
        <f t="shared" ref="M19" si="10">(M18-L18)/L18</f>
        <v>0.26499999999999979</v>
      </c>
      <c r="N19" s="3">
        <f t="shared" ref="N19" si="11">(N18-M18)/M18</f>
        <v>0.26500000000000012</v>
      </c>
      <c r="O19" s="3">
        <f t="shared" ref="O19" si="12">(O18-N18)/N18</f>
        <v>0.26500000000000012</v>
      </c>
      <c r="P19" s="3">
        <f t="shared" ref="P19" si="13">(P18-O18)/O18</f>
        <v>0.26499999999999985</v>
      </c>
      <c r="Q19" s="3">
        <f t="shared" ref="Q19" si="14">(Q18-P18)/P18</f>
        <v>0.2649999999999999</v>
      </c>
      <c r="R19" s="3">
        <f t="shared" ref="R19" si="15">(R18-Q18)/Q18</f>
        <v>0.26500000000000012</v>
      </c>
      <c r="S19" s="3">
        <f t="shared" ref="S19" si="16">(S18-R18)/R18</f>
        <v>0.26500000000000012</v>
      </c>
      <c r="T19" s="3">
        <f t="shared" ref="T19" si="17">(T18-S18)/S18</f>
        <v>0.26500000000000001</v>
      </c>
    </row>
    <row r="20" spans="2:34" x14ac:dyDescent="0.25">
      <c r="B20" t="s">
        <v>54</v>
      </c>
      <c r="C20" s="10">
        <v>487</v>
      </c>
      <c r="D20" s="10">
        <v>490</v>
      </c>
      <c r="E20" s="10">
        <v>472</v>
      </c>
      <c r="F20" s="10">
        <v>340</v>
      </c>
      <c r="G20" s="10">
        <f>F20*1.1</f>
        <v>374.00000000000006</v>
      </c>
      <c r="H20" s="10">
        <f t="shared" ref="H20:T20" si="18">G20*1.1</f>
        <v>411.40000000000009</v>
      </c>
      <c r="I20" s="10">
        <f t="shared" si="18"/>
        <v>452.54000000000013</v>
      </c>
      <c r="J20" s="10">
        <f t="shared" si="18"/>
        <v>497.79400000000021</v>
      </c>
      <c r="K20" s="10">
        <f t="shared" si="18"/>
        <v>547.57340000000022</v>
      </c>
      <c r="L20" s="10">
        <f t="shared" si="18"/>
        <v>602.33074000000033</v>
      </c>
      <c r="M20" s="10">
        <f t="shared" si="18"/>
        <v>662.56381400000043</v>
      </c>
      <c r="N20" s="10">
        <f t="shared" si="18"/>
        <v>728.82019540000056</v>
      </c>
      <c r="O20" s="10">
        <f t="shared" si="18"/>
        <v>801.70221494000066</v>
      </c>
      <c r="P20" s="10">
        <f t="shared" si="18"/>
        <v>881.87243643400075</v>
      </c>
      <c r="Q20" s="10">
        <f t="shared" si="18"/>
        <v>970.05968007740091</v>
      </c>
      <c r="R20" s="10">
        <f t="shared" si="18"/>
        <v>1067.065648085141</v>
      </c>
      <c r="S20" s="10">
        <f t="shared" si="18"/>
        <v>1173.7722128936553</v>
      </c>
      <c r="T20" s="10">
        <f t="shared" si="18"/>
        <v>1291.149434183021</v>
      </c>
    </row>
    <row r="21" spans="2:34" x14ac:dyDescent="0.25">
      <c r="B21" t="s">
        <v>0</v>
      </c>
      <c r="E21" s="3">
        <f t="shared" ref="E21" si="19">(E20-D20)/D20</f>
        <v>-3.6734693877551024E-2</v>
      </c>
      <c r="F21" s="3">
        <f t="shared" ref="F21" si="20">(F20-E20)/E20</f>
        <v>-0.27966101694915252</v>
      </c>
      <c r="G21" s="3">
        <f t="shared" ref="G21" si="21">(G20-F20)/F20</f>
        <v>0.10000000000000017</v>
      </c>
      <c r="H21" s="3">
        <f t="shared" ref="H21" si="22">(H20-G20)/G20</f>
        <v>0.10000000000000007</v>
      </c>
      <c r="I21" s="3">
        <f t="shared" ref="I21" si="23">(I20-H20)/H20</f>
        <v>0.10000000000000009</v>
      </c>
      <c r="J21" s="3">
        <f t="shared" ref="J21" si="24">(J20-I20)/I20</f>
        <v>0.10000000000000014</v>
      </c>
    </row>
    <row r="22" spans="2:34" x14ac:dyDescent="0.25">
      <c r="B22" t="s">
        <v>56</v>
      </c>
      <c r="C22" s="10">
        <f>C18-C20</f>
        <v>-76</v>
      </c>
      <c r="D22" s="10">
        <f>D18-D20</f>
        <v>17</v>
      </c>
      <c r="E22" s="10">
        <f>E18-E20</f>
        <v>167</v>
      </c>
      <c r="F22" s="10">
        <f t="shared" ref="F22:T22" si="25">F18-F20</f>
        <v>335</v>
      </c>
      <c r="G22" s="10">
        <f t="shared" si="25"/>
        <v>573.2320000000002</v>
      </c>
      <c r="H22" s="10">
        <f t="shared" si="25"/>
        <v>786.84848000000011</v>
      </c>
      <c r="I22" s="10">
        <f t="shared" si="25"/>
        <v>1063.2443272</v>
      </c>
      <c r="J22" s="10">
        <f t="shared" si="25"/>
        <v>1419.6731739080001</v>
      </c>
      <c r="K22" s="10">
        <f t="shared" si="25"/>
        <v>1878.0225749936199</v>
      </c>
      <c r="L22" s="10">
        <f t="shared" si="25"/>
        <v>2466.0481683669291</v>
      </c>
      <c r="M22" s="10">
        <f t="shared" si="25"/>
        <v>3218.9355050841646</v>
      </c>
      <c r="N22" s="10">
        <f t="shared" si="25"/>
        <v>4181.2764432414688</v>
      </c>
      <c r="O22" s="10">
        <f t="shared" si="25"/>
        <v>5409.5700329414585</v>
      </c>
      <c r="P22" s="10">
        <f t="shared" si="25"/>
        <v>6975.3869571360447</v>
      </c>
      <c r="Q22" s="10">
        <f t="shared" si="25"/>
        <v>8969.3734527887063</v>
      </c>
      <c r="R22" s="10">
        <f t="shared" si="25"/>
        <v>11506.317264990485</v>
      </c>
      <c r="S22" s="10">
        <f t="shared" si="25"/>
        <v>14731.557172147013</v>
      </c>
      <c r="T22" s="10">
        <f t="shared" si="25"/>
        <v>18829.092237893423</v>
      </c>
    </row>
    <row r="23" spans="2:34" x14ac:dyDescent="0.25">
      <c r="B23" t="s">
        <v>0</v>
      </c>
      <c r="E23" s="3">
        <f t="shared" ref="E23" si="26">(E22-D22)/D22</f>
        <v>8.8235294117647065</v>
      </c>
      <c r="F23" s="3">
        <f t="shared" ref="F23" si="27">(F22-E22)/E22</f>
        <v>1.0059880239520957</v>
      </c>
      <c r="G23" s="3">
        <f t="shared" ref="G23" si="28">(G22-F22)/F22</f>
        <v>0.7111402985074633</v>
      </c>
      <c r="H23" s="3">
        <f t="shared" ref="H23" si="29">(H22-G22)/G22</f>
        <v>0.37265274792754038</v>
      </c>
      <c r="I23" s="3">
        <f t="shared" ref="I23" si="30">(I22-H22)/H22</f>
        <v>0.35126946829712358</v>
      </c>
      <c r="J23" s="3">
        <f t="shared" ref="J23" si="31">(J22-I22)/I22</f>
        <v>0.33522760252729239</v>
      </c>
      <c r="K23" s="3">
        <f t="shared" ref="K23" si="32">(K22-J22)/J22</f>
        <v>0.322855576557737</v>
      </c>
      <c r="L23" s="3">
        <f t="shared" ref="L23" si="33">(L22-K22)/K22</f>
        <v>0.31310890571978717</v>
      </c>
      <c r="M23" s="3">
        <f t="shared" ref="M23" si="34">(M22-L22)/L22</f>
        <v>0.30530114795600849</v>
      </c>
      <c r="N23" s="3">
        <f t="shared" ref="N23" si="35">(N22-M22)/M22</f>
        <v>0.29896247894290823</v>
      </c>
      <c r="O23" s="3">
        <f t="shared" ref="O23" si="36">(O22-N22)/N22</f>
        <v>0.29376043568833599</v>
      </c>
      <c r="P23" s="3">
        <f t="shared" ref="P23" si="37">(P22-O22)/O22</f>
        <v>0.28945312005567508</v>
      </c>
      <c r="Q23" s="3">
        <f t="shared" ref="Q23" si="38">(Q22-P22)/P22</f>
        <v>0.28586034121200249</v>
      </c>
      <c r="R23" s="3">
        <f t="shared" ref="R23" si="39">(R22-Q22)/Q22</f>
        <v>0.28284515362809498</v>
      </c>
      <c r="S23" s="3">
        <f t="shared" ref="S23" si="40">(S22-R22)/R22</f>
        <v>0.2803016667174435</v>
      </c>
      <c r="T23" s="3">
        <f t="shared" ref="T23" si="41">(T22-S22)/S22</f>
        <v>0.27814677144203248</v>
      </c>
    </row>
    <row r="24" spans="2:34" x14ac:dyDescent="0.25">
      <c r="B24" t="s">
        <v>2</v>
      </c>
      <c r="C24" s="3">
        <f>C22/C18</f>
        <v>-0.18491484184914841</v>
      </c>
      <c r="D24" s="3">
        <f>D22/D18</f>
        <v>3.3530571992110451E-2</v>
      </c>
      <c r="E24" s="3">
        <f t="shared" ref="E24:T24" si="42">E22/E18</f>
        <v>0.26134585289514867</v>
      </c>
      <c r="F24" s="3">
        <f t="shared" si="42"/>
        <v>0.49629629629629629</v>
      </c>
      <c r="G24" s="3">
        <f t="shared" si="42"/>
        <v>0.60516536603493132</v>
      </c>
      <c r="H24" s="3">
        <f t="shared" si="42"/>
        <v>0.65666553568254893</v>
      </c>
      <c r="I24" s="3">
        <f t="shared" si="42"/>
        <v>0.7014482918978685</v>
      </c>
      <c r="J24" s="3">
        <f t="shared" si="42"/>
        <v>0.74038981904162482</v>
      </c>
      <c r="K24" s="3">
        <f t="shared" si="42"/>
        <v>0.77425201655793463</v>
      </c>
      <c r="L24" s="3">
        <f t="shared" si="42"/>
        <v>0.80369740570255177</v>
      </c>
      <c r="M24" s="3">
        <f t="shared" si="42"/>
        <v>0.82930209191526238</v>
      </c>
      <c r="N24" s="3">
        <f t="shared" si="42"/>
        <v>0.8515670364480542</v>
      </c>
      <c r="O24" s="3">
        <f t="shared" si="42"/>
        <v>0.87092785778091675</v>
      </c>
      <c r="P24" s="3">
        <f t="shared" si="42"/>
        <v>0.88776335459210154</v>
      </c>
      <c r="Q24" s="3">
        <f t="shared" si="42"/>
        <v>0.90240291703661002</v>
      </c>
      <c r="R24" s="3">
        <f t="shared" si="42"/>
        <v>0.91513297133618254</v>
      </c>
      <c r="S24" s="3">
        <f t="shared" si="42"/>
        <v>0.92620258377059361</v>
      </c>
      <c r="T24" s="3">
        <f t="shared" si="42"/>
        <v>0.93582833371355956</v>
      </c>
      <c r="U24" s="9"/>
    </row>
    <row r="25" spans="2:34" x14ac:dyDescent="0.25">
      <c r="B25" t="s">
        <v>48</v>
      </c>
      <c r="C25" s="9">
        <v>3</v>
      </c>
      <c r="D25" s="9">
        <v>4</v>
      </c>
      <c r="E25" s="9">
        <v>21</v>
      </c>
      <c r="F25" s="9">
        <v>23</v>
      </c>
      <c r="G25" s="9">
        <f>F25*1.05</f>
        <v>24.150000000000002</v>
      </c>
      <c r="H25" s="9">
        <f t="shared" ref="H25:T25" si="43">G25*1.05</f>
        <v>25.357500000000002</v>
      </c>
      <c r="I25" s="9">
        <f t="shared" si="43"/>
        <v>26.625375000000002</v>
      </c>
      <c r="J25" s="9">
        <f t="shared" si="43"/>
        <v>27.956643750000001</v>
      </c>
      <c r="K25" s="9">
        <f t="shared" si="43"/>
        <v>29.354475937500002</v>
      </c>
      <c r="L25" s="9">
        <f t="shared" si="43"/>
        <v>30.822199734375005</v>
      </c>
      <c r="M25" s="9">
        <f t="shared" si="43"/>
        <v>32.363309721093756</v>
      </c>
      <c r="N25" s="9">
        <f t="shared" si="43"/>
        <v>33.981475207148449</v>
      </c>
      <c r="O25" s="9">
        <f t="shared" si="43"/>
        <v>35.680548967505871</v>
      </c>
      <c r="P25" s="9">
        <f t="shared" si="43"/>
        <v>37.464576415881169</v>
      </c>
      <c r="Q25" s="9">
        <f t="shared" si="43"/>
        <v>39.33780523667523</v>
      </c>
      <c r="R25" s="9">
        <f t="shared" si="43"/>
        <v>41.304695498508991</v>
      </c>
      <c r="S25" s="9">
        <f t="shared" si="43"/>
        <v>43.369930273434441</v>
      </c>
      <c r="T25" s="9">
        <f t="shared" si="43"/>
        <v>45.538426787106168</v>
      </c>
      <c r="U25" s="9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x14ac:dyDescent="0.25">
      <c r="B26" t="s">
        <v>49</v>
      </c>
      <c r="C26" s="9">
        <v>0</v>
      </c>
      <c r="D26" s="9">
        <v>0</v>
      </c>
      <c r="E26" s="9">
        <v>3</v>
      </c>
      <c r="F26" s="9">
        <v>9</v>
      </c>
      <c r="G26" s="9">
        <f>F26</f>
        <v>9</v>
      </c>
      <c r="H26" s="9">
        <f t="shared" ref="H26:T26" si="44">G26</f>
        <v>9</v>
      </c>
      <c r="I26" s="9">
        <f t="shared" si="44"/>
        <v>9</v>
      </c>
      <c r="J26" s="9">
        <f t="shared" si="44"/>
        <v>9</v>
      </c>
      <c r="K26" s="9">
        <f t="shared" si="44"/>
        <v>9</v>
      </c>
      <c r="L26" s="9">
        <f t="shared" si="44"/>
        <v>9</v>
      </c>
      <c r="M26" s="9">
        <f t="shared" si="44"/>
        <v>9</v>
      </c>
      <c r="N26" s="9">
        <f t="shared" si="44"/>
        <v>9</v>
      </c>
      <c r="O26" s="9">
        <f t="shared" si="44"/>
        <v>9</v>
      </c>
      <c r="P26" s="9">
        <f t="shared" si="44"/>
        <v>9</v>
      </c>
      <c r="Q26" s="9">
        <f t="shared" si="44"/>
        <v>9</v>
      </c>
      <c r="R26" s="9">
        <f t="shared" si="44"/>
        <v>9</v>
      </c>
      <c r="S26" s="9">
        <f t="shared" si="44"/>
        <v>9</v>
      </c>
      <c r="T26" s="9">
        <f t="shared" si="44"/>
        <v>9</v>
      </c>
      <c r="U26" s="9"/>
      <c r="V26" s="9"/>
      <c r="W26" s="9"/>
      <c r="X26" s="9"/>
      <c r="Y26" s="9"/>
      <c r="Z26" s="9"/>
      <c r="AA26" s="9"/>
      <c r="AB26" s="9"/>
      <c r="AC26" s="9"/>
    </row>
    <row r="27" spans="2:34" x14ac:dyDescent="0.25">
      <c r="B27" t="s">
        <v>57</v>
      </c>
      <c r="C27" s="10">
        <f>C22-(C25+C26)</f>
        <v>-79</v>
      </c>
      <c r="D27" s="10">
        <f t="shared" ref="D27:T27" si="45">D22-(D25+D26)</f>
        <v>13</v>
      </c>
      <c r="E27" s="10">
        <f t="shared" si="45"/>
        <v>143</v>
      </c>
      <c r="F27" s="10">
        <f t="shared" si="45"/>
        <v>303</v>
      </c>
      <c r="G27" s="10">
        <f t="shared" si="45"/>
        <v>540.08200000000022</v>
      </c>
      <c r="H27" s="10">
        <f t="shared" si="45"/>
        <v>752.49098000000015</v>
      </c>
      <c r="I27" s="10">
        <f t="shared" si="45"/>
        <v>1027.6189522</v>
      </c>
      <c r="J27" s="10">
        <f t="shared" si="45"/>
        <v>1382.7165301580001</v>
      </c>
      <c r="K27" s="10">
        <f t="shared" si="45"/>
        <v>1839.6680990561199</v>
      </c>
      <c r="L27" s="10">
        <f t="shared" si="45"/>
        <v>2426.2259686325542</v>
      </c>
      <c r="M27" s="10">
        <f t="shared" si="45"/>
        <v>3177.5721953630709</v>
      </c>
      <c r="N27" s="10">
        <f t="shared" si="45"/>
        <v>4138.2949680343199</v>
      </c>
      <c r="O27" s="10">
        <f t="shared" si="45"/>
        <v>5364.8894839739523</v>
      </c>
      <c r="P27" s="10">
        <f t="shared" si="45"/>
        <v>6928.9223807201633</v>
      </c>
      <c r="Q27" s="10">
        <f t="shared" si="45"/>
        <v>8921.0356475520312</v>
      </c>
      <c r="R27" s="10">
        <f t="shared" si="45"/>
        <v>11456.012569491975</v>
      </c>
      <c r="S27" s="10">
        <f t="shared" si="45"/>
        <v>14679.187241873578</v>
      </c>
      <c r="T27" s="10">
        <f t="shared" si="45"/>
        <v>18774.553811106318</v>
      </c>
      <c r="U27" s="9"/>
      <c r="V27" s="9"/>
      <c r="W27" s="9"/>
      <c r="X27" s="9"/>
      <c r="Y27" s="9"/>
      <c r="Z27" s="9"/>
      <c r="AA27" s="9"/>
      <c r="AB27" s="9"/>
      <c r="AC27" s="9"/>
    </row>
    <row r="28" spans="2:34" x14ac:dyDescent="0.25">
      <c r="B28" t="s">
        <v>41</v>
      </c>
      <c r="C28" s="3">
        <v>0.1</v>
      </c>
      <c r="D28" s="3">
        <v>0.222</v>
      </c>
      <c r="E28" s="3">
        <v>0.26</v>
      </c>
      <c r="F28" s="3">
        <v>0.192</v>
      </c>
      <c r="G28" s="3">
        <v>0.2</v>
      </c>
      <c r="H28" s="3">
        <v>0.2</v>
      </c>
      <c r="I28" s="3">
        <v>0.2</v>
      </c>
      <c r="J28" s="3">
        <v>0.2</v>
      </c>
      <c r="K28" s="3">
        <v>0.2</v>
      </c>
      <c r="L28" s="3">
        <v>0.2</v>
      </c>
      <c r="M28" s="3">
        <v>0.2</v>
      </c>
      <c r="N28" s="3">
        <v>0.2</v>
      </c>
      <c r="O28" s="3">
        <v>0.2</v>
      </c>
      <c r="P28" s="3">
        <v>0.2</v>
      </c>
      <c r="Q28" s="3">
        <v>0.2</v>
      </c>
      <c r="R28" s="3">
        <v>0.2</v>
      </c>
      <c r="S28" s="3">
        <v>0.2</v>
      </c>
      <c r="T28" s="3">
        <v>0.2</v>
      </c>
    </row>
    <row r="29" spans="2:34" x14ac:dyDescent="0.25">
      <c r="B29" t="s">
        <v>45</v>
      </c>
      <c r="C29" s="10">
        <f>C16*C28</f>
        <v>10800</v>
      </c>
      <c r="D29" s="10">
        <f>(D16-C29)*D28</f>
        <v>26462.400000000001</v>
      </c>
      <c r="E29" s="10">
        <f>(E16-C29-D29)*E28</f>
        <v>28531.776000000002</v>
      </c>
      <c r="F29" s="10">
        <f>(F16-D29-E29)*F28</f>
        <v>19393.118208000004</v>
      </c>
      <c r="G29" s="10">
        <f>(G16-E29-F29)*G28</f>
        <v>26295.021158399999</v>
      </c>
      <c r="H29" s="10">
        <f>(H16-F29-G29)*H28</f>
        <v>32124.372126719998</v>
      </c>
      <c r="I29" s="10">
        <f>(I16-G29-H29)*I28</f>
        <v>35767.421342975991</v>
      </c>
      <c r="J29" s="10">
        <f>(J16-H29-I29)*J28</f>
        <v>40990.636306060791</v>
      </c>
      <c r="K29" s="10">
        <f>(K16-I29-J29)*K28</f>
        <v>47402.732720192624</v>
      </c>
      <c r="L29" s="10">
        <f>(L16-J29-K29)*L28</f>
        <v>54488.822082249288</v>
      </c>
      <c r="M29" s="10">
        <f>(M16-K29-L29)*M28</f>
        <v>62614.309310136574</v>
      </c>
      <c r="N29" s="10">
        <f>(N16-L29-M29)*N28</f>
        <v>72020.887032741521</v>
      </c>
      <c r="O29" s="10">
        <f>(O16-M29-N29)*O28</f>
        <v>82830.701039325882</v>
      </c>
      <c r="P29" s="10">
        <f>(P16-N29-O29)*P28</f>
        <v>95251.083739673209</v>
      </c>
      <c r="Q29" s="10">
        <f>(Q16-O29-P29)*Q28</f>
        <v>109538.25460139987</v>
      </c>
      <c r="R29" s="10">
        <f>(R16-P29-Q29)*R28</f>
        <v>125969.93562256501</v>
      </c>
      <c r="S29" s="10">
        <f>(S16-Q29-R29)*S28</f>
        <v>144865.33573960359</v>
      </c>
      <c r="T29" s="10">
        <f>(T16-R29-S29)*T28</f>
        <v>166594.96557962231</v>
      </c>
      <c r="U29" s="10"/>
    </row>
    <row r="30" spans="2:34" x14ac:dyDescent="0.25">
      <c r="B30" t="s">
        <v>46</v>
      </c>
      <c r="C30" s="9">
        <f>C29*C17*2/10000000</f>
        <v>82.08</v>
      </c>
      <c r="D30" s="9">
        <f>D29*D17*2/10000000</f>
        <v>203.07245760000001</v>
      </c>
      <c r="E30" s="9">
        <f>E29*E17*2/10000000</f>
        <v>241.20763430400001</v>
      </c>
      <c r="F30" s="9">
        <f>F29*F17*2/10000000</f>
        <v>186.17393479680004</v>
      </c>
      <c r="G30" s="9">
        <f>G29*G17*2/10000000</f>
        <v>277.67542343270401</v>
      </c>
      <c r="H30" s="9">
        <f>H29*H17*2/10000000</f>
        <v>373.15670662397957</v>
      </c>
      <c r="I30" s="9">
        <f>I29*I17*2/10000000</f>
        <v>457.02180295201015</v>
      </c>
      <c r="J30" s="9">
        <f>J29*J17*2/10000000</f>
        <v>576.13814991075492</v>
      </c>
      <c r="K30" s="9">
        <f>K29*K17*2/10000000</f>
        <v>732.88872070269565</v>
      </c>
      <c r="L30" s="9">
        <f>L29*L17*2/10000000</f>
        <v>926.69061251377616</v>
      </c>
      <c r="M30" s="9">
        <f>M29*M17*2/10000000</f>
        <v>1171.3687224705832</v>
      </c>
      <c r="N30" s="9">
        <f>N29*N17*2/10000000</f>
        <v>1482.0784082847258</v>
      </c>
      <c r="O30" s="9">
        <f>O29*O17*2/10000000</f>
        <v>1874.9804184920631</v>
      </c>
      <c r="P30" s="9">
        <f>P29*P17*2/10000000</f>
        <v>2371.7450905548603</v>
      </c>
      <c r="Q30" s="9">
        <f>Q29*Q17*2/10000000</f>
        <v>3000.2440719492938</v>
      </c>
      <c r="R30" s="9">
        <f>R29*R17*2/10000000</f>
        <v>3795.3371574871294</v>
      </c>
      <c r="S30" s="9">
        <f>S29*S17*2/10000000</f>
        <v>4801.0985139573686</v>
      </c>
      <c r="T30" s="9">
        <f>T29*T17*2/10000000</f>
        <v>6073.3834036480703</v>
      </c>
    </row>
    <row r="31" spans="2:34" x14ac:dyDescent="0.25">
      <c r="B31" t="s">
        <v>42</v>
      </c>
      <c r="C31" s="10">
        <v>423</v>
      </c>
      <c r="D31" s="10">
        <v>585</v>
      </c>
      <c r="E31" s="10">
        <v>683</v>
      </c>
      <c r="F31" s="10">
        <f>E31+F30-(D30*0.5)-(E30*0.5)</f>
        <v>647.0338888448</v>
      </c>
      <c r="G31" s="10">
        <f t="shared" ref="G31:T31" si="46">F31+G30-(E30*0.5)-(F30*0.5)</f>
        <v>711.01852772710401</v>
      </c>
      <c r="H31" s="10">
        <f t="shared" si="46"/>
        <v>852.25055523633159</v>
      </c>
      <c r="I31" s="10">
        <f t="shared" si="46"/>
        <v>983.85629315999995</v>
      </c>
      <c r="J31" s="10">
        <f t="shared" si="46"/>
        <v>1144.90518828276</v>
      </c>
      <c r="K31" s="10">
        <f t="shared" si="46"/>
        <v>1361.2139325540734</v>
      </c>
      <c r="L31" s="10">
        <f t="shared" si="46"/>
        <v>1633.3911097611244</v>
      </c>
      <c r="M31" s="10">
        <f t="shared" si="46"/>
        <v>1974.9701656234718</v>
      </c>
      <c r="N31" s="10">
        <f t="shared" si="46"/>
        <v>2408.0189064160186</v>
      </c>
      <c r="O31" s="10">
        <f t="shared" si="46"/>
        <v>2956.2757595304274</v>
      </c>
      <c r="P31" s="10">
        <f t="shared" si="46"/>
        <v>3649.4914366968933</v>
      </c>
      <c r="Q31" s="10">
        <f t="shared" si="46"/>
        <v>4526.3727541227254</v>
      </c>
      <c r="R31" s="10">
        <f t="shared" si="46"/>
        <v>5635.715330357777</v>
      </c>
      <c r="S31" s="10">
        <f t="shared" si="46"/>
        <v>7039.0232295969336</v>
      </c>
      <c r="T31" s="10">
        <f t="shared" si="46"/>
        <v>8814.1887975227546</v>
      </c>
      <c r="U31" s="9"/>
      <c r="V31" s="9"/>
      <c r="W31" s="9"/>
    </row>
    <row r="32" spans="2:34" x14ac:dyDescent="0.25">
      <c r="B32" t="s">
        <v>29</v>
      </c>
      <c r="C32" s="9"/>
      <c r="D32" s="9"/>
      <c r="E32" s="2">
        <v>0.3</v>
      </c>
      <c r="F32" s="2">
        <v>0.25</v>
      </c>
      <c r="G32" s="2">
        <v>0.25</v>
      </c>
      <c r="H32" s="2">
        <v>0.25</v>
      </c>
      <c r="I32" s="2">
        <v>0.25</v>
      </c>
      <c r="J32" s="2">
        <v>0.25</v>
      </c>
      <c r="K32" s="2">
        <v>0.25</v>
      </c>
      <c r="L32" s="2">
        <v>0.25</v>
      </c>
      <c r="M32" s="2">
        <v>0.25</v>
      </c>
      <c r="N32" s="2">
        <v>0.25</v>
      </c>
      <c r="O32" s="2">
        <v>0.25</v>
      </c>
      <c r="P32" s="2">
        <v>0.25</v>
      </c>
      <c r="Q32" s="2">
        <v>0.25</v>
      </c>
      <c r="R32" s="2">
        <v>0.25</v>
      </c>
      <c r="S32" s="2">
        <v>0.25</v>
      </c>
      <c r="T32" s="2">
        <v>0.25</v>
      </c>
      <c r="U32" s="9"/>
      <c r="V32" s="9"/>
      <c r="W32" s="9"/>
    </row>
    <row r="33" spans="2:23" x14ac:dyDescent="0.25">
      <c r="B33" t="s">
        <v>12</v>
      </c>
      <c r="C33" s="9">
        <v>0</v>
      </c>
      <c r="D33">
        <v>27</v>
      </c>
      <c r="E33" s="10">
        <f>E27*E32</f>
        <v>42.9</v>
      </c>
      <c r="F33" s="10">
        <f>F27*F32</f>
        <v>75.75</v>
      </c>
      <c r="G33" s="10">
        <f>G27*G32</f>
        <v>135.02050000000006</v>
      </c>
      <c r="H33" s="10">
        <f>H27*H32</f>
        <v>188.12274500000004</v>
      </c>
      <c r="I33" s="10">
        <f>I27*I32</f>
        <v>256.90473804999999</v>
      </c>
      <c r="J33" s="10">
        <f>J27*J32</f>
        <v>345.67913253950002</v>
      </c>
      <c r="K33" s="10">
        <f>K27*K32</f>
        <v>459.91702476402997</v>
      </c>
      <c r="L33" s="10">
        <f>L27*L32</f>
        <v>606.55649215813855</v>
      </c>
      <c r="M33" s="10">
        <f>M27*M32</f>
        <v>794.39304884076773</v>
      </c>
      <c r="N33" s="10">
        <f>N27*N32</f>
        <v>1034.57374200858</v>
      </c>
      <c r="O33" s="10">
        <f>O27*O32</f>
        <v>1341.2223709934881</v>
      </c>
      <c r="P33" s="10">
        <f>P27*P32</f>
        <v>1732.2305951800408</v>
      </c>
      <c r="Q33" s="10">
        <f>Q27*Q32</f>
        <v>2230.2589118880078</v>
      </c>
      <c r="R33" s="10">
        <f>R27*R32</f>
        <v>2864.0031423729938</v>
      </c>
      <c r="S33" s="10">
        <f>S27*S32</f>
        <v>3669.7968104683946</v>
      </c>
      <c r="T33" s="10">
        <f>T27*T32</f>
        <v>4693.6384527765795</v>
      </c>
      <c r="U33" s="9"/>
      <c r="V33" s="9"/>
      <c r="W33" s="9"/>
    </row>
    <row r="34" spans="2:23" x14ac:dyDescent="0.25">
      <c r="B34" t="s">
        <v>52</v>
      </c>
      <c r="C34" s="10">
        <f>C22+C30-C33</f>
        <v>6.0799999999999983</v>
      </c>
      <c r="D34" s="10">
        <f>D22+D30-D33</f>
        <v>193.07245760000001</v>
      </c>
      <c r="E34" s="10">
        <f>E22+E30-E33</f>
        <v>365.30763430400003</v>
      </c>
      <c r="F34" s="10">
        <f>F22+F30-F33</f>
        <v>445.42393479680004</v>
      </c>
      <c r="G34" s="10">
        <f>G22+G30-G33</f>
        <v>715.88692343270418</v>
      </c>
      <c r="H34" s="10">
        <f>H22+H30-H33</f>
        <v>971.88244162397962</v>
      </c>
      <c r="I34" s="10">
        <f>I22+I30-I33</f>
        <v>1263.3613921020101</v>
      </c>
      <c r="J34" s="10">
        <f>J22+J30-J33</f>
        <v>1650.132191279255</v>
      </c>
      <c r="K34" s="10">
        <f>K22+K30-K33</f>
        <v>2150.9942709322854</v>
      </c>
      <c r="L34" s="10">
        <f>L22+L30-L33</f>
        <v>2786.1822887225667</v>
      </c>
      <c r="M34" s="10">
        <f>M22+M30-M33</f>
        <v>3595.91117871398</v>
      </c>
      <c r="N34" s="10">
        <f>N22+N30-N33</f>
        <v>4628.7811095176148</v>
      </c>
      <c r="O34" s="10">
        <f>O22+O30-O33</f>
        <v>5943.3280804400338</v>
      </c>
      <c r="P34" s="10">
        <f>P22+P30-P33</f>
        <v>7614.9014525108651</v>
      </c>
      <c r="Q34" s="10">
        <f>Q22+Q30-Q33</f>
        <v>9739.3586128499919</v>
      </c>
      <c r="R34" s="10">
        <f>R22+R30-R33</f>
        <v>12437.651280104619</v>
      </c>
      <c r="S34" s="10">
        <f>S22+S30-S33</f>
        <v>15862.858875635988</v>
      </c>
      <c r="T34" s="10">
        <f>T22+T30-T33</f>
        <v>20208.837188764912</v>
      </c>
    </row>
    <row r="35" spans="2:23" x14ac:dyDescent="0.25">
      <c r="B35" t="s">
        <v>53</v>
      </c>
      <c r="C35" s="9"/>
      <c r="D35" s="9"/>
      <c r="E35" s="9"/>
      <c r="F35" s="10">
        <f>F34</f>
        <v>445.42393479680004</v>
      </c>
      <c r="G35" s="10">
        <f>G34/((1+$C$4)^F13)</f>
        <v>662.85826243768906</v>
      </c>
      <c r="H35" s="10">
        <f>H34/((1+$C$4)^G13)</f>
        <v>833.2325459739194</v>
      </c>
      <c r="I35" s="10">
        <f>I34/((1+$C$4)^H13)</f>
        <v>1002.8970051106999</v>
      </c>
      <c r="J35" s="10">
        <f>J34/((1+$C$4)^I13)</f>
        <v>1212.8964216506797</v>
      </c>
      <c r="K35" s="10">
        <f>K34/((1+$C$4)^J13)</f>
        <v>1463.9305577123814</v>
      </c>
      <c r="L35" s="10">
        <f>L34/((1+$C$4)^K13)</f>
        <v>1755.7674533126142</v>
      </c>
      <c r="M35" s="10">
        <f>M34/((1+$C$4)^L13)</f>
        <v>2098.1796349953456</v>
      </c>
      <c r="N35" s="10">
        <f>N34/((1+$C$4)^M13)</f>
        <v>2500.7864066428997</v>
      </c>
      <c r="O35" s="10">
        <f>O34/((1+$C$4)^N13)</f>
        <v>2973.1437335635237</v>
      </c>
      <c r="P35" s="10">
        <f>P34/((1+$C$4)^O13)</f>
        <v>3527.1727652096361</v>
      </c>
      <c r="Q35" s="10">
        <f>Q34/((1+$C$4)^P13)</f>
        <v>4177.0439699940734</v>
      </c>
      <c r="R35" s="10">
        <f>R34/((1+$C$4)^Q13)</f>
        <v>4939.1624485704697</v>
      </c>
      <c r="S35" s="10">
        <f>S34/((1+$C$4)^R13)</f>
        <v>5832.740287939565</v>
      </c>
      <c r="T35" s="10">
        <f>T34/((1+$C$4)^S13)</f>
        <v>6880.3217540254809</v>
      </c>
    </row>
    <row r="36" spans="2:23" x14ac:dyDescent="0.25">
      <c r="B36" t="s">
        <v>50</v>
      </c>
      <c r="C36" s="9"/>
      <c r="D36" s="9"/>
      <c r="E36" s="9"/>
      <c r="F36" s="10">
        <f>H3</f>
        <v>1100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3" x14ac:dyDescent="0.25">
      <c r="B37" s="1" t="s">
        <v>61</v>
      </c>
      <c r="C37" s="9"/>
      <c r="D37" s="9"/>
      <c r="E37" s="8"/>
      <c r="F37" s="12">
        <f>SUM(F35:T35)+F36</f>
        <v>41405.557181935772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3" x14ac:dyDescent="0.25">
      <c r="B38" s="1" t="s">
        <v>51</v>
      </c>
      <c r="C38" s="9"/>
      <c r="D38" s="9"/>
      <c r="E38" s="8"/>
      <c r="F38" s="13">
        <v>26822</v>
      </c>
      <c r="G38" s="3"/>
      <c r="H38" s="3"/>
      <c r="I38" s="3"/>
      <c r="J38" s="3"/>
    </row>
    <row r="39" spans="2:23" x14ac:dyDescent="0.25">
      <c r="C39" s="9"/>
      <c r="D39" s="9"/>
      <c r="E39" s="8"/>
      <c r="F39" s="8"/>
      <c r="G39" s="3"/>
      <c r="H39" s="3"/>
      <c r="I39" s="3"/>
      <c r="J39" s="3"/>
    </row>
    <row r="40" spans="2:23" x14ac:dyDescent="0.25">
      <c r="B40" t="s">
        <v>59</v>
      </c>
      <c r="C40" s="10">
        <f>C27-C33</f>
        <v>-79</v>
      </c>
      <c r="D40" s="10">
        <f>D27-D33</f>
        <v>-14</v>
      </c>
      <c r="E40" s="10">
        <f>E27-E33</f>
        <v>100.1</v>
      </c>
      <c r="F40" s="10">
        <f>F27-F33</f>
        <v>227.25</v>
      </c>
      <c r="G40" s="10">
        <f>G27-G33</f>
        <v>405.06150000000014</v>
      </c>
      <c r="H40" s="10">
        <f>H27-H33</f>
        <v>564.36823500000014</v>
      </c>
      <c r="I40" s="10">
        <f>I27-I33</f>
        <v>770.71421414999998</v>
      </c>
      <c r="J40" s="10">
        <f>J27-J33</f>
        <v>1037.0373976185001</v>
      </c>
      <c r="K40" s="10">
        <f>K27-K33</f>
        <v>1379.7510742920899</v>
      </c>
      <c r="L40" s="10">
        <f>L27-L33</f>
        <v>1819.6694764744157</v>
      </c>
      <c r="M40" s="10">
        <f>M27-M33</f>
        <v>2383.1791465223032</v>
      </c>
      <c r="N40" s="10">
        <f>N27-N33</f>
        <v>3103.7212260257402</v>
      </c>
      <c r="O40" s="10">
        <f>O27-O33</f>
        <v>4023.6671129804645</v>
      </c>
      <c r="P40" s="10">
        <f>P27-P33</f>
        <v>5196.6917855401225</v>
      </c>
      <c r="Q40" s="10">
        <f>Q27-Q33</f>
        <v>6690.7767356640234</v>
      </c>
      <c r="R40" s="10">
        <f>R27-R33</f>
        <v>8592.009427118981</v>
      </c>
      <c r="S40" s="10">
        <f>S27-S33</f>
        <v>11009.390431405183</v>
      </c>
      <c r="T40" s="10">
        <f>T27-T33</f>
        <v>14080.915358329738</v>
      </c>
    </row>
    <row r="41" spans="2:23" x14ac:dyDescent="0.25">
      <c r="B41" t="s">
        <v>0</v>
      </c>
      <c r="E41" s="3"/>
      <c r="F41" s="3">
        <f t="shared" ref="F41" si="47">(F40-E40)/E40</f>
        <v>1.2702297702297705</v>
      </c>
      <c r="G41" s="3">
        <f t="shared" ref="G41" si="48">(G40-F40)/F40</f>
        <v>0.78244884488448907</v>
      </c>
      <c r="H41" s="3">
        <f t="shared" ref="H41" si="49">(H40-G40)/G40</f>
        <v>0.39329024111153477</v>
      </c>
      <c r="I41" s="3">
        <f t="shared" ref="I41" si="50">(I40-H40)/H40</f>
        <v>0.36562295032426795</v>
      </c>
      <c r="J41" s="3">
        <f t="shared" ref="J41" si="51">(J40-I40)/I40</f>
        <v>0.34555374557639479</v>
      </c>
      <c r="K41" s="3">
        <f t="shared" ref="K41" si="52">(K40-J40)/J40</f>
        <v>0.33047378759976553</v>
      </c>
      <c r="L41" s="3">
        <f t="shared" ref="L41" si="53">(L40-K40)/K40</f>
        <v>0.31883896333114659</v>
      </c>
      <c r="M41" s="3">
        <f t="shared" ref="M41" si="54">(M40-L40)/L40</f>
        <v>0.30967693712139399</v>
      </c>
      <c r="N41" s="3">
        <f t="shared" ref="N41" si="55">(N40-M40)/M40</f>
        <v>0.30234490787438323</v>
      </c>
      <c r="O41" s="3">
        <f t="shared" ref="O41" si="56">(O40-N40)/N40</f>
        <v>0.29640093937582745</v>
      </c>
      <c r="P41" s="3">
        <f t="shared" ref="P41" si="57">(P40-O40)/O40</f>
        <v>0.29153124242695105</v>
      </c>
      <c r="Q41" s="3">
        <f t="shared" ref="Q41" si="58">(Q40-P40)/P40</f>
        <v>0.28750693937270166</v>
      </c>
      <c r="R41" s="3">
        <f t="shared" ref="R41" si="59">(R40-Q40)/Q40</f>
        <v>0.28415724609681964</v>
      </c>
      <c r="S41" s="3">
        <f t="shared" ref="S41" si="60">(S40-R40)/R40</f>
        <v>0.28135222904390872</v>
      </c>
      <c r="T41" s="3">
        <f t="shared" ref="T41" si="61">(T40-S40)/S40</f>
        <v>0.27899137069049518</v>
      </c>
    </row>
    <row r="42" spans="2:23" x14ac:dyDescent="0.25">
      <c r="B42" t="s">
        <v>13</v>
      </c>
      <c r="D42">
        <v>29100000</v>
      </c>
      <c r="E42">
        <v>29100000</v>
      </c>
      <c r="F42">
        <v>29100000</v>
      </c>
      <c r="G42">
        <v>30800000</v>
      </c>
      <c r="H42">
        <v>30800000</v>
      </c>
      <c r="I42">
        <v>30800000</v>
      </c>
      <c r="J42">
        <v>30800000</v>
      </c>
      <c r="K42">
        <v>30800000</v>
      </c>
      <c r="L42">
        <v>30800000</v>
      </c>
      <c r="M42">
        <v>30800000</v>
      </c>
      <c r="N42">
        <v>30800000</v>
      </c>
      <c r="O42">
        <v>30800000</v>
      </c>
      <c r="P42">
        <v>30800000</v>
      </c>
      <c r="Q42">
        <v>30800000</v>
      </c>
      <c r="R42">
        <v>30800000</v>
      </c>
      <c r="S42">
        <v>30800000</v>
      </c>
      <c r="T42">
        <v>30800000</v>
      </c>
    </row>
    <row r="43" spans="2:23" x14ac:dyDescent="0.25">
      <c r="B43" t="s">
        <v>14</v>
      </c>
      <c r="D43" s="5">
        <f>D40*10000000/D42</f>
        <v>-4.8109965635738829</v>
      </c>
      <c r="E43" s="5">
        <f t="shared" ref="E43:J43" si="62">E40*10000000/E42</f>
        <v>34.398625429553263</v>
      </c>
      <c r="F43" s="5">
        <f t="shared" si="62"/>
        <v>78.092783505154642</v>
      </c>
      <c r="G43" s="5">
        <f t="shared" si="62"/>
        <v>131.51347402597406</v>
      </c>
      <c r="H43" s="5">
        <f t="shared" si="62"/>
        <v>183.23643993506496</v>
      </c>
      <c r="I43" s="5">
        <f t="shared" si="62"/>
        <v>250.23188771103895</v>
      </c>
      <c r="J43" s="5">
        <f t="shared" si="62"/>
        <v>336.70045377224028</v>
      </c>
      <c r="K43" s="5">
        <f t="shared" ref="K43" si="63">K40*10000000/K42</f>
        <v>447.9711280169123</v>
      </c>
      <c r="L43" s="5">
        <f t="shared" ref="L43" si="64">L40*10000000/L42</f>
        <v>590.80177807610892</v>
      </c>
      <c r="M43" s="5">
        <f t="shared" ref="M43" si="65">M40*10000000/M42</f>
        <v>773.75946315659189</v>
      </c>
      <c r="N43" s="5">
        <f t="shared" ref="N43" si="66">N40*10000000/N42</f>
        <v>1007.7016967616039</v>
      </c>
      <c r="O43" s="5">
        <f t="shared" ref="O43" si="67">O40*10000000/O42</f>
        <v>1306.3854262923585</v>
      </c>
      <c r="P43" s="5">
        <f t="shared" ref="P43" si="68">P40*10000000/P42</f>
        <v>1687.2375927078319</v>
      </c>
      <c r="Q43" s="5">
        <f t="shared" ref="Q43" si="69">Q40*10000000/Q42</f>
        <v>2172.330108981826</v>
      </c>
      <c r="R43" s="5">
        <f t="shared" ref="R43" si="70">R40*10000000/R42</f>
        <v>2789.6134503633052</v>
      </c>
      <c r="S43" s="5">
        <f t="shared" ref="S43" si="71">S40*10000000/S42</f>
        <v>3574.4774127938908</v>
      </c>
      <c r="T43" s="5">
        <f t="shared" ref="T43" si="72">T40*10000000/T42</f>
        <v>4571.7257656914726</v>
      </c>
    </row>
    <row r="44" spans="2:23" x14ac:dyDescent="0.25">
      <c r="B44" t="s">
        <v>15</v>
      </c>
      <c r="F44">
        <v>100</v>
      </c>
      <c r="J44">
        <v>35</v>
      </c>
      <c r="O44">
        <v>29</v>
      </c>
      <c r="T44">
        <v>25</v>
      </c>
    </row>
    <row r="45" spans="2:23" x14ac:dyDescent="0.25">
      <c r="B45" t="s">
        <v>60</v>
      </c>
      <c r="F45" s="10">
        <f>F43*F44</f>
        <v>7809.2783505154639</v>
      </c>
      <c r="G45" s="10"/>
      <c r="H45" s="10"/>
      <c r="I45" s="10"/>
      <c r="J45" s="10">
        <f>J43*J44</f>
        <v>11784.51588202841</v>
      </c>
      <c r="K45" s="10"/>
      <c r="L45" s="10"/>
      <c r="M45" s="10"/>
      <c r="N45" s="10"/>
      <c r="O45" s="10">
        <f>O43*O44</f>
        <v>37885.177362478396</v>
      </c>
      <c r="P45" s="10"/>
      <c r="Q45" s="10"/>
      <c r="R45" s="10"/>
      <c r="S45" s="10"/>
      <c r="T45" s="10">
        <f>T43*T44</f>
        <v>114293.14414228681</v>
      </c>
    </row>
    <row r="46" spans="2:23" x14ac:dyDescent="0.25">
      <c r="F46">
        <f t="shared" ref="F46:R46" si="73">0.92*G46</f>
        <v>19071.204634878541</v>
      </c>
      <c r="G46">
        <f t="shared" si="73"/>
        <v>20729.570255302762</v>
      </c>
      <c r="H46">
        <f t="shared" si="73"/>
        <v>22532.141581850829</v>
      </c>
      <c r="I46">
        <f t="shared" si="73"/>
        <v>24491.458241142205</v>
      </c>
      <c r="J46">
        <f t="shared" si="73"/>
        <v>26621.150262111092</v>
      </c>
      <c r="K46">
        <f t="shared" si="73"/>
        <v>28936.032893599011</v>
      </c>
      <c r="L46">
        <f t="shared" si="73"/>
        <v>31452.209666955445</v>
      </c>
      <c r="M46">
        <f t="shared" si="73"/>
        <v>34187.184420603742</v>
      </c>
      <c r="N46">
        <f t="shared" si="73"/>
        <v>37159.983065873632</v>
      </c>
      <c r="O46">
        <f t="shared" si="73"/>
        <v>40391.285941166992</v>
      </c>
      <c r="P46">
        <f t="shared" si="73"/>
        <v>43903.571675181513</v>
      </c>
      <c r="Q46">
        <f t="shared" si="73"/>
        <v>47721.273559979905</v>
      </c>
      <c r="R46">
        <f t="shared" si="73"/>
        <v>51870.949521717288</v>
      </c>
      <c r="S46">
        <f>0.92*T46</f>
        <v>56381.466871431832</v>
      </c>
      <c r="T46">
        <f>SUM(F40:T40)</f>
        <v>61284.203121121558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Kakade</dc:creator>
  <cp:lastModifiedBy>Mahesh Kakade</cp:lastModifiedBy>
  <dcterms:created xsi:type="dcterms:W3CDTF">2015-06-05T18:17:20Z</dcterms:created>
  <dcterms:modified xsi:type="dcterms:W3CDTF">2021-02-14T17:58:53Z</dcterms:modified>
</cp:coreProperties>
</file>