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6705" activeTab="4"/>
  </bookViews>
  <sheets>
    <sheet name="Detailed" sheetId="2" r:id="rId1"/>
    <sheet name="Sheet3" sheetId="4" r:id="rId2"/>
    <sheet name="Sheet4" sheetId="5" r:id="rId3"/>
    <sheet name="Sheet5" sheetId="6" r:id="rId4"/>
    <sheet name="Sheet1" sheetId="7" r:id="rId5"/>
  </sheets>
  <externalReferences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F59" i="7"/>
  <c r="E59"/>
  <c r="D59"/>
  <c r="C59"/>
  <c r="B59"/>
  <c r="D58"/>
  <c r="C58"/>
  <c r="F57"/>
  <c r="G57" s="1"/>
  <c r="E57"/>
  <c r="D57"/>
  <c r="C57"/>
  <c r="B57"/>
  <c r="F53"/>
  <c r="E53"/>
  <c r="D53"/>
  <c r="C53"/>
  <c r="B53"/>
  <c r="G52"/>
  <c r="D52"/>
  <c r="E52" s="1"/>
  <c r="E51"/>
  <c r="C51"/>
  <c r="D51"/>
  <c r="F51"/>
  <c r="B51"/>
  <c r="E50"/>
  <c r="G50" s="1"/>
  <c r="C50"/>
  <c r="D50"/>
  <c r="F50"/>
  <c r="B50"/>
  <c r="G56"/>
  <c r="G55"/>
  <c r="G54"/>
  <c r="B39"/>
  <c r="C39"/>
  <c r="D39"/>
  <c r="E39"/>
  <c r="F39"/>
  <c r="B41"/>
  <c r="C41"/>
  <c r="G41" s="1"/>
  <c r="D41"/>
  <c r="E41"/>
  <c r="F41"/>
  <c r="B42"/>
  <c r="G42" s="1"/>
  <c r="C42"/>
  <c r="D42"/>
  <c r="E42"/>
  <c r="C43"/>
  <c r="D43"/>
  <c r="E43"/>
  <c r="B44"/>
  <c r="C44"/>
  <c r="D44"/>
  <c r="G44" s="1"/>
  <c r="E44"/>
  <c r="B45"/>
  <c r="C45"/>
  <c r="G45" s="1"/>
  <c r="D45"/>
  <c r="E45"/>
  <c r="F45"/>
  <c r="B46"/>
  <c r="G46" s="1"/>
  <c r="C46"/>
  <c r="D46"/>
  <c r="E46"/>
  <c r="F46"/>
  <c r="B47"/>
  <c r="C47"/>
  <c r="D47"/>
  <c r="E47"/>
  <c r="F47"/>
  <c r="C38"/>
  <c r="D38"/>
  <c r="E38"/>
  <c r="F38"/>
  <c r="B38"/>
  <c r="G38"/>
  <c r="G47"/>
  <c r="G43"/>
  <c r="G39"/>
  <c r="F35"/>
  <c r="E35"/>
  <c r="D35"/>
  <c r="C35"/>
  <c r="B35"/>
  <c r="F146" i="6"/>
  <c r="H146"/>
  <c r="J146"/>
  <c r="L146"/>
  <c r="F34" i="7"/>
  <c r="E34"/>
  <c r="D34"/>
  <c r="C34"/>
  <c r="B34"/>
  <c r="F33"/>
  <c r="E33"/>
  <c r="D33"/>
  <c r="C33"/>
  <c r="B33"/>
  <c r="C32"/>
  <c r="D32"/>
  <c r="E32"/>
  <c r="B32"/>
  <c r="G32"/>
  <c r="D31"/>
  <c r="E31"/>
  <c r="C31"/>
  <c r="C30"/>
  <c r="D30"/>
  <c r="E30"/>
  <c r="B30"/>
  <c r="F29"/>
  <c r="E29"/>
  <c r="D29"/>
  <c r="C29"/>
  <c r="B29"/>
  <c r="E28"/>
  <c r="D28"/>
  <c r="F27"/>
  <c r="E27"/>
  <c r="D27"/>
  <c r="C27"/>
  <c r="B27"/>
  <c r="F26"/>
  <c r="E26"/>
  <c r="D26"/>
  <c r="C26"/>
  <c r="B26"/>
  <c r="F23"/>
  <c r="E23"/>
  <c r="D23"/>
  <c r="C23"/>
  <c r="B23"/>
  <c r="F22"/>
  <c r="E22"/>
  <c r="D22"/>
  <c r="C22"/>
  <c r="B22"/>
  <c r="F21"/>
  <c r="E21"/>
  <c r="D21"/>
  <c r="C21"/>
  <c r="B21"/>
  <c r="G19"/>
  <c r="G20"/>
  <c r="L75" i="6"/>
  <c r="M85" s="1"/>
  <c r="L76"/>
  <c r="G89"/>
  <c r="G88"/>
  <c r="G87"/>
  <c r="G86"/>
  <c r="G85"/>
  <c r="G84"/>
  <c r="G83"/>
  <c r="G82"/>
  <c r="G81"/>
  <c r="G80"/>
  <c r="G79"/>
  <c r="G78"/>
  <c r="G77"/>
  <c r="G76"/>
  <c r="I89"/>
  <c r="I88"/>
  <c r="I87"/>
  <c r="I86"/>
  <c r="I85"/>
  <c r="I84"/>
  <c r="I83"/>
  <c r="I82"/>
  <c r="I81"/>
  <c r="I80"/>
  <c r="I79"/>
  <c r="I78"/>
  <c r="I77"/>
  <c r="I76"/>
  <c r="K89"/>
  <c r="K88"/>
  <c r="K87"/>
  <c r="K86"/>
  <c r="K85"/>
  <c r="K84"/>
  <c r="K83"/>
  <c r="K82"/>
  <c r="K81"/>
  <c r="K80"/>
  <c r="K79"/>
  <c r="K78"/>
  <c r="K77"/>
  <c r="K76"/>
  <c r="O89"/>
  <c r="O77"/>
  <c r="O78"/>
  <c r="O79"/>
  <c r="O80"/>
  <c r="O81"/>
  <c r="O82"/>
  <c r="O83"/>
  <c r="O84"/>
  <c r="O85"/>
  <c r="O86"/>
  <c r="O87"/>
  <c r="O76"/>
  <c r="J86"/>
  <c r="H86"/>
  <c r="J81"/>
  <c r="H81"/>
  <c r="F78"/>
  <c r="F81" s="1"/>
  <c r="J76"/>
  <c r="J82" s="1"/>
  <c r="H76"/>
  <c r="F76"/>
  <c r="F82" s="1"/>
  <c r="F75"/>
  <c r="F17" i="7"/>
  <c r="E17"/>
  <c r="D17"/>
  <c r="C17"/>
  <c r="B17"/>
  <c r="F15"/>
  <c r="E15"/>
  <c r="D15"/>
  <c r="C15"/>
  <c r="B15"/>
  <c r="F11"/>
  <c r="E11"/>
  <c r="D11"/>
  <c r="C11"/>
  <c r="B11"/>
  <c r="F10"/>
  <c r="E10"/>
  <c r="D10"/>
  <c r="C10"/>
  <c r="B10"/>
  <c r="F9"/>
  <c r="E9"/>
  <c r="D9"/>
  <c r="C9"/>
  <c r="B9"/>
  <c r="F5"/>
  <c r="E5"/>
  <c r="D5"/>
  <c r="C5"/>
  <c r="B5"/>
  <c r="F3"/>
  <c r="E3"/>
  <c r="D3"/>
  <c r="C3"/>
  <c r="B3"/>
  <c r="L136" i="6"/>
  <c r="J136"/>
  <c r="K136" s="1"/>
  <c r="H136"/>
  <c r="I136" s="1"/>
  <c r="F136"/>
  <c r="G136" s="1"/>
  <c r="F143"/>
  <c r="H131"/>
  <c r="I131" s="1"/>
  <c r="F131"/>
  <c r="G131"/>
  <c r="H141"/>
  <c r="F141"/>
  <c r="G141"/>
  <c r="J141"/>
  <c r="K141" s="1"/>
  <c r="L131"/>
  <c r="M131" s="1"/>
  <c r="J131"/>
  <c r="K131" s="1"/>
  <c r="L141"/>
  <c r="M141" s="1"/>
  <c r="N143"/>
  <c r="N141"/>
  <c r="O141" s="1"/>
  <c r="N133"/>
  <c r="N131"/>
  <c r="O131" s="1"/>
  <c r="G140"/>
  <c r="G138"/>
  <c r="G135"/>
  <c r="G134"/>
  <c r="G133"/>
  <c r="G132"/>
  <c r="F137"/>
  <c r="I141"/>
  <c r="I140"/>
  <c r="I138"/>
  <c r="I135"/>
  <c r="I134"/>
  <c r="I133"/>
  <c r="I132"/>
  <c r="K140"/>
  <c r="K138"/>
  <c r="K135"/>
  <c r="K134"/>
  <c r="K133"/>
  <c r="K132"/>
  <c r="M140"/>
  <c r="M138"/>
  <c r="M136"/>
  <c r="M135"/>
  <c r="M134"/>
  <c r="M133"/>
  <c r="M132"/>
  <c r="O132"/>
  <c r="O133"/>
  <c r="O134"/>
  <c r="O135"/>
  <c r="O136"/>
  <c r="O138"/>
  <c r="O140"/>
  <c r="N137"/>
  <c r="O137" s="1"/>
  <c r="G113"/>
  <c r="H123"/>
  <c r="F123"/>
  <c r="G123" s="1"/>
  <c r="I123"/>
  <c r="H112"/>
  <c r="F112"/>
  <c r="J113"/>
  <c r="J123"/>
  <c r="K123" s="1"/>
  <c r="L112"/>
  <c r="L113"/>
  <c r="L123"/>
  <c r="M123" s="1"/>
  <c r="G122"/>
  <c r="G120"/>
  <c r="G118"/>
  <c r="F118"/>
  <c r="G117"/>
  <c r="G116"/>
  <c r="G115"/>
  <c r="G114"/>
  <c r="F119"/>
  <c r="I122"/>
  <c r="I120"/>
  <c r="I118"/>
  <c r="H118"/>
  <c r="I117"/>
  <c r="I116"/>
  <c r="I115"/>
  <c r="I114"/>
  <c r="I113"/>
  <c r="K122"/>
  <c r="K120"/>
  <c r="J118"/>
  <c r="K118" s="1"/>
  <c r="K117"/>
  <c r="K116"/>
  <c r="K115"/>
  <c r="K114"/>
  <c r="K113"/>
  <c r="M114"/>
  <c r="M115"/>
  <c r="M116"/>
  <c r="M117"/>
  <c r="M120"/>
  <c r="M122"/>
  <c r="M113"/>
  <c r="O125"/>
  <c r="O114"/>
  <c r="O115"/>
  <c r="O116"/>
  <c r="O117"/>
  <c r="O118"/>
  <c r="O119"/>
  <c r="O120"/>
  <c r="O121"/>
  <c r="O122"/>
  <c r="O123"/>
  <c r="O124"/>
  <c r="O113"/>
  <c r="N113"/>
  <c r="N119" s="1"/>
  <c r="L118"/>
  <c r="M118" s="1"/>
  <c r="F97"/>
  <c r="F94"/>
  <c r="G102" s="1"/>
  <c r="F95"/>
  <c r="H105"/>
  <c r="H95"/>
  <c r="I105"/>
  <c r="F100"/>
  <c r="I104"/>
  <c r="I102"/>
  <c r="H100"/>
  <c r="I100" s="1"/>
  <c r="I99"/>
  <c r="I98"/>
  <c r="I97"/>
  <c r="I96"/>
  <c r="I95"/>
  <c r="H101"/>
  <c r="O105"/>
  <c r="O104"/>
  <c r="O102"/>
  <c r="O100"/>
  <c r="O99"/>
  <c r="O98"/>
  <c r="O97"/>
  <c r="O96"/>
  <c r="O95"/>
  <c r="N95"/>
  <c r="G59" i="7" l="1"/>
  <c r="G58"/>
  <c r="E58"/>
  <c r="F58" s="1"/>
  <c r="G53"/>
  <c r="G51"/>
  <c r="G35"/>
  <c r="G27"/>
  <c r="G22"/>
  <c r="G34"/>
  <c r="G33"/>
  <c r="G31"/>
  <c r="G30"/>
  <c r="G29"/>
  <c r="G28"/>
  <c r="G26"/>
  <c r="G23"/>
  <c r="G21"/>
  <c r="M83" i="6"/>
  <c r="M76"/>
  <c r="L86"/>
  <c r="M86" s="1"/>
  <c r="M80"/>
  <c r="M77"/>
  <c r="M79"/>
  <c r="F84"/>
  <c r="J84"/>
  <c r="H82"/>
  <c r="G18" i="7"/>
  <c r="G3"/>
  <c r="G17"/>
  <c r="G15"/>
  <c r="G11"/>
  <c r="G10"/>
  <c r="G9"/>
  <c r="G5"/>
  <c r="H137" i="6"/>
  <c r="I137" s="1"/>
  <c r="L137"/>
  <c r="M137" s="1"/>
  <c r="J137"/>
  <c r="J139" s="1"/>
  <c r="F139"/>
  <c r="G137"/>
  <c r="N139"/>
  <c r="O139" s="1"/>
  <c r="G119"/>
  <c r="F121"/>
  <c r="H119"/>
  <c r="J119"/>
  <c r="N121"/>
  <c r="L119"/>
  <c r="M119" s="1"/>
  <c r="G96"/>
  <c r="G95"/>
  <c r="G99"/>
  <c r="G104"/>
  <c r="G97"/>
  <c r="G100"/>
  <c r="G105"/>
  <c r="F101"/>
  <c r="F103" s="1"/>
  <c r="G98"/>
  <c r="G101"/>
  <c r="I101"/>
  <c r="H103"/>
  <c r="J95"/>
  <c r="L95"/>
  <c r="M95" s="1"/>
  <c r="M105"/>
  <c r="M104"/>
  <c r="M102"/>
  <c r="M99"/>
  <c r="M98"/>
  <c r="M97"/>
  <c r="M96"/>
  <c r="K105"/>
  <c r="K104"/>
  <c r="K102"/>
  <c r="K99"/>
  <c r="K98"/>
  <c r="K97"/>
  <c r="K96"/>
  <c r="K95"/>
  <c r="J101"/>
  <c r="K101" s="1"/>
  <c r="J105"/>
  <c r="L105"/>
  <c r="L100"/>
  <c r="M100" s="1"/>
  <c r="J100"/>
  <c r="K100" s="1"/>
  <c r="N101"/>
  <c r="O101" s="1"/>
  <c r="O73"/>
  <c r="O72"/>
  <c r="M73"/>
  <c r="K73"/>
  <c r="M72"/>
  <c r="K72"/>
  <c r="M66"/>
  <c r="M65"/>
  <c r="K66"/>
  <c r="I66"/>
  <c r="K65"/>
  <c r="I65"/>
  <c r="G59"/>
  <c r="G58"/>
  <c r="I59"/>
  <c r="I58"/>
  <c r="K59"/>
  <c r="K58"/>
  <c r="N36"/>
  <c r="O36" s="1"/>
  <c r="N34"/>
  <c r="H34"/>
  <c r="H40" s="1"/>
  <c r="I40" s="1"/>
  <c r="F34"/>
  <c r="F44"/>
  <c r="G44" s="1"/>
  <c r="H44"/>
  <c r="I44" s="1"/>
  <c r="L34"/>
  <c r="J34"/>
  <c r="K53" s="1"/>
  <c r="K54" s="1"/>
  <c r="G43"/>
  <c r="G41"/>
  <c r="G38"/>
  <c r="G37"/>
  <c r="G36"/>
  <c r="G35"/>
  <c r="I43"/>
  <c r="I41"/>
  <c r="I38"/>
  <c r="I37"/>
  <c r="I36"/>
  <c r="I35"/>
  <c r="I34"/>
  <c r="O44"/>
  <c r="O43"/>
  <c r="O41"/>
  <c r="O39"/>
  <c r="O38"/>
  <c r="O37"/>
  <c r="O35"/>
  <c r="M43"/>
  <c r="M36"/>
  <c r="J33"/>
  <c r="K51" s="1"/>
  <c r="K52" s="1"/>
  <c r="L33"/>
  <c r="M51" s="1"/>
  <c r="M52" s="1"/>
  <c r="L39"/>
  <c r="M39" s="1"/>
  <c r="J39"/>
  <c r="H39"/>
  <c r="I39" s="1"/>
  <c r="F39"/>
  <c r="G39" s="1"/>
  <c r="L54"/>
  <c r="F40"/>
  <c r="G40" s="1"/>
  <c r="M28"/>
  <c r="K28"/>
  <c r="J22"/>
  <c r="K21"/>
  <c r="K22" s="1"/>
  <c r="M21"/>
  <c r="L24"/>
  <c r="M22"/>
  <c r="N3"/>
  <c r="N9" s="1"/>
  <c r="O13"/>
  <c r="O12"/>
  <c r="O10"/>
  <c r="O5"/>
  <c r="O4"/>
  <c r="O2"/>
  <c r="H3"/>
  <c r="F3"/>
  <c r="G3" s="1"/>
  <c r="H13"/>
  <c r="I13" s="1"/>
  <c r="F13"/>
  <c r="G13" s="1"/>
  <c r="G12"/>
  <c r="G10"/>
  <c r="H8"/>
  <c r="F8"/>
  <c r="G8" s="1"/>
  <c r="G7"/>
  <c r="G6"/>
  <c r="G5"/>
  <c r="G4"/>
  <c r="L3"/>
  <c r="M23" s="1"/>
  <c r="M24" s="1"/>
  <c r="J3"/>
  <c r="K23" s="1"/>
  <c r="K24" s="1"/>
  <c r="J13"/>
  <c r="L13"/>
  <c r="L2"/>
  <c r="L22" s="1"/>
  <c r="M13"/>
  <c r="K13"/>
  <c r="M12"/>
  <c r="K12"/>
  <c r="M10"/>
  <c r="K10"/>
  <c r="L8"/>
  <c r="M8" s="1"/>
  <c r="J8"/>
  <c r="K8" s="1"/>
  <c r="M7"/>
  <c r="K7"/>
  <c r="M6"/>
  <c r="K6"/>
  <c r="M5"/>
  <c r="K5"/>
  <c r="M4"/>
  <c r="K4"/>
  <c r="M3"/>
  <c r="L9"/>
  <c r="B24" i="2"/>
  <c r="C24" s="1"/>
  <c r="C23"/>
  <c r="B21"/>
  <c r="B20" s="1"/>
  <c r="C20" s="1"/>
  <c r="C19"/>
  <c r="D24"/>
  <c r="E24" s="1"/>
  <c r="E23"/>
  <c r="F24"/>
  <c r="G24" s="1"/>
  <c r="G23"/>
  <c r="F20"/>
  <c r="G20" s="1"/>
  <c r="D21"/>
  <c r="D20" s="1"/>
  <c r="E20" s="1"/>
  <c r="F21"/>
  <c r="G19"/>
  <c r="H24"/>
  <c r="I24" s="1"/>
  <c r="I23"/>
  <c r="I19"/>
  <c r="H20"/>
  <c r="I20" s="1"/>
  <c r="H21"/>
  <c r="E19" l="1"/>
  <c r="J87" i="6"/>
  <c r="F87"/>
  <c r="H84"/>
  <c r="H139"/>
  <c r="H142" s="1"/>
  <c r="L139"/>
  <c r="K137"/>
  <c r="G139"/>
  <c r="F142"/>
  <c r="K139"/>
  <c r="J142"/>
  <c r="M139"/>
  <c r="L142"/>
  <c r="N142"/>
  <c r="O142" s="1"/>
  <c r="F124"/>
  <c r="G121"/>
  <c r="I119"/>
  <c r="H121"/>
  <c r="K119"/>
  <c r="J121"/>
  <c r="N124"/>
  <c r="L121"/>
  <c r="M121" s="1"/>
  <c r="F106"/>
  <c r="G103"/>
  <c r="H106"/>
  <c r="I103"/>
  <c r="J103"/>
  <c r="K103" s="1"/>
  <c r="N103"/>
  <c r="O103" s="1"/>
  <c r="L101"/>
  <c r="M101" s="1"/>
  <c r="N40"/>
  <c r="O40" s="1"/>
  <c r="K36"/>
  <c r="M35"/>
  <c r="K3"/>
  <c r="J24"/>
  <c r="L44"/>
  <c r="M44" s="1"/>
  <c r="K41"/>
  <c r="K35"/>
  <c r="M37"/>
  <c r="K43"/>
  <c r="K39"/>
  <c r="K37"/>
  <c r="M41"/>
  <c r="J44"/>
  <c r="K44" s="1"/>
  <c r="K38"/>
  <c r="M34"/>
  <c r="M38"/>
  <c r="O34"/>
  <c r="G34"/>
  <c r="K34"/>
  <c r="J52"/>
  <c r="L52"/>
  <c r="L40"/>
  <c r="M40" s="1"/>
  <c r="F42"/>
  <c r="G42" s="1"/>
  <c r="H42"/>
  <c r="I42" s="1"/>
  <c r="J40"/>
  <c r="K40" s="1"/>
  <c r="M53"/>
  <c r="M54" s="1"/>
  <c r="J54"/>
  <c r="O3"/>
  <c r="N11"/>
  <c r="O9"/>
  <c r="F9"/>
  <c r="I5"/>
  <c r="I8"/>
  <c r="I12"/>
  <c r="I4"/>
  <c r="I6"/>
  <c r="I10"/>
  <c r="I3"/>
  <c r="I7"/>
  <c r="H9"/>
  <c r="L11"/>
  <c r="M9"/>
  <c r="J9"/>
  <c r="N13" i="2"/>
  <c r="N3"/>
  <c r="O2"/>
  <c r="L13"/>
  <c r="J13"/>
  <c r="H13"/>
  <c r="B8"/>
  <c r="B4"/>
  <c r="B3"/>
  <c r="D8"/>
  <c r="F4"/>
  <c r="D4"/>
  <c r="D3"/>
  <c r="F3"/>
  <c r="H3"/>
  <c r="H8"/>
  <c r="F89" i="6" l="1"/>
  <c r="J89"/>
  <c r="H87"/>
  <c r="O88"/>
  <c r="I139"/>
  <c r="G142"/>
  <c r="F144"/>
  <c r="G144" s="1"/>
  <c r="G143"/>
  <c r="I143"/>
  <c r="H144"/>
  <c r="I144" s="1"/>
  <c r="I142"/>
  <c r="K142"/>
  <c r="K143"/>
  <c r="J144"/>
  <c r="K144" s="1"/>
  <c r="M142"/>
  <c r="M143"/>
  <c r="L144"/>
  <c r="M144" s="1"/>
  <c r="O143"/>
  <c r="N144"/>
  <c r="O144" s="1"/>
  <c r="G124"/>
  <c r="F126"/>
  <c r="G126" s="1"/>
  <c r="G125"/>
  <c r="H124"/>
  <c r="I121"/>
  <c r="J124"/>
  <c r="K121"/>
  <c r="L124"/>
  <c r="M124" s="1"/>
  <c r="N126"/>
  <c r="O126" s="1"/>
  <c r="G106"/>
  <c r="G107"/>
  <c r="F108"/>
  <c r="G108" s="1"/>
  <c r="I106"/>
  <c r="I107"/>
  <c r="H108"/>
  <c r="I108" s="1"/>
  <c r="L103"/>
  <c r="M103" s="1"/>
  <c r="N106"/>
  <c r="J106"/>
  <c r="K106" s="1"/>
  <c r="N42"/>
  <c r="O42" s="1"/>
  <c r="L42"/>
  <c r="M42" s="1"/>
  <c r="J42"/>
  <c r="K42" s="1"/>
  <c r="F45"/>
  <c r="H45"/>
  <c r="N14"/>
  <c r="O11"/>
  <c r="I9"/>
  <c r="H11"/>
  <c r="F11"/>
  <c r="G9"/>
  <c r="M11"/>
  <c r="L14"/>
  <c r="J11"/>
  <c r="K9"/>
  <c r="M24" i="2"/>
  <c r="K24"/>
  <c r="J23"/>
  <c r="K23" s="1"/>
  <c r="L23"/>
  <c r="M23" s="1"/>
  <c r="L21"/>
  <c r="L19" s="1"/>
  <c r="M19" s="1"/>
  <c r="J21"/>
  <c r="J19" s="1"/>
  <c r="K19" s="1"/>
  <c r="L8"/>
  <c r="M8" s="1"/>
  <c r="J8"/>
  <c r="K8" s="1"/>
  <c r="L3"/>
  <c r="J3"/>
  <c r="K3" s="1"/>
  <c r="C13"/>
  <c r="C12"/>
  <c r="C10"/>
  <c r="C8"/>
  <c r="C7"/>
  <c r="C6"/>
  <c r="C4"/>
  <c r="E13"/>
  <c r="E12"/>
  <c r="E10"/>
  <c r="E8"/>
  <c r="E7"/>
  <c r="E6"/>
  <c r="E4"/>
  <c r="G13"/>
  <c r="G12"/>
  <c r="G10"/>
  <c r="G7"/>
  <c r="G6"/>
  <c r="B6" i="5" s="1"/>
  <c r="G4" i="2"/>
  <c r="I13"/>
  <c r="I12"/>
  <c r="I10"/>
  <c r="I8"/>
  <c r="I7"/>
  <c r="I6"/>
  <c r="C6" i="5" s="1"/>
  <c r="I4" i="2"/>
  <c r="M5"/>
  <c r="K5"/>
  <c r="M7"/>
  <c r="K7"/>
  <c r="M6"/>
  <c r="E6" i="5" s="1"/>
  <c r="K6" i="2"/>
  <c r="D6" i="5" s="1"/>
  <c r="K13" i="2"/>
  <c r="K12"/>
  <c r="K10"/>
  <c r="K4"/>
  <c r="M13"/>
  <c r="M12"/>
  <c r="M10"/>
  <c r="M4"/>
  <c r="O13"/>
  <c r="O12"/>
  <c r="O10"/>
  <c r="O5"/>
  <c r="O4"/>
  <c r="N9"/>
  <c r="O9" s="1"/>
  <c r="F9" i="5" l="1"/>
  <c r="F14" i="7"/>
  <c r="D3" i="5"/>
  <c r="D2" i="7"/>
  <c r="H89" i="6"/>
  <c r="I124"/>
  <c r="I125"/>
  <c r="H126"/>
  <c r="I126" s="1"/>
  <c r="K124"/>
  <c r="K125"/>
  <c r="J126"/>
  <c r="K126" s="1"/>
  <c r="L126"/>
  <c r="M126" s="1"/>
  <c r="M125"/>
  <c r="O106"/>
  <c r="O107"/>
  <c r="J108"/>
  <c r="K108" s="1"/>
  <c r="K107"/>
  <c r="L106"/>
  <c r="N108"/>
  <c r="O108" s="1"/>
  <c r="N45"/>
  <c r="O46" s="1"/>
  <c r="G46"/>
  <c r="G45"/>
  <c r="I46"/>
  <c r="I45"/>
  <c r="L45"/>
  <c r="J45"/>
  <c r="K45" s="1"/>
  <c r="H47"/>
  <c r="I47" s="1"/>
  <c r="F47"/>
  <c r="G47" s="1"/>
  <c r="N16"/>
  <c r="O16" s="1"/>
  <c r="O14"/>
  <c r="O15"/>
  <c r="G11"/>
  <c r="F14"/>
  <c r="H14"/>
  <c r="I11"/>
  <c r="J14"/>
  <c r="K11"/>
  <c r="M15"/>
  <c r="L16"/>
  <c r="M16" s="1"/>
  <c r="M14"/>
  <c r="K20" i="2"/>
  <c r="M20"/>
  <c r="I5"/>
  <c r="E5"/>
  <c r="C5"/>
  <c r="L9"/>
  <c r="M9" s="1"/>
  <c r="C3"/>
  <c r="E3"/>
  <c r="G3"/>
  <c r="I3"/>
  <c r="J9"/>
  <c r="K9" s="1"/>
  <c r="M3"/>
  <c r="O3"/>
  <c r="N11"/>
  <c r="B3" i="5" l="1"/>
  <c r="B2" i="7"/>
  <c r="F3" i="5"/>
  <c r="F2" i="7"/>
  <c r="C3" i="5"/>
  <c r="C2" i="7"/>
  <c r="E9" i="5"/>
  <c r="E14" i="7"/>
  <c r="D9" i="5"/>
  <c r="D14" i="7"/>
  <c r="E3" i="5"/>
  <c r="E2" i="7"/>
  <c r="M106" i="6"/>
  <c r="M107"/>
  <c r="L108"/>
  <c r="M108" s="1"/>
  <c r="N47"/>
  <c r="O47" s="1"/>
  <c r="O45"/>
  <c r="M45"/>
  <c r="M46"/>
  <c r="L47"/>
  <c r="M47" s="1"/>
  <c r="J47"/>
  <c r="K47" s="1"/>
  <c r="K46"/>
  <c r="F16"/>
  <c r="G16" s="1"/>
  <c r="G15"/>
  <c r="G14"/>
  <c r="H16"/>
  <c r="I16" s="1"/>
  <c r="I15"/>
  <c r="I14"/>
  <c r="J16"/>
  <c r="K16" s="1"/>
  <c r="K14"/>
  <c r="K15"/>
  <c r="H9" i="2"/>
  <c r="I9" s="1"/>
  <c r="D9"/>
  <c r="E9" s="1"/>
  <c r="B9"/>
  <c r="L11"/>
  <c r="M11" s="1"/>
  <c r="J11"/>
  <c r="K11" s="1"/>
  <c r="O11"/>
  <c r="N14"/>
  <c r="G2" i="7" l="1"/>
  <c r="C9" i="5"/>
  <c r="C14" i="7"/>
  <c r="H11" i="2"/>
  <c r="H14" s="1"/>
  <c r="H16" s="1"/>
  <c r="I16" s="1"/>
  <c r="D11"/>
  <c r="D14" s="1"/>
  <c r="E14" s="1"/>
  <c r="B11"/>
  <c r="C9"/>
  <c r="L14"/>
  <c r="M14" s="1"/>
  <c r="J14"/>
  <c r="K15" s="1"/>
  <c r="O14"/>
  <c r="O15"/>
  <c r="N16"/>
  <c r="I14" l="1"/>
  <c r="I15"/>
  <c r="I11"/>
  <c r="L16"/>
  <c r="M16" s="1"/>
  <c r="D16"/>
  <c r="E16" s="1"/>
  <c r="E11"/>
  <c r="E15"/>
  <c r="C11"/>
  <c r="B14"/>
  <c r="M15"/>
  <c r="J16"/>
  <c r="K16" s="1"/>
  <c r="K14"/>
  <c r="O16"/>
  <c r="C15" l="1"/>
  <c r="C14"/>
  <c r="B16"/>
  <c r="C16" s="1"/>
  <c r="G5" l="1"/>
  <c r="F8"/>
  <c r="G8" s="1"/>
  <c r="F9"/>
  <c r="G9" s="1"/>
  <c r="B9" i="5" l="1"/>
  <c r="B14" i="7"/>
  <c r="G14" s="1"/>
  <c r="F11" i="2"/>
  <c r="G11" s="1"/>
  <c r="F14" l="1"/>
  <c r="G14" s="1"/>
  <c r="F16" l="1"/>
  <c r="G16" s="1"/>
  <c r="G15"/>
  <c r="M81" i="6"/>
  <c r="L78"/>
  <c r="M78" s="1"/>
  <c r="L82" l="1"/>
  <c r="L84" l="1"/>
  <c r="M82"/>
  <c r="L87" l="1"/>
  <c r="M84"/>
  <c r="L89" l="1"/>
  <c r="M89" s="1"/>
  <c r="M87"/>
  <c r="M88"/>
</calcChain>
</file>

<file path=xl/sharedStrings.xml><?xml version="1.0" encoding="utf-8"?>
<sst xmlns="http://schemas.openxmlformats.org/spreadsheetml/2006/main" count="304" uniqueCount="64">
  <si>
    <t>INR Mio</t>
  </si>
  <si>
    <t>FY12</t>
  </si>
  <si>
    <t>FY13</t>
  </si>
  <si>
    <t>FY14</t>
  </si>
  <si>
    <t>9M FY15</t>
  </si>
  <si>
    <t>Sales</t>
  </si>
  <si>
    <t>EBITDA</t>
  </si>
  <si>
    <t>Interest</t>
  </si>
  <si>
    <t>Depreciation</t>
  </si>
  <si>
    <t>Other income</t>
  </si>
  <si>
    <t>PBT</t>
  </si>
  <si>
    <t>Taxes</t>
  </si>
  <si>
    <t>FY10</t>
  </si>
  <si>
    <t>FY11</t>
  </si>
  <si>
    <t>COGS</t>
  </si>
  <si>
    <t>Employee expense</t>
  </si>
  <si>
    <t>Other expenses</t>
  </si>
  <si>
    <t>EBIT</t>
  </si>
  <si>
    <t>PAT</t>
  </si>
  <si>
    <t>YTD FY15</t>
  </si>
  <si>
    <t>Others</t>
  </si>
  <si>
    <t>FY09</t>
  </si>
  <si>
    <t>Power &amp; fuel</t>
  </si>
  <si>
    <t>FX fluctuation</t>
  </si>
  <si>
    <t>Export</t>
  </si>
  <si>
    <t>Domestic</t>
  </si>
  <si>
    <t>Total</t>
  </si>
  <si>
    <t>Imports</t>
  </si>
  <si>
    <t>No of spindles</t>
  </si>
  <si>
    <t>27.4 MW</t>
  </si>
  <si>
    <t>Energy</t>
  </si>
  <si>
    <t>COGS/Sales</t>
  </si>
  <si>
    <t>Ambika</t>
  </si>
  <si>
    <t>Aggregate</t>
  </si>
  <si>
    <t>Energy/Sales</t>
  </si>
  <si>
    <t>EBITDA/Sales</t>
  </si>
  <si>
    <t>Ratios</t>
  </si>
  <si>
    <t>Bannari Amman</t>
  </si>
  <si>
    <t>No of looms</t>
  </si>
  <si>
    <t>Exports</t>
  </si>
  <si>
    <t>Indigenous</t>
  </si>
  <si>
    <t>LS Mills</t>
  </si>
  <si>
    <t>CDR earlier</t>
  </si>
  <si>
    <t>Nahar Spinning</t>
  </si>
  <si>
    <t>Thiagarajar Mills</t>
  </si>
  <si>
    <t>Sree Satyanarayan</t>
  </si>
  <si>
    <t>Sree Akkamamba Textiles</t>
  </si>
  <si>
    <t>Kallam Spinning Mills</t>
  </si>
  <si>
    <t>sambandam spinning mills</t>
  </si>
  <si>
    <t>rajapalayam mills</t>
  </si>
  <si>
    <t>Bannari Amin</t>
  </si>
  <si>
    <t>Kallam</t>
  </si>
  <si>
    <t>Sambandam</t>
  </si>
  <si>
    <t>Rajapalayam</t>
  </si>
  <si>
    <t>NA</t>
  </si>
  <si>
    <t>Mean</t>
  </si>
  <si>
    <t>Thiagarajar Mills*</t>
  </si>
  <si>
    <t>Sree Satyanarayan*</t>
  </si>
  <si>
    <t>Sree Akkamamba*</t>
  </si>
  <si>
    <t>LS Mills*</t>
  </si>
  <si>
    <t>9M FY15 (annualized)</t>
  </si>
  <si>
    <t>Sales/spindle (INR)</t>
  </si>
  <si>
    <t>EBITDA/spindle (INR)</t>
  </si>
  <si>
    <t>Number of spindles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</si>
</sst>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164" fontId="0" fillId="0" borderId="0" xfId="1" applyNumberFormat="1" applyFont="1"/>
    <xf numFmtId="0" fontId="4" fillId="0" borderId="0" xfId="0" applyFont="1"/>
    <xf numFmtId="0" fontId="0" fillId="0" borderId="1" xfId="0" applyBorder="1"/>
    <xf numFmtId="0" fontId="7" fillId="0" borderId="1" xfId="0" applyFont="1" applyBorder="1"/>
    <xf numFmtId="164" fontId="0" fillId="0" borderId="1" xfId="1" applyNumberFormat="1" applyFont="1" applyBorder="1"/>
    <xf numFmtId="0" fontId="2" fillId="0" borderId="1" xfId="0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5" fillId="0" borderId="1" xfId="1" applyNumberFormat="1" applyFont="1" applyBorder="1"/>
    <xf numFmtId="0" fontId="3" fillId="0" borderId="1" xfId="0" applyFont="1" applyBorder="1" applyAlignment="1">
      <alignment horizontal="right"/>
    </xf>
    <xf numFmtId="0" fontId="7" fillId="0" borderId="0" xfId="0" applyFont="1"/>
    <xf numFmtId="0" fontId="8" fillId="0" borderId="1" xfId="0" applyFont="1" applyBorder="1" applyAlignment="1">
      <alignment horizontal="right"/>
    </xf>
    <xf numFmtId="164" fontId="0" fillId="2" borderId="1" xfId="1" applyNumberFormat="1" applyFont="1" applyFill="1" applyBorder="1"/>
    <xf numFmtId="0" fontId="0" fillId="0" borderId="1" xfId="0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6" fillId="0" borderId="0" xfId="0" applyFont="1" applyFill="1" applyBorder="1"/>
    <xf numFmtId="164" fontId="0" fillId="0" borderId="1" xfId="0" applyNumberFormat="1" applyBorder="1"/>
    <xf numFmtId="3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333375</xdr:colOff>
      <xdr:row>12</xdr:row>
      <xdr:rowOff>161925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33975" cy="2333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ia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tyanaraya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kkamamb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hiag"/>
    </sheetNames>
    <sheetDataSet>
      <sheetData sheetId="0">
        <row r="24">
          <cell r="B24">
            <v>1837900</v>
          </cell>
          <cell r="C24">
            <v>1982300</v>
          </cell>
          <cell r="D24">
            <v>2202600</v>
          </cell>
          <cell r="E24">
            <v>2580000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tyanarayana"/>
    </sheetNames>
    <sheetDataSet>
      <sheetData sheetId="0">
        <row r="24">
          <cell r="B24">
            <v>421800</v>
          </cell>
          <cell r="C24">
            <v>515500</v>
          </cell>
          <cell r="D24">
            <v>610600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kkamamba"/>
    </sheetNames>
    <sheetDataSet>
      <sheetData sheetId="0">
        <row r="24">
          <cell r="B24">
            <v>1243000</v>
          </cell>
          <cell r="C24">
            <v>1153100</v>
          </cell>
          <cell r="D24">
            <v>1210800</v>
          </cell>
          <cell r="E24">
            <v>1293100</v>
          </cell>
        </row>
      </sheetData>
    </sheetDataSet>
  </externalBook>
</externalLink>
</file>

<file path=xl/theme/theme1.xml><?xml version="1.0" encoding="utf-8"?>
<a:theme xmlns:a="http://schemas.openxmlformats.org/drawingml/2006/main" name="Theme1">
  <a:themeElements>
    <a:clrScheme name="Standard Chartered Template">
      <a:dk1>
        <a:srgbClr val="005C84"/>
      </a:dk1>
      <a:lt1>
        <a:sysClr val="window" lastClr="FFFFFF"/>
      </a:lt1>
      <a:dk2>
        <a:srgbClr val="000F46"/>
      </a:dk2>
      <a:lt2>
        <a:srgbClr val="E6E7E8"/>
      </a:lt2>
      <a:accent1>
        <a:srgbClr val="0075B0"/>
      </a:accent1>
      <a:accent2>
        <a:srgbClr val="009FDA"/>
      </a:accent2>
      <a:accent3>
        <a:srgbClr val="3F9C35"/>
      </a:accent3>
      <a:accent4>
        <a:srgbClr val="69BE28"/>
      </a:accent4>
      <a:accent5>
        <a:srgbClr val="6D6E71"/>
      </a:accent5>
      <a:accent6>
        <a:srgbClr val="939598"/>
      </a:accent6>
      <a:hlink>
        <a:srgbClr val="6D6E71"/>
      </a:hlink>
      <a:folHlink>
        <a:srgbClr val="2890C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StandardChartered_GlobalTemplate" id="{8AA814C4-A578-42A8-85A9-298523698715}" vid="{F837474E-8CD5-4CDA-B6A2-5B081F46A0D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pane ySplit="1" topLeftCell="A2" activePane="bottomLeft" state="frozen"/>
      <selection pane="bottomLeft" activeCell="I11" sqref="I11"/>
    </sheetView>
  </sheetViews>
  <sheetFormatPr defaultRowHeight="14.25"/>
  <cols>
    <col min="1" max="1" width="15.875" bestFit="1" customWidth="1"/>
    <col min="2" max="2" width="9.875" style="1" customWidth="1"/>
    <col min="3" max="3" width="9.5" style="1" customWidth="1"/>
    <col min="5" max="5" width="9" style="1"/>
    <col min="7" max="7" width="9" style="1"/>
    <col min="9" max="9" width="9" style="1"/>
    <col min="10" max="10" width="9.375" bestFit="1" customWidth="1"/>
    <col min="11" max="11" width="9" style="1"/>
    <col min="13" max="13" width="9" style="1"/>
    <col min="14" max="14" width="8.375" bestFit="1" customWidth="1"/>
    <col min="15" max="15" width="6.125" style="3" bestFit="1" customWidth="1"/>
  </cols>
  <sheetData>
    <row r="1" spans="1:15">
      <c r="A1" s="7" t="s">
        <v>0</v>
      </c>
      <c r="B1" s="7" t="s">
        <v>21</v>
      </c>
      <c r="C1" s="7"/>
      <c r="D1" s="7" t="s">
        <v>12</v>
      </c>
      <c r="E1" s="7"/>
      <c r="F1" s="7" t="s">
        <v>13</v>
      </c>
      <c r="G1" s="7"/>
      <c r="H1" s="7" t="s">
        <v>1</v>
      </c>
      <c r="I1" s="7"/>
      <c r="J1" s="7" t="s">
        <v>2</v>
      </c>
      <c r="K1" s="7"/>
      <c r="L1" s="7" t="s">
        <v>3</v>
      </c>
      <c r="M1" s="7"/>
      <c r="N1" s="7" t="s">
        <v>19</v>
      </c>
      <c r="O1" s="8"/>
    </row>
    <row r="2" spans="1:15">
      <c r="A2" s="7" t="s">
        <v>5</v>
      </c>
      <c r="B2" s="7">
        <v>1779</v>
      </c>
      <c r="C2" s="7"/>
      <c r="D2" s="7">
        <v>2081</v>
      </c>
      <c r="E2" s="7"/>
      <c r="F2" s="7">
        <v>3185</v>
      </c>
      <c r="G2" s="7"/>
      <c r="H2" s="7">
        <v>3759</v>
      </c>
      <c r="I2" s="7"/>
      <c r="J2" s="7">
        <v>3850</v>
      </c>
      <c r="K2" s="7"/>
      <c r="L2" s="7">
        <v>4595</v>
      </c>
      <c r="M2" s="7"/>
      <c r="N2" s="7">
        <v>3643</v>
      </c>
      <c r="O2" s="9">
        <f>N2/3482-1</f>
        <v>4.6237794371051022E-2</v>
      </c>
    </row>
    <row r="3" spans="1:15">
      <c r="A3" s="7" t="s">
        <v>14</v>
      </c>
      <c r="B3" s="7">
        <f>949+7+1</f>
        <v>957</v>
      </c>
      <c r="C3" s="10">
        <f>B3/B$2</f>
        <v>0.53794266441821248</v>
      </c>
      <c r="D3" s="7">
        <f>1209-29</f>
        <v>1180</v>
      </c>
      <c r="E3" s="10">
        <f>D3/D$2</f>
        <v>0.56703507928880348</v>
      </c>
      <c r="F3" s="7">
        <f>1707-10</f>
        <v>1697</v>
      </c>
      <c r="G3" s="10">
        <f>F3/F$2</f>
        <v>0.53281004709576141</v>
      </c>
      <c r="H3" s="7">
        <f>2382-2</f>
        <v>2380</v>
      </c>
      <c r="I3" s="10">
        <f>H3/H$2</f>
        <v>0.63314711359404097</v>
      </c>
      <c r="J3" s="7">
        <f>2380-31</f>
        <v>2349</v>
      </c>
      <c r="K3" s="10">
        <f>J3/J$2</f>
        <v>0.61012987012987008</v>
      </c>
      <c r="L3" s="7">
        <f>2859-84</f>
        <v>2775</v>
      </c>
      <c r="M3" s="10">
        <f>L3/L$2</f>
        <v>0.60391730141458111</v>
      </c>
      <c r="N3" s="7">
        <f>2228+57</f>
        <v>2285</v>
      </c>
      <c r="O3" s="10">
        <f>N3/N$2</f>
        <v>0.62723030469393359</v>
      </c>
    </row>
    <row r="4" spans="1:15">
      <c r="A4" s="7" t="s">
        <v>15</v>
      </c>
      <c r="B4" s="7">
        <f>34+2+63</f>
        <v>99</v>
      </c>
      <c r="C4" s="10">
        <f t="shared" ref="C4:C14" si="0">B4/B$2</f>
        <v>5.5649241146711638E-2</v>
      </c>
      <c r="D4" s="7">
        <f>80+4+26</f>
        <v>110</v>
      </c>
      <c r="E4" s="10">
        <f t="shared" ref="E4:E14" si="1">D4/D$2</f>
        <v>5.2859202306583371E-2</v>
      </c>
      <c r="F4" s="7">
        <f>95+6+54</f>
        <v>155</v>
      </c>
      <c r="G4" s="10">
        <f t="shared" ref="G4" si="2">F4/F$2</f>
        <v>4.8665620094191522E-2</v>
      </c>
      <c r="H4" s="7">
        <v>196</v>
      </c>
      <c r="I4" s="10">
        <f t="shared" ref="I4:K4" si="3">H4/H$2</f>
        <v>5.2141527001862198E-2</v>
      </c>
      <c r="J4" s="7">
        <v>212</v>
      </c>
      <c r="K4" s="10">
        <f t="shared" si="3"/>
        <v>5.5064935064935067E-2</v>
      </c>
      <c r="L4" s="7">
        <v>241</v>
      </c>
      <c r="M4" s="10">
        <f t="shared" ref="M4" si="4">L4/L$2</f>
        <v>5.2448313384113168E-2</v>
      </c>
      <c r="N4" s="7">
        <v>209</v>
      </c>
      <c r="O4" s="10">
        <f t="shared" ref="O4" si="5">N4/N$2</f>
        <v>5.7370299203952785E-2</v>
      </c>
    </row>
    <row r="5" spans="1:15">
      <c r="A5" s="7" t="s">
        <v>16</v>
      </c>
      <c r="B5" s="7">
        <v>316</v>
      </c>
      <c r="C5" s="10">
        <f t="shared" si="0"/>
        <v>0.17762788083192804</v>
      </c>
      <c r="D5" s="7">
        <v>330</v>
      </c>
      <c r="E5" s="10">
        <f t="shared" si="1"/>
        <v>0.15857760691975012</v>
      </c>
      <c r="F5" s="7">
        <v>427</v>
      </c>
      <c r="G5" s="10">
        <f t="shared" ref="G5:I5" si="6">F5/F$2</f>
        <v>0.13406593406593406</v>
      </c>
      <c r="H5" s="7">
        <v>539</v>
      </c>
      <c r="I5" s="10">
        <f t="shared" si="6"/>
        <v>0.14338919925512103</v>
      </c>
      <c r="J5" s="7">
        <v>551</v>
      </c>
      <c r="K5" s="10">
        <f t="shared" ref="K5:K8" si="7">J5/J$2</f>
        <v>0.14311688311688311</v>
      </c>
      <c r="L5" s="7">
        <v>722</v>
      </c>
      <c r="M5" s="10">
        <f t="shared" ref="M5:M8" si="8">L5/L$2</f>
        <v>0.15712731229597388</v>
      </c>
      <c r="N5" s="7">
        <v>490</v>
      </c>
      <c r="O5" s="10">
        <f t="shared" ref="O5" si="9">N5/N$2</f>
        <v>0.13450452923414769</v>
      </c>
    </row>
    <row r="6" spans="1:15" s="1" customFormat="1">
      <c r="A6" s="11" t="s">
        <v>22</v>
      </c>
      <c r="B6" s="7">
        <v>149</v>
      </c>
      <c r="C6" s="10">
        <f t="shared" si="0"/>
        <v>8.3754918493535696E-2</v>
      </c>
      <c r="D6" s="7">
        <v>163</v>
      </c>
      <c r="E6" s="10">
        <f t="shared" si="1"/>
        <v>7.8327727054300814E-2</v>
      </c>
      <c r="F6" s="7">
        <v>205</v>
      </c>
      <c r="G6" s="10">
        <f t="shared" ref="G6:I6" si="10">F6/F$2</f>
        <v>6.4364207221350084E-2</v>
      </c>
      <c r="H6" s="7">
        <v>142</v>
      </c>
      <c r="I6" s="10">
        <f t="shared" si="10"/>
        <v>3.7776004256451182E-2</v>
      </c>
      <c r="J6" s="7">
        <v>208</v>
      </c>
      <c r="K6" s="10">
        <f t="shared" si="7"/>
        <v>5.4025974025974026E-2</v>
      </c>
      <c r="L6" s="7">
        <v>261</v>
      </c>
      <c r="M6" s="10">
        <f t="shared" si="8"/>
        <v>5.6800870511425461E-2</v>
      </c>
      <c r="N6" s="7"/>
      <c r="O6" s="10"/>
    </row>
    <row r="7" spans="1:15" s="1" customFormat="1">
      <c r="A7" s="11" t="s">
        <v>23</v>
      </c>
      <c r="B7" s="7">
        <v>0</v>
      </c>
      <c r="C7" s="10">
        <f t="shared" si="0"/>
        <v>0</v>
      </c>
      <c r="D7" s="7"/>
      <c r="E7" s="10">
        <f t="shared" si="1"/>
        <v>0</v>
      </c>
      <c r="F7" s="7"/>
      <c r="G7" s="10">
        <f t="shared" ref="G7:I7" si="11">F7/F$2</f>
        <v>0</v>
      </c>
      <c r="H7" s="7">
        <v>116</v>
      </c>
      <c r="I7" s="10">
        <f t="shared" si="11"/>
        <v>3.0859271082734771E-2</v>
      </c>
      <c r="J7" s="7">
        <v>40</v>
      </c>
      <c r="K7" s="10">
        <f t="shared" si="7"/>
        <v>1.038961038961039E-2</v>
      </c>
      <c r="L7" s="7">
        <v>95</v>
      </c>
      <c r="M7" s="10">
        <f t="shared" si="8"/>
        <v>2.0674646354733407E-2</v>
      </c>
      <c r="N7" s="7"/>
      <c r="O7" s="10"/>
    </row>
    <row r="8" spans="1:15" s="1" customFormat="1">
      <c r="A8" s="11" t="s">
        <v>20</v>
      </c>
      <c r="B8" s="7">
        <f>B5-B6-B7</f>
        <v>167</v>
      </c>
      <c r="C8" s="10">
        <f t="shared" si="0"/>
        <v>9.387296233839236E-2</v>
      </c>
      <c r="D8" s="7">
        <f>D5-D6-D7</f>
        <v>167</v>
      </c>
      <c r="E8" s="10">
        <f t="shared" si="1"/>
        <v>8.0249879865449306E-2</v>
      </c>
      <c r="F8" s="7">
        <f>F5-F6-F7</f>
        <v>222</v>
      </c>
      <c r="G8" s="10">
        <f t="shared" ref="G8:I8" si="12">F8/F$2</f>
        <v>6.9701726844583992E-2</v>
      </c>
      <c r="H8" s="7">
        <f>H5-H6-H7</f>
        <v>281</v>
      </c>
      <c r="I8" s="10">
        <f t="shared" si="12"/>
        <v>7.4753923915935092E-2</v>
      </c>
      <c r="J8" s="7">
        <f>J5-J6-J7</f>
        <v>303</v>
      </c>
      <c r="K8" s="10">
        <f t="shared" si="7"/>
        <v>7.8701298701298703E-2</v>
      </c>
      <c r="L8" s="7">
        <f>L5-L6-L7</f>
        <v>366</v>
      </c>
      <c r="M8" s="10">
        <f t="shared" si="8"/>
        <v>7.9651795429815014E-2</v>
      </c>
      <c r="N8" s="7"/>
      <c r="O8" s="10"/>
    </row>
    <row r="9" spans="1:15">
      <c r="A9" s="7" t="s">
        <v>6</v>
      </c>
      <c r="B9" s="7">
        <f>B2-B3-B4-B5</f>
        <v>407</v>
      </c>
      <c r="C9" s="10">
        <f t="shared" si="0"/>
        <v>0.22878021360314785</v>
      </c>
      <c r="D9" s="7">
        <f>D2-D3-D4-D5</f>
        <v>461</v>
      </c>
      <c r="E9" s="10">
        <f t="shared" si="1"/>
        <v>0.22152811148486304</v>
      </c>
      <c r="F9" s="7">
        <f>F2-F3-F4-F5</f>
        <v>906</v>
      </c>
      <c r="G9" s="10">
        <f t="shared" ref="G9" si="13">F9/F$2</f>
        <v>0.28445839874411305</v>
      </c>
      <c r="H9" s="7">
        <f>H2-H3-H4-H5</f>
        <v>644</v>
      </c>
      <c r="I9" s="10">
        <f t="shared" ref="I9:K9" si="14">H9/H$2</f>
        <v>0.17132216014897581</v>
      </c>
      <c r="J9" s="7">
        <f>J2-J3-J4-J5</f>
        <v>738</v>
      </c>
      <c r="K9" s="10">
        <f t="shared" si="14"/>
        <v>0.19168831168831169</v>
      </c>
      <c r="L9" s="7">
        <f>L2-L3-L4-L5</f>
        <v>857</v>
      </c>
      <c r="M9" s="10">
        <f t="shared" ref="M9" si="15">L9/L$2</f>
        <v>0.18650707290533189</v>
      </c>
      <c r="N9" s="7">
        <f>N2-N3-N4-N5</f>
        <v>659</v>
      </c>
      <c r="O9" s="10">
        <f t="shared" ref="O9" si="16">N9/N$2</f>
        <v>0.18089486686796596</v>
      </c>
    </row>
    <row r="10" spans="1:15">
      <c r="A10" s="7" t="s">
        <v>8</v>
      </c>
      <c r="B10" s="7">
        <v>181</v>
      </c>
      <c r="C10" s="10">
        <f t="shared" si="0"/>
        <v>0.1017425519955031</v>
      </c>
      <c r="D10" s="7">
        <v>209</v>
      </c>
      <c r="E10" s="10">
        <f t="shared" si="1"/>
        <v>0.10043248438250842</v>
      </c>
      <c r="F10" s="7">
        <v>242</v>
      </c>
      <c r="G10" s="10">
        <f t="shared" ref="G10" si="17">F10/F$2</f>
        <v>7.5981161695447413E-2</v>
      </c>
      <c r="H10" s="7">
        <v>268</v>
      </c>
      <c r="I10" s="10">
        <f t="shared" ref="I10:K10" si="18">H10/H$2</f>
        <v>7.1295557329076886E-2</v>
      </c>
      <c r="J10" s="7">
        <v>274</v>
      </c>
      <c r="K10" s="10">
        <f t="shared" si="18"/>
        <v>7.1168831168831173E-2</v>
      </c>
      <c r="L10" s="7">
        <v>316</v>
      </c>
      <c r="M10" s="10">
        <f t="shared" ref="M10" si="19">L10/L$2</f>
        <v>6.8770402611534276E-2</v>
      </c>
      <c r="N10" s="7">
        <v>218</v>
      </c>
      <c r="O10" s="10">
        <f t="shared" ref="O10" si="20">N10/N$2</f>
        <v>5.9840790557233049E-2</v>
      </c>
    </row>
    <row r="11" spans="1:15">
      <c r="A11" s="7" t="s">
        <v>17</v>
      </c>
      <c r="B11" s="7">
        <f>B9-B10</f>
        <v>226</v>
      </c>
      <c r="C11" s="10">
        <f t="shared" si="0"/>
        <v>0.12703766160764474</v>
      </c>
      <c r="D11" s="7">
        <f>D9-D10</f>
        <v>252</v>
      </c>
      <c r="E11" s="10">
        <f t="shared" si="1"/>
        <v>0.12109562710235464</v>
      </c>
      <c r="F11" s="7">
        <f>F9-F10</f>
        <v>664</v>
      </c>
      <c r="G11" s="10">
        <f t="shared" ref="G11" si="21">F11/F$2</f>
        <v>0.20847723704866561</v>
      </c>
      <c r="H11" s="7">
        <f>H9-H10</f>
        <v>376</v>
      </c>
      <c r="I11" s="10">
        <f t="shared" ref="I11:K11" si="22">H11/H$2</f>
        <v>0.1000266028198989</v>
      </c>
      <c r="J11" s="7">
        <f>J9-J10</f>
        <v>464</v>
      </c>
      <c r="K11" s="10">
        <f t="shared" si="22"/>
        <v>0.12051948051948053</v>
      </c>
      <c r="L11" s="7">
        <f>L9-L10</f>
        <v>541</v>
      </c>
      <c r="M11" s="10">
        <f t="shared" ref="M11" si="23">L11/L$2</f>
        <v>0.11773667029379761</v>
      </c>
      <c r="N11" s="7">
        <f>N9-N10</f>
        <v>441</v>
      </c>
      <c r="O11" s="10">
        <f t="shared" ref="O11" si="24">N11/N$2</f>
        <v>0.12105407631073291</v>
      </c>
    </row>
    <row r="12" spans="1:15">
      <c r="A12" s="7" t="s">
        <v>7</v>
      </c>
      <c r="B12" s="7">
        <v>170</v>
      </c>
      <c r="C12" s="10">
        <f t="shared" si="0"/>
        <v>9.5559302979201802E-2</v>
      </c>
      <c r="D12" s="7">
        <v>165</v>
      </c>
      <c r="E12" s="10">
        <f t="shared" si="1"/>
        <v>7.928880345987506E-2</v>
      </c>
      <c r="F12" s="7">
        <v>152</v>
      </c>
      <c r="G12" s="10">
        <f t="shared" ref="G12" si="25">F12/F$2</f>
        <v>4.7723704866562008E-2</v>
      </c>
      <c r="H12" s="7">
        <v>197</v>
      </c>
      <c r="I12" s="10">
        <f t="shared" ref="I12:K12" si="26">H12/H$2</f>
        <v>5.2407555200851288E-2</v>
      </c>
      <c r="J12" s="7">
        <v>188</v>
      </c>
      <c r="K12" s="10">
        <f t="shared" si="26"/>
        <v>4.8831168831168829E-2</v>
      </c>
      <c r="L12" s="7">
        <v>120</v>
      </c>
      <c r="M12" s="10">
        <f t="shared" ref="M12" si="27">L12/L$2</f>
        <v>2.6115342763873776E-2</v>
      </c>
      <c r="N12" s="7">
        <v>51</v>
      </c>
      <c r="O12" s="10">
        <f t="shared" ref="O12" si="28">N12/N$2</f>
        <v>1.3999451001921494E-2</v>
      </c>
    </row>
    <row r="13" spans="1:15">
      <c r="A13" s="7" t="s">
        <v>9</v>
      </c>
      <c r="B13" s="7">
        <v>75</v>
      </c>
      <c r="C13" s="10">
        <f t="shared" si="0"/>
        <v>4.2158516020236091E-2</v>
      </c>
      <c r="D13" s="7">
        <v>151</v>
      </c>
      <c r="E13" s="10">
        <f t="shared" si="1"/>
        <v>7.2561268620855351E-2</v>
      </c>
      <c r="F13" s="7">
        <v>87</v>
      </c>
      <c r="G13" s="10">
        <f t="shared" ref="G13" si="29">F13/F$2</f>
        <v>2.7315541601255888E-2</v>
      </c>
      <c r="H13" s="7">
        <f>136+7</f>
        <v>143</v>
      </c>
      <c r="I13" s="10">
        <f t="shared" ref="I13:K13" si="30">H13/H$2</f>
        <v>3.8042032455440279E-2</v>
      </c>
      <c r="J13" s="7">
        <f>127+3</f>
        <v>130</v>
      </c>
      <c r="K13" s="10">
        <f t="shared" si="30"/>
        <v>3.3766233766233764E-2</v>
      </c>
      <c r="L13" s="7">
        <f>173+2</f>
        <v>175</v>
      </c>
      <c r="M13" s="10">
        <f t="shared" ref="M13" si="31">L13/L$2</f>
        <v>3.8084874863982592E-2</v>
      </c>
      <c r="N13" s="7">
        <f>96+2</f>
        <v>98</v>
      </c>
      <c r="O13" s="10">
        <f t="shared" ref="O13" si="32">N13/N$2</f>
        <v>2.6900905846829536E-2</v>
      </c>
    </row>
    <row r="14" spans="1:15">
      <c r="A14" s="7" t="s">
        <v>10</v>
      </c>
      <c r="B14" s="7">
        <f>B11-B12+B13</f>
        <v>131</v>
      </c>
      <c r="C14" s="10">
        <f t="shared" si="0"/>
        <v>7.3636874648679032E-2</v>
      </c>
      <c r="D14" s="7">
        <f>D11-D12+D13</f>
        <v>238</v>
      </c>
      <c r="E14" s="10">
        <f t="shared" si="1"/>
        <v>0.11436809226333494</v>
      </c>
      <c r="F14" s="7">
        <f>F11-F12+F13</f>
        <v>599</v>
      </c>
      <c r="G14" s="10">
        <f t="shared" ref="G14" si="33">F14/F$2</f>
        <v>0.18806907378335949</v>
      </c>
      <c r="H14" s="7">
        <f>H11-H12+H13</f>
        <v>322</v>
      </c>
      <c r="I14" s="10">
        <f t="shared" ref="I14:K14" si="34">H14/H$2</f>
        <v>8.5661080074487903E-2</v>
      </c>
      <c r="J14" s="7">
        <f>J11-J12+J13</f>
        <v>406</v>
      </c>
      <c r="K14" s="10">
        <f t="shared" si="34"/>
        <v>0.10545454545454545</v>
      </c>
      <c r="L14" s="7">
        <f>L11-L12+L13</f>
        <v>596</v>
      </c>
      <c r="M14" s="10">
        <f t="shared" ref="M14" si="35">L14/L$2</f>
        <v>0.12970620239390643</v>
      </c>
      <c r="N14" s="7">
        <f>N11-N12+N13</f>
        <v>488</v>
      </c>
      <c r="O14" s="10">
        <f t="shared" ref="O14" si="36">N14/N$2</f>
        <v>0.13395553115564096</v>
      </c>
    </row>
    <row r="15" spans="1:15">
      <c r="A15" s="7" t="s">
        <v>11</v>
      </c>
      <c r="B15" s="7">
        <v>37</v>
      </c>
      <c r="C15" s="10">
        <f>B15/B14</f>
        <v>0.28244274809160308</v>
      </c>
      <c r="D15" s="7">
        <v>53</v>
      </c>
      <c r="E15" s="10">
        <f>D15/D14</f>
        <v>0.22268907563025211</v>
      </c>
      <c r="F15" s="7">
        <v>168</v>
      </c>
      <c r="G15" s="10">
        <f>F15/F14</f>
        <v>0.28046744574290483</v>
      </c>
      <c r="H15" s="7">
        <v>82</v>
      </c>
      <c r="I15" s="10">
        <f>H15/H14</f>
        <v>0.25465838509316768</v>
      </c>
      <c r="J15" s="7">
        <v>97</v>
      </c>
      <c r="K15" s="10">
        <f>J15/J14</f>
        <v>0.23891625615763548</v>
      </c>
      <c r="L15" s="7">
        <v>116</v>
      </c>
      <c r="M15" s="10">
        <f>L15/L14</f>
        <v>0.19463087248322147</v>
      </c>
      <c r="N15" s="7">
        <v>119</v>
      </c>
      <c r="O15" s="10">
        <f>N15/N14</f>
        <v>0.24385245901639344</v>
      </c>
    </row>
    <row r="16" spans="1:15">
      <c r="A16" s="7" t="s">
        <v>18</v>
      </c>
      <c r="B16" s="7">
        <f>B14-B15</f>
        <v>94</v>
      </c>
      <c r="C16" s="10">
        <f t="shared" ref="C16" si="37">B16/B$2</f>
        <v>5.2838673412029233E-2</v>
      </c>
      <c r="D16" s="7">
        <f>D14-D15</f>
        <v>185</v>
      </c>
      <c r="E16" s="10">
        <f t="shared" ref="E16" si="38">D16/D$2</f>
        <v>8.8899567515617492E-2</v>
      </c>
      <c r="F16" s="7">
        <f>F14-F15</f>
        <v>431</v>
      </c>
      <c r="G16" s="10">
        <f t="shared" ref="G16" si="39">F16/F$2</f>
        <v>0.13532182103610674</v>
      </c>
      <c r="H16" s="7">
        <f>H14-H15</f>
        <v>240</v>
      </c>
      <c r="I16" s="10">
        <f t="shared" ref="I16:K16" si="40">H16/H$2</f>
        <v>6.3846767757382281E-2</v>
      </c>
      <c r="J16" s="7">
        <f>J14-J15</f>
        <v>309</v>
      </c>
      <c r="K16" s="10">
        <f t="shared" si="40"/>
        <v>8.0259740259740253E-2</v>
      </c>
      <c r="L16" s="7">
        <f>L14-L15</f>
        <v>480</v>
      </c>
      <c r="M16" s="10">
        <f t="shared" ref="M16" si="41">L16/L$2</f>
        <v>0.10446137105549511</v>
      </c>
      <c r="N16" s="7">
        <f>N14-N15</f>
        <v>369</v>
      </c>
      <c r="O16" s="10">
        <f t="shared" ref="O16" si="42">N16/N$2</f>
        <v>0.10129014548449081</v>
      </c>
    </row>
    <row r="17" spans="1:14">
      <c r="D17" s="1"/>
      <c r="F17" s="1"/>
      <c r="H17" s="1"/>
    </row>
    <row r="18" spans="1:14">
      <c r="D18" s="1"/>
      <c r="F18" s="1"/>
      <c r="H18" s="1"/>
    </row>
    <row r="19" spans="1:14">
      <c r="A19" s="1" t="s">
        <v>24</v>
      </c>
      <c r="B19" s="1">
        <v>82</v>
      </c>
      <c r="C19" s="2">
        <f>B19/B$21</f>
        <v>4.6093310848791459E-2</v>
      </c>
      <c r="D19">
        <v>463</v>
      </c>
      <c r="E19" s="2">
        <f>D19/D$21</f>
        <v>0.22248918789043728</v>
      </c>
      <c r="F19">
        <v>568</v>
      </c>
      <c r="G19" s="2">
        <f>F19/F$21</f>
        <v>0.17833594976452119</v>
      </c>
      <c r="H19">
        <v>2291</v>
      </c>
      <c r="I19" s="2">
        <f>H19/H$21</f>
        <v>0.60947060388401175</v>
      </c>
      <c r="J19">
        <f>J21-J20</f>
        <v>2447</v>
      </c>
      <c r="K19" s="2">
        <f>J19/J$21</f>
        <v>0.63558441558441559</v>
      </c>
      <c r="L19" s="1">
        <f>L21-L20</f>
        <v>2958</v>
      </c>
      <c r="M19" s="2">
        <f>L19/L$21</f>
        <v>0.64374319912948852</v>
      </c>
    </row>
    <row r="20" spans="1:14">
      <c r="A20" s="1" t="s">
        <v>25</v>
      </c>
      <c r="B20" s="1">
        <f>B21-B19</f>
        <v>1697</v>
      </c>
      <c r="C20" s="2">
        <f>B20/B$21</f>
        <v>0.95390668915120858</v>
      </c>
      <c r="D20" s="1">
        <f>D21-D19</f>
        <v>1618</v>
      </c>
      <c r="E20" s="2">
        <f>D20/D$21</f>
        <v>0.77751081210956274</v>
      </c>
      <c r="F20" s="1">
        <f>F21-F19</f>
        <v>2617</v>
      </c>
      <c r="G20" s="2">
        <f>F20/F$21</f>
        <v>0.82166405023547884</v>
      </c>
      <c r="H20">
        <f>H21-H19</f>
        <v>1468</v>
      </c>
      <c r="I20" s="2">
        <f>H20/H$21</f>
        <v>0.3905293961159883</v>
      </c>
      <c r="J20">
        <v>1403</v>
      </c>
      <c r="K20" s="2">
        <f>J20/J$21</f>
        <v>0.36441558441558441</v>
      </c>
      <c r="L20" s="1">
        <v>1637</v>
      </c>
      <c r="M20" s="2">
        <f>L20/L$21</f>
        <v>0.35625680087051143</v>
      </c>
    </row>
    <row r="21" spans="1:14">
      <c r="A21" s="1" t="s">
        <v>26</v>
      </c>
      <c r="B21" s="1">
        <f>B2</f>
        <v>1779</v>
      </c>
      <c r="D21" s="1">
        <f>D2</f>
        <v>2081</v>
      </c>
      <c r="F21" s="1">
        <f>F2</f>
        <v>3185</v>
      </c>
      <c r="H21">
        <f>H2</f>
        <v>3759</v>
      </c>
      <c r="J21">
        <f>J2</f>
        <v>3850</v>
      </c>
      <c r="L21" s="1">
        <f>L2</f>
        <v>4595</v>
      </c>
    </row>
    <row r="23" spans="1:14">
      <c r="A23" s="1" t="s">
        <v>27</v>
      </c>
      <c r="B23" s="1">
        <v>454</v>
      </c>
      <c r="C23" s="2">
        <f>B23/B$25</f>
        <v>0.47839831401475236</v>
      </c>
      <c r="D23" s="1">
        <v>590</v>
      </c>
      <c r="E23" s="2">
        <f>D23/D$25</f>
        <v>0.4880066170388751</v>
      </c>
      <c r="F23" s="1">
        <v>929</v>
      </c>
      <c r="G23" s="2">
        <f>F23/F$25</f>
        <v>0.54422964264792029</v>
      </c>
      <c r="H23" s="1">
        <v>790</v>
      </c>
      <c r="I23" s="2">
        <f>H23/H$25</f>
        <v>0.3316540722082284</v>
      </c>
      <c r="J23" s="1">
        <f>J25-J24</f>
        <v>1452</v>
      </c>
      <c r="K23" s="2">
        <f>J23/J$25</f>
        <v>0.61008403361344543</v>
      </c>
      <c r="L23" s="1">
        <f>L25-L24</f>
        <v>2355</v>
      </c>
      <c r="M23" s="2">
        <f>L23/L$25</f>
        <v>0.82371458551941235</v>
      </c>
    </row>
    <row r="24" spans="1:14">
      <c r="A24" s="1" t="s">
        <v>25</v>
      </c>
      <c r="B24" s="1">
        <f>B25-B23</f>
        <v>495</v>
      </c>
      <c r="C24" s="2">
        <f>B24/B$25</f>
        <v>0.52160168598524759</v>
      </c>
      <c r="D24" s="1">
        <f>D25-D23</f>
        <v>619</v>
      </c>
      <c r="E24" s="2">
        <f>D24/D$25</f>
        <v>0.51199338296112484</v>
      </c>
      <c r="F24" s="1">
        <f>F25-F23</f>
        <v>778</v>
      </c>
      <c r="G24" s="2">
        <f>F24/F$25</f>
        <v>0.45577035735207966</v>
      </c>
      <c r="H24" s="1">
        <f>H25-H23</f>
        <v>1592</v>
      </c>
      <c r="I24" s="2">
        <f>H24/H$25</f>
        <v>0.6683459277917716</v>
      </c>
      <c r="J24" s="1">
        <v>928</v>
      </c>
      <c r="K24" s="2">
        <f>J24/J$25</f>
        <v>0.38991596638655462</v>
      </c>
      <c r="L24" s="1">
        <v>504</v>
      </c>
      <c r="M24" s="2">
        <f>L24/L$25</f>
        <v>0.17628541448058763</v>
      </c>
    </row>
    <row r="25" spans="1:14">
      <c r="A25" s="1" t="s">
        <v>26</v>
      </c>
      <c r="B25" s="1">
        <v>949</v>
      </c>
      <c r="D25" s="1">
        <v>1209</v>
      </c>
      <c r="F25" s="1">
        <v>1707</v>
      </c>
      <c r="H25" s="1">
        <v>2382</v>
      </c>
      <c r="J25" s="1">
        <v>2380</v>
      </c>
      <c r="L25" s="1">
        <v>2859</v>
      </c>
    </row>
    <row r="27" spans="1:14">
      <c r="A27" s="1" t="s">
        <v>28</v>
      </c>
      <c r="B27" s="1">
        <v>109872</v>
      </c>
      <c r="D27" s="1">
        <v>109872</v>
      </c>
      <c r="F27" s="1">
        <v>109872</v>
      </c>
      <c r="H27" s="1">
        <v>109872</v>
      </c>
      <c r="J27" s="1">
        <v>109872</v>
      </c>
      <c r="L27">
        <v>109872</v>
      </c>
      <c r="N27" s="1">
        <v>109872</v>
      </c>
    </row>
    <row r="28" spans="1:14">
      <c r="A28" s="1" t="s">
        <v>30</v>
      </c>
      <c r="L28" s="1" t="s">
        <v>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7" sqref="C17"/>
    </sheetView>
  </sheetViews>
  <sheetFormatPr defaultRowHeight="14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G12" sqref="G12"/>
    </sheetView>
  </sheetViews>
  <sheetFormatPr defaultRowHeight="14.25"/>
  <cols>
    <col min="1" max="1" width="16.375" customWidth="1"/>
  </cols>
  <sheetData>
    <row r="1" spans="1:6" ht="15">
      <c r="A1" s="5" t="s">
        <v>36</v>
      </c>
      <c r="B1" s="5" t="s">
        <v>13</v>
      </c>
      <c r="C1" s="5" t="s">
        <v>1</v>
      </c>
      <c r="D1" s="5" t="s">
        <v>2</v>
      </c>
      <c r="E1" s="5" t="s">
        <v>3</v>
      </c>
      <c r="F1" s="5" t="s">
        <v>4</v>
      </c>
    </row>
    <row r="2" spans="1:6">
      <c r="A2" s="4" t="s">
        <v>31</v>
      </c>
      <c r="B2" s="4"/>
      <c r="C2" s="4"/>
      <c r="D2" s="4"/>
      <c r="E2" s="4"/>
      <c r="F2" s="4"/>
    </row>
    <row r="3" spans="1:6">
      <c r="A3" s="13" t="s">
        <v>32</v>
      </c>
      <c r="B3" s="6">
        <f>Detailed!G3</f>
        <v>0.53281004709576141</v>
      </c>
      <c r="C3" s="6">
        <f>Detailed!I3</f>
        <v>0.63314711359404097</v>
      </c>
      <c r="D3" s="14">
        <f>Detailed!K3</f>
        <v>0.61012987012987008</v>
      </c>
      <c r="E3" s="14">
        <f>Detailed!M3</f>
        <v>0.60391730141458111</v>
      </c>
      <c r="F3" s="14">
        <f>Detailed!O3</f>
        <v>0.62723030469393359</v>
      </c>
    </row>
    <row r="4" spans="1:6">
      <c r="A4" s="13" t="s">
        <v>33</v>
      </c>
      <c r="B4" s="6">
        <v>0.59</v>
      </c>
      <c r="C4" s="6">
        <v>0.73399999999999999</v>
      </c>
      <c r="D4" s="6">
        <v>0.60599999999999998</v>
      </c>
      <c r="E4" s="6">
        <v>0.61799999999999999</v>
      </c>
      <c r="F4" s="6"/>
    </row>
    <row r="5" spans="1:6">
      <c r="A5" s="4" t="s">
        <v>34</v>
      </c>
      <c r="B5" s="6"/>
      <c r="C5" s="6"/>
      <c r="D5" s="6"/>
      <c r="E5" s="6"/>
      <c r="F5" s="6"/>
    </row>
    <row r="6" spans="1:6">
      <c r="A6" s="13" t="s">
        <v>32</v>
      </c>
      <c r="B6" s="6">
        <f>Detailed!G6</f>
        <v>6.4364207221350084E-2</v>
      </c>
      <c r="C6" s="6">
        <f>Detailed!I6</f>
        <v>3.7776004256451182E-2</v>
      </c>
      <c r="D6" s="6">
        <f>Detailed!K6</f>
        <v>5.4025974025974026E-2</v>
      </c>
      <c r="E6" s="6">
        <f>Detailed!M6</f>
        <v>5.6800870511425461E-2</v>
      </c>
      <c r="F6" s="6"/>
    </row>
    <row r="7" spans="1:6">
      <c r="A7" s="13" t="s">
        <v>33</v>
      </c>
      <c r="B7" s="6">
        <v>9.2999999999999999E-2</v>
      </c>
      <c r="C7" s="6">
        <v>8.3000000000000004E-2</v>
      </c>
      <c r="D7" s="6">
        <v>0.1</v>
      </c>
      <c r="E7" s="6">
        <v>8.8999999999999996E-2</v>
      </c>
      <c r="F7" s="6"/>
    </row>
    <row r="8" spans="1:6">
      <c r="A8" s="15" t="s">
        <v>35</v>
      </c>
      <c r="B8" s="6"/>
      <c r="C8" s="6"/>
      <c r="D8" s="6"/>
      <c r="E8" s="6"/>
      <c r="F8" s="6"/>
    </row>
    <row r="9" spans="1:6">
      <c r="A9" s="13" t="s">
        <v>32</v>
      </c>
      <c r="B9" s="6">
        <f>Detailed!G9</f>
        <v>0.28445839874411305</v>
      </c>
      <c r="C9" s="6">
        <f>Detailed!I9</f>
        <v>0.17132216014897581</v>
      </c>
      <c r="D9" s="6">
        <f>Detailed!K9</f>
        <v>0.19168831168831169</v>
      </c>
      <c r="E9" s="6">
        <f>Detailed!M9</f>
        <v>0.18650707290533189</v>
      </c>
      <c r="F9" s="6">
        <f>Detailed!O9</f>
        <v>0.18089486686796596</v>
      </c>
    </row>
    <row r="10" spans="1:6">
      <c r="A10" s="13" t="s">
        <v>33</v>
      </c>
      <c r="B10" s="6">
        <v>0.17100000000000001</v>
      </c>
      <c r="C10" s="6">
        <v>3.1E-2</v>
      </c>
      <c r="D10" s="6">
        <v>0.14000000000000001</v>
      </c>
      <c r="E10" s="6">
        <v>0.129</v>
      </c>
      <c r="F10" s="6"/>
    </row>
    <row r="12" spans="1:6">
      <c r="A12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46"/>
  <sheetViews>
    <sheetView workbookViewId="0">
      <pane ySplit="1" topLeftCell="A2" activePane="bottomLeft" state="frozen"/>
      <selection pane="bottomLeft" activeCell="D2" sqref="D2"/>
    </sheetView>
  </sheetViews>
  <sheetFormatPr defaultRowHeight="14.25"/>
  <cols>
    <col min="1" max="1" width="14.875" bestFit="1" customWidth="1"/>
  </cols>
  <sheetData>
    <row r="1" spans="1:15" ht="15">
      <c r="A1" s="12" t="s">
        <v>37</v>
      </c>
      <c r="E1" s="1"/>
      <c r="F1" s="7" t="s">
        <v>13</v>
      </c>
      <c r="G1" s="7"/>
      <c r="H1" s="7" t="s">
        <v>1</v>
      </c>
      <c r="I1" s="7"/>
      <c r="J1" s="7" t="s">
        <v>2</v>
      </c>
      <c r="K1" s="7"/>
      <c r="L1" s="7" t="s">
        <v>3</v>
      </c>
      <c r="M1" s="7"/>
      <c r="N1" s="7" t="s">
        <v>19</v>
      </c>
      <c r="O1" s="8"/>
    </row>
    <row r="2" spans="1:15">
      <c r="A2" s="7" t="s">
        <v>5</v>
      </c>
      <c r="F2" s="7">
        <v>5350</v>
      </c>
      <c r="G2" s="7"/>
      <c r="H2" s="7">
        <v>4493</v>
      </c>
      <c r="I2" s="7"/>
      <c r="J2" s="7">
        <v>5448</v>
      </c>
      <c r="K2" s="7"/>
      <c r="L2" s="7">
        <f>6773</f>
        <v>6773</v>
      </c>
      <c r="M2" s="7"/>
      <c r="N2" s="7">
        <v>4910</v>
      </c>
      <c r="O2" s="9">
        <f>N2/3482-1</f>
        <v>0.41010913268236648</v>
      </c>
    </row>
    <row r="3" spans="1:15">
      <c r="A3" s="7" t="s">
        <v>14</v>
      </c>
      <c r="F3" s="7">
        <f>3608+61-410</f>
        <v>3259</v>
      </c>
      <c r="G3" s="10">
        <f>F3/F$2</f>
        <v>0.60915887850467287</v>
      </c>
      <c r="H3" s="7">
        <f>3180+10+231</f>
        <v>3421</v>
      </c>
      <c r="I3" s="10">
        <f>H3/H$2</f>
        <v>0.76140663253950591</v>
      </c>
      <c r="J3" s="7">
        <f>3197+66+104</f>
        <v>3367</v>
      </c>
      <c r="K3" s="10">
        <f>J3/J$2</f>
        <v>0.61802496328928047</v>
      </c>
      <c r="L3" s="7">
        <f>4384+293-169</f>
        <v>4508</v>
      </c>
      <c r="M3" s="10">
        <f>L3/L$2</f>
        <v>0.66558393621733358</v>
      </c>
      <c r="N3" s="7">
        <f>3447+106-134</f>
        <v>3419</v>
      </c>
      <c r="O3" s="10">
        <f>N3/N$2</f>
        <v>0.69633401221995928</v>
      </c>
    </row>
    <row r="4" spans="1:15">
      <c r="A4" s="7" t="s">
        <v>15</v>
      </c>
      <c r="F4" s="7">
        <v>168</v>
      </c>
      <c r="G4" s="10">
        <f t="shared" ref="G4:G14" si="0">F4/F$2</f>
        <v>3.1401869158878506E-2</v>
      </c>
      <c r="H4" s="7">
        <v>190</v>
      </c>
      <c r="I4" s="10">
        <f t="shared" ref="I4:I14" si="1">H4/H$2</f>
        <v>4.2288003561095036E-2</v>
      </c>
      <c r="J4" s="7">
        <v>257</v>
      </c>
      <c r="K4" s="10">
        <f t="shared" ref="K4:K14" si="2">J4/J$2</f>
        <v>4.7173274596182084E-2</v>
      </c>
      <c r="L4" s="7">
        <v>318</v>
      </c>
      <c r="M4" s="10">
        <f t="shared" ref="M4:M14" si="3">L4/L$2</f>
        <v>4.6951129484718739E-2</v>
      </c>
      <c r="N4" s="7">
        <v>250</v>
      </c>
      <c r="O4" s="10">
        <f t="shared" ref="O4:O5" si="4">N4/N$2</f>
        <v>5.0916496945010187E-2</v>
      </c>
    </row>
    <row r="5" spans="1:15">
      <c r="A5" s="7" t="s">
        <v>16</v>
      </c>
      <c r="F5" s="7">
        <v>721</v>
      </c>
      <c r="G5" s="10">
        <f t="shared" si="0"/>
        <v>0.13476635514018692</v>
      </c>
      <c r="H5" s="7">
        <v>650</v>
      </c>
      <c r="I5" s="10">
        <f t="shared" si="1"/>
        <v>0.14466948586690406</v>
      </c>
      <c r="J5" s="7">
        <v>838</v>
      </c>
      <c r="K5" s="10">
        <f t="shared" si="2"/>
        <v>0.15381791483113069</v>
      </c>
      <c r="L5" s="7">
        <v>991</v>
      </c>
      <c r="M5" s="10">
        <f t="shared" si="3"/>
        <v>0.14631625572124612</v>
      </c>
      <c r="N5" s="7">
        <v>687</v>
      </c>
      <c r="O5" s="10">
        <f t="shared" si="4"/>
        <v>0.13991853360488798</v>
      </c>
    </row>
    <row r="6" spans="1:15">
      <c r="A6" s="11" t="s">
        <v>22</v>
      </c>
      <c r="F6" s="7">
        <v>227</v>
      </c>
      <c r="G6" s="10">
        <f t="shared" si="0"/>
        <v>4.2429906542056077E-2</v>
      </c>
      <c r="H6" s="7">
        <v>213</v>
      </c>
      <c r="I6" s="10">
        <f t="shared" si="1"/>
        <v>4.7407077676385488E-2</v>
      </c>
      <c r="J6" s="7">
        <v>323</v>
      </c>
      <c r="K6" s="10">
        <f t="shared" si="2"/>
        <v>5.9287812041116009E-2</v>
      </c>
      <c r="L6" s="7">
        <v>417</v>
      </c>
      <c r="M6" s="10">
        <f t="shared" si="3"/>
        <v>6.156799055071608E-2</v>
      </c>
      <c r="N6" s="7"/>
      <c r="O6" s="10"/>
    </row>
    <row r="7" spans="1:15">
      <c r="A7" s="11" t="s">
        <v>23</v>
      </c>
      <c r="F7" s="7"/>
      <c r="G7" s="10">
        <f t="shared" si="0"/>
        <v>0</v>
      </c>
      <c r="H7" s="7"/>
      <c r="I7" s="10">
        <f t="shared" si="1"/>
        <v>0</v>
      </c>
      <c r="J7" s="7"/>
      <c r="K7" s="10">
        <f t="shared" si="2"/>
        <v>0</v>
      </c>
      <c r="L7" s="7"/>
      <c r="M7" s="10">
        <f t="shared" si="3"/>
        <v>0</v>
      </c>
      <c r="N7" s="7"/>
      <c r="O7" s="10"/>
    </row>
    <row r="8" spans="1:15">
      <c r="A8" s="11" t="s">
        <v>20</v>
      </c>
      <c r="F8" s="7">
        <f>F5-F6-F7</f>
        <v>494</v>
      </c>
      <c r="G8" s="10">
        <f t="shared" si="0"/>
        <v>9.2336448598130838E-2</v>
      </c>
      <c r="H8" s="7">
        <f>H5-H6-H7</f>
        <v>437</v>
      </c>
      <c r="I8" s="10">
        <f t="shared" si="1"/>
        <v>9.7262408190518582E-2</v>
      </c>
      <c r="J8" s="7">
        <f>J5-J6-J7</f>
        <v>515</v>
      </c>
      <c r="K8" s="10">
        <f t="shared" si="2"/>
        <v>9.4530102790014683E-2</v>
      </c>
      <c r="L8" s="7">
        <f>L5-L6-L7</f>
        <v>574</v>
      </c>
      <c r="M8" s="10">
        <f t="shared" si="3"/>
        <v>8.4748265170530052E-2</v>
      </c>
      <c r="N8" s="7"/>
      <c r="O8" s="10"/>
    </row>
    <row r="9" spans="1:15">
      <c r="A9" s="7" t="s">
        <v>6</v>
      </c>
      <c r="F9" s="7">
        <f>F2-F3-F4-F5</f>
        <v>1202</v>
      </c>
      <c r="G9" s="10">
        <f t="shared" si="0"/>
        <v>0.22467289719626168</v>
      </c>
      <c r="H9" s="7">
        <f>H2-H3-H4-H5</f>
        <v>232</v>
      </c>
      <c r="I9" s="10">
        <f t="shared" si="1"/>
        <v>5.1635878032494989E-2</v>
      </c>
      <c r="J9" s="7">
        <f>J2-J3-J4-J5</f>
        <v>986</v>
      </c>
      <c r="K9" s="10">
        <f t="shared" si="2"/>
        <v>0.18098384728340675</v>
      </c>
      <c r="L9" s="7">
        <f>L2-L3-L4-L5</f>
        <v>956</v>
      </c>
      <c r="M9" s="10">
        <f t="shared" si="3"/>
        <v>0.1411486785767016</v>
      </c>
      <c r="N9" s="7">
        <f>N2-N3-N4-N5</f>
        <v>554</v>
      </c>
      <c r="O9" s="10">
        <f t="shared" ref="O9:O14" si="5">N9/N$2</f>
        <v>0.11283095723014257</v>
      </c>
    </row>
    <row r="10" spans="1:15">
      <c r="A10" s="7" t="s">
        <v>8</v>
      </c>
      <c r="F10" s="7">
        <v>372</v>
      </c>
      <c r="G10" s="10">
        <f t="shared" si="0"/>
        <v>6.9532710280373833E-2</v>
      </c>
      <c r="H10" s="7">
        <v>372</v>
      </c>
      <c r="I10" s="10">
        <f t="shared" si="1"/>
        <v>8.2795459603828184E-2</v>
      </c>
      <c r="J10" s="7">
        <v>358</v>
      </c>
      <c r="K10" s="10">
        <f t="shared" si="2"/>
        <v>6.5712187958883991E-2</v>
      </c>
      <c r="L10" s="7">
        <v>350</v>
      </c>
      <c r="M10" s="10">
        <f t="shared" si="3"/>
        <v>5.1675771445445148E-2</v>
      </c>
      <c r="N10" s="7">
        <v>222</v>
      </c>
      <c r="O10" s="10">
        <f t="shared" si="5"/>
        <v>4.5213849287169046E-2</v>
      </c>
    </row>
    <row r="11" spans="1:15">
      <c r="A11" s="7" t="s">
        <v>17</v>
      </c>
      <c r="F11" s="7">
        <f>F9-F10</f>
        <v>830</v>
      </c>
      <c r="G11" s="10">
        <f t="shared" si="0"/>
        <v>0.15514018691588785</v>
      </c>
      <c r="H11" s="7">
        <f>H9-H10</f>
        <v>-140</v>
      </c>
      <c r="I11" s="10">
        <f t="shared" si="1"/>
        <v>-3.1159581571333184E-2</v>
      </c>
      <c r="J11" s="7">
        <f>J9-J10</f>
        <v>628</v>
      </c>
      <c r="K11" s="10">
        <f t="shared" si="2"/>
        <v>0.11527165932452275</v>
      </c>
      <c r="L11" s="7">
        <f>L9-L10</f>
        <v>606</v>
      </c>
      <c r="M11" s="10">
        <f t="shared" si="3"/>
        <v>8.9472907131256454E-2</v>
      </c>
      <c r="N11" s="7">
        <f>N9-N10</f>
        <v>332</v>
      </c>
      <c r="O11" s="10">
        <f t="shared" si="5"/>
        <v>6.7617107942973528E-2</v>
      </c>
    </row>
    <row r="12" spans="1:15">
      <c r="A12" s="7" t="s">
        <v>7</v>
      </c>
      <c r="F12" s="7">
        <v>257</v>
      </c>
      <c r="G12" s="10">
        <f t="shared" si="0"/>
        <v>4.8037383177570094E-2</v>
      </c>
      <c r="H12" s="7">
        <v>326</v>
      </c>
      <c r="I12" s="10">
        <f t="shared" si="1"/>
        <v>7.255731137324728E-2</v>
      </c>
      <c r="J12" s="7">
        <v>380</v>
      </c>
      <c r="K12" s="10">
        <f t="shared" si="2"/>
        <v>6.9750367107195302E-2</v>
      </c>
      <c r="L12" s="7">
        <v>377</v>
      </c>
      <c r="M12" s="10">
        <f t="shared" si="3"/>
        <v>5.5662188099808059E-2</v>
      </c>
      <c r="N12" s="7">
        <v>287</v>
      </c>
      <c r="O12" s="10">
        <f t="shared" si="5"/>
        <v>5.8452138492871689E-2</v>
      </c>
    </row>
    <row r="13" spans="1:15">
      <c r="A13" s="7" t="s">
        <v>9</v>
      </c>
      <c r="F13" s="7">
        <f>5617-F2</f>
        <v>267</v>
      </c>
      <c r="G13" s="10">
        <f t="shared" si="0"/>
        <v>4.9906542056074768E-2</v>
      </c>
      <c r="H13" s="7">
        <f>4619-H2</f>
        <v>126</v>
      </c>
      <c r="I13" s="10">
        <f t="shared" si="1"/>
        <v>2.8043623414199866E-2</v>
      </c>
      <c r="J13" s="7">
        <f>5608-J2</f>
        <v>160</v>
      </c>
      <c r="K13" s="10">
        <f t="shared" si="2"/>
        <v>2.9368575624082231E-2</v>
      </c>
      <c r="L13" s="7">
        <f>7007-L2</f>
        <v>234</v>
      </c>
      <c r="M13" s="10">
        <f t="shared" si="3"/>
        <v>3.4548944337811902E-2</v>
      </c>
      <c r="N13" s="7">
        <v>114</v>
      </c>
      <c r="O13" s="10">
        <f t="shared" si="5"/>
        <v>2.3217922606924644E-2</v>
      </c>
    </row>
    <row r="14" spans="1:15">
      <c r="A14" s="7" t="s">
        <v>10</v>
      </c>
      <c r="F14" s="7">
        <f>F11-F12+F13</f>
        <v>840</v>
      </c>
      <c r="G14" s="10">
        <f t="shared" si="0"/>
        <v>0.15700934579439252</v>
      </c>
      <c r="H14" s="7">
        <f>H11-H12+H13</f>
        <v>-340</v>
      </c>
      <c r="I14" s="10">
        <f t="shared" si="1"/>
        <v>-7.5673269530380588E-2</v>
      </c>
      <c r="J14" s="7">
        <f>J11-J12+J13</f>
        <v>408</v>
      </c>
      <c r="K14" s="10">
        <f t="shared" si="2"/>
        <v>7.4889867841409691E-2</v>
      </c>
      <c r="L14" s="7">
        <f>L11-L12+L13</f>
        <v>463</v>
      </c>
      <c r="M14" s="10">
        <f t="shared" si="3"/>
        <v>6.8359663369260304E-2</v>
      </c>
      <c r="N14" s="7">
        <f>N11-N12+N13</f>
        <v>159</v>
      </c>
      <c r="O14" s="10">
        <f t="shared" si="5"/>
        <v>3.2382892057026477E-2</v>
      </c>
    </row>
    <row r="15" spans="1:15">
      <c r="A15" s="7" t="s">
        <v>11</v>
      </c>
      <c r="F15" s="7">
        <v>451</v>
      </c>
      <c r="G15" s="10">
        <f>F15/F14</f>
        <v>0.53690476190476188</v>
      </c>
      <c r="H15" s="7">
        <v>-176</v>
      </c>
      <c r="I15" s="10">
        <f>H15/H14</f>
        <v>0.51764705882352946</v>
      </c>
      <c r="J15" s="7">
        <v>135</v>
      </c>
      <c r="K15" s="10">
        <f>J15/J14</f>
        <v>0.33088235294117646</v>
      </c>
      <c r="L15" s="7">
        <v>147</v>
      </c>
      <c r="M15" s="10">
        <f>L15/L14</f>
        <v>0.31749460043196542</v>
      </c>
      <c r="N15" s="7">
        <v>52</v>
      </c>
      <c r="O15" s="10">
        <f>N15/N14</f>
        <v>0.32704402515723269</v>
      </c>
    </row>
    <row r="16" spans="1:15">
      <c r="A16" s="7" t="s">
        <v>18</v>
      </c>
      <c r="F16" s="7">
        <f>F14-F15</f>
        <v>389</v>
      </c>
      <c r="G16" s="10">
        <f t="shared" ref="G16" si="6">F16/F$2</f>
        <v>7.2710280373831773E-2</v>
      </c>
      <c r="H16" s="7">
        <f>H14-H15</f>
        <v>-164</v>
      </c>
      <c r="I16" s="10">
        <f t="shared" ref="I16" si="7">H16/H$2</f>
        <v>-3.6501224126418874E-2</v>
      </c>
      <c r="J16" s="7">
        <f>J14-J15</f>
        <v>273</v>
      </c>
      <c r="K16" s="10">
        <f t="shared" ref="K16" si="8">J16/J$2</f>
        <v>5.0110132158590309E-2</v>
      </c>
      <c r="L16" s="7">
        <f>L14-L15</f>
        <v>316</v>
      </c>
      <c r="M16" s="10">
        <f t="shared" ref="M16" si="9">L16/L$2</f>
        <v>4.6655839362173337E-2</v>
      </c>
      <c r="N16" s="7">
        <f>N14-N15</f>
        <v>107</v>
      </c>
      <c r="O16" s="10">
        <f t="shared" ref="O16" si="10">N16/N$2</f>
        <v>2.1792260692464357E-2</v>
      </c>
    </row>
    <row r="18" spans="1:15">
      <c r="A18" s="17" t="s">
        <v>28</v>
      </c>
      <c r="F18" s="1">
        <v>144240</v>
      </c>
      <c r="H18" s="1">
        <v>144240</v>
      </c>
      <c r="J18" s="1">
        <v>144240</v>
      </c>
      <c r="L18" s="1">
        <v>144240</v>
      </c>
      <c r="N18" s="1">
        <v>144240</v>
      </c>
    </row>
    <row r="19" spans="1:15">
      <c r="A19" s="17" t="s">
        <v>38</v>
      </c>
      <c r="F19" s="1">
        <v>135</v>
      </c>
      <c r="H19" s="1">
        <v>135</v>
      </c>
      <c r="J19" s="1">
        <v>135</v>
      </c>
      <c r="L19" s="1">
        <v>135</v>
      </c>
      <c r="N19" s="1">
        <v>135</v>
      </c>
    </row>
    <row r="21" spans="1:15">
      <c r="A21" s="17" t="s">
        <v>39</v>
      </c>
      <c r="J21" s="1">
        <v>2323</v>
      </c>
      <c r="K21" s="2">
        <f>J21/J2</f>
        <v>0.42639500734214392</v>
      </c>
      <c r="L21">
        <v>2914</v>
      </c>
      <c r="M21" s="2">
        <f>L21/L2</f>
        <v>0.43023770854864907</v>
      </c>
    </row>
    <row r="22" spans="1:15">
      <c r="A22" s="17" t="s">
        <v>25</v>
      </c>
      <c r="J22" s="1">
        <f>J2-J21</f>
        <v>3125</v>
      </c>
      <c r="K22" s="2">
        <f>1-K21</f>
        <v>0.57360499265785614</v>
      </c>
      <c r="L22">
        <f>L2-L21</f>
        <v>3859</v>
      </c>
      <c r="M22" s="2">
        <f>1-M21</f>
        <v>0.56976229145135093</v>
      </c>
    </row>
    <row r="23" spans="1:15">
      <c r="A23" s="17" t="s">
        <v>27</v>
      </c>
      <c r="J23" s="1">
        <v>340</v>
      </c>
      <c r="K23" s="2">
        <f>J23/J3</f>
        <v>0.10098010098010098</v>
      </c>
      <c r="L23">
        <v>239</v>
      </c>
      <c r="M23" s="2">
        <f>L23/L3</f>
        <v>5.3016858917480036E-2</v>
      </c>
    </row>
    <row r="24" spans="1:15">
      <c r="A24" s="1" t="s">
        <v>40</v>
      </c>
      <c r="J24" s="1">
        <f>J3-J23</f>
        <v>3027</v>
      </c>
      <c r="K24" s="2">
        <f>1-K23</f>
        <v>0.89901989901989898</v>
      </c>
      <c r="L24">
        <f>L3-L23</f>
        <v>4269</v>
      </c>
      <c r="M24" s="2">
        <f>1-M23</f>
        <v>0.94698314108252002</v>
      </c>
    </row>
    <row r="26" spans="1:15">
      <c r="A26" s="18" t="s">
        <v>41</v>
      </c>
      <c r="B26" s="1" t="s">
        <v>42</v>
      </c>
    </row>
    <row r="27" spans="1:15">
      <c r="A27" s="17" t="s">
        <v>5</v>
      </c>
      <c r="J27">
        <v>4341</v>
      </c>
      <c r="L27">
        <v>5506</v>
      </c>
    </row>
    <row r="28" spans="1:15">
      <c r="A28" s="17" t="s">
        <v>18</v>
      </c>
      <c r="J28">
        <v>106</v>
      </c>
      <c r="K28" s="2">
        <f>J28/J27</f>
        <v>2.4418336788758349E-2</v>
      </c>
      <c r="L28">
        <v>169</v>
      </c>
      <c r="M28" s="2">
        <f>L28/L27</f>
        <v>3.0693788594260807E-2</v>
      </c>
    </row>
    <row r="30" spans="1:15">
      <c r="A30" s="17" t="s">
        <v>28</v>
      </c>
      <c r="J30">
        <v>133672</v>
      </c>
      <c r="L30">
        <v>133672</v>
      </c>
    </row>
    <row r="32" spans="1:15" ht="15">
      <c r="A32" s="12" t="s">
        <v>43</v>
      </c>
      <c r="B32" s="1"/>
      <c r="C32" s="1"/>
      <c r="D32" s="1"/>
      <c r="E32" s="1"/>
      <c r="F32" s="7" t="s">
        <v>13</v>
      </c>
      <c r="G32" s="7"/>
      <c r="H32" s="7" t="s">
        <v>1</v>
      </c>
      <c r="I32" s="7"/>
      <c r="J32" s="7" t="s">
        <v>2</v>
      </c>
      <c r="K32" s="7"/>
      <c r="L32" s="7" t="s">
        <v>3</v>
      </c>
      <c r="M32" s="7"/>
      <c r="N32" s="7" t="s">
        <v>19</v>
      </c>
      <c r="O32" s="8"/>
    </row>
    <row r="33" spans="1:15">
      <c r="A33" s="7" t="s">
        <v>5</v>
      </c>
      <c r="B33" s="1"/>
      <c r="C33" s="1"/>
      <c r="D33" s="1"/>
      <c r="E33" s="1"/>
      <c r="F33" s="7">
        <v>13583</v>
      </c>
      <c r="G33" s="7"/>
      <c r="H33" s="7">
        <v>16163</v>
      </c>
      <c r="I33" s="7"/>
      <c r="J33" s="7">
        <f>19618-553-74-47</f>
        <v>18944</v>
      </c>
      <c r="K33" s="7"/>
      <c r="L33" s="7">
        <f>22042-133-592-40</f>
        <v>21277</v>
      </c>
      <c r="M33" s="7"/>
      <c r="N33" s="7">
        <v>15400</v>
      </c>
      <c r="O33" s="9"/>
    </row>
    <row r="34" spans="1:15">
      <c r="A34" s="7" t="s">
        <v>14</v>
      </c>
      <c r="B34" s="1"/>
      <c r="C34" s="1"/>
      <c r="D34" s="1"/>
      <c r="E34" s="1"/>
      <c r="F34" s="7">
        <f>7997+133-1334</f>
        <v>6796</v>
      </c>
      <c r="G34" s="10">
        <f>F34/F$33</f>
        <v>0.50033129647353314</v>
      </c>
      <c r="H34" s="7">
        <f>10964+56+801</f>
        <v>11821</v>
      </c>
      <c r="I34" s="10">
        <f>H34/H$33</f>
        <v>0.73136175214997212</v>
      </c>
      <c r="J34" s="7">
        <f>10600+59-92</f>
        <v>10567</v>
      </c>
      <c r="K34" s="10">
        <f>J34/J$33</f>
        <v>0.55780194256756754</v>
      </c>
      <c r="L34" s="7">
        <f>12326+216-386</f>
        <v>12156</v>
      </c>
      <c r="M34" s="10">
        <f>L34/L$33</f>
        <v>0.57132114489824692</v>
      </c>
      <c r="N34" s="7">
        <f>9966+40-361</f>
        <v>9645</v>
      </c>
      <c r="O34" s="10">
        <f>N34/N$33</f>
        <v>0.62629870129870124</v>
      </c>
    </row>
    <row r="35" spans="1:15">
      <c r="A35" s="7" t="s">
        <v>15</v>
      </c>
      <c r="B35" s="1"/>
      <c r="C35" s="1"/>
      <c r="D35" s="1"/>
      <c r="E35" s="1"/>
      <c r="F35" s="7">
        <v>1082</v>
      </c>
      <c r="G35" s="10">
        <f t="shared" ref="G35" si="11">F35/F$33</f>
        <v>7.9658396525068106E-2</v>
      </c>
      <c r="H35" s="7">
        <v>1117</v>
      </c>
      <c r="I35" s="10">
        <f t="shared" ref="I35" si="12">H35/H$33</f>
        <v>6.9108457588319003E-2</v>
      </c>
      <c r="J35" s="7">
        <v>1386</v>
      </c>
      <c r="K35" s="10">
        <f t="shared" ref="K35:M47" si="13">J35/J$33</f>
        <v>7.3163006756756757E-2</v>
      </c>
      <c r="L35" s="7">
        <v>1655</v>
      </c>
      <c r="M35" s="10">
        <f t="shared" si="13"/>
        <v>7.7783522113079845E-2</v>
      </c>
      <c r="N35" s="7">
        <v>1332</v>
      </c>
      <c r="O35" s="10">
        <f t="shared" ref="O35" si="14">N35/N$33</f>
        <v>8.6493506493506497E-2</v>
      </c>
    </row>
    <row r="36" spans="1:15">
      <c r="A36" s="7" t="s">
        <v>16</v>
      </c>
      <c r="B36" s="1"/>
      <c r="C36" s="1"/>
      <c r="D36" s="1"/>
      <c r="E36" s="1"/>
      <c r="F36" s="7">
        <v>3114</v>
      </c>
      <c r="G36" s="10">
        <f t="shared" ref="G36" si="15">F36/F$33</f>
        <v>0.22925715968490024</v>
      </c>
      <c r="H36" s="7">
        <v>3909</v>
      </c>
      <c r="I36" s="10">
        <f t="shared" ref="I36" si="16">H36/H$33</f>
        <v>0.24184866670791313</v>
      </c>
      <c r="J36" s="7">
        <v>4497</v>
      </c>
      <c r="K36" s="10">
        <f t="shared" si="13"/>
        <v>0.23738386824324326</v>
      </c>
      <c r="L36" s="7">
        <v>4729</v>
      </c>
      <c r="M36" s="10">
        <f t="shared" si="13"/>
        <v>0.22225877708323541</v>
      </c>
      <c r="N36" s="7">
        <f>SUM(N37:N39)</f>
        <v>3704</v>
      </c>
      <c r="O36" s="10">
        <f t="shared" ref="O36" si="17">N36/N$33</f>
        <v>0.24051948051948052</v>
      </c>
    </row>
    <row r="37" spans="1:15">
      <c r="A37" s="11" t="s">
        <v>22</v>
      </c>
      <c r="B37" s="1"/>
      <c r="C37" s="1"/>
      <c r="D37" s="1"/>
      <c r="E37" s="1"/>
      <c r="F37" s="7">
        <v>1454</v>
      </c>
      <c r="G37" s="10">
        <f t="shared" ref="G37" si="18">F37/F$33</f>
        <v>0.10704557167047044</v>
      </c>
      <c r="H37" s="7">
        <v>1817</v>
      </c>
      <c r="I37" s="10">
        <f t="shared" ref="I37" si="19">H37/H$33</f>
        <v>0.112417249273031</v>
      </c>
      <c r="J37" s="7">
        <v>2404</v>
      </c>
      <c r="K37" s="10">
        <f t="shared" si="13"/>
        <v>0.12690033783783783</v>
      </c>
      <c r="L37" s="7">
        <v>2609</v>
      </c>
      <c r="M37" s="10">
        <f t="shared" si="13"/>
        <v>0.12262067020726607</v>
      </c>
      <c r="N37" s="7">
        <v>2102</v>
      </c>
      <c r="O37" s="10">
        <f t="shared" ref="O37" si="20">N37/N$33</f>
        <v>0.1364935064935065</v>
      </c>
    </row>
    <row r="38" spans="1:15">
      <c r="A38" s="11" t="s">
        <v>23</v>
      </c>
      <c r="B38" s="1"/>
      <c r="C38" s="1"/>
      <c r="D38" s="1"/>
      <c r="E38" s="1"/>
      <c r="F38" s="7">
        <v>7</v>
      </c>
      <c r="G38" s="10">
        <f t="shared" ref="G38" si="21">F38/F$33</f>
        <v>5.1535006994036668E-4</v>
      </c>
      <c r="H38" s="7">
        <v>11</v>
      </c>
      <c r="I38" s="10">
        <f t="shared" ref="I38" si="22">H38/H$33</f>
        <v>6.805667264740457E-4</v>
      </c>
      <c r="J38" s="7">
        <v>7</v>
      </c>
      <c r="K38" s="10">
        <f t="shared" si="13"/>
        <v>3.6951013513513516E-4</v>
      </c>
      <c r="L38" s="7">
        <v>13</v>
      </c>
      <c r="M38" s="10">
        <f t="shared" si="13"/>
        <v>6.1098839122056682E-4</v>
      </c>
      <c r="N38" s="7"/>
      <c r="O38" s="10">
        <f t="shared" ref="O38" si="23">N38/N$33</f>
        <v>0</v>
      </c>
    </row>
    <row r="39" spans="1:15">
      <c r="A39" s="11" t="s">
        <v>20</v>
      </c>
      <c r="B39" s="1"/>
      <c r="C39" s="1"/>
      <c r="D39" s="1"/>
      <c r="E39" s="1"/>
      <c r="F39" s="7">
        <f>F36-F37-F38</f>
        <v>1653</v>
      </c>
      <c r="G39" s="10">
        <f t="shared" ref="G39" si="24">F39/F$33</f>
        <v>0.12169623794448943</v>
      </c>
      <c r="H39" s="7">
        <f>H36-H37-H38</f>
        <v>2081</v>
      </c>
      <c r="I39" s="10">
        <f t="shared" ref="I39" si="25">H39/H$33</f>
        <v>0.12875085070840808</v>
      </c>
      <c r="J39" s="7">
        <f>J36-J37-J38</f>
        <v>2086</v>
      </c>
      <c r="K39" s="10">
        <f t="shared" si="13"/>
        <v>0.11011402027027027</v>
      </c>
      <c r="L39" s="7">
        <f>L36-L37-L38</f>
        <v>2107</v>
      </c>
      <c r="M39" s="10">
        <f t="shared" si="13"/>
        <v>9.9027118484748794E-2</v>
      </c>
      <c r="N39" s="7">
        <v>1602</v>
      </c>
      <c r="O39" s="10">
        <f t="shared" ref="O39" si="26">N39/N$33</f>
        <v>0.10402597402597402</v>
      </c>
    </row>
    <row r="40" spans="1:15">
      <c r="A40" s="7" t="s">
        <v>6</v>
      </c>
      <c r="B40" s="1"/>
      <c r="C40" s="1"/>
      <c r="D40" s="1"/>
      <c r="E40" s="1"/>
      <c r="F40" s="7">
        <f>F33-F34-F35-F36</f>
        <v>2591</v>
      </c>
      <c r="G40" s="10">
        <f t="shared" ref="G40" si="27">F40/F$33</f>
        <v>0.19075314731649856</v>
      </c>
      <c r="H40" s="7">
        <f>H33-H34-H35-H36</f>
        <v>-684</v>
      </c>
      <c r="I40" s="10">
        <f t="shared" ref="I40" si="28">H40/H$33</f>
        <v>-4.2318876446204294E-2</v>
      </c>
      <c r="J40" s="7">
        <f>J33-J34-J35-J36</f>
        <v>2494</v>
      </c>
      <c r="K40" s="10">
        <f t="shared" si="13"/>
        <v>0.13165118243243243</v>
      </c>
      <c r="L40" s="7">
        <f>L33-L34-L35-L36</f>
        <v>2737</v>
      </c>
      <c r="M40" s="10">
        <f t="shared" si="13"/>
        <v>0.12863655590543779</v>
      </c>
      <c r="N40" s="7">
        <f>N33-N34-N35-N36</f>
        <v>719</v>
      </c>
      <c r="O40" s="10">
        <f t="shared" ref="O40" si="29">N40/N$33</f>
        <v>4.6688311688311689E-2</v>
      </c>
    </row>
    <row r="41" spans="1:15">
      <c r="A41" s="7" t="s">
        <v>8</v>
      </c>
      <c r="B41" s="1"/>
      <c r="C41" s="1"/>
      <c r="D41" s="1"/>
      <c r="E41" s="1"/>
      <c r="F41" s="7">
        <v>698</v>
      </c>
      <c r="G41" s="10">
        <f t="shared" ref="G41" si="30">F41/F$33</f>
        <v>5.1387764116910845E-2</v>
      </c>
      <c r="H41" s="7">
        <v>844</v>
      </c>
      <c r="I41" s="10">
        <f t="shared" ref="I41" si="31">H41/H$33</f>
        <v>5.2218028831281321E-2</v>
      </c>
      <c r="J41" s="7">
        <v>876</v>
      </c>
      <c r="K41" s="10">
        <f t="shared" si="13"/>
        <v>4.6241554054054057E-2</v>
      </c>
      <c r="L41" s="7">
        <v>882</v>
      </c>
      <c r="M41" s="10">
        <f t="shared" si="13"/>
        <v>4.1453212388964607E-2</v>
      </c>
      <c r="N41" s="7">
        <v>1034</v>
      </c>
      <c r="O41" s="10">
        <f t="shared" ref="O41" si="32">N41/N$33</f>
        <v>6.7142857142857143E-2</v>
      </c>
    </row>
    <row r="42" spans="1:15">
      <c r="A42" s="7" t="s">
        <v>17</v>
      </c>
      <c r="B42" s="1"/>
      <c r="C42" s="1"/>
      <c r="D42" s="1"/>
      <c r="E42" s="1"/>
      <c r="F42" s="7">
        <f>F40-F41</f>
        <v>1893</v>
      </c>
      <c r="G42" s="10">
        <f t="shared" ref="G42" si="33">F42/F$33</f>
        <v>0.13936538319958772</v>
      </c>
      <c r="H42" s="7">
        <f>H40-H41</f>
        <v>-1528</v>
      </c>
      <c r="I42" s="10">
        <f t="shared" ref="I42" si="34">H42/H$33</f>
        <v>-9.4536905277485622E-2</v>
      </c>
      <c r="J42" s="7">
        <f>J40-J41</f>
        <v>1618</v>
      </c>
      <c r="K42" s="10">
        <f t="shared" si="13"/>
        <v>8.5409628378378372E-2</v>
      </c>
      <c r="L42" s="7">
        <f>L40-L41</f>
        <v>1855</v>
      </c>
      <c r="M42" s="10">
        <f t="shared" si="13"/>
        <v>8.718334351647318E-2</v>
      </c>
      <c r="N42" s="7">
        <f>N40-N41</f>
        <v>-315</v>
      </c>
      <c r="O42" s="10">
        <f t="shared" ref="O42" si="35">N42/N$33</f>
        <v>-2.0454545454545454E-2</v>
      </c>
    </row>
    <row r="43" spans="1:15">
      <c r="A43" s="7" t="s">
        <v>7</v>
      </c>
      <c r="B43" s="1"/>
      <c r="C43" s="1"/>
      <c r="D43" s="1"/>
      <c r="E43" s="1"/>
      <c r="F43" s="7">
        <v>486</v>
      </c>
      <c r="G43" s="10">
        <f t="shared" ref="G43" si="36">F43/F$33</f>
        <v>3.5780019141574027E-2</v>
      </c>
      <c r="H43" s="7">
        <v>1101</v>
      </c>
      <c r="I43" s="10">
        <f t="shared" ref="I43" si="37">H43/H$33</f>
        <v>6.8118542349811295E-2</v>
      </c>
      <c r="J43" s="7">
        <v>1028</v>
      </c>
      <c r="K43" s="10">
        <f t="shared" si="13"/>
        <v>5.42652027027027E-2</v>
      </c>
      <c r="L43" s="7">
        <v>645</v>
      </c>
      <c r="M43" s="10">
        <f t="shared" si="13"/>
        <v>3.0314424025943507E-2</v>
      </c>
      <c r="N43" s="7">
        <v>587</v>
      </c>
      <c r="O43" s="10">
        <f t="shared" ref="O43" si="38">N43/N$33</f>
        <v>3.8116883116883118E-2</v>
      </c>
    </row>
    <row r="44" spans="1:15">
      <c r="A44" s="7" t="s">
        <v>9</v>
      </c>
      <c r="B44" s="1"/>
      <c r="C44" s="1"/>
      <c r="D44" s="1"/>
      <c r="E44" s="1"/>
      <c r="F44" s="7">
        <f>14062-F33</f>
        <v>479</v>
      </c>
      <c r="G44" s="10">
        <f t="shared" ref="G44" si="39">F44/F$33</f>
        <v>3.5264669071633663E-2</v>
      </c>
      <c r="H44" s="7">
        <f>17058-H33</f>
        <v>895</v>
      </c>
      <c r="I44" s="10">
        <f t="shared" ref="I44" si="40">H44/H$33</f>
        <v>5.5373383654024624E-2</v>
      </c>
      <c r="J44" s="7">
        <f>19694-J33</f>
        <v>750</v>
      </c>
      <c r="K44" s="10">
        <f t="shared" si="13"/>
        <v>3.9590371621621621E-2</v>
      </c>
      <c r="L44" s="7">
        <f>22112-L33</f>
        <v>835</v>
      </c>
      <c r="M44" s="10">
        <f t="shared" si="13"/>
        <v>3.9244254359167174E-2</v>
      </c>
      <c r="N44" s="7">
        <v>637</v>
      </c>
      <c r="O44" s="10">
        <f t="shared" ref="O44" si="41">N44/N$33</f>
        <v>4.1363636363636366E-2</v>
      </c>
    </row>
    <row r="45" spans="1:15">
      <c r="A45" s="7" t="s">
        <v>10</v>
      </c>
      <c r="B45" s="1"/>
      <c r="C45" s="1"/>
      <c r="D45" s="1"/>
      <c r="E45" s="1"/>
      <c r="F45" s="7">
        <f>F42-F43+F44</f>
        <v>1886</v>
      </c>
      <c r="G45" s="10">
        <f t="shared" ref="G45" si="42">F45/F$33</f>
        <v>0.13885003312964736</v>
      </c>
      <c r="H45" s="7">
        <f>H42-H43+H44</f>
        <v>-1734</v>
      </c>
      <c r="I45" s="10">
        <f t="shared" ref="I45" si="43">H45/H$33</f>
        <v>-0.10728206397327229</v>
      </c>
      <c r="J45" s="7">
        <f>J42-J43+J44</f>
        <v>1340</v>
      </c>
      <c r="K45" s="10">
        <f t="shared" si="13"/>
        <v>7.07347972972973E-2</v>
      </c>
      <c r="L45" s="7">
        <f>L42-L43+L44</f>
        <v>2045</v>
      </c>
      <c r="M45" s="10">
        <f t="shared" si="13"/>
        <v>9.6113173849696851E-2</v>
      </c>
      <c r="N45" s="7">
        <f>N42-N43+N44</f>
        <v>-265</v>
      </c>
      <c r="O45" s="10">
        <f t="shared" ref="O45" si="44">N45/N$33</f>
        <v>-1.7207792207792207E-2</v>
      </c>
    </row>
    <row r="46" spans="1:15">
      <c r="A46" s="7" t="s">
        <v>11</v>
      </c>
      <c r="B46" s="1"/>
      <c r="C46" s="1"/>
      <c r="D46" s="1"/>
      <c r="E46" s="1"/>
      <c r="F46" s="7">
        <v>565</v>
      </c>
      <c r="G46" s="10">
        <f>F46/F45</f>
        <v>0.29957582184517495</v>
      </c>
      <c r="H46" s="7">
        <v>-561</v>
      </c>
      <c r="I46" s="10">
        <f>H46/H45</f>
        <v>0.3235294117647059</v>
      </c>
      <c r="J46" s="7">
        <v>557</v>
      </c>
      <c r="K46" s="10">
        <f>J46/J45</f>
        <v>0.41567164179104477</v>
      </c>
      <c r="L46" s="7">
        <v>588</v>
      </c>
      <c r="M46" s="10">
        <f>L46/L45</f>
        <v>0.28753056234718827</v>
      </c>
      <c r="N46" s="7">
        <v>-91</v>
      </c>
      <c r="O46" s="10">
        <f>N46/N45</f>
        <v>0.34339622641509432</v>
      </c>
    </row>
    <row r="47" spans="1:15">
      <c r="A47" s="7" t="s">
        <v>18</v>
      </c>
      <c r="B47" s="1"/>
      <c r="C47" s="1"/>
      <c r="D47" s="1"/>
      <c r="E47" s="1"/>
      <c r="F47" s="7">
        <f>F45-F46</f>
        <v>1321</v>
      </c>
      <c r="G47" s="10">
        <f t="shared" ref="G47" si="45">F47/F$33</f>
        <v>9.7253920341603475E-2</v>
      </c>
      <c r="H47" s="7">
        <f>H45-H46</f>
        <v>-1173</v>
      </c>
      <c r="I47" s="10">
        <f t="shared" ref="I47" si="46">H47/H$33</f>
        <v>-7.2573160923095958E-2</v>
      </c>
      <c r="J47" s="7">
        <f>J45-J46</f>
        <v>783</v>
      </c>
      <c r="K47" s="10">
        <f t="shared" si="13"/>
        <v>4.1332347972972971E-2</v>
      </c>
      <c r="L47" s="7">
        <f>L45-L46</f>
        <v>1457</v>
      </c>
      <c r="M47" s="10">
        <f t="shared" si="13"/>
        <v>6.8477698923720451E-2</v>
      </c>
      <c r="N47" s="7">
        <f>N45-N46</f>
        <v>-174</v>
      </c>
      <c r="O47" s="10">
        <f t="shared" ref="O47" si="47">N47/N$33</f>
        <v>-1.1298701298701299E-2</v>
      </c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7" t="s">
        <v>28</v>
      </c>
      <c r="B49" s="1"/>
      <c r="C49" s="1"/>
      <c r="D49" s="1"/>
      <c r="E49" s="1"/>
      <c r="F49" s="1">
        <v>370000</v>
      </c>
      <c r="G49" s="1"/>
      <c r="H49" s="1">
        <v>432256</v>
      </c>
      <c r="I49" s="1"/>
      <c r="J49" s="1">
        <v>432256</v>
      </c>
      <c r="K49" s="1"/>
      <c r="L49" s="1">
        <v>490000</v>
      </c>
      <c r="M49" s="1"/>
      <c r="N49" s="1">
        <v>500000</v>
      </c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7" t="s">
        <v>39</v>
      </c>
      <c r="B51" s="1"/>
      <c r="C51" s="1"/>
      <c r="D51" s="1"/>
      <c r="E51" s="1"/>
      <c r="F51" s="1"/>
      <c r="G51" s="1"/>
      <c r="H51" s="1"/>
      <c r="I51" s="1"/>
      <c r="J51" s="1">
        <v>2323</v>
      </c>
      <c r="K51" s="2">
        <f>J51/J33</f>
        <v>0.1226245777027027</v>
      </c>
      <c r="L51" s="1">
        <v>2914</v>
      </c>
      <c r="M51" s="2">
        <f>L51/L33</f>
        <v>0.1369553978474409</v>
      </c>
      <c r="N51" s="1"/>
      <c r="O51" s="1"/>
    </row>
    <row r="52" spans="1:15">
      <c r="A52" s="17" t="s">
        <v>25</v>
      </c>
      <c r="B52" s="1"/>
      <c r="C52" s="1"/>
      <c r="D52" s="1"/>
      <c r="E52" s="1"/>
      <c r="F52" s="1"/>
      <c r="G52" s="1"/>
      <c r="H52" s="1"/>
      <c r="I52" s="1"/>
      <c r="J52" s="1">
        <f>J33-J51</f>
        <v>16621</v>
      </c>
      <c r="K52" s="2">
        <f>1-K51</f>
        <v>0.87737542229729726</v>
      </c>
      <c r="L52" s="1">
        <f>L33-L51</f>
        <v>18363</v>
      </c>
      <c r="M52" s="2">
        <f>1-M51</f>
        <v>0.86304460215255907</v>
      </c>
      <c r="N52" s="1"/>
      <c r="O52" s="1"/>
    </row>
    <row r="53" spans="1:15">
      <c r="A53" s="17" t="s">
        <v>27</v>
      </c>
      <c r="B53" s="1"/>
      <c r="C53" s="1"/>
      <c r="D53" s="1"/>
      <c r="E53" s="1"/>
      <c r="F53" s="1"/>
      <c r="G53" s="1"/>
      <c r="H53" s="1"/>
      <c r="I53" s="1"/>
      <c r="J53" s="1">
        <v>340</v>
      </c>
      <c r="K53" s="2">
        <f>J53/J34</f>
        <v>3.2175641146966971E-2</v>
      </c>
      <c r="L53" s="1">
        <v>239</v>
      </c>
      <c r="M53" s="2">
        <f>L53/L34</f>
        <v>1.9661072721289898E-2</v>
      </c>
      <c r="N53" s="1"/>
      <c r="O53" s="1"/>
    </row>
    <row r="54" spans="1:15">
      <c r="A54" s="1" t="s">
        <v>40</v>
      </c>
      <c r="B54" s="1"/>
      <c r="C54" s="1"/>
      <c r="D54" s="1"/>
      <c r="E54" s="1"/>
      <c r="F54" s="1"/>
      <c r="G54" s="1"/>
      <c r="H54" s="1"/>
      <c r="I54" s="1"/>
      <c r="J54" s="1">
        <f>J34-J53</f>
        <v>10227</v>
      </c>
      <c r="K54" s="2">
        <f>1-K53</f>
        <v>0.96782435885303308</v>
      </c>
      <c r="L54" s="1">
        <f>L34-L53</f>
        <v>11917</v>
      </c>
      <c r="M54" s="2">
        <f>1-M53</f>
        <v>0.98033892727871008</v>
      </c>
      <c r="N54" s="1"/>
      <c r="O54" s="1"/>
    </row>
    <row r="56" spans="1:15">
      <c r="A56" s="18" t="s">
        <v>44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5">
      <c r="A57" s="17" t="s">
        <v>5</v>
      </c>
      <c r="B57" s="1"/>
      <c r="C57" s="1"/>
      <c r="D57" s="1"/>
      <c r="E57" s="1"/>
      <c r="F57" s="1">
        <v>1827</v>
      </c>
      <c r="G57" s="1"/>
      <c r="H57" s="1">
        <v>1929</v>
      </c>
      <c r="I57" s="1"/>
      <c r="J57" s="1">
        <v>2165</v>
      </c>
      <c r="K57" s="1"/>
      <c r="L57" s="1"/>
      <c r="M57" s="1"/>
    </row>
    <row r="58" spans="1:15">
      <c r="A58" s="17" t="s">
        <v>6</v>
      </c>
      <c r="B58" s="1"/>
      <c r="C58" s="1"/>
      <c r="D58" s="1"/>
      <c r="E58" s="1"/>
      <c r="F58" s="1">
        <v>584</v>
      </c>
      <c r="G58" s="2">
        <f>F58/F57</f>
        <v>0.3196496989600438</v>
      </c>
      <c r="H58" s="1">
        <v>300</v>
      </c>
      <c r="I58" s="2">
        <f>H58/H57</f>
        <v>0.15552099533437014</v>
      </c>
      <c r="J58" s="1">
        <v>411</v>
      </c>
      <c r="K58" s="2">
        <f>J58/J57</f>
        <v>0.18983833718244802</v>
      </c>
      <c r="L58" s="1"/>
      <c r="M58" s="2"/>
    </row>
    <row r="59" spans="1:15">
      <c r="A59" s="1" t="s">
        <v>18</v>
      </c>
      <c r="F59" s="1">
        <v>213</v>
      </c>
      <c r="G59" s="2">
        <f>F59/F57</f>
        <v>0.11658456486042693</v>
      </c>
      <c r="H59" s="1">
        <v>63</v>
      </c>
      <c r="I59" s="2">
        <f>H59/H57</f>
        <v>3.2659409020217731E-2</v>
      </c>
      <c r="J59">
        <v>171</v>
      </c>
      <c r="K59" s="2">
        <f>J59/J57</f>
        <v>7.89838337182448E-2</v>
      </c>
    </row>
    <row r="61" spans="1:15">
      <c r="A61" s="1" t="s">
        <v>28</v>
      </c>
      <c r="F61">
        <v>82000</v>
      </c>
      <c r="H61">
        <v>82000</v>
      </c>
      <c r="J61">
        <v>82000</v>
      </c>
    </row>
    <row r="63" spans="1:15">
      <c r="A63" s="18" t="s">
        <v>45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5">
      <c r="A64" s="17" t="s">
        <v>5</v>
      </c>
      <c r="B64" s="1"/>
      <c r="C64" s="1"/>
      <c r="D64" s="1"/>
      <c r="E64" s="1"/>
      <c r="F64" s="1"/>
      <c r="G64" s="1"/>
      <c r="H64" s="1">
        <v>422</v>
      </c>
      <c r="I64" s="1"/>
      <c r="J64" s="1">
        <v>516</v>
      </c>
      <c r="K64" s="1"/>
      <c r="L64" s="1">
        <v>617</v>
      </c>
      <c r="M64" s="1"/>
    </row>
    <row r="65" spans="1:15">
      <c r="A65" s="17" t="s">
        <v>6</v>
      </c>
      <c r="B65" s="1"/>
      <c r="C65" s="1"/>
      <c r="D65" s="1"/>
      <c r="E65" s="1"/>
      <c r="F65" s="1"/>
      <c r="G65" s="2"/>
      <c r="H65" s="1"/>
      <c r="I65" s="2">
        <f>H65/H64</f>
        <v>0</v>
      </c>
      <c r="J65" s="1"/>
      <c r="K65" s="2">
        <f>J65/J64</f>
        <v>0</v>
      </c>
      <c r="L65" s="1"/>
      <c r="M65" s="2">
        <f>L65/L64</f>
        <v>0</v>
      </c>
    </row>
    <row r="66" spans="1:15">
      <c r="A66" s="1" t="s">
        <v>18</v>
      </c>
      <c r="B66" s="1"/>
      <c r="C66" s="1"/>
      <c r="D66" s="1"/>
      <c r="E66" s="1"/>
      <c r="F66" s="1"/>
      <c r="G66" s="2"/>
      <c r="H66" s="1">
        <v>10</v>
      </c>
      <c r="I66" s="2">
        <f>H66/H64</f>
        <v>2.3696682464454975E-2</v>
      </c>
      <c r="J66" s="1">
        <v>54</v>
      </c>
      <c r="K66" s="2">
        <f>J66/J64</f>
        <v>0.10465116279069768</v>
      </c>
      <c r="L66" s="1">
        <v>89</v>
      </c>
      <c r="M66" s="2">
        <f>L66/L64</f>
        <v>0.14424635332252836</v>
      </c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5">
      <c r="A68" s="1" t="s">
        <v>28</v>
      </c>
      <c r="B68" s="1"/>
      <c r="C68" s="1"/>
      <c r="D68" s="1"/>
      <c r="E68" s="1"/>
      <c r="F68" s="1"/>
      <c r="G68" s="1"/>
      <c r="H68" s="1">
        <v>40000</v>
      </c>
      <c r="I68" s="1"/>
      <c r="J68" s="1">
        <v>40000</v>
      </c>
      <c r="K68" s="1"/>
      <c r="L68">
        <v>40000</v>
      </c>
    </row>
    <row r="70" spans="1:15">
      <c r="A70" s="18" t="s">
        <v>46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5">
      <c r="A71" s="17" t="s">
        <v>5</v>
      </c>
      <c r="B71" s="1"/>
      <c r="C71" s="1"/>
      <c r="D71" s="1"/>
      <c r="E71" s="1"/>
      <c r="F71" s="1"/>
      <c r="G71" s="1"/>
      <c r="H71" s="1"/>
      <c r="I71" s="1"/>
      <c r="J71" s="1">
        <v>1211</v>
      </c>
      <c r="K71" s="1"/>
      <c r="L71" s="1">
        <v>1293</v>
      </c>
      <c r="M71" s="1"/>
      <c r="N71" s="1">
        <v>909</v>
      </c>
      <c r="O71" s="1"/>
    </row>
    <row r="72" spans="1:15">
      <c r="A72" s="17" t="s">
        <v>6</v>
      </c>
      <c r="B72" s="1"/>
      <c r="C72" s="1"/>
      <c r="D72" s="1"/>
      <c r="E72" s="1"/>
      <c r="F72" s="1"/>
      <c r="G72" s="2"/>
      <c r="H72" s="1"/>
      <c r="I72" s="2"/>
      <c r="J72" s="1"/>
      <c r="K72" s="2">
        <f>J72/J71</f>
        <v>0</v>
      </c>
      <c r="L72" s="1"/>
      <c r="M72" s="2">
        <f>L72/L71</f>
        <v>0</v>
      </c>
      <c r="N72" s="1"/>
      <c r="O72" s="2">
        <f>N72/N71</f>
        <v>0</v>
      </c>
    </row>
    <row r="73" spans="1:15">
      <c r="A73" s="1" t="s">
        <v>18</v>
      </c>
      <c r="B73" s="1"/>
      <c r="C73" s="1"/>
      <c r="D73" s="1"/>
      <c r="E73" s="1"/>
      <c r="F73" s="1"/>
      <c r="G73" s="2"/>
      <c r="H73" s="1"/>
      <c r="I73" s="2"/>
      <c r="J73" s="1">
        <v>24</v>
      </c>
      <c r="K73" s="2">
        <f>J73/J71</f>
        <v>1.981833195706028E-2</v>
      </c>
      <c r="L73" s="1">
        <v>62</v>
      </c>
      <c r="M73" s="2">
        <f>L73/L71</f>
        <v>4.7950502706883218E-2</v>
      </c>
      <c r="N73" s="1">
        <v>19</v>
      </c>
      <c r="O73" s="2">
        <f>N73/N71</f>
        <v>2.0902090209020903E-2</v>
      </c>
    </row>
    <row r="74" spans="1:15" s="1" customFormat="1">
      <c r="G74" s="2"/>
      <c r="I74" s="2"/>
      <c r="K74" s="2"/>
      <c r="M74" s="2"/>
      <c r="O74" s="2"/>
    </row>
    <row r="75" spans="1:15" s="1" customFormat="1">
      <c r="A75" s="7" t="s">
        <v>5</v>
      </c>
      <c r="F75" s="7">
        <f>1358+44</f>
        <v>1402</v>
      </c>
      <c r="G75" s="7"/>
      <c r="H75" s="7">
        <v>1513</v>
      </c>
      <c r="I75" s="7"/>
      <c r="J75" s="7">
        <v>1828</v>
      </c>
      <c r="K75" s="7"/>
      <c r="L75" s="7">
        <f>1293+9</f>
        <v>1302</v>
      </c>
      <c r="M75" s="7"/>
      <c r="N75" s="7">
        <v>909</v>
      </c>
      <c r="O75" s="7"/>
    </row>
    <row r="76" spans="1:15" s="1" customFormat="1">
      <c r="A76" s="7" t="s">
        <v>14</v>
      </c>
      <c r="F76" s="7">
        <f>853+3</f>
        <v>856</v>
      </c>
      <c r="G76" s="10">
        <f>F76/F$75</f>
        <v>0.61055634807417969</v>
      </c>
      <c r="H76" s="7">
        <f>1158-71</f>
        <v>1087</v>
      </c>
      <c r="I76" s="10">
        <f>H76/H$75</f>
        <v>0.71844018506278917</v>
      </c>
      <c r="J76" s="7">
        <f>1044+29+39</f>
        <v>1112</v>
      </c>
      <c r="K76" s="10">
        <f>J76/J$75</f>
        <v>0.60831509846827136</v>
      </c>
      <c r="L76" s="7">
        <f>628+15</f>
        <v>643</v>
      </c>
      <c r="M76" s="10">
        <f>L76/L$75</f>
        <v>0.49385560675883255</v>
      </c>
      <c r="N76" s="7"/>
      <c r="O76" s="10">
        <f>N76/N$75</f>
        <v>0</v>
      </c>
    </row>
    <row r="77" spans="1:15" s="1" customFormat="1">
      <c r="A77" s="7" t="s">
        <v>15</v>
      </c>
      <c r="F77" s="7">
        <v>28</v>
      </c>
      <c r="G77" s="10">
        <f t="shared" ref="G77" si="48">F77/F$75</f>
        <v>1.9971469329529243E-2</v>
      </c>
      <c r="H77" s="7">
        <v>36</v>
      </c>
      <c r="I77" s="10">
        <f t="shared" ref="I77" si="49">H77/H$75</f>
        <v>2.3793787177792465E-2</v>
      </c>
      <c r="J77" s="7">
        <v>40</v>
      </c>
      <c r="K77" s="10">
        <f t="shared" ref="K77" si="50">J77/J$75</f>
        <v>2.1881838074398249E-2</v>
      </c>
      <c r="L77" s="7">
        <v>44</v>
      </c>
      <c r="M77" s="10">
        <f t="shared" ref="M77:O89" si="51">L77/L$75</f>
        <v>3.3794162826420893E-2</v>
      </c>
      <c r="N77" s="7"/>
      <c r="O77" s="10">
        <f t="shared" si="51"/>
        <v>0</v>
      </c>
    </row>
    <row r="78" spans="1:15" s="1" customFormat="1">
      <c r="A78" s="7" t="s">
        <v>16</v>
      </c>
      <c r="F78" s="7">
        <f>205+1</f>
        <v>206</v>
      </c>
      <c r="G78" s="10">
        <f t="shared" ref="G78" si="52">F78/F$75</f>
        <v>0.14693295292439373</v>
      </c>
      <c r="H78" s="7">
        <v>242</v>
      </c>
      <c r="I78" s="10">
        <f t="shared" ref="I78" si="53">H78/H$75</f>
        <v>0.15994712491738269</v>
      </c>
      <c r="J78" s="7">
        <v>346</v>
      </c>
      <c r="K78" s="10">
        <f t="shared" ref="K78" si="54">J78/J$75</f>
        <v>0.18927789934354486</v>
      </c>
      <c r="L78" s="7">
        <f>SUM(L79:L81)</f>
        <v>190</v>
      </c>
      <c r="M78" s="10">
        <f t="shared" si="51"/>
        <v>0.14592933947772657</v>
      </c>
      <c r="N78" s="7"/>
      <c r="O78" s="10">
        <f t="shared" si="51"/>
        <v>0</v>
      </c>
    </row>
    <row r="79" spans="1:15" s="1" customFormat="1">
      <c r="A79" s="11" t="s">
        <v>22</v>
      </c>
      <c r="F79" s="7">
        <v>92</v>
      </c>
      <c r="G79" s="10">
        <f t="shared" ref="G79" si="55">F79/F$75</f>
        <v>6.5620542082738945E-2</v>
      </c>
      <c r="H79" s="7">
        <v>103</v>
      </c>
      <c r="I79" s="10">
        <f t="shared" ref="I79" si="56">H79/H$75</f>
        <v>6.8076668869795104E-2</v>
      </c>
      <c r="J79" s="7">
        <v>196</v>
      </c>
      <c r="K79" s="10">
        <f t="shared" ref="K79" si="57">J79/J$75</f>
        <v>0.10722100656455143</v>
      </c>
      <c r="L79" s="7">
        <v>190</v>
      </c>
      <c r="M79" s="10">
        <f t="shared" si="51"/>
        <v>0.14592933947772657</v>
      </c>
      <c r="N79" s="7"/>
      <c r="O79" s="10">
        <f t="shared" si="51"/>
        <v>0</v>
      </c>
    </row>
    <row r="80" spans="1:15" s="1" customFormat="1">
      <c r="A80" s="11" t="s">
        <v>23</v>
      </c>
      <c r="F80" s="7"/>
      <c r="G80" s="10">
        <f t="shared" ref="G80" si="58">F80/F$75</f>
        <v>0</v>
      </c>
      <c r="H80" s="7"/>
      <c r="I80" s="10">
        <f t="shared" ref="I80" si="59">H80/H$75</f>
        <v>0</v>
      </c>
      <c r="J80" s="7"/>
      <c r="K80" s="10">
        <f t="shared" ref="K80" si="60">J80/J$75</f>
        <v>0</v>
      </c>
      <c r="L80" s="7"/>
      <c r="M80" s="10">
        <f t="shared" si="51"/>
        <v>0</v>
      </c>
      <c r="N80" s="7"/>
      <c r="O80" s="10">
        <f t="shared" si="51"/>
        <v>0</v>
      </c>
    </row>
    <row r="81" spans="1:15" s="1" customFormat="1">
      <c r="A81" s="11" t="s">
        <v>20</v>
      </c>
      <c r="F81" s="7">
        <f>F78-F79-F80</f>
        <v>114</v>
      </c>
      <c r="G81" s="10">
        <f t="shared" ref="G81" si="61">F81/F$75</f>
        <v>8.1312410841654775E-2</v>
      </c>
      <c r="H81" s="7">
        <f>H78-H79-H80</f>
        <v>139</v>
      </c>
      <c r="I81" s="10">
        <f t="shared" ref="I81" si="62">H81/H$75</f>
        <v>9.1870456047587576E-2</v>
      </c>
      <c r="J81" s="7">
        <f>J78-J79-J80</f>
        <v>150</v>
      </c>
      <c r="K81" s="10">
        <f t="shared" ref="K81" si="63">J81/J$75</f>
        <v>8.2056892778993432E-2</v>
      </c>
      <c r="L81" s="7"/>
      <c r="M81" s="10">
        <f t="shared" si="51"/>
        <v>0</v>
      </c>
      <c r="N81" s="7"/>
      <c r="O81" s="10">
        <f t="shared" si="51"/>
        <v>0</v>
      </c>
    </row>
    <row r="82" spans="1:15" s="1" customFormat="1">
      <c r="A82" s="7" t="s">
        <v>6</v>
      </c>
      <c r="F82" s="7">
        <f>F75-F76-F77-F78</f>
        <v>312</v>
      </c>
      <c r="G82" s="10">
        <f t="shared" ref="G82" si="64">F82/F$75</f>
        <v>0.22253922967189729</v>
      </c>
      <c r="H82" s="7">
        <f>H75-H76-H77-H78</f>
        <v>148</v>
      </c>
      <c r="I82" s="10">
        <f t="shared" ref="I82" si="65">H82/H$75</f>
        <v>9.781890284203569E-2</v>
      </c>
      <c r="J82" s="7">
        <f>J75-J76-J77-J78</f>
        <v>330</v>
      </c>
      <c r="K82" s="10">
        <f t="shared" ref="K82" si="66">J82/J$75</f>
        <v>0.18052516411378555</v>
      </c>
      <c r="L82" s="7">
        <f>L75-L76-L77-L78</f>
        <v>425</v>
      </c>
      <c r="M82" s="10">
        <f t="shared" si="51"/>
        <v>0.32642089093701998</v>
      </c>
      <c r="N82" s="7"/>
      <c r="O82" s="10">
        <f t="shared" si="51"/>
        <v>0</v>
      </c>
    </row>
    <row r="83" spans="1:15" s="1" customFormat="1">
      <c r="A83" s="7" t="s">
        <v>8</v>
      </c>
      <c r="F83" s="7">
        <v>57</v>
      </c>
      <c r="G83" s="10">
        <f t="shared" ref="G83" si="67">F83/F$75</f>
        <v>4.0656205420827388E-2</v>
      </c>
      <c r="H83" s="7">
        <v>69</v>
      </c>
      <c r="I83" s="10">
        <f t="shared" ref="I83" si="68">H83/H$75</f>
        <v>4.5604758757435561E-2</v>
      </c>
      <c r="J83" s="7">
        <v>76</v>
      </c>
      <c r="K83" s="10">
        <f t="shared" ref="K83" si="69">J83/J$75</f>
        <v>4.1575492341356671E-2</v>
      </c>
      <c r="L83" s="7">
        <v>78</v>
      </c>
      <c r="M83" s="10">
        <f t="shared" si="51"/>
        <v>5.9907834101382486E-2</v>
      </c>
      <c r="N83" s="7"/>
      <c r="O83" s="10">
        <f t="shared" si="51"/>
        <v>0</v>
      </c>
    </row>
    <row r="84" spans="1:15" s="1" customFormat="1">
      <c r="A84" s="7" t="s">
        <v>17</v>
      </c>
      <c r="F84" s="7">
        <f>F82-F83</f>
        <v>255</v>
      </c>
      <c r="G84" s="10">
        <f t="shared" ref="G84" si="70">F84/F$75</f>
        <v>0.18188302425106989</v>
      </c>
      <c r="H84" s="7">
        <f>H82-H83</f>
        <v>79</v>
      </c>
      <c r="I84" s="10">
        <f t="shared" ref="I84" si="71">H84/H$75</f>
        <v>5.221414408460013E-2</v>
      </c>
      <c r="J84" s="7">
        <f>J82-J83</f>
        <v>254</v>
      </c>
      <c r="K84" s="10">
        <f t="shared" ref="K84" si="72">J84/J$75</f>
        <v>0.1389496717724289</v>
      </c>
      <c r="L84" s="7">
        <f>L82-L83</f>
        <v>347</v>
      </c>
      <c r="M84" s="10">
        <f t="shared" si="51"/>
        <v>0.26651305683563747</v>
      </c>
      <c r="N84" s="7"/>
      <c r="O84" s="10">
        <f t="shared" si="51"/>
        <v>0</v>
      </c>
    </row>
    <row r="85" spans="1:15" s="1" customFormat="1">
      <c r="A85" s="7" t="s">
        <v>7</v>
      </c>
      <c r="F85" s="7">
        <v>71</v>
      </c>
      <c r="G85" s="10">
        <f t="shared" ref="G85" si="73">F85/F$75</f>
        <v>5.0641940085592009E-2</v>
      </c>
      <c r="H85" s="7">
        <v>124</v>
      </c>
      <c r="I85" s="10">
        <f t="shared" ref="I85" si="74">H85/H$75</f>
        <v>8.1956378056840709E-2</v>
      </c>
      <c r="J85" s="7">
        <v>142</v>
      </c>
      <c r="K85" s="10">
        <f t="shared" ref="K85" si="75">J85/J$75</f>
        <v>7.7680525164113792E-2</v>
      </c>
      <c r="L85" s="7">
        <v>147</v>
      </c>
      <c r="M85" s="10">
        <f t="shared" si="51"/>
        <v>0.11290322580645161</v>
      </c>
      <c r="N85" s="7"/>
      <c r="O85" s="10">
        <f t="shared" si="51"/>
        <v>0</v>
      </c>
    </row>
    <row r="86" spans="1:15" s="1" customFormat="1">
      <c r="A86" s="7" t="s">
        <v>9</v>
      </c>
      <c r="F86" s="7">
        <v>17</v>
      </c>
      <c r="G86" s="10">
        <f t="shared" ref="G86" si="76">F86/F$75</f>
        <v>1.2125534950071327E-2</v>
      </c>
      <c r="H86" s="7">
        <f>1520-H75+39</f>
        <v>46</v>
      </c>
      <c r="I86" s="10">
        <f t="shared" ref="I86" si="77">H86/H$75</f>
        <v>3.0403172504957041E-2</v>
      </c>
      <c r="J86" s="7">
        <f>1830-J75+35</f>
        <v>37</v>
      </c>
      <c r="K86" s="10">
        <f t="shared" ref="K86" si="78">J86/J$75</f>
        <v>2.024070021881838E-2</v>
      </c>
      <c r="L86" s="7">
        <f>1310-L75+9</f>
        <v>17</v>
      </c>
      <c r="M86" s="10">
        <f t="shared" si="51"/>
        <v>1.3056835637480798E-2</v>
      </c>
      <c r="N86" s="7"/>
      <c r="O86" s="10">
        <f t="shared" si="51"/>
        <v>0</v>
      </c>
    </row>
    <row r="87" spans="1:15" s="1" customFormat="1">
      <c r="A87" s="7" t="s">
        <v>10</v>
      </c>
      <c r="F87" s="7">
        <f>F84-F85+F86</f>
        <v>201</v>
      </c>
      <c r="G87" s="10">
        <f t="shared" ref="G87" si="79">F87/F$75</f>
        <v>0.14336661911554921</v>
      </c>
      <c r="H87" s="7">
        <f>H84-H85+H86</f>
        <v>1</v>
      </c>
      <c r="I87" s="10">
        <f t="shared" ref="I87" si="80">H87/H$75</f>
        <v>6.6093853271645734E-4</v>
      </c>
      <c r="J87" s="7">
        <f>J84-J85+J86</f>
        <v>149</v>
      </c>
      <c r="K87" s="10">
        <f t="shared" ref="K87" si="81">J87/J$75</f>
        <v>8.1509846827133484E-2</v>
      </c>
      <c r="L87" s="7">
        <f>L84-L85+L86</f>
        <v>217</v>
      </c>
      <c r="M87" s="10">
        <f t="shared" si="51"/>
        <v>0.16666666666666666</v>
      </c>
      <c r="N87" s="7"/>
      <c r="O87" s="10">
        <f t="shared" si="51"/>
        <v>0</v>
      </c>
    </row>
    <row r="88" spans="1:15" s="1" customFormat="1">
      <c r="A88" s="7" t="s">
        <v>11</v>
      </c>
      <c r="F88" s="7">
        <v>61</v>
      </c>
      <c r="G88" s="10">
        <f>F88/F87</f>
        <v>0.30348258706467662</v>
      </c>
      <c r="H88" s="7">
        <v>-5</v>
      </c>
      <c r="I88" s="10">
        <f>H88/H87</f>
        <v>-5</v>
      </c>
      <c r="J88" s="7">
        <v>87</v>
      </c>
      <c r="K88" s="10">
        <f>J88/J87</f>
        <v>0.58389261744966447</v>
      </c>
      <c r="L88" s="7">
        <v>64</v>
      </c>
      <c r="M88" s="10">
        <f>L88/L87</f>
        <v>0.29493087557603687</v>
      </c>
      <c r="N88" s="7"/>
      <c r="O88" s="10" t="e">
        <f>N88/N87</f>
        <v>#DIV/0!</v>
      </c>
    </row>
    <row r="89" spans="1:15" s="1" customFormat="1">
      <c r="A89" s="7" t="s">
        <v>18</v>
      </c>
      <c r="F89" s="7">
        <f>F87-F88</f>
        <v>140</v>
      </c>
      <c r="G89" s="10">
        <f t="shared" ref="G89" si="82">F89/F$75</f>
        <v>9.9857346647646214E-2</v>
      </c>
      <c r="H89" s="7">
        <f>H87-H88</f>
        <v>6</v>
      </c>
      <c r="I89" s="10">
        <f t="shared" ref="I89" si="83">H89/H$75</f>
        <v>3.9656311962987445E-3</v>
      </c>
      <c r="J89" s="7">
        <f>J87-J88</f>
        <v>62</v>
      </c>
      <c r="K89" s="10">
        <f t="shared" ref="K89" si="84">J89/J$75</f>
        <v>3.3916849015317288E-2</v>
      </c>
      <c r="L89" s="7">
        <f>L87-L88</f>
        <v>153</v>
      </c>
      <c r="M89" s="10">
        <f t="shared" si="51"/>
        <v>0.11751152073732719</v>
      </c>
      <c r="N89" s="7">
        <v>19</v>
      </c>
      <c r="O89" s="10">
        <f t="shared" si="51"/>
        <v>2.0902090209020903E-2</v>
      </c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5">
      <c r="A91" s="1" t="s">
        <v>28</v>
      </c>
      <c r="B91" s="1"/>
      <c r="C91" s="1"/>
      <c r="D91" s="1"/>
      <c r="E91" s="1"/>
      <c r="F91" s="1">
        <v>144240</v>
      </c>
      <c r="G91" s="1"/>
      <c r="H91" s="1">
        <v>144240</v>
      </c>
      <c r="I91" s="1"/>
      <c r="J91" s="1">
        <v>144240</v>
      </c>
      <c r="K91" s="1"/>
      <c r="L91" s="1">
        <v>144240</v>
      </c>
      <c r="M91" s="1"/>
      <c r="N91" s="1">
        <v>144240</v>
      </c>
    </row>
    <row r="93" spans="1:15" ht="15">
      <c r="A93" s="12" t="s">
        <v>47</v>
      </c>
    </row>
    <row r="94" spans="1:15" s="1" customFormat="1">
      <c r="A94" s="7" t="s">
        <v>5</v>
      </c>
      <c r="F94" s="7">
        <f>1358+44</f>
        <v>1402</v>
      </c>
      <c r="G94" s="7"/>
      <c r="H94" s="7">
        <v>1513</v>
      </c>
      <c r="I94" s="7"/>
      <c r="J94" s="7">
        <v>1828</v>
      </c>
      <c r="K94" s="7"/>
      <c r="L94" s="7">
        <v>2137</v>
      </c>
      <c r="M94" s="7"/>
      <c r="N94" s="7">
        <v>1764</v>
      </c>
      <c r="O94" s="7"/>
    </row>
    <row r="95" spans="1:15" s="1" customFormat="1">
      <c r="A95" s="7" t="s">
        <v>14</v>
      </c>
      <c r="F95" s="7">
        <f>853+3</f>
        <v>856</v>
      </c>
      <c r="G95" s="10">
        <f>F95/F$94</f>
        <v>0.61055634807417969</v>
      </c>
      <c r="H95" s="7">
        <f>1158-71</f>
        <v>1087</v>
      </c>
      <c r="I95" s="10">
        <f>H95/H$94</f>
        <v>0.71844018506278917</v>
      </c>
      <c r="J95" s="7">
        <f>1044+29+39</f>
        <v>1112</v>
      </c>
      <c r="K95" s="10">
        <f>J95/J$94</f>
        <v>0.60831509846827136</v>
      </c>
      <c r="L95" s="7">
        <f>1363-40</f>
        <v>1323</v>
      </c>
      <c r="M95" s="10">
        <f>L95/L$94</f>
        <v>0.61909218530650445</v>
      </c>
      <c r="N95" s="7">
        <f>1139-37</f>
        <v>1102</v>
      </c>
      <c r="O95" s="10">
        <f>N95/N$94</f>
        <v>0.62471655328798181</v>
      </c>
    </row>
    <row r="96" spans="1:15" s="1" customFormat="1">
      <c r="A96" s="7" t="s">
        <v>15</v>
      </c>
      <c r="F96" s="7">
        <v>28</v>
      </c>
      <c r="G96" s="10">
        <f t="shared" ref="G96:G106" si="85">F96/F$94</f>
        <v>1.9971469329529243E-2</v>
      </c>
      <c r="H96" s="7">
        <v>36</v>
      </c>
      <c r="I96" s="10">
        <f t="shared" ref="I96:I106" si="86">H96/H$94</f>
        <v>2.3793787177792465E-2</v>
      </c>
      <c r="J96" s="7">
        <v>40</v>
      </c>
      <c r="K96" s="10">
        <f t="shared" ref="K96:M108" si="87">J96/J$94</f>
        <v>2.1881838074398249E-2</v>
      </c>
      <c r="L96" s="7">
        <v>44</v>
      </c>
      <c r="M96" s="10">
        <f t="shared" si="87"/>
        <v>2.0589611605053813E-2</v>
      </c>
      <c r="N96" s="7">
        <v>54</v>
      </c>
      <c r="O96" s="10">
        <f t="shared" ref="O96" si="88">N96/N$94</f>
        <v>3.0612244897959183E-2</v>
      </c>
    </row>
    <row r="97" spans="1:15" s="1" customFormat="1">
      <c r="A97" s="7" t="s">
        <v>16</v>
      </c>
      <c r="F97" s="7">
        <f>205+1</f>
        <v>206</v>
      </c>
      <c r="G97" s="10">
        <f t="shared" si="85"/>
        <v>0.14693295292439373</v>
      </c>
      <c r="H97" s="7">
        <v>242</v>
      </c>
      <c r="I97" s="10">
        <f t="shared" si="86"/>
        <v>0.15994712491738269</v>
      </c>
      <c r="J97" s="7">
        <v>346</v>
      </c>
      <c r="K97" s="10">
        <f t="shared" si="87"/>
        <v>0.18927789934354486</v>
      </c>
      <c r="L97" s="7">
        <v>390</v>
      </c>
      <c r="M97" s="10">
        <f t="shared" si="87"/>
        <v>0.18249883013570425</v>
      </c>
      <c r="N97" s="7">
        <v>374</v>
      </c>
      <c r="O97" s="10">
        <f t="shared" ref="O97" si="89">N97/N$94</f>
        <v>0.21201814058956917</v>
      </c>
    </row>
    <row r="98" spans="1:15" s="1" customFormat="1">
      <c r="A98" s="11" t="s">
        <v>22</v>
      </c>
      <c r="F98" s="7">
        <v>92</v>
      </c>
      <c r="G98" s="10">
        <f t="shared" si="85"/>
        <v>6.5620542082738945E-2</v>
      </c>
      <c r="H98" s="7">
        <v>103</v>
      </c>
      <c r="I98" s="10">
        <f t="shared" si="86"/>
        <v>6.8076668869795104E-2</v>
      </c>
      <c r="J98" s="7">
        <v>196</v>
      </c>
      <c r="K98" s="10">
        <f t="shared" si="87"/>
        <v>0.10722100656455143</v>
      </c>
      <c r="L98" s="7">
        <v>196</v>
      </c>
      <c r="M98" s="10">
        <f t="shared" si="87"/>
        <v>9.171736078614881E-2</v>
      </c>
      <c r="N98" s="7"/>
      <c r="O98" s="10">
        <f t="shared" ref="O98" si="90">N98/N$94</f>
        <v>0</v>
      </c>
    </row>
    <row r="99" spans="1:15" s="1" customFormat="1">
      <c r="A99" s="11" t="s">
        <v>23</v>
      </c>
      <c r="F99" s="7"/>
      <c r="G99" s="10">
        <f t="shared" si="85"/>
        <v>0</v>
      </c>
      <c r="H99" s="7"/>
      <c r="I99" s="10">
        <f t="shared" si="86"/>
        <v>0</v>
      </c>
      <c r="J99" s="7"/>
      <c r="K99" s="10">
        <f t="shared" si="87"/>
        <v>0</v>
      </c>
      <c r="L99" s="7"/>
      <c r="M99" s="10">
        <f t="shared" si="87"/>
        <v>0</v>
      </c>
      <c r="N99" s="7"/>
      <c r="O99" s="10">
        <f t="shared" ref="O99" si="91">N99/N$94</f>
        <v>0</v>
      </c>
    </row>
    <row r="100" spans="1:15" s="1" customFormat="1">
      <c r="A100" s="11" t="s">
        <v>20</v>
      </c>
      <c r="F100" s="7">
        <f>F97-F98-F99</f>
        <v>114</v>
      </c>
      <c r="G100" s="10">
        <f t="shared" si="85"/>
        <v>8.1312410841654775E-2</v>
      </c>
      <c r="H100" s="7">
        <f>H97-H98-H99</f>
        <v>139</v>
      </c>
      <c r="I100" s="10">
        <f t="shared" si="86"/>
        <v>9.1870456047587576E-2</v>
      </c>
      <c r="J100" s="7">
        <f>J97-J98-J99</f>
        <v>150</v>
      </c>
      <c r="K100" s="10">
        <f t="shared" si="87"/>
        <v>8.2056892778993432E-2</v>
      </c>
      <c r="L100" s="7">
        <f>L97-L98-L99</f>
        <v>194</v>
      </c>
      <c r="M100" s="10">
        <f t="shared" si="87"/>
        <v>9.0781469349555458E-2</v>
      </c>
      <c r="N100" s="7"/>
      <c r="O100" s="10">
        <f t="shared" ref="O100" si="92">N100/N$94</f>
        <v>0</v>
      </c>
    </row>
    <row r="101" spans="1:15" s="1" customFormat="1">
      <c r="A101" s="7" t="s">
        <v>6</v>
      </c>
      <c r="F101" s="7">
        <f>F94-F95-F96-F97</f>
        <v>312</v>
      </c>
      <c r="G101" s="10">
        <f t="shared" si="85"/>
        <v>0.22253922967189729</v>
      </c>
      <c r="H101" s="7">
        <f>H94-H95-H96-H97</f>
        <v>148</v>
      </c>
      <c r="I101" s="10">
        <f t="shared" si="86"/>
        <v>9.781890284203569E-2</v>
      </c>
      <c r="J101" s="7">
        <f>J94-J95-J96-J97</f>
        <v>330</v>
      </c>
      <c r="K101" s="10">
        <f t="shared" si="87"/>
        <v>0.18052516411378555</v>
      </c>
      <c r="L101" s="7">
        <f>L94-L95-L96-L97</f>
        <v>380</v>
      </c>
      <c r="M101" s="10">
        <f t="shared" si="87"/>
        <v>0.17781937295273748</v>
      </c>
      <c r="N101" s="7">
        <f>N94-N95-N96-N97</f>
        <v>234</v>
      </c>
      <c r="O101" s="10">
        <f t="shared" ref="O101" si="93">N101/N$94</f>
        <v>0.1326530612244898</v>
      </c>
    </row>
    <row r="102" spans="1:15" s="1" customFormat="1">
      <c r="A102" s="7" t="s">
        <v>8</v>
      </c>
      <c r="F102" s="7">
        <v>57</v>
      </c>
      <c r="G102" s="10">
        <f t="shared" si="85"/>
        <v>4.0656205420827388E-2</v>
      </c>
      <c r="H102" s="7">
        <v>69</v>
      </c>
      <c r="I102" s="10">
        <f t="shared" si="86"/>
        <v>4.5604758757435561E-2</v>
      </c>
      <c r="J102" s="7">
        <v>76</v>
      </c>
      <c r="K102" s="10">
        <f t="shared" si="87"/>
        <v>4.1575492341356671E-2</v>
      </c>
      <c r="L102" s="7">
        <v>78</v>
      </c>
      <c r="M102" s="10">
        <f t="shared" si="87"/>
        <v>3.6499766027140855E-2</v>
      </c>
      <c r="N102" s="7">
        <v>79</v>
      </c>
      <c r="O102" s="10">
        <f t="shared" ref="O102" si="94">N102/N$94</f>
        <v>4.4784580498866217E-2</v>
      </c>
    </row>
    <row r="103" spans="1:15" s="1" customFormat="1">
      <c r="A103" s="7" t="s">
        <v>17</v>
      </c>
      <c r="F103" s="7">
        <f>F101-F102</f>
        <v>255</v>
      </c>
      <c r="G103" s="10">
        <f t="shared" si="85"/>
        <v>0.18188302425106989</v>
      </c>
      <c r="H103" s="7">
        <f>H101-H102</f>
        <v>79</v>
      </c>
      <c r="I103" s="10">
        <f t="shared" si="86"/>
        <v>5.221414408460013E-2</v>
      </c>
      <c r="J103" s="7">
        <f>J101-J102</f>
        <v>254</v>
      </c>
      <c r="K103" s="10">
        <f t="shared" si="87"/>
        <v>0.1389496717724289</v>
      </c>
      <c r="L103" s="7">
        <f>L101-L102</f>
        <v>302</v>
      </c>
      <c r="M103" s="10">
        <f t="shared" si="87"/>
        <v>0.14131960692559664</v>
      </c>
      <c r="N103" s="7">
        <f>N101-N102</f>
        <v>155</v>
      </c>
      <c r="O103" s="10">
        <f t="shared" ref="O103" si="95">N103/N$94</f>
        <v>8.7868480725623588E-2</v>
      </c>
    </row>
    <row r="104" spans="1:15" s="1" customFormat="1">
      <c r="A104" s="7" t="s">
        <v>7</v>
      </c>
      <c r="F104" s="7">
        <v>71</v>
      </c>
      <c r="G104" s="10">
        <f t="shared" si="85"/>
        <v>5.0641940085592009E-2</v>
      </c>
      <c r="H104" s="7">
        <v>124</v>
      </c>
      <c r="I104" s="10">
        <f t="shared" si="86"/>
        <v>8.1956378056840709E-2</v>
      </c>
      <c r="J104" s="7">
        <v>142</v>
      </c>
      <c r="K104" s="10">
        <f t="shared" si="87"/>
        <v>7.7680525164113792E-2</v>
      </c>
      <c r="L104" s="7">
        <v>147</v>
      </c>
      <c r="M104" s="10">
        <f t="shared" si="87"/>
        <v>6.8788020589611601E-2</v>
      </c>
      <c r="N104" s="7">
        <v>159</v>
      </c>
      <c r="O104" s="10">
        <f t="shared" ref="O104" si="96">N104/N$94</f>
        <v>9.013605442176871E-2</v>
      </c>
    </row>
    <row r="105" spans="1:15" s="1" customFormat="1">
      <c r="A105" s="7" t="s">
        <v>9</v>
      </c>
      <c r="F105" s="7">
        <v>17</v>
      </c>
      <c r="G105" s="10">
        <f t="shared" si="85"/>
        <v>1.2125534950071327E-2</v>
      </c>
      <c r="H105" s="7">
        <f>1520-H94+39</f>
        <v>46</v>
      </c>
      <c r="I105" s="10">
        <f t="shared" si="86"/>
        <v>3.0403172504957041E-2</v>
      </c>
      <c r="J105" s="7">
        <f>1830-J94+35</f>
        <v>37</v>
      </c>
      <c r="K105" s="10">
        <f t="shared" si="87"/>
        <v>2.024070021881838E-2</v>
      </c>
      <c r="L105" s="7">
        <f>2146-L94+47</f>
        <v>56</v>
      </c>
      <c r="M105" s="10">
        <f t="shared" si="87"/>
        <v>2.6204960224613945E-2</v>
      </c>
      <c r="N105" s="7">
        <v>55</v>
      </c>
      <c r="O105" s="10">
        <f t="shared" ref="O105" si="97">N105/N$94</f>
        <v>3.1179138321995464E-2</v>
      </c>
    </row>
    <row r="106" spans="1:15" s="1" customFormat="1">
      <c r="A106" s="7" t="s">
        <v>10</v>
      </c>
      <c r="F106" s="7">
        <f>F103-F104+F105</f>
        <v>201</v>
      </c>
      <c r="G106" s="10">
        <f t="shared" si="85"/>
        <v>0.14336661911554921</v>
      </c>
      <c r="H106" s="7">
        <f>H103-H104+H105</f>
        <v>1</v>
      </c>
      <c r="I106" s="10">
        <f t="shared" si="86"/>
        <v>6.6093853271645734E-4</v>
      </c>
      <c r="J106" s="7">
        <f>J103-J104+J105</f>
        <v>149</v>
      </c>
      <c r="K106" s="10">
        <f t="shared" si="87"/>
        <v>8.1509846827133484E-2</v>
      </c>
      <c r="L106" s="7">
        <f>L103-L104+L105</f>
        <v>211</v>
      </c>
      <c r="M106" s="10">
        <f t="shared" si="87"/>
        <v>9.8736546560598965E-2</v>
      </c>
      <c r="N106" s="7">
        <f>N103-N104+N105</f>
        <v>51</v>
      </c>
      <c r="O106" s="10">
        <f t="shared" ref="O106" si="98">N106/N$94</f>
        <v>2.8911564625850341E-2</v>
      </c>
    </row>
    <row r="107" spans="1:15" s="1" customFormat="1">
      <c r="A107" s="7" t="s">
        <v>11</v>
      </c>
      <c r="F107" s="7">
        <v>61</v>
      </c>
      <c r="G107" s="10">
        <f>F107/F106</f>
        <v>0.30348258706467662</v>
      </c>
      <c r="H107" s="7">
        <v>-5</v>
      </c>
      <c r="I107" s="10">
        <f>H107/H106</f>
        <v>-5</v>
      </c>
      <c r="J107" s="7">
        <v>87</v>
      </c>
      <c r="K107" s="10">
        <f>J107/J106</f>
        <v>0.58389261744966447</v>
      </c>
      <c r="L107" s="7">
        <v>64</v>
      </c>
      <c r="M107" s="10">
        <f>L107/L106</f>
        <v>0.30331753554502372</v>
      </c>
      <c r="N107" s="7">
        <v>0</v>
      </c>
      <c r="O107" s="10">
        <f>N107/N106</f>
        <v>0</v>
      </c>
    </row>
    <row r="108" spans="1:15" s="1" customFormat="1">
      <c r="A108" s="7" t="s">
        <v>18</v>
      </c>
      <c r="F108" s="7">
        <f>F106-F107</f>
        <v>140</v>
      </c>
      <c r="G108" s="10">
        <f t="shared" ref="G108" si="99">F108/F$94</f>
        <v>9.9857346647646214E-2</v>
      </c>
      <c r="H108" s="7">
        <f>H106-H107</f>
        <v>6</v>
      </c>
      <c r="I108" s="10">
        <f t="shared" ref="I108" si="100">H108/H$94</f>
        <v>3.9656311962987445E-3</v>
      </c>
      <c r="J108" s="7">
        <f>J106-J107</f>
        <v>62</v>
      </c>
      <c r="K108" s="10">
        <f t="shared" si="87"/>
        <v>3.3916849015317288E-2</v>
      </c>
      <c r="L108" s="7">
        <f>L106-L107</f>
        <v>147</v>
      </c>
      <c r="M108" s="10">
        <f t="shared" si="87"/>
        <v>6.8788020589611601E-2</v>
      </c>
      <c r="N108" s="7">
        <f>N106-N107</f>
        <v>51</v>
      </c>
      <c r="O108" s="10">
        <f t="shared" ref="O108" si="101">N108/N$94</f>
        <v>2.8911564625850341E-2</v>
      </c>
    </row>
    <row r="109" spans="1:15" s="1" customFormat="1" ht="15">
      <c r="A109" s="12"/>
    </row>
    <row r="110" spans="1:15" s="1" customFormat="1" ht="15">
      <c r="A110" s="12"/>
      <c r="F110" s="1">
        <v>52000</v>
      </c>
      <c r="H110" s="1">
        <v>52000</v>
      </c>
      <c r="J110" s="1">
        <v>56400</v>
      </c>
      <c r="L110" s="1">
        <v>56400</v>
      </c>
      <c r="N110" s="1">
        <v>56400</v>
      </c>
    </row>
    <row r="111" spans="1:15" ht="15">
      <c r="A111" s="12" t="s">
        <v>48</v>
      </c>
    </row>
    <row r="112" spans="1:15" s="1" customFormat="1">
      <c r="A112" s="7" t="s">
        <v>5</v>
      </c>
      <c r="F112" s="7">
        <f>1943+110</f>
        <v>2053</v>
      </c>
      <c r="G112" s="7"/>
      <c r="H112" s="7">
        <f>1735+115</f>
        <v>1850</v>
      </c>
      <c r="I112" s="7"/>
      <c r="J112" s="7">
        <v>2149</v>
      </c>
      <c r="K112" s="7"/>
      <c r="L112" s="7">
        <f>2424+116</f>
        <v>2540</v>
      </c>
      <c r="M112" s="7"/>
      <c r="N112" s="7">
        <v>1851</v>
      </c>
      <c r="O112" s="7"/>
    </row>
    <row r="113" spans="1:15" s="1" customFormat="1">
      <c r="A113" s="7" t="s">
        <v>14</v>
      </c>
      <c r="F113" s="7">
        <v>1105</v>
      </c>
      <c r="G113" s="10">
        <f>F113/F$112</f>
        <v>0.53823672674135414</v>
      </c>
      <c r="H113" s="7">
        <v>1350</v>
      </c>
      <c r="I113" s="10">
        <f>H113/H$112</f>
        <v>0.72972972972972971</v>
      </c>
      <c r="J113" s="7">
        <f>1153-17</f>
        <v>1136</v>
      </c>
      <c r="K113" s="10">
        <f>J113/J$112</f>
        <v>0.52861796184271759</v>
      </c>
      <c r="L113" s="7">
        <f>1522-63</f>
        <v>1459</v>
      </c>
      <c r="M113" s="10">
        <f>L113/L$112</f>
        <v>0.57440944881889766</v>
      </c>
      <c r="N113" s="7">
        <f>1095+24</f>
        <v>1119</v>
      </c>
      <c r="O113" s="10">
        <f>N113/N$112</f>
        <v>0.60453808752025928</v>
      </c>
    </row>
    <row r="114" spans="1:15" s="1" customFormat="1">
      <c r="A114" s="7" t="s">
        <v>15</v>
      </c>
      <c r="F114" s="7">
        <v>159</v>
      </c>
      <c r="G114" s="10">
        <f t="shared" ref="G114" si="102">F114/F$112</f>
        <v>7.7447637603507063E-2</v>
      </c>
      <c r="H114" s="7">
        <v>153</v>
      </c>
      <c r="I114" s="10">
        <f t="shared" ref="I114" si="103">H114/H$112</f>
        <v>8.2702702702702705E-2</v>
      </c>
      <c r="J114" s="7">
        <v>197</v>
      </c>
      <c r="K114" s="10">
        <f t="shared" ref="K114:M124" si="104">J114/J$112</f>
        <v>9.1670544439274082E-2</v>
      </c>
      <c r="L114" s="7">
        <v>229</v>
      </c>
      <c r="M114" s="10">
        <f t="shared" si="104"/>
        <v>9.0157480314960625E-2</v>
      </c>
      <c r="N114" s="7">
        <v>184</v>
      </c>
      <c r="O114" s="10">
        <f t="shared" ref="O114:O124" si="105">N114/N$112</f>
        <v>9.9405726634251762E-2</v>
      </c>
    </row>
    <row r="115" spans="1:15" s="1" customFormat="1">
      <c r="A115" s="7" t="s">
        <v>16</v>
      </c>
      <c r="F115" s="7">
        <v>363</v>
      </c>
      <c r="G115" s="10">
        <f t="shared" ref="G115" si="106">F115/F$112</f>
        <v>0.17681441792498781</v>
      </c>
      <c r="H115" s="7">
        <v>293</v>
      </c>
      <c r="I115" s="10">
        <f t="shared" ref="I115" si="107">H115/H$112</f>
        <v>0.15837837837837837</v>
      </c>
      <c r="J115" s="7">
        <v>455</v>
      </c>
      <c r="K115" s="10">
        <f t="shared" si="104"/>
        <v>0.21172638436482086</v>
      </c>
      <c r="L115" s="7">
        <v>494</v>
      </c>
      <c r="M115" s="10">
        <f t="shared" si="104"/>
        <v>0.19448818897637796</v>
      </c>
      <c r="N115" s="7">
        <v>343</v>
      </c>
      <c r="O115" s="10">
        <f t="shared" si="105"/>
        <v>0.18530524041058888</v>
      </c>
    </row>
    <row r="116" spans="1:15" s="1" customFormat="1">
      <c r="A116" s="11" t="s">
        <v>22</v>
      </c>
      <c r="F116" s="7">
        <v>196</v>
      </c>
      <c r="G116" s="10">
        <f t="shared" ref="G116" si="108">F116/F$112</f>
        <v>9.5470043838285432E-2</v>
      </c>
      <c r="H116" s="7">
        <v>196</v>
      </c>
      <c r="I116" s="10">
        <f t="shared" ref="I116" si="109">H116/H$112</f>
        <v>0.10594594594594595</v>
      </c>
      <c r="J116" s="7">
        <v>288</v>
      </c>
      <c r="K116" s="10">
        <f t="shared" si="104"/>
        <v>0.13401582131223824</v>
      </c>
      <c r="L116" s="7">
        <v>299</v>
      </c>
      <c r="M116" s="10">
        <f t="shared" si="104"/>
        <v>0.11771653543307087</v>
      </c>
      <c r="N116" s="7"/>
      <c r="O116" s="10">
        <f t="shared" si="105"/>
        <v>0</v>
      </c>
    </row>
    <row r="117" spans="1:15" s="1" customFormat="1">
      <c r="A117" s="11" t="s">
        <v>23</v>
      </c>
      <c r="F117" s="7"/>
      <c r="G117" s="10">
        <f t="shared" ref="G117" si="110">F117/F$112</f>
        <v>0</v>
      </c>
      <c r="H117" s="7"/>
      <c r="I117" s="10">
        <f t="shared" ref="I117" si="111">H117/H$112</f>
        <v>0</v>
      </c>
      <c r="J117" s="7"/>
      <c r="K117" s="10">
        <f t="shared" si="104"/>
        <v>0</v>
      </c>
      <c r="L117" s="7"/>
      <c r="M117" s="10">
        <f t="shared" si="104"/>
        <v>0</v>
      </c>
      <c r="N117" s="7"/>
      <c r="O117" s="10">
        <f t="shared" si="105"/>
        <v>0</v>
      </c>
    </row>
    <row r="118" spans="1:15" s="1" customFormat="1">
      <c r="A118" s="11" t="s">
        <v>20</v>
      </c>
      <c r="F118" s="7">
        <f>F115-F116-F117</f>
        <v>167</v>
      </c>
      <c r="G118" s="10">
        <f t="shared" ref="G118" si="112">F118/F$112</f>
        <v>8.1344374086702392E-2</v>
      </c>
      <c r="H118" s="7">
        <f>H115-H116-H117</f>
        <v>97</v>
      </c>
      <c r="I118" s="10">
        <f t="shared" ref="I118" si="113">H118/H$112</f>
        <v>5.2432432432432431E-2</v>
      </c>
      <c r="J118" s="7">
        <f>J115-J116-J117</f>
        <v>167</v>
      </c>
      <c r="K118" s="10">
        <f t="shared" si="104"/>
        <v>7.7710563052582601E-2</v>
      </c>
      <c r="L118" s="7">
        <f>L115-L116-L117</f>
        <v>195</v>
      </c>
      <c r="M118" s="10">
        <f t="shared" si="104"/>
        <v>7.6771653543307089E-2</v>
      </c>
      <c r="N118" s="7"/>
      <c r="O118" s="10">
        <f t="shared" si="105"/>
        <v>0</v>
      </c>
    </row>
    <row r="119" spans="1:15" s="1" customFormat="1">
      <c r="A119" s="7" t="s">
        <v>6</v>
      </c>
      <c r="F119" s="7">
        <f>F112-F113-F114-F115</f>
        <v>426</v>
      </c>
      <c r="G119" s="10">
        <f t="shared" ref="G119" si="114">F119/F$112</f>
        <v>0.20750121773015101</v>
      </c>
      <c r="H119" s="7">
        <f>H112-H113-H114-H115</f>
        <v>54</v>
      </c>
      <c r="I119" s="10">
        <f t="shared" ref="I119" si="115">H119/H$112</f>
        <v>2.9189189189189189E-2</v>
      </c>
      <c r="J119" s="7">
        <f>J112-J113-J114-J115</f>
        <v>361</v>
      </c>
      <c r="K119" s="10">
        <f t="shared" si="104"/>
        <v>0.16798510935318753</v>
      </c>
      <c r="L119" s="7">
        <f>L112-L113-L114-L115</f>
        <v>358</v>
      </c>
      <c r="M119" s="10">
        <f t="shared" si="104"/>
        <v>0.14094488188976378</v>
      </c>
      <c r="N119" s="7">
        <f>N112-N113-N114-N115</f>
        <v>205</v>
      </c>
      <c r="O119" s="10">
        <f t="shared" si="105"/>
        <v>0.11075094543490005</v>
      </c>
    </row>
    <row r="120" spans="1:15" s="1" customFormat="1">
      <c r="A120" s="7" t="s">
        <v>8</v>
      </c>
      <c r="F120" s="7">
        <v>111</v>
      </c>
      <c r="G120" s="10">
        <f t="shared" ref="G120" si="116">F120/F$112</f>
        <v>5.4067218704335118E-2</v>
      </c>
      <c r="H120" s="7">
        <v>112</v>
      </c>
      <c r="I120" s="10">
        <f t="shared" ref="I120" si="117">H120/H$112</f>
        <v>6.054054054054054E-2</v>
      </c>
      <c r="J120" s="7">
        <v>113</v>
      </c>
      <c r="K120" s="10">
        <f t="shared" si="104"/>
        <v>5.2582596556537922E-2</v>
      </c>
      <c r="L120" s="7">
        <v>111</v>
      </c>
      <c r="M120" s="10">
        <f t="shared" si="104"/>
        <v>4.3700787401574806E-2</v>
      </c>
      <c r="N120" s="7">
        <v>78</v>
      </c>
      <c r="O120" s="10">
        <f t="shared" si="105"/>
        <v>4.2139384116693678E-2</v>
      </c>
    </row>
    <row r="121" spans="1:15" s="1" customFormat="1">
      <c r="A121" s="7" t="s">
        <v>17</v>
      </c>
      <c r="F121" s="7">
        <f>F119-F120</f>
        <v>315</v>
      </c>
      <c r="G121" s="10">
        <f t="shared" ref="G121" si="118">F121/F$112</f>
        <v>0.15343399902581589</v>
      </c>
      <c r="H121" s="7">
        <f>H119-H120</f>
        <v>-58</v>
      </c>
      <c r="I121" s="10">
        <f t="shared" ref="I121" si="119">H121/H$112</f>
        <v>-3.135135135135135E-2</v>
      </c>
      <c r="J121" s="7">
        <f>J119-J120</f>
        <v>248</v>
      </c>
      <c r="K121" s="10">
        <f t="shared" si="104"/>
        <v>0.11540251279664961</v>
      </c>
      <c r="L121" s="7">
        <f>L119-L120</f>
        <v>247</v>
      </c>
      <c r="M121" s="10">
        <f t="shared" si="104"/>
        <v>9.7244094488188978E-2</v>
      </c>
      <c r="N121" s="7">
        <f>N119-N120</f>
        <v>127</v>
      </c>
      <c r="O121" s="10">
        <f t="shared" si="105"/>
        <v>6.8611561318206379E-2</v>
      </c>
    </row>
    <row r="122" spans="1:15" s="1" customFormat="1">
      <c r="A122" s="7" t="s">
        <v>7</v>
      </c>
      <c r="F122" s="7">
        <v>144</v>
      </c>
      <c r="G122" s="10">
        <f t="shared" ref="G122" si="120">F122/F$112</f>
        <v>7.0141256697515836E-2</v>
      </c>
      <c r="H122" s="7">
        <v>180</v>
      </c>
      <c r="I122" s="10">
        <f t="shared" ref="I122" si="121">H122/H$112</f>
        <v>9.7297297297297303E-2</v>
      </c>
      <c r="J122" s="7">
        <v>141</v>
      </c>
      <c r="K122" s="10">
        <f t="shared" si="104"/>
        <v>6.561191251744998E-2</v>
      </c>
      <c r="L122" s="7">
        <v>136</v>
      </c>
      <c r="M122" s="10">
        <f t="shared" si="104"/>
        <v>5.3543307086614172E-2</v>
      </c>
      <c r="N122" s="7">
        <v>91</v>
      </c>
      <c r="O122" s="10">
        <f t="shared" si="105"/>
        <v>4.9162614802809292E-2</v>
      </c>
    </row>
    <row r="123" spans="1:15" s="1" customFormat="1">
      <c r="A123" s="7" t="s">
        <v>9</v>
      </c>
      <c r="F123" s="7">
        <f>2071-F112+3</f>
        <v>21</v>
      </c>
      <c r="G123" s="10">
        <f t="shared" ref="G123" si="122">F123/F$112</f>
        <v>1.0228933268387726E-2</v>
      </c>
      <c r="H123" s="7">
        <f>1868-H112+4</f>
        <v>22</v>
      </c>
      <c r="I123" s="10">
        <f t="shared" ref="I123" si="123">H123/H$112</f>
        <v>1.1891891891891892E-2</v>
      </c>
      <c r="J123" s="7">
        <f>2175-J112+3</f>
        <v>29</v>
      </c>
      <c r="K123" s="10">
        <f t="shared" si="104"/>
        <v>1.3494648673801768E-2</v>
      </c>
      <c r="L123" s="7">
        <f>2559-L112+5</f>
        <v>24</v>
      </c>
      <c r="M123" s="10">
        <f t="shared" si="104"/>
        <v>9.4488188976377951E-3</v>
      </c>
      <c r="N123" s="7">
        <v>9</v>
      </c>
      <c r="O123" s="10">
        <f t="shared" si="105"/>
        <v>4.8622366288492711E-3</v>
      </c>
    </row>
    <row r="124" spans="1:15" s="1" customFormat="1">
      <c r="A124" s="7" t="s">
        <v>10</v>
      </c>
      <c r="F124" s="7">
        <f>F121-F122+F123</f>
        <v>192</v>
      </c>
      <c r="G124" s="10">
        <f t="shared" ref="G124" si="124">F124/F$112</f>
        <v>9.3521675596687767E-2</v>
      </c>
      <c r="H124" s="7">
        <f>H121-H122+H123</f>
        <v>-216</v>
      </c>
      <c r="I124" s="10">
        <f t="shared" ref="I124" si="125">H124/H$112</f>
        <v>-0.11675675675675676</v>
      </c>
      <c r="J124" s="7">
        <f>J121-J122+J123</f>
        <v>136</v>
      </c>
      <c r="K124" s="10">
        <f t="shared" si="104"/>
        <v>6.3285248953001402E-2</v>
      </c>
      <c r="L124" s="7">
        <f>L121-L122+L123</f>
        <v>135</v>
      </c>
      <c r="M124" s="10">
        <f t="shared" si="104"/>
        <v>5.3149606299212601E-2</v>
      </c>
      <c r="N124" s="7">
        <f>N121-N122+N123</f>
        <v>45</v>
      </c>
      <c r="O124" s="10">
        <f t="shared" si="105"/>
        <v>2.4311183144246355E-2</v>
      </c>
    </row>
    <row r="125" spans="1:15" s="1" customFormat="1">
      <c r="A125" s="7" t="s">
        <v>11</v>
      </c>
      <c r="F125" s="7">
        <v>66</v>
      </c>
      <c r="G125" s="10">
        <f>F125/F124</f>
        <v>0.34375</v>
      </c>
      <c r="H125" s="7">
        <v>-72</v>
      </c>
      <c r="I125" s="10">
        <f>H125/H124</f>
        <v>0.33333333333333331</v>
      </c>
      <c r="J125" s="7">
        <v>45</v>
      </c>
      <c r="K125" s="10">
        <f>J125/J124</f>
        <v>0.33088235294117646</v>
      </c>
      <c r="L125" s="7">
        <v>42</v>
      </c>
      <c r="M125" s="10">
        <f>L125/L124</f>
        <v>0.31111111111111112</v>
      </c>
      <c r="N125" s="7">
        <v>15</v>
      </c>
      <c r="O125" s="10">
        <f>N125/N124</f>
        <v>0.33333333333333331</v>
      </c>
    </row>
    <row r="126" spans="1:15" s="1" customFormat="1">
      <c r="A126" s="7" t="s">
        <v>18</v>
      </c>
      <c r="F126" s="7">
        <f>F124-F125</f>
        <v>126</v>
      </c>
      <c r="G126" s="10">
        <f>F126/F$112</f>
        <v>6.1373599610326353E-2</v>
      </c>
      <c r="H126" s="7">
        <f>H124-H125</f>
        <v>-144</v>
      </c>
      <c r="I126" s="10">
        <f>H126/H$112</f>
        <v>-7.7837837837837834E-2</v>
      </c>
      <c r="J126" s="7">
        <f>J124-J125</f>
        <v>91</v>
      </c>
      <c r="K126" s="10">
        <f>J126/J$112</f>
        <v>4.2345276872964167E-2</v>
      </c>
      <c r="L126" s="7">
        <f>L124-L125</f>
        <v>93</v>
      </c>
      <c r="M126" s="10">
        <f>L126/L$112</f>
        <v>3.661417322834646E-2</v>
      </c>
      <c r="N126" s="7">
        <f>N124-N125</f>
        <v>30</v>
      </c>
      <c r="O126" s="10">
        <f>N126/N$112</f>
        <v>1.6207455429497569E-2</v>
      </c>
    </row>
    <row r="127" spans="1:15" s="1" customFormat="1"/>
    <row r="128" spans="1:15" s="1" customFormat="1">
      <c r="F128" s="1">
        <v>110000</v>
      </c>
      <c r="H128" s="1">
        <v>110000</v>
      </c>
      <c r="J128" s="1">
        <v>110000</v>
      </c>
      <c r="L128" s="1">
        <v>110000</v>
      </c>
      <c r="N128" s="1">
        <v>110000</v>
      </c>
    </row>
    <row r="129" spans="1:15" ht="15">
      <c r="A129" s="12" t="s">
        <v>49</v>
      </c>
    </row>
    <row r="130" spans="1:15">
      <c r="A130" s="7" t="s">
        <v>5</v>
      </c>
      <c r="B130" s="1"/>
      <c r="C130" s="1"/>
      <c r="D130" s="1"/>
      <c r="E130" s="1"/>
      <c r="F130" s="7">
        <v>3064</v>
      </c>
      <c r="G130" s="7"/>
      <c r="H130" s="7">
        <v>2988</v>
      </c>
      <c r="I130" s="7"/>
      <c r="J130" s="7">
        <v>3363</v>
      </c>
      <c r="K130" s="7"/>
      <c r="L130" s="7">
        <v>4322</v>
      </c>
      <c r="M130" s="7"/>
      <c r="N130" s="7">
        <v>2798</v>
      </c>
      <c r="O130" s="7"/>
    </row>
    <row r="131" spans="1:15">
      <c r="A131" s="7" t="s">
        <v>14</v>
      </c>
      <c r="B131" s="1"/>
      <c r="C131" s="1"/>
      <c r="D131" s="1"/>
      <c r="E131" s="1"/>
      <c r="F131" s="7">
        <f>1545-253</f>
        <v>1292</v>
      </c>
      <c r="G131" s="10">
        <f>F131/F$130</f>
        <v>0.4216710182767624</v>
      </c>
      <c r="H131" s="7">
        <f>1706+147</f>
        <v>1853</v>
      </c>
      <c r="I131" s="10">
        <f>H131/H$130</f>
        <v>0.62014725568942441</v>
      </c>
      <c r="J131" s="7">
        <f>1630+56</f>
        <v>1686</v>
      </c>
      <c r="K131" s="10">
        <f>J131/J$130</f>
        <v>0.50133809099018734</v>
      </c>
      <c r="L131" s="7">
        <f>2141-64</f>
        <v>2077</v>
      </c>
      <c r="M131" s="10">
        <f>L131/L$130</f>
        <v>0.480564553447478</v>
      </c>
      <c r="N131" s="7">
        <f>1503-27</f>
        <v>1476</v>
      </c>
      <c r="O131" s="10">
        <f>N131/N$130</f>
        <v>0.52751965689778413</v>
      </c>
    </row>
    <row r="132" spans="1:15">
      <c r="A132" s="7" t="s">
        <v>15</v>
      </c>
      <c r="B132" s="1"/>
      <c r="C132" s="1"/>
      <c r="D132" s="1"/>
      <c r="E132" s="1"/>
      <c r="F132" s="7">
        <v>293</v>
      </c>
      <c r="G132" s="10">
        <f t="shared" ref="G132" si="126">F132/F$130</f>
        <v>9.5626631853785907E-2</v>
      </c>
      <c r="H132" s="7">
        <v>294</v>
      </c>
      <c r="I132" s="10">
        <f t="shared" ref="I132" si="127">H132/H$130</f>
        <v>9.8393574297188757E-2</v>
      </c>
      <c r="J132" s="7">
        <v>344</v>
      </c>
      <c r="K132" s="10">
        <f t="shared" ref="K132" si="128">J132/J$130</f>
        <v>0.10228962236098721</v>
      </c>
      <c r="L132" s="7">
        <v>444</v>
      </c>
      <c r="M132" s="10">
        <f t="shared" ref="M132:O144" si="129">L132/L$130</f>
        <v>0.10273021749190189</v>
      </c>
      <c r="N132" s="7">
        <v>341</v>
      </c>
      <c r="O132" s="10">
        <f t="shared" si="129"/>
        <v>0.12187276626161545</v>
      </c>
    </row>
    <row r="133" spans="1:15">
      <c r="A133" s="7" t="s">
        <v>16</v>
      </c>
      <c r="B133" s="1"/>
      <c r="C133" s="1"/>
      <c r="D133" s="1"/>
      <c r="E133" s="1"/>
      <c r="F133" s="7">
        <v>790</v>
      </c>
      <c r="G133" s="10">
        <f t="shared" ref="G133" si="130">F133/F$130</f>
        <v>0.25783289817232374</v>
      </c>
      <c r="H133" s="7">
        <v>706</v>
      </c>
      <c r="I133" s="10">
        <f t="shared" ref="I133" si="131">H133/H$130</f>
        <v>0.23627844712182061</v>
      </c>
      <c r="J133" s="7">
        <v>668</v>
      </c>
      <c r="K133" s="10">
        <f t="shared" ref="K133" si="132">J133/J$130</f>
        <v>0.19863217365447516</v>
      </c>
      <c r="L133" s="7">
        <v>907</v>
      </c>
      <c r="M133" s="10">
        <f t="shared" si="129"/>
        <v>0.20985654789449329</v>
      </c>
      <c r="N133" s="7">
        <f>SUM(N134:N136)</f>
        <v>602</v>
      </c>
      <c r="O133" s="10">
        <f t="shared" si="129"/>
        <v>0.21515368120085776</v>
      </c>
    </row>
    <row r="134" spans="1:15">
      <c r="A134" s="11" t="s">
        <v>22</v>
      </c>
      <c r="B134" s="1"/>
      <c r="C134" s="1"/>
      <c r="D134" s="1"/>
      <c r="E134" s="1"/>
      <c r="F134" s="7">
        <v>461</v>
      </c>
      <c r="G134" s="10">
        <f t="shared" ref="G134" si="133">F134/F$130</f>
        <v>0.15045691906005221</v>
      </c>
      <c r="H134" s="7">
        <v>408</v>
      </c>
      <c r="I134" s="10">
        <f t="shared" ref="I134" si="134">H134/H$130</f>
        <v>0.13654618473895583</v>
      </c>
      <c r="J134" s="7">
        <v>292</v>
      </c>
      <c r="K134" s="10">
        <f t="shared" ref="K134" si="135">J134/J$130</f>
        <v>8.6827237585489145E-2</v>
      </c>
      <c r="L134" s="7">
        <v>413</v>
      </c>
      <c r="M134" s="10">
        <f t="shared" si="129"/>
        <v>9.5557612216566404E-2</v>
      </c>
      <c r="N134" s="7">
        <v>272</v>
      </c>
      <c r="O134" s="10">
        <f t="shared" si="129"/>
        <v>9.7212294496068621E-2</v>
      </c>
    </row>
    <row r="135" spans="1:15">
      <c r="A135" s="11" t="s">
        <v>23</v>
      </c>
      <c r="B135" s="1"/>
      <c r="C135" s="1"/>
      <c r="D135" s="1"/>
      <c r="E135" s="1"/>
      <c r="F135" s="7"/>
      <c r="G135" s="10">
        <f t="shared" ref="G135" si="136">F135/F$130</f>
        <v>0</v>
      </c>
      <c r="H135" s="7"/>
      <c r="I135" s="10">
        <f t="shared" ref="I135" si="137">H135/H$130</f>
        <v>0</v>
      </c>
      <c r="J135" s="7"/>
      <c r="K135" s="10">
        <f t="shared" ref="K135" si="138">J135/J$130</f>
        <v>0</v>
      </c>
      <c r="L135" s="7"/>
      <c r="M135" s="10">
        <f t="shared" si="129"/>
        <v>0</v>
      </c>
      <c r="N135" s="7"/>
      <c r="O135" s="10">
        <f t="shared" si="129"/>
        <v>0</v>
      </c>
    </row>
    <row r="136" spans="1:15">
      <c r="A136" s="11" t="s">
        <v>20</v>
      </c>
      <c r="B136" s="1"/>
      <c r="C136" s="1"/>
      <c r="D136" s="1"/>
      <c r="E136" s="1"/>
      <c r="F136" s="7">
        <f>F133-F134-F135</f>
        <v>329</v>
      </c>
      <c r="G136" s="10">
        <f t="shared" ref="G136" si="139">F136/F$130</f>
        <v>0.10737597911227154</v>
      </c>
      <c r="H136" s="7">
        <f>H133-H134-H135</f>
        <v>298</v>
      </c>
      <c r="I136" s="10">
        <f t="shared" ref="I136" si="140">H136/H$130</f>
        <v>9.9732262382864798E-2</v>
      </c>
      <c r="J136" s="7">
        <f>J133-J134-J135</f>
        <v>376</v>
      </c>
      <c r="K136" s="10">
        <f t="shared" ref="K136" si="141">J136/J$130</f>
        <v>0.11180493606898602</v>
      </c>
      <c r="L136" s="7">
        <f>L133-L134-L135</f>
        <v>494</v>
      </c>
      <c r="M136" s="10">
        <f t="shared" si="129"/>
        <v>0.11429893567792689</v>
      </c>
      <c r="N136" s="7">
        <v>330</v>
      </c>
      <c r="O136" s="10">
        <f t="shared" si="129"/>
        <v>0.11794138670478914</v>
      </c>
    </row>
    <row r="137" spans="1:15">
      <c r="A137" s="7" t="s">
        <v>6</v>
      </c>
      <c r="B137" s="1"/>
      <c r="C137" s="1"/>
      <c r="D137" s="1"/>
      <c r="E137" s="1"/>
      <c r="F137" s="7">
        <f>F130-F131-F132-F133</f>
        <v>689</v>
      </c>
      <c r="G137" s="10">
        <f t="shared" ref="G137" si="142">F137/F$130</f>
        <v>0.22486945169712794</v>
      </c>
      <c r="H137" s="7">
        <f>H130-H131-H132-H133</f>
        <v>135</v>
      </c>
      <c r="I137" s="10">
        <f t="shared" ref="I137" si="143">H137/H$130</f>
        <v>4.5180722891566265E-2</v>
      </c>
      <c r="J137" s="7">
        <f>J130-J131-J132-J133</f>
        <v>665</v>
      </c>
      <c r="K137" s="10">
        <f t="shared" ref="K137" si="144">J137/J$130</f>
        <v>0.19774011299435029</v>
      </c>
      <c r="L137" s="7">
        <f>L130-L131-L132-L133</f>
        <v>894</v>
      </c>
      <c r="M137" s="10">
        <f t="shared" si="129"/>
        <v>0.20684868116612679</v>
      </c>
      <c r="N137" s="7">
        <f>N130-N131-N132-N133</f>
        <v>379</v>
      </c>
      <c r="O137" s="10">
        <f t="shared" si="129"/>
        <v>0.13545389563974267</v>
      </c>
    </row>
    <row r="138" spans="1:15">
      <c r="A138" s="7" t="s">
        <v>8</v>
      </c>
      <c r="B138" s="1"/>
      <c r="C138" s="1"/>
      <c r="D138" s="1"/>
      <c r="E138" s="1"/>
      <c r="F138" s="7">
        <v>321</v>
      </c>
      <c r="G138" s="10">
        <f t="shared" ref="G138" si="145">F138/F$130</f>
        <v>0.10476501305483028</v>
      </c>
      <c r="H138" s="7">
        <v>301</v>
      </c>
      <c r="I138" s="10">
        <f t="shared" ref="I138" si="146">H138/H$130</f>
        <v>0.10073627844712182</v>
      </c>
      <c r="J138" s="7">
        <v>281</v>
      </c>
      <c r="K138" s="10">
        <f t="shared" ref="K138" si="147">J138/J$130</f>
        <v>8.355634849836456E-2</v>
      </c>
      <c r="L138" s="7">
        <v>282</v>
      </c>
      <c r="M138" s="10">
        <f t="shared" si="129"/>
        <v>6.5247570569180929E-2</v>
      </c>
      <c r="N138" s="7">
        <v>123</v>
      </c>
      <c r="O138" s="10">
        <f t="shared" si="129"/>
        <v>4.3959971408148675E-2</v>
      </c>
    </row>
    <row r="139" spans="1:15">
      <c r="A139" s="7" t="s">
        <v>17</v>
      </c>
      <c r="B139" s="1"/>
      <c r="C139" s="1"/>
      <c r="D139" s="1"/>
      <c r="E139" s="1"/>
      <c r="F139" s="7">
        <f>F137-F138</f>
        <v>368</v>
      </c>
      <c r="G139" s="10">
        <f t="shared" ref="G139" si="148">F139/F$130</f>
        <v>0.12010443864229765</v>
      </c>
      <c r="H139" s="7">
        <f>H137-H138</f>
        <v>-166</v>
      </c>
      <c r="I139" s="10">
        <f t="shared" ref="I139" si="149">H139/H$130</f>
        <v>-5.5555555555555552E-2</v>
      </c>
      <c r="J139" s="7">
        <f>J137-J138</f>
        <v>384</v>
      </c>
      <c r="K139" s="10">
        <f t="shared" ref="K139" si="150">J139/J$130</f>
        <v>0.11418376449598573</v>
      </c>
      <c r="L139" s="7">
        <f>L137-L138</f>
        <v>612</v>
      </c>
      <c r="M139" s="10">
        <f t="shared" si="129"/>
        <v>0.14160111059694586</v>
      </c>
      <c r="N139" s="7">
        <f>N137-N138</f>
        <v>256</v>
      </c>
      <c r="O139" s="10">
        <f t="shared" si="129"/>
        <v>9.1493924231593998E-2</v>
      </c>
    </row>
    <row r="140" spans="1:15">
      <c r="A140" s="7" t="s">
        <v>7</v>
      </c>
      <c r="B140" s="1"/>
      <c r="C140" s="1"/>
      <c r="D140" s="1"/>
      <c r="E140" s="1"/>
      <c r="F140" s="7">
        <v>285</v>
      </c>
      <c r="G140" s="10">
        <f t="shared" ref="G140" si="151">F140/F$130</f>
        <v>9.3015665796344654E-2</v>
      </c>
      <c r="H140" s="7">
        <v>371</v>
      </c>
      <c r="I140" s="10">
        <f t="shared" ref="I140" si="152">H140/H$130</f>
        <v>0.12416331994645248</v>
      </c>
      <c r="J140" s="7">
        <v>265</v>
      </c>
      <c r="K140" s="10">
        <f t="shared" ref="K140" si="153">J140/J$130</f>
        <v>7.8798691644365149E-2</v>
      </c>
      <c r="L140" s="7">
        <v>285</v>
      </c>
      <c r="M140" s="10">
        <f t="shared" si="129"/>
        <v>6.5941693660342429E-2</v>
      </c>
      <c r="N140" s="7">
        <v>213</v>
      </c>
      <c r="O140" s="10">
        <f t="shared" si="129"/>
        <v>7.6125804145818446E-2</v>
      </c>
    </row>
    <row r="141" spans="1:15">
      <c r="A141" s="7" t="s">
        <v>9</v>
      </c>
      <c r="B141" s="1"/>
      <c r="C141" s="1"/>
      <c r="D141" s="1"/>
      <c r="E141" s="1"/>
      <c r="F141" s="7">
        <f>3260-F130+109</f>
        <v>305</v>
      </c>
      <c r="G141" s="10">
        <f t="shared" ref="G141" si="154">F141/F$130</f>
        <v>9.9543080939947778E-2</v>
      </c>
      <c r="H141" s="7">
        <f>3272-H130+199</f>
        <v>483</v>
      </c>
      <c r="I141" s="10">
        <f t="shared" ref="I141" si="155">H141/H$130</f>
        <v>0.16164658634538154</v>
      </c>
      <c r="J141" s="7">
        <f>3447-J130+135</f>
        <v>219</v>
      </c>
      <c r="K141" s="10">
        <f t="shared" ref="K141" si="156">J141/J$130</f>
        <v>6.5120428189116855E-2</v>
      </c>
      <c r="L141" s="7">
        <f>4339-L130+68</f>
        <v>85</v>
      </c>
      <c r="M141" s="10">
        <f t="shared" si="129"/>
        <v>1.9666820916242479E-2</v>
      </c>
      <c r="N141" s="7">
        <f>25+51</f>
        <v>76</v>
      </c>
      <c r="O141" s="10">
        <f t="shared" si="129"/>
        <v>2.7162258756254467E-2</v>
      </c>
    </row>
    <row r="142" spans="1:15">
      <c r="A142" s="7" t="s">
        <v>10</v>
      </c>
      <c r="B142" s="1"/>
      <c r="C142" s="1"/>
      <c r="D142" s="1"/>
      <c r="E142" s="1"/>
      <c r="F142" s="7">
        <f>F139-F140+F141</f>
        <v>388</v>
      </c>
      <c r="G142" s="10">
        <f t="shared" ref="G142" si="157">F142/F$130</f>
        <v>0.12663185378590078</v>
      </c>
      <c r="H142" s="7">
        <f>H139-H140+H141</f>
        <v>-54</v>
      </c>
      <c r="I142" s="10">
        <f t="shared" ref="I142" si="158">H142/H$130</f>
        <v>-1.8072289156626505E-2</v>
      </c>
      <c r="J142" s="7">
        <f>J139-J140+J141</f>
        <v>338</v>
      </c>
      <c r="K142" s="10">
        <f t="shared" ref="K142" si="159">J142/J$130</f>
        <v>0.10050550104073744</v>
      </c>
      <c r="L142" s="7">
        <f>L139-L140+L141</f>
        <v>412</v>
      </c>
      <c r="M142" s="10">
        <f t="shared" si="129"/>
        <v>9.5326237852845899E-2</v>
      </c>
      <c r="N142" s="7">
        <f>N139-N140+N141</f>
        <v>119</v>
      </c>
      <c r="O142" s="10">
        <f t="shared" si="129"/>
        <v>4.2530378842030023E-2</v>
      </c>
    </row>
    <row r="143" spans="1:15">
      <c r="A143" s="7" t="s">
        <v>11</v>
      </c>
      <c r="B143" s="1"/>
      <c r="C143" s="1"/>
      <c r="D143" s="1"/>
      <c r="E143" s="1"/>
      <c r="F143" s="7">
        <f>120</f>
        <v>120</v>
      </c>
      <c r="G143" s="10">
        <f>F143/F142</f>
        <v>0.30927835051546393</v>
      </c>
      <c r="H143" s="7">
        <v>-66</v>
      </c>
      <c r="I143" s="10">
        <f>H143/H142</f>
        <v>1.2222222222222223</v>
      </c>
      <c r="J143" s="7">
        <v>119</v>
      </c>
      <c r="K143" s="10">
        <f>J143/J142</f>
        <v>0.35207100591715978</v>
      </c>
      <c r="L143" s="7">
        <v>146</v>
      </c>
      <c r="M143" s="10">
        <f>L143/L142</f>
        <v>0.35436893203883496</v>
      </c>
      <c r="N143" s="7">
        <f>39+48-17</f>
        <v>70</v>
      </c>
      <c r="O143" s="10">
        <f>N143/N142</f>
        <v>0.58823529411764708</v>
      </c>
    </row>
    <row r="144" spans="1:15">
      <c r="A144" s="7" t="s">
        <v>18</v>
      </c>
      <c r="B144" s="1"/>
      <c r="C144" s="1"/>
      <c r="D144" s="1"/>
      <c r="E144" s="1"/>
      <c r="F144" s="7">
        <f>F142-F143</f>
        <v>268</v>
      </c>
      <c r="G144" s="10">
        <f t="shared" ref="G144" si="160">F144/F$130</f>
        <v>8.7467362924281991E-2</v>
      </c>
      <c r="H144" s="7">
        <f>H142-H143</f>
        <v>12</v>
      </c>
      <c r="I144" s="10">
        <f t="shared" ref="I144" si="161">H144/H$130</f>
        <v>4.0160642570281121E-3</v>
      </c>
      <c r="J144" s="7">
        <f>J142-J143</f>
        <v>219</v>
      </c>
      <c r="K144" s="10">
        <f t="shared" ref="K144" si="162">J144/J$130</f>
        <v>6.5120428189116855E-2</v>
      </c>
      <c r="L144" s="7">
        <f>L142-L143</f>
        <v>266</v>
      </c>
      <c r="M144" s="10">
        <f t="shared" si="129"/>
        <v>6.1545580749652939E-2</v>
      </c>
      <c r="N144" s="7">
        <f>N142-N143</f>
        <v>49</v>
      </c>
      <c r="O144" s="10">
        <f t="shared" si="129"/>
        <v>1.7512508934953538E-2</v>
      </c>
    </row>
    <row r="145" spans="1: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>
      <c r="A146" s="1"/>
      <c r="B146" s="1"/>
      <c r="C146" s="1"/>
      <c r="D146" s="1"/>
      <c r="E146" s="1"/>
      <c r="F146" s="1">
        <f>H146</f>
        <v>118544</v>
      </c>
      <c r="G146" s="1"/>
      <c r="H146" s="1">
        <f>J146</f>
        <v>118544</v>
      </c>
      <c r="I146" s="1"/>
      <c r="J146" s="1">
        <f>L146-3312</f>
        <v>118544</v>
      </c>
      <c r="K146" s="1"/>
      <c r="L146" s="1">
        <f>N146</f>
        <v>121856</v>
      </c>
      <c r="M146" s="1"/>
      <c r="N146" s="1">
        <v>121856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9"/>
  <sheetViews>
    <sheetView tabSelected="1" workbookViewId="0">
      <selection activeCell="H5" sqref="H5"/>
    </sheetView>
  </sheetViews>
  <sheetFormatPr defaultRowHeight="14.25"/>
  <cols>
    <col min="1" max="1" width="20" bestFit="1" customWidth="1"/>
    <col min="2" max="2" width="9" customWidth="1"/>
  </cols>
  <sheetData>
    <row r="1" spans="1:7" ht="15">
      <c r="A1" s="5" t="s">
        <v>31</v>
      </c>
      <c r="B1" s="4" t="s">
        <v>13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55</v>
      </c>
    </row>
    <row r="2" spans="1:7">
      <c r="A2" s="4" t="s">
        <v>32</v>
      </c>
      <c r="B2" s="6">
        <f>Detailed!G3</f>
        <v>0.53281004709576141</v>
      </c>
      <c r="C2" s="6">
        <f>Detailed!I3</f>
        <v>0.63314711359404097</v>
      </c>
      <c r="D2" s="6">
        <f>Detailed!K3</f>
        <v>0.61012987012987008</v>
      </c>
      <c r="E2" s="6">
        <f>Detailed!M3</f>
        <v>0.60391730141458111</v>
      </c>
      <c r="F2" s="6">
        <f>Detailed!O3</f>
        <v>0.62723030469393359</v>
      </c>
      <c r="G2" s="19">
        <f>AVERAGE(B2:F2)</f>
        <v>0.60144692738563754</v>
      </c>
    </row>
    <row r="3" spans="1:7">
      <c r="A3" s="4" t="s">
        <v>50</v>
      </c>
      <c r="B3" s="6">
        <f>Sheet5!G3</f>
        <v>0.60915887850467287</v>
      </c>
      <c r="C3" s="6">
        <f>Sheet5!I3</f>
        <v>0.76140663253950591</v>
      </c>
      <c r="D3" s="6">
        <f>Sheet5!K3</f>
        <v>0.61802496328928047</v>
      </c>
      <c r="E3" s="6">
        <f>Sheet5!M3</f>
        <v>0.66558393621733358</v>
      </c>
      <c r="F3" s="6">
        <f>Sheet5!O3</f>
        <v>0.69633401221995928</v>
      </c>
      <c r="G3" s="19">
        <f t="shared" ref="G3:G11" si="0">AVERAGE(B3:F3)</f>
        <v>0.67010168455415042</v>
      </c>
    </row>
    <row r="4" spans="1:7">
      <c r="A4" s="4" t="s">
        <v>59</v>
      </c>
      <c r="B4" s="6" t="s">
        <v>54</v>
      </c>
      <c r="C4" s="6" t="s">
        <v>54</v>
      </c>
      <c r="D4" s="6" t="s">
        <v>54</v>
      </c>
      <c r="E4" s="6" t="s">
        <v>54</v>
      </c>
      <c r="F4" s="6" t="s">
        <v>54</v>
      </c>
      <c r="G4" s="19" t="s">
        <v>54</v>
      </c>
    </row>
    <row r="5" spans="1:7">
      <c r="A5" s="4" t="s">
        <v>43</v>
      </c>
      <c r="B5" s="6">
        <f>Sheet5!G34</f>
        <v>0.50033129647353314</v>
      </c>
      <c r="C5" s="6">
        <f>Sheet5!I34</f>
        <v>0.73136175214997212</v>
      </c>
      <c r="D5" s="6">
        <f>Sheet5!K34</f>
        <v>0.55780194256756754</v>
      </c>
      <c r="E5" s="6">
        <f>Sheet5!M34</f>
        <v>0.57132114489824692</v>
      </c>
      <c r="F5" s="6">
        <f>Sheet5!O34</f>
        <v>0.62629870129870124</v>
      </c>
      <c r="G5" s="19">
        <f t="shared" si="0"/>
        <v>0.59742296747760415</v>
      </c>
    </row>
    <row r="6" spans="1:7">
      <c r="A6" s="4" t="s">
        <v>56</v>
      </c>
      <c r="B6" s="6" t="s">
        <v>54</v>
      </c>
      <c r="C6" s="6" t="s">
        <v>54</v>
      </c>
      <c r="D6" s="6" t="s">
        <v>54</v>
      </c>
      <c r="E6" s="6" t="s">
        <v>54</v>
      </c>
      <c r="F6" s="6" t="s">
        <v>54</v>
      </c>
      <c r="G6" s="19" t="s">
        <v>54</v>
      </c>
    </row>
    <row r="7" spans="1:7">
      <c r="A7" s="4" t="s">
        <v>57</v>
      </c>
      <c r="B7" s="6" t="s">
        <v>54</v>
      </c>
      <c r="C7" s="6" t="s">
        <v>54</v>
      </c>
      <c r="D7" s="6" t="s">
        <v>54</v>
      </c>
      <c r="E7" s="6" t="s">
        <v>54</v>
      </c>
      <c r="F7" s="6" t="s">
        <v>54</v>
      </c>
      <c r="G7" s="19" t="s">
        <v>54</v>
      </c>
    </row>
    <row r="8" spans="1:7">
      <c r="A8" s="4" t="s">
        <v>58</v>
      </c>
      <c r="B8" s="6" t="s">
        <v>54</v>
      </c>
      <c r="C8" s="6" t="s">
        <v>54</v>
      </c>
      <c r="D8" s="6" t="s">
        <v>54</v>
      </c>
      <c r="E8" s="6" t="s">
        <v>54</v>
      </c>
      <c r="F8" s="6" t="s">
        <v>54</v>
      </c>
      <c r="G8" s="19" t="s">
        <v>54</v>
      </c>
    </row>
    <row r="9" spans="1:7">
      <c r="A9" s="4" t="s">
        <v>51</v>
      </c>
      <c r="B9" s="6">
        <f>Sheet5!G95</f>
        <v>0.61055634807417969</v>
      </c>
      <c r="C9" s="6">
        <f>Sheet5!I95</f>
        <v>0.71844018506278917</v>
      </c>
      <c r="D9" s="6">
        <f>Sheet5!K95</f>
        <v>0.60831509846827136</v>
      </c>
      <c r="E9" s="6">
        <f>Sheet5!M95</f>
        <v>0.61909218530650445</v>
      </c>
      <c r="F9" s="6">
        <f>Sheet5!O95</f>
        <v>0.62471655328798181</v>
      </c>
      <c r="G9" s="19">
        <f t="shared" si="0"/>
        <v>0.63622407403994541</v>
      </c>
    </row>
    <row r="10" spans="1:7">
      <c r="A10" s="4" t="s">
        <v>52</v>
      </c>
      <c r="B10" s="6">
        <f>Sheet5!G113</f>
        <v>0.53823672674135414</v>
      </c>
      <c r="C10" s="6">
        <f>Sheet5!I113</f>
        <v>0.72972972972972971</v>
      </c>
      <c r="D10" s="6">
        <f>Sheet5!K113</f>
        <v>0.52861796184271759</v>
      </c>
      <c r="E10" s="6">
        <f>Sheet5!M113</f>
        <v>0.57440944881889766</v>
      </c>
      <c r="F10" s="6">
        <f>Sheet5!O113</f>
        <v>0.60453808752025928</v>
      </c>
      <c r="G10" s="19">
        <f t="shared" si="0"/>
        <v>0.5951063909305917</v>
      </c>
    </row>
    <row r="11" spans="1:7">
      <c r="A11" s="4" t="s">
        <v>53</v>
      </c>
      <c r="B11" s="6">
        <f>Sheet5!G131</f>
        <v>0.4216710182767624</v>
      </c>
      <c r="C11" s="6">
        <f>Sheet5!I131</f>
        <v>0.62014725568942441</v>
      </c>
      <c r="D11" s="6">
        <f>Sheet5!K131</f>
        <v>0.50133809099018734</v>
      </c>
      <c r="E11" s="6">
        <f>Sheet5!M131</f>
        <v>0.480564553447478</v>
      </c>
      <c r="F11" s="6">
        <f>Sheet5!O131</f>
        <v>0.52751965689778413</v>
      </c>
      <c r="G11" s="19">
        <f t="shared" si="0"/>
        <v>0.51024811506032719</v>
      </c>
    </row>
    <row r="13" spans="1:7" ht="15">
      <c r="A13" s="5" t="s">
        <v>35</v>
      </c>
      <c r="B13" s="4" t="s">
        <v>13</v>
      </c>
      <c r="C13" s="4" t="s">
        <v>1</v>
      </c>
      <c r="D13" s="4" t="s">
        <v>2</v>
      </c>
      <c r="E13" s="4" t="s">
        <v>3</v>
      </c>
      <c r="F13" s="4" t="s">
        <v>4</v>
      </c>
      <c r="G13" s="4" t="s">
        <v>55</v>
      </c>
    </row>
    <row r="14" spans="1:7">
      <c r="A14" s="4" t="s">
        <v>32</v>
      </c>
      <c r="B14" s="6">
        <f>Detailed!G9</f>
        <v>0.28445839874411305</v>
      </c>
      <c r="C14" s="6">
        <f>Detailed!I9</f>
        <v>0.17132216014897581</v>
      </c>
      <c r="D14" s="6">
        <f>Detailed!K9</f>
        <v>0.19168831168831169</v>
      </c>
      <c r="E14" s="6">
        <f>Detailed!M9</f>
        <v>0.18650707290533189</v>
      </c>
      <c r="F14" s="6">
        <f>Detailed!O9</f>
        <v>0.18089486686796596</v>
      </c>
      <c r="G14" s="19">
        <f>AVERAGE(B14:F14)</f>
        <v>0.20297416207093968</v>
      </c>
    </row>
    <row r="15" spans="1:7">
      <c r="A15" s="4" t="s">
        <v>50</v>
      </c>
      <c r="B15" s="6">
        <f>Sheet5!G9</f>
        <v>0.22467289719626168</v>
      </c>
      <c r="C15" s="6">
        <f>Sheet5!I9</f>
        <v>5.1635878032494989E-2</v>
      </c>
      <c r="D15" s="6">
        <f>Sheet5!K9</f>
        <v>0.18098384728340675</v>
      </c>
      <c r="E15" s="6">
        <f>Sheet5!M9</f>
        <v>0.1411486785767016</v>
      </c>
      <c r="F15" s="6">
        <f>Sheet5!O9</f>
        <v>0.11283095723014257</v>
      </c>
      <c r="G15" s="19">
        <f t="shared" ref="G15:G23" si="1">AVERAGE(B15:F15)</f>
        <v>0.14225445166380152</v>
      </c>
    </row>
    <row r="16" spans="1:7">
      <c r="A16" s="4" t="s">
        <v>59</v>
      </c>
      <c r="B16" s="6" t="s">
        <v>54</v>
      </c>
      <c r="C16" s="6" t="s">
        <v>54</v>
      </c>
      <c r="D16" s="6" t="s">
        <v>54</v>
      </c>
      <c r="E16" s="6" t="s">
        <v>54</v>
      </c>
      <c r="F16" s="6" t="s">
        <v>54</v>
      </c>
      <c r="G16" s="19" t="s">
        <v>54</v>
      </c>
    </row>
    <row r="17" spans="1:7">
      <c r="A17" s="4" t="s">
        <v>43</v>
      </c>
      <c r="B17" s="6">
        <f>Sheet5!G40</f>
        <v>0.19075314731649856</v>
      </c>
      <c r="C17" s="6">
        <f>Sheet5!I40</f>
        <v>-4.2318876446204294E-2</v>
      </c>
      <c r="D17" s="6">
        <f>Sheet5!K40</f>
        <v>0.13165118243243243</v>
      </c>
      <c r="E17" s="6">
        <f>Sheet5!M40</f>
        <v>0.12863655590543779</v>
      </c>
      <c r="F17" s="6">
        <f>Sheet5!O40</f>
        <v>4.6688311688311689E-2</v>
      </c>
      <c r="G17" s="19">
        <f t="shared" si="1"/>
        <v>9.1082064179295236E-2</v>
      </c>
    </row>
    <row r="18" spans="1:7">
      <c r="A18" s="4" t="s">
        <v>56</v>
      </c>
      <c r="B18" s="6">
        <v>0.28299999999999997</v>
      </c>
      <c r="C18" s="6">
        <v>0.124</v>
      </c>
      <c r="D18" s="6">
        <v>0.186</v>
      </c>
      <c r="E18" s="6">
        <v>0.24199999999999999</v>
      </c>
      <c r="F18" s="6"/>
      <c r="G18" s="19">
        <f t="shared" si="1"/>
        <v>0.20874999999999999</v>
      </c>
    </row>
    <row r="19" spans="1:7">
      <c r="A19" s="4" t="s">
        <v>57</v>
      </c>
      <c r="B19" s="6"/>
      <c r="C19" s="6">
        <v>0.10299999999999999</v>
      </c>
      <c r="D19" s="6">
        <v>0.20799999999999999</v>
      </c>
      <c r="E19" s="6">
        <v>0.219</v>
      </c>
      <c r="F19" s="6"/>
      <c r="G19" s="19">
        <f t="shared" si="1"/>
        <v>0.17666666666666667</v>
      </c>
    </row>
    <row r="20" spans="1:7">
      <c r="A20" s="4" t="s">
        <v>58</v>
      </c>
      <c r="B20" s="6">
        <v>0.17699999999999999</v>
      </c>
      <c r="C20" s="6">
        <v>6.5000000000000002E-2</v>
      </c>
      <c r="D20" s="6">
        <v>0.158</v>
      </c>
      <c r="E20" s="6">
        <v>0.17299999999999999</v>
      </c>
      <c r="F20" s="6"/>
      <c r="G20" s="19">
        <f t="shared" si="1"/>
        <v>0.14324999999999999</v>
      </c>
    </row>
    <row r="21" spans="1:7">
      <c r="A21" s="4" t="s">
        <v>51</v>
      </c>
      <c r="B21" s="6">
        <f>Sheet5!G101</f>
        <v>0.22253922967189729</v>
      </c>
      <c r="C21" s="6">
        <f>Sheet5!I101</f>
        <v>9.781890284203569E-2</v>
      </c>
      <c r="D21" s="6">
        <f>Sheet5!K101</f>
        <v>0.18052516411378555</v>
      </c>
      <c r="E21" s="6">
        <f>Sheet5!M101</f>
        <v>0.17781937295273748</v>
      </c>
      <c r="F21" s="6">
        <f>Sheet5!O101</f>
        <v>0.1326530612244898</v>
      </c>
      <c r="G21" s="19">
        <f t="shared" si="1"/>
        <v>0.1622711461609892</v>
      </c>
    </row>
    <row r="22" spans="1:7">
      <c r="A22" s="4" t="s">
        <v>52</v>
      </c>
      <c r="B22" s="6">
        <f>Sheet5!G119</f>
        <v>0.20750121773015101</v>
      </c>
      <c r="C22" s="6">
        <f>Sheet5!I119</f>
        <v>2.9189189189189189E-2</v>
      </c>
      <c r="D22" s="6">
        <f>Sheet5!K119</f>
        <v>0.16798510935318753</v>
      </c>
      <c r="E22" s="6">
        <f>Sheet5!M119</f>
        <v>0.14094488188976378</v>
      </c>
      <c r="F22" s="6">
        <f>Sheet5!O119</f>
        <v>0.11075094543490005</v>
      </c>
      <c r="G22" s="19">
        <f t="shared" si="1"/>
        <v>0.13127426871943831</v>
      </c>
    </row>
    <row r="23" spans="1:7">
      <c r="A23" s="4" t="s">
        <v>53</v>
      </c>
      <c r="B23" s="6">
        <f>Sheet5!G137</f>
        <v>0.22486945169712794</v>
      </c>
      <c r="C23" s="6">
        <f>Sheet5!I137</f>
        <v>4.5180722891566265E-2</v>
      </c>
      <c r="D23" s="6">
        <f>Sheet5!K137</f>
        <v>0.19774011299435029</v>
      </c>
      <c r="E23" s="6">
        <f>Sheet5!M137</f>
        <v>0.20684868116612679</v>
      </c>
      <c r="F23" s="6">
        <f>Sheet5!O137</f>
        <v>0.13545389563974267</v>
      </c>
      <c r="G23" s="19">
        <f t="shared" si="1"/>
        <v>0.16201857287778279</v>
      </c>
    </row>
    <row r="25" spans="1:7" ht="15">
      <c r="A25" s="5" t="s">
        <v>61</v>
      </c>
      <c r="B25" s="4" t="s">
        <v>13</v>
      </c>
      <c r="C25" s="4" t="s">
        <v>1</v>
      </c>
      <c r="D25" s="4" t="s">
        <v>2</v>
      </c>
      <c r="E25" s="4" t="s">
        <v>3</v>
      </c>
      <c r="F25" s="4" t="s">
        <v>60</v>
      </c>
      <c r="G25" s="4" t="s">
        <v>55</v>
      </c>
    </row>
    <row r="26" spans="1:7">
      <c r="A26" s="4" t="s">
        <v>32</v>
      </c>
      <c r="B26" s="20">
        <f>Detailed!F2*1000000/Detailed!F27</f>
        <v>28988.277268093781</v>
      </c>
      <c r="C26" s="20">
        <f>Detailed!H2*1000000/Detailed!H27</f>
        <v>34212.538226299694</v>
      </c>
      <c r="D26" s="20">
        <f>Detailed!J2*1000000/Detailed!J27</f>
        <v>35040.774719673806</v>
      </c>
      <c r="E26" s="20">
        <f>Detailed!L2*1000000/Detailed!L27</f>
        <v>41821.392165428864</v>
      </c>
      <c r="F26" s="20">
        <f>Detailed!N2*1000000*1.33/Detailed!N27</f>
        <v>44098.496432212029</v>
      </c>
      <c r="G26" s="20">
        <f>AVERAGE(B26:F26)</f>
        <v>36832.295762341637</v>
      </c>
    </row>
    <row r="27" spans="1:7">
      <c r="A27" s="4" t="s">
        <v>50</v>
      </c>
      <c r="B27" s="20">
        <f>Sheet5!F75*1000000/Sheet5!F91</f>
        <v>9719.911259012757</v>
      </c>
      <c r="C27" s="20">
        <f>Sheet5!H75*1000000/Sheet5!H91</f>
        <v>10489.462007764836</v>
      </c>
      <c r="D27" s="20">
        <f>Sheet5!J75*1000000/Sheet5!J91</f>
        <v>12673.322240709927</v>
      </c>
      <c r="E27" s="20">
        <f>Sheet5!L75*1000000/Sheet5!L91</f>
        <v>9026.6222961730455</v>
      </c>
      <c r="F27" s="20">
        <f>Sheet5!N75*1000000*1.33/Sheet5!N91</f>
        <v>8381.6555740432614</v>
      </c>
      <c r="G27" s="20">
        <f t="shared" ref="G27:G35" si="2">AVERAGE(B27:F27)</f>
        <v>10058.194675540764</v>
      </c>
    </row>
    <row r="28" spans="1:7">
      <c r="A28" s="4" t="s">
        <v>59</v>
      </c>
      <c r="B28" s="20"/>
      <c r="C28" s="20"/>
      <c r="D28" s="20">
        <f>Sheet5!J27*1000000/Sheet5!J30</f>
        <v>32475.013465796877</v>
      </c>
      <c r="E28" s="20">
        <f>Sheet5!L27*1000000/Sheet5!L30</f>
        <v>41190.376443832662</v>
      </c>
      <c r="F28" s="20"/>
      <c r="G28" s="20">
        <f t="shared" si="2"/>
        <v>36832.694954814768</v>
      </c>
    </row>
    <row r="29" spans="1:7">
      <c r="A29" s="4" t="s">
        <v>43</v>
      </c>
      <c r="B29" s="20">
        <f>Sheet5!F33*1000000/Sheet5!F49</f>
        <v>36710.810810810814</v>
      </c>
      <c r="C29" s="20">
        <f>Sheet5!H33*1000000/Sheet5!H49</f>
        <v>37392.193514954102</v>
      </c>
      <c r="D29" s="20">
        <f>Sheet5!J33*1000000/Sheet5!J49</f>
        <v>43825.880959431452</v>
      </c>
      <c r="E29" s="20">
        <f>Sheet5!L33*1000000/Sheet5!L49</f>
        <v>43422.448979591834</v>
      </c>
      <c r="F29" s="20">
        <f>Sheet5!N33*1000000*1.33/Sheet5!N49</f>
        <v>40964</v>
      </c>
      <c r="G29" s="20">
        <f t="shared" si="2"/>
        <v>40463.066852957636</v>
      </c>
    </row>
    <row r="30" spans="1:7">
      <c r="A30" s="4" t="s">
        <v>56</v>
      </c>
      <c r="B30" s="20">
        <f>[1]thiag!B24*1000/82000</f>
        <v>22413.414634146342</v>
      </c>
      <c r="C30" s="20">
        <f>[1]thiag!C24*1000/82000</f>
        <v>24174.390243902439</v>
      </c>
      <c r="D30" s="20">
        <f>[1]thiag!D24*1000/82000</f>
        <v>26860.975609756097</v>
      </c>
      <c r="E30" s="20">
        <f>[1]thiag!E24*1000/82000</f>
        <v>31463.414634146342</v>
      </c>
      <c r="F30" s="20"/>
      <c r="G30" s="20">
        <f t="shared" si="2"/>
        <v>26228.048780487807</v>
      </c>
    </row>
    <row r="31" spans="1:7">
      <c r="A31" s="4" t="s">
        <v>57</v>
      </c>
      <c r="B31" s="4"/>
      <c r="C31" s="20">
        <f>[2]satyanarayana!B24*1000/42000</f>
        <v>10042.857142857143</v>
      </c>
      <c r="D31" s="20">
        <f>[2]satyanarayana!C24*1000/42000</f>
        <v>12273.809523809523</v>
      </c>
      <c r="E31" s="20">
        <f>[2]satyanarayana!D24*1000/42000</f>
        <v>14538.095238095239</v>
      </c>
      <c r="F31" s="20"/>
      <c r="G31" s="20">
        <f>AVERAGE(C31:F31)</f>
        <v>12284.920634920634</v>
      </c>
    </row>
    <row r="32" spans="1:7">
      <c r="A32" s="4" t="s">
        <v>58</v>
      </c>
      <c r="B32" s="20">
        <f>[3]akkamamba!B24*1000/86304</f>
        <v>14402.576937337783</v>
      </c>
      <c r="C32" s="20">
        <f>[3]akkamamba!C24*1000/86304</f>
        <v>13360.910270671116</v>
      </c>
      <c r="D32" s="20">
        <f>[3]akkamamba!D24*1000/86304</f>
        <v>14029.477196885427</v>
      </c>
      <c r="E32" s="20">
        <f>[3]akkamamba!E24*1000/86304</f>
        <v>14983.08305524657</v>
      </c>
      <c r="F32" s="20"/>
      <c r="G32" s="20">
        <f t="shared" si="2"/>
        <v>14194.011865035223</v>
      </c>
    </row>
    <row r="33" spans="1:7">
      <c r="A33" s="4" t="s">
        <v>51</v>
      </c>
      <c r="B33" s="20">
        <f>Sheet5!F94*1000000/Sheet5!F110</f>
        <v>26961.538461538461</v>
      </c>
      <c r="C33" s="20">
        <f>Sheet5!H94*1000000/Sheet5!H110</f>
        <v>29096.153846153848</v>
      </c>
      <c r="D33" s="20">
        <f>Sheet5!J94*1000000/Sheet5!J110</f>
        <v>32411.347517730497</v>
      </c>
      <c r="E33" s="20">
        <f>Sheet5!L94*1000000/Sheet5!L110</f>
        <v>37890.070921985818</v>
      </c>
      <c r="F33" s="20">
        <f>Sheet5!N94*1000000*1.33/Sheet5!N110</f>
        <v>41597.872340425529</v>
      </c>
      <c r="G33" s="20">
        <f t="shared" si="2"/>
        <v>33591.396617566832</v>
      </c>
    </row>
    <row r="34" spans="1:7">
      <c r="A34" s="4" t="s">
        <v>52</v>
      </c>
      <c r="B34" s="20">
        <f>Sheet5!F112*1000000/Sheet5!F128</f>
        <v>18663.636363636364</v>
      </c>
      <c r="C34" s="20">
        <f>Sheet5!H112*1000000/Sheet5!H128</f>
        <v>16818.18181818182</v>
      </c>
      <c r="D34" s="20">
        <f>Sheet5!J112*1000000/Sheet5!J128</f>
        <v>19536.363636363636</v>
      </c>
      <c r="E34" s="20">
        <f>Sheet5!L112*1000000/Sheet5!L128</f>
        <v>23090.909090909092</v>
      </c>
      <c r="F34" s="20">
        <f>Sheet5!N112*1000000*1.33/Sheet5!N128</f>
        <v>22380.272727272728</v>
      </c>
      <c r="G34" s="20">
        <f t="shared" si="2"/>
        <v>20097.87272727273</v>
      </c>
    </row>
    <row r="35" spans="1:7">
      <c r="A35" s="4" t="s">
        <v>53</v>
      </c>
      <c r="B35" s="20">
        <f>Sheet5!F130*1000000/Sheet5!F146</f>
        <v>25846.942907274937</v>
      </c>
      <c r="C35" s="20">
        <f>Sheet5!H130*1000000/Sheet5!H146</f>
        <v>25205.830746389525</v>
      </c>
      <c r="D35" s="20">
        <f>Sheet5!J130*1000000/Sheet5!J146</f>
        <v>28369.213119179378</v>
      </c>
      <c r="E35" s="20">
        <f>Sheet5!L130*1000000/Sheet5!L146</f>
        <v>35468.093487394959</v>
      </c>
      <c r="F35" s="20">
        <f>Sheet5!N130*1000000*1.33/Sheet5!N146</f>
        <v>30538.832720588234</v>
      </c>
      <c r="G35" s="20">
        <f t="shared" si="2"/>
        <v>29085.782596165409</v>
      </c>
    </row>
    <row r="37" spans="1:7" ht="15">
      <c r="A37" s="5" t="s">
        <v>62</v>
      </c>
      <c r="B37" s="4" t="s">
        <v>13</v>
      </c>
      <c r="C37" s="4" t="s">
        <v>1</v>
      </c>
      <c r="D37" s="4" t="s">
        <v>2</v>
      </c>
      <c r="E37" s="4" t="s">
        <v>3</v>
      </c>
      <c r="F37" s="4" t="s">
        <v>60</v>
      </c>
      <c r="G37" s="4" t="s">
        <v>55</v>
      </c>
    </row>
    <row r="38" spans="1:7">
      <c r="A38" s="4" t="s">
        <v>32</v>
      </c>
      <c r="B38" s="20">
        <f>B26*B14</f>
        <v>8245.9589340323291</v>
      </c>
      <c r="C38" s="20">
        <f t="shared" ref="C38:F38" si="3">C26*C14</f>
        <v>5861.3659531090725</v>
      </c>
      <c r="D38" s="20">
        <f t="shared" si="3"/>
        <v>6716.9069462647449</v>
      </c>
      <c r="E38" s="20">
        <f t="shared" si="3"/>
        <v>7799.9854376001167</v>
      </c>
      <c r="F38" s="20">
        <f t="shared" si="3"/>
        <v>7977.1916411824668</v>
      </c>
      <c r="G38" s="20">
        <f>AVERAGE(B38:F38)</f>
        <v>7320.2817824377462</v>
      </c>
    </row>
    <row r="39" spans="1:7">
      <c r="A39" s="4" t="s">
        <v>50</v>
      </c>
      <c r="B39" s="20">
        <f t="shared" ref="B39:F39" si="4">B27*B15</f>
        <v>2183.8006230529595</v>
      </c>
      <c r="C39" s="20">
        <f t="shared" si="4"/>
        <v>541.63258085943505</v>
      </c>
      <c r="D39" s="20">
        <f t="shared" si="4"/>
        <v>2293.6666169860478</v>
      </c>
      <c r="E39" s="20">
        <f t="shared" si="4"/>
        <v>1274.0958091158175</v>
      </c>
      <c r="F39" s="20">
        <f t="shared" si="4"/>
        <v>945.71022159266124</v>
      </c>
      <c r="G39" s="20">
        <f t="shared" ref="G39:G42" si="5">AVERAGE(B39:F39)</f>
        <v>1447.7811703213843</v>
      </c>
    </row>
    <row r="40" spans="1:7">
      <c r="A40" s="4" t="s">
        <v>59</v>
      </c>
      <c r="B40" s="20" t="s">
        <v>54</v>
      </c>
      <c r="C40" s="20" t="s">
        <v>54</v>
      </c>
      <c r="D40" s="20" t="s">
        <v>54</v>
      </c>
      <c r="E40" s="20" t="s">
        <v>54</v>
      </c>
      <c r="F40" s="20" t="s">
        <v>54</v>
      </c>
      <c r="G40" s="20" t="s">
        <v>54</v>
      </c>
    </row>
    <row r="41" spans="1:7">
      <c r="A41" s="4" t="s">
        <v>43</v>
      </c>
      <c r="B41" s="20">
        <f t="shared" ref="B41:F41" si="6">B29*B17</f>
        <v>7002.7027027027034</v>
      </c>
      <c r="C41" s="20">
        <f t="shared" si="6"/>
        <v>-1582.3956174119041</v>
      </c>
      <c r="D41" s="20">
        <f t="shared" si="6"/>
        <v>5769.7290494521767</v>
      </c>
      <c r="E41" s="20">
        <f t="shared" si="6"/>
        <v>5585.7142857142853</v>
      </c>
      <c r="F41" s="20">
        <f t="shared" si="6"/>
        <v>1912.54</v>
      </c>
      <c r="G41" s="20">
        <f t="shared" si="5"/>
        <v>3737.6580840914526</v>
      </c>
    </row>
    <row r="42" spans="1:7">
      <c r="A42" s="4" t="s">
        <v>56</v>
      </c>
      <c r="B42" s="20">
        <f t="shared" ref="B42:E42" si="7">B30*B18</f>
        <v>6342.996341463414</v>
      </c>
      <c r="C42" s="20">
        <f t="shared" si="7"/>
        <v>2997.6243902439023</v>
      </c>
      <c r="D42" s="20">
        <f t="shared" si="7"/>
        <v>4996.141463414634</v>
      </c>
      <c r="E42" s="20">
        <f t="shared" si="7"/>
        <v>7614.1463414634145</v>
      </c>
      <c r="F42" s="20"/>
      <c r="G42" s="20">
        <f t="shared" si="5"/>
        <v>5487.727134146342</v>
      </c>
    </row>
    <row r="43" spans="1:7">
      <c r="A43" s="4" t="s">
        <v>57</v>
      </c>
      <c r="B43" s="20"/>
      <c r="C43" s="20">
        <f t="shared" ref="C43:E43" si="8">C31*C19</f>
        <v>1034.4142857142856</v>
      </c>
      <c r="D43" s="20">
        <f t="shared" si="8"/>
        <v>2552.9523809523807</v>
      </c>
      <c r="E43" s="20">
        <f t="shared" si="8"/>
        <v>3183.8428571428572</v>
      </c>
      <c r="F43" s="20"/>
      <c r="G43" s="20">
        <f>AVERAGE(C43:F43)</f>
        <v>2257.0698412698412</v>
      </c>
    </row>
    <row r="44" spans="1:7">
      <c r="A44" s="4" t="s">
        <v>58</v>
      </c>
      <c r="B44" s="20">
        <f t="shared" ref="B44:E44" si="9">B32*B20</f>
        <v>2549.2561179087875</v>
      </c>
      <c r="C44" s="20">
        <f t="shared" si="9"/>
        <v>868.45916759362262</v>
      </c>
      <c r="D44" s="20">
        <f t="shared" si="9"/>
        <v>2216.6573971078974</v>
      </c>
      <c r="E44" s="20">
        <f t="shared" si="9"/>
        <v>2592.0733685576565</v>
      </c>
      <c r="F44" s="20"/>
      <c r="G44" s="20">
        <f t="shared" ref="G44:G47" si="10">AVERAGE(B44:F44)</f>
        <v>2056.6115127919911</v>
      </c>
    </row>
    <row r="45" spans="1:7">
      <c r="A45" s="4" t="s">
        <v>51</v>
      </c>
      <c r="B45" s="20">
        <f t="shared" ref="B45:F45" si="11">B33*B21</f>
        <v>6000</v>
      </c>
      <c r="C45" s="20">
        <f t="shared" si="11"/>
        <v>2846.1538461538462</v>
      </c>
      <c r="D45" s="20">
        <f t="shared" si="11"/>
        <v>5851.0638297872338</v>
      </c>
      <c r="E45" s="20">
        <f t="shared" si="11"/>
        <v>6737.5886524822699</v>
      </c>
      <c r="F45" s="20">
        <f t="shared" si="11"/>
        <v>5518.0851063829787</v>
      </c>
      <c r="G45" s="20">
        <f t="shared" si="10"/>
        <v>5390.5782869612658</v>
      </c>
    </row>
    <row r="46" spans="1:7">
      <c r="A46" s="4" t="s">
        <v>52</v>
      </c>
      <c r="B46" s="20">
        <f t="shared" ref="B46:F46" si="12">B34*B22</f>
        <v>3872.727272727273</v>
      </c>
      <c r="C46" s="20">
        <f t="shared" si="12"/>
        <v>490.90909090909093</v>
      </c>
      <c r="D46" s="20">
        <f t="shared" si="12"/>
        <v>3281.8181818181815</v>
      </c>
      <c r="E46" s="20">
        <f t="shared" si="12"/>
        <v>3254.545454545455</v>
      </c>
      <c r="F46" s="20">
        <f t="shared" si="12"/>
        <v>2478.6363636363635</v>
      </c>
      <c r="G46" s="20">
        <f t="shared" si="10"/>
        <v>2675.727272727273</v>
      </c>
    </row>
    <row r="47" spans="1:7">
      <c r="A47" s="4" t="s">
        <v>53</v>
      </c>
      <c r="B47" s="20">
        <f t="shared" ref="B47:F47" si="13">B35*B23</f>
        <v>5812.1878796058854</v>
      </c>
      <c r="C47" s="20">
        <f t="shared" si="13"/>
        <v>1138.8176542043461</v>
      </c>
      <c r="D47" s="20">
        <f t="shared" si="13"/>
        <v>5609.7314077473347</v>
      </c>
      <c r="E47" s="20">
        <f t="shared" si="13"/>
        <v>7336.5283613445381</v>
      </c>
      <c r="F47" s="20">
        <f t="shared" si="13"/>
        <v>4136.6038602941171</v>
      </c>
      <c r="G47" s="20">
        <f t="shared" si="10"/>
        <v>4806.7738326392446</v>
      </c>
    </row>
    <row r="49" spans="1:7" ht="15">
      <c r="A49" s="5" t="s">
        <v>63</v>
      </c>
      <c r="B49" s="4" t="s">
        <v>13</v>
      </c>
      <c r="C49" s="4" t="s">
        <v>1</v>
      </c>
      <c r="D49" s="4" t="s">
        <v>2</v>
      </c>
      <c r="E49" s="4" t="s">
        <v>3</v>
      </c>
      <c r="F49" s="4" t="s">
        <v>60</v>
      </c>
      <c r="G49" s="4" t="s">
        <v>55</v>
      </c>
    </row>
    <row r="50" spans="1:7">
      <c r="A50" s="4" t="s">
        <v>32</v>
      </c>
      <c r="B50" s="20">
        <f>Detailed!B27</f>
        <v>109872</v>
      </c>
      <c r="C50" s="20">
        <f>B50</f>
        <v>109872</v>
      </c>
      <c r="D50" s="20">
        <f>Detailed!D27</f>
        <v>109872</v>
      </c>
      <c r="E50" s="20">
        <f>D50</f>
        <v>109872</v>
      </c>
      <c r="F50" s="20">
        <f>Detailed!F27</f>
        <v>109872</v>
      </c>
      <c r="G50" s="20">
        <f>AVERAGE(B50:F50)</f>
        <v>109872</v>
      </c>
    </row>
    <row r="51" spans="1:7">
      <c r="A51" s="4" t="s">
        <v>50</v>
      </c>
      <c r="B51" s="20">
        <f>Sheet5!F18</f>
        <v>144240</v>
      </c>
      <c r="C51" s="20">
        <f>B51</f>
        <v>144240</v>
      </c>
      <c r="D51" s="20">
        <f>Sheet5!H18</f>
        <v>144240</v>
      </c>
      <c r="E51" s="20">
        <f>D51</f>
        <v>144240</v>
      </c>
      <c r="F51" s="20">
        <f>Sheet5!J18</f>
        <v>144240</v>
      </c>
      <c r="G51" s="20">
        <f t="shared" ref="G51:G52" si="14">AVERAGE(B51:F51)</f>
        <v>144240</v>
      </c>
    </row>
    <row r="52" spans="1:7">
      <c r="A52" s="4" t="s">
        <v>59</v>
      </c>
      <c r="B52" s="20"/>
      <c r="C52" s="20"/>
      <c r="D52" s="20">
        <f>Sheet5!J30</f>
        <v>133672</v>
      </c>
      <c r="E52" s="20">
        <f>D52</f>
        <v>133672</v>
      </c>
      <c r="F52" s="20"/>
      <c r="G52" s="20">
        <f t="shared" si="14"/>
        <v>133672</v>
      </c>
    </row>
    <row r="53" spans="1:7">
      <c r="A53" s="4" t="s">
        <v>43</v>
      </c>
      <c r="B53" s="20">
        <f>Sheet5!F49</f>
        <v>370000</v>
      </c>
      <c r="C53" s="20">
        <f>Sheet5!H49</f>
        <v>432256</v>
      </c>
      <c r="D53" s="20">
        <f>Sheet5!J49</f>
        <v>432256</v>
      </c>
      <c r="E53" s="20">
        <f>Sheet5!L49</f>
        <v>490000</v>
      </c>
      <c r="F53" s="20">
        <f>Sheet5!N49</f>
        <v>500000</v>
      </c>
      <c r="G53" s="20">
        <f t="shared" ref="G53:G54" si="15">AVERAGE(B53:F53)</f>
        <v>444902.40000000002</v>
      </c>
    </row>
    <row r="54" spans="1:7">
      <c r="A54" s="4" t="s">
        <v>56</v>
      </c>
      <c r="B54" s="20">
        <v>82000</v>
      </c>
      <c r="C54" s="20">
        <v>82000</v>
      </c>
      <c r="D54" s="20">
        <v>82000</v>
      </c>
      <c r="E54" s="20">
        <v>82000</v>
      </c>
      <c r="F54" s="20"/>
      <c r="G54" s="20">
        <f t="shared" si="15"/>
        <v>82000</v>
      </c>
    </row>
    <row r="55" spans="1:7">
      <c r="A55" s="4" t="s">
        <v>57</v>
      </c>
      <c r="B55" s="20"/>
      <c r="C55" s="20">
        <v>42000</v>
      </c>
      <c r="D55" s="20">
        <v>42000</v>
      </c>
      <c r="E55" s="20">
        <v>42000</v>
      </c>
      <c r="F55" s="20"/>
      <c r="G55" s="20">
        <f>AVERAGE(C55:F55)</f>
        <v>42000</v>
      </c>
    </row>
    <row r="56" spans="1:7">
      <c r="A56" s="4" t="s">
        <v>58</v>
      </c>
      <c r="B56" s="20">
        <v>86304</v>
      </c>
      <c r="C56" s="20">
        <v>86304</v>
      </c>
      <c r="D56" s="20">
        <v>86304</v>
      </c>
      <c r="E56" s="20">
        <v>86304</v>
      </c>
      <c r="F56" s="20"/>
      <c r="G56" s="20">
        <f t="shared" ref="G56:G59" si="16">AVERAGE(B56:F56)</f>
        <v>86304</v>
      </c>
    </row>
    <row r="57" spans="1:7">
      <c r="A57" s="4" t="s">
        <v>51</v>
      </c>
      <c r="B57" s="20">
        <f>Sheet5!F110</f>
        <v>52000</v>
      </c>
      <c r="C57" s="20">
        <f>Sheet5!H110</f>
        <v>52000</v>
      </c>
      <c r="D57" s="20">
        <f>Sheet5!J110</f>
        <v>56400</v>
      </c>
      <c r="E57" s="20">
        <f>Sheet5!L110</f>
        <v>56400</v>
      </c>
      <c r="F57" s="20">
        <f>Sheet5!N110</f>
        <v>56400</v>
      </c>
      <c r="G57" s="20">
        <f t="shared" si="16"/>
        <v>54640</v>
      </c>
    </row>
    <row r="58" spans="1:7">
      <c r="A58" s="4" t="s">
        <v>52</v>
      </c>
      <c r="B58" s="20">
        <v>110000</v>
      </c>
      <c r="C58" s="20">
        <f>B58</f>
        <v>110000</v>
      </c>
      <c r="D58" s="20">
        <f t="shared" ref="D58:F58" si="17">C58</f>
        <v>110000</v>
      </c>
      <c r="E58" s="20">
        <f t="shared" si="17"/>
        <v>110000</v>
      </c>
      <c r="F58" s="20">
        <f t="shared" si="17"/>
        <v>110000</v>
      </c>
      <c r="G58" s="20">
        <f t="shared" si="16"/>
        <v>110000</v>
      </c>
    </row>
    <row r="59" spans="1:7">
      <c r="A59" s="4" t="s">
        <v>53</v>
      </c>
      <c r="B59" s="20">
        <f>Sheet5!F146</f>
        <v>118544</v>
      </c>
      <c r="C59" s="20">
        <f>Sheet5!H146</f>
        <v>118544</v>
      </c>
      <c r="D59" s="20">
        <f>Sheet5!J146</f>
        <v>118544</v>
      </c>
      <c r="E59" s="20">
        <f>Sheet5!L146</f>
        <v>121856</v>
      </c>
      <c r="F59" s="20">
        <f>Sheet5!N146</f>
        <v>121856</v>
      </c>
      <c r="G59" s="20">
        <f t="shared" si="16"/>
        <v>119868.8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Detailed</vt:lpstr>
      <vt:lpstr>Sheet3</vt:lpstr>
      <vt:lpstr>Sheet4</vt:lpstr>
      <vt:lpstr>Sheet5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 Maroo</dc:creator>
  <cp:lastModifiedBy>Karan Maroo</cp:lastModifiedBy>
  <dcterms:created xsi:type="dcterms:W3CDTF">2014-07-03T18:35:52Z</dcterms:created>
  <dcterms:modified xsi:type="dcterms:W3CDTF">2015-05-23T08:06:33Z</dcterms:modified>
</cp:coreProperties>
</file>