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codeName="ThisWorkbook" autoCompressPictures="0"/>
  <bookViews>
    <workbookView xWindow="240" yWindow="240" windowWidth="25360" windowHeight="15280" activeTab="4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</sheets>
  <definedNames>
    <definedName name="BS">'Balance Sheet'!$A$3:$K$17</definedName>
    <definedName name="PL">'Profit &amp; Loss'!$A$3:$N$21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3" i="5" l="1"/>
  <c r="B184" i="5"/>
  <c r="C183" i="5"/>
  <c r="I5" i="5"/>
  <c r="J5" i="5"/>
  <c r="K5" i="5"/>
  <c r="B180" i="5"/>
  <c r="C189" i="5"/>
  <c r="B189" i="5"/>
  <c r="D189" i="5"/>
  <c r="C190" i="5"/>
  <c r="B190" i="5"/>
  <c r="D190" i="5"/>
  <c r="C191" i="5"/>
  <c r="B191" i="5"/>
  <c r="D191" i="5"/>
  <c r="C192" i="5"/>
  <c r="B192" i="5"/>
  <c r="D192" i="5"/>
  <c r="C193" i="5"/>
  <c r="B193" i="5"/>
  <c r="D193" i="5"/>
  <c r="C194" i="5"/>
  <c r="B194" i="5"/>
  <c r="D194" i="5"/>
  <c r="C195" i="5"/>
  <c r="B195" i="5"/>
  <c r="D195" i="5"/>
  <c r="C196" i="5"/>
  <c r="B196" i="5"/>
  <c r="D196" i="5"/>
  <c r="C197" i="5"/>
  <c r="B197" i="5"/>
  <c r="D197" i="5"/>
  <c r="C198" i="5"/>
  <c r="B198" i="5"/>
  <c r="D198" i="5"/>
  <c r="B201" i="5"/>
  <c r="B200" i="5"/>
  <c r="B202" i="5"/>
  <c r="B203" i="5"/>
  <c r="B186" i="5"/>
  <c r="B204" i="5"/>
  <c r="E69" i="6"/>
  <c r="E16" i="1"/>
  <c r="F69" i="6"/>
  <c r="F16" i="1"/>
  <c r="G69" i="6"/>
  <c r="G16" i="1"/>
  <c r="H69" i="6"/>
  <c r="H16" i="1"/>
  <c r="I69" i="6"/>
  <c r="I16" i="1"/>
  <c r="J69" i="6"/>
  <c r="J16" i="1"/>
  <c r="K69" i="6"/>
  <c r="K16" i="1"/>
  <c r="H14" i="3"/>
  <c r="I14" i="3"/>
  <c r="J14" i="3"/>
  <c r="K14" i="3"/>
  <c r="L14" i="1"/>
  <c r="L15" i="1"/>
  <c r="L17" i="1"/>
  <c r="L16" i="1"/>
  <c r="I26" i="1"/>
  <c r="J26" i="1"/>
  <c r="K26" i="1"/>
  <c r="K4" i="1"/>
  <c r="H4" i="1"/>
  <c r="K24" i="1"/>
  <c r="J4" i="1"/>
  <c r="H4" i="3"/>
  <c r="I4" i="3"/>
  <c r="J4" i="3"/>
  <c r="K4" i="3"/>
  <c r="L4" i="1"/>
  <c r="L24" i="1"/>
  <c r="M24" i="1"/>
  <c r="M4" i="1"/>
  <c r="I4" i="1"/>
  <c r="B16" i="5"/>
  <c r="B13" i="5"/>
  <c r="B4" i="1"/>
  <c r="H24" i="1"/>
  <c r="D4" i="1"/>
  <c r="I24" i="1"/>
  <c r="F4" i="1"/>
  <c r="J24" i="1"/>
  <c r="N24" i="1"/>
  <c r="N4" i="1"/>
  <c r="C4" i="1"/>
  <c r="E4" i="1"/>
  <c r="G4" i="1"/>
  <c r="B6" i="1"/>
  <c r="B21" i="1"/>
  <c r="C6" i="1"/>
  <c r="C21" i="1"/>
  <c r="D6" i="1"/>
  <c r="D21" i="1"/>
  <c r="E6" i="1"/>
  <c r="E21" i="1"/>
  <c r="F6" i="1"/>
  <c r="F21" i="1"/>
  <c r="G6" i="1"/>
  <c r="G21" i="1"/>
  <c r="H6" i="1"/>
  <c r="H21" i="1"/>
  <c r="I6" i="1"/>
  <c r="I21" i="1"/>
  <c r="J6" i="1"/>
  <c r="J21" i="1"/>
  <c r="K6" i="1"/>
  <c r="K21" i="1"/>
  <c r="H25" i="1"/>
  <c r="I25" i="1"/>
  <c r="J25" i="1"/>
  <c r="H6" i="3"/>
  <c r="I6" i="3"/>
  <c r="J6" i="3"/>
  <c r="K6" i="3"/>
  <c r="L6" i="1"/>
  <c r="L21" i="1"/>
  <c r="L25" i="1"/>
  <c r="H9" i="3"/>
  <c r="I9" i="3"/>
  <c r="J9" i="3"/>
  <c r="K9" i="3"/>
  <c r="L9" i="1"/>
  <c r="N9" i="1"/>
  <c r="H11" i="3"/>
  <c r="I11" i="3"/>
  <c r="J11" i="3"/>
  <c r="K11" i="3"/>
  <c r="L11" i="1"/>
  <c r="N11" i="1"/>
  <c r="H12" i="3"/>
  <c r="I12" i="3"/>
  <c r="J12" i="3"/>
  <c r="K12" i="3"/>
  <c r="L12" i="1"/>
  <c r="H13" i="3"/>
  <c r="I13" i="3"/>
  <c r="J13" i="3"/>
  <c r="K13" i="3"/>
  <c r="L13" i="1"/>
  <c r="N13" i="1"/>
  <c r="C16" i="6"/>
  <c r="B16" i="6"/>
  <c r="C25" i="5"/>
  <c r="D16" i="6"/>
  <c r="D25" i="5"/>
  <c r="E16" i="6"/>
  <c r="E25" i="5"/>
  <c r="F16" i="6"/>
  <c r="F25" i="5"/>
  <c r="G16" i="6"/>
  <c r="G25" i="5"/>
  <c r="H16" i="6"/>
  <c r="H25" i="5"/>
  <c r="I16" i="6"/>
  <c r="I25" i="5"/>
  <c r="J16" i="6"/>
  <c r="J25" i="5"/>
  <c r="K16" i="6"/>
  <c r="K25" i="5"/>
  <c r="C23" i="5"/>
  <c r="D23" i="5"/>
  <c r="E23" i="5"/>
  <c r="F23" i="5"/>
  <c r="G23" i="5"/>
  <c r="H23" i="5"/>
  <c r="I23" i="5"/>
  <c r="J23" i="5"/>
  <c r="K23" i="5"/>
  <c r="B23" i="5"/>
  <c r="C22" i="5"/>
  <c r="D22" i="5"/>
  <c r="E22" i="5"/>
  <c r="F22" i="5"/>
  <c r="G22" i="5"/>
  <c r="H22" i="5"/>
  <c r="I22" i="5"/>
  <c r="J22" i="5"/>
  <c r="K22" i="5"/>
  <c r="B22" i="5"/>
  <c r="C18" i="5"/>
  <c r="D18" i="5"/>
  <c r="E18" i="5"/>
  <c r="F18" i="5"/>
  <c r="G18" i="5"/>
  <c r="H18" i="5"/>
  <c r="I18" i="5"/>
  <c r="J18" i="5"/>
  <c r="K18" i="5"/>
  <c r="B18" i="5"/>
  <c r="B69" i="6"/>
  <c r="B16" i="1"/>
  <c r="C69" i="6"/>
  <c r="C16" i="1"/>
  <c r="D69" i="6"/>
  <c r="D16" i="1"/>
  <c r="H26" i="1"/>
  <c r="K2" i="5"/>
  <c r="C2" i="5"/>
  <c r="D2" i="5"/>
  <c r="E2" i="5"/>
  <c r="F2" i="5"/>
  <c r="G2" i="5"/>
  <c r="H2" i="5"/>
  <c r="I2" i="5"/>
  <c r="J2" i="5"/>
  <c r="B2" i="5"/>
  <c r="C19" i="5"/>
  <c r="D19" i="5"/>
  <c r="E19" i="5"/>
  <c r="F19" i="5"/>
  <c r="G19" i="5"/>
  <c r="H19" i="5"/>
  <c r="I19" i="5"/>
  <c r="J19" i="5"/>
  <c r="K19" i="5"/>
  <c r="B19" i="5"/>
  <c r="C5" i="5"/>
  <c r="D5" i="5"/>
  <c r="E5" i="5"/>
  <c r="F5" i="5"/>
  <c r="G5" i="5"/>
  <c r="H5" i="5"/>
  <c r="B5" i="5"/>
  <c r="M9" i="5"/>
  <c r="L26" i="1"/>
  <c r="L9" i="5"/>
  <c r="K9" i="5"/>
  <c r="C9" i="5"/>
  <c r="D9" i="5"/>
  <c r="E9" i="5"/>
  <c r="F9" i="5"/>
  <c r="G9" i="5"/>
  <c r="H9" i="5"/>
  <c r="I9" i="5"/>
  <c r="J9" i="5"/>
  <c r="B9" i="5"/>
  <c r="H3" i="5"/>
  <c r="H7" i="5"/>
  <c r="I3" i="5"/>
  <c r="I7" i="5"/>
  <c r="F3" i="5"/>
  <c r="F7" i="5"/>
  <c r="G3" i="5"/>
  <c r="G7" i="5"/>
  <c r="D3" i="5"/>
  <c r="D4" i="5"/>
  <c r="E3" i="5"/>
  <c r="E4" i="5"/>
  <c r="B3" i="5"/>
  <c r="B4" i="5"/>
  <c r="C3" i="5"/>
  <c r="C7" i="5"/>
  <c r="D7" i="5"/>
  <c r="E7" i="5"/>
  <c r="G4" i="5"/>
  <c r="H4" i="5"/>
  <c r="I4" i="5"/>
  <c r="J3" i="5"/>
  <c r="J4" i="5"/>
  <c r="K3" i="5"/>
  <c r="K7" i="5"/>
  <c r="B7" i="5"/>
  <c r="F4" i="5"/>
  <c r="J7" i="5"/>
  <c r="C4" i="5"/>
  <c r="K4" i="5"/>
  <c r="G1" i="2"/>
  <c r="G1" i="4"/>
  <c r="G1" i="3"/>
  <c r="J1" i="1"/>
  <c r="C3" i="4"/>
  <c r="D3" i="4"/>
  <c r="E3" i="4"/>
  <c r="F3" i="4"/>
  <c r="G3" i="4"/>
  <c r="H3" i="4"/>
  <c r="I3" i="4"/>
  <c r="J3" i="4"/>
  <c r="K3" i="4"/>
  <c r="C3" i="2"/>
  <c r="D3" i="2"/>
  <c r="E3" i="2"/>
  <c r="F3" i="2"/>
  <c r="G3" i="2"/>
  <c r="H3" i="2"/>
  <c r="I3" i="2"/>
  <c r="J3" i="2"/>
  <c r="K3" i="2"/>
  <c r="C3" i="3"/>
  <c r="D3" i="3"/>
  <c r="E3" i="3"/>
  <c r="F3" i="3"/>
  <c r="G3" i="3"/>
  <c r="H3" i="3"/>
  <c r="I3" i="3"/>
  <c r="J3" i="3"/>
  <c r="K3" i="3"/>
  <c r="C3" i="1"/>
  <c r="D3" i="1"/>
  <c r="E3" i="1"/>
  <c r="F3" i="1"/>
  <c r="G3" i="1"/>
  <c r="H3" i="1"/>
  <c r="I3" i="1"/>
  <c r="J3" i="1"/>
  <c r="K3" i="1"/>
  <c r="K20" i="1"/>
  <c r="J20" i="1"/>
  <c r="I20" i="1"/>
  <c r="H20" i="1"/>
  <c r="G20" i="1"/>
  <c r="F20" i="1"/>
  <c r="E20" i="1"/>
  <c r="D20" i="1"/>
  <c r="C20" i="1"/>
  <c r="B20" i="1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5" i="4"/>
  <c r="J5" i="4"/>
  <c r="I5" i="4"/>
  <c r="H5" i="4"/>
  <c r="G5" i="4"/>
  <c r="F5" i="4"/>
  <c r="E5" i="4"/>
  <c r="D5" i="4"/>
  <c r="C5" i="4"/>
  <c r="K4" i="4"/>
  <c r="J4" i="4"/>
  <c r="I4" i="4"/>
  <c r="H4" i="4"/>
  <c r="G4" i="4"/>
  <c r="F4" i="4"/>
  <c r="E4" i="4"/>
  <c r="D4" i="4"/>
  <c r="C4" i="4"/>
  <c r="B8" i="4"/>
  <c r="B7" i="4"/>
  <c r="B6" i="4"/>
  <c r="B5" i="4"/>
  <c r="B4" i="4"/>
  <c r="B3" i="4"/>
  <c r="K17" i="2"/>
  <c r="J17" i="2"/>
  <c r="I17" i="2"/>
  <c r="H17" i="2"/>
  <c r="G17" i="2"/>
  <c r="F17" i="2"/>
  <c r="F20" i="2"/>
  <c r="E17" i="2"/>
  <c r="E20" i="2"/>
  <c r="D17" i="2"/>
  <c r="D20" i="2"/>
  <c r="C17" i="2"/>
  <c r="C20" i="2"/>
  <c r="K16" i="2"/>
  <c r="J16" i="2"/>
  <c r="I16" i="2"/>
  <c r="H16" i="2"/>
  <c r="G16" i="2"/>
  <c r="F16" i="2"/>
  <c r="E16" i="2"/>
  <c r="D16" i="2"/>
  <c r="C16" i="2"/>
  <c r="B17" i="2"/>
  <c r="B20" i="2"/>
  <c r="B16" i="2"/>
  <c r="K13" i="2"/>
  <c r="J13" i="2"/>
  <c r="I13" i="2"/>
  <c r="H13" i="2"/>
  <c r="G13" i="2"/>
  <c r="F13" i="2"/>
  <c r="E13" i="2"/>
  <c r="D13" i="2"/>
  <c r="C13" i="2"/>
  <c r="K12" i="2"/>
  <c r="J12" i="2"/>
  <c r="I12" i="2"/>
  <c r="H12" i="2"/>
  <c r="G12" i="2"/>
  <c r="F12" i="2"/>
  <c r="E12" i="2"/>
  <c r="D12" i="2"/>
  <c r="C12" i="2"/>
  <c r="K11" i="2"/>
  <c r="J11" i="2"/>
  <c r="I11" i="2"/>
  <c r="H11" i="2"/>
  <c r="G11" i="2"/>
  <c r="F11" i="2"/>
  <c r="E11" i="2"/>
  <c r="D11" i="2"/>
  <c r="C11" i="2"/>
  <c r="K10" i="2"/>
  <c r="J10" i="2"/>
  <c r="I10" i="2"/>
  <c r="H10" i="2"/>
  <c r="G10" i="2"/>
  <c r="F10" i="2"/>
  <c r="E10" i="2"/>
  <c r="D10" i="2"/>
  <c r="C10" i="2"/>
  <c r="K9" i="2"/>
  <c r="J9" i="2"/>
  <c r="I9" i="2"/>
  <c r="H9" i="2"/>
  <c r="G9" i="2"/>
  <c r="F9" i="2"/>
  <c r="E9" i="2"/>
  <c r="D9" i="2"/>
  <c r="C9" i="2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K5" i="2"/>
  <c r="J5" i="2"/>
  <c r="I5" i="2"/>
  <c r="H5" i="2"/>
  <c r="G5" i="2"/>
  <c r="F5" i="2"/>
  <c r="E5" i="2"/>
  <c r="D5" i="2"/>
  <c r="C5" i="2"/>
  <c r="K4" i="2"/>
  <c r="J4" i="2"/>
  <c r="I4" i="2"/>
  <c r="H4" i="2"/>
  <c r="G4" i="2"/>
  <c r="F4" i="2"/>
  <c r="E4" i="2"/>
  <c r="D4" i="2"/>
  <c r="C4" i="2"/>
  <c r="B13" i="2"/>
  <c r="B12" i="2"/>
  <c r="B11" i="2"/>
  <c r="B10" i="2"/>
  <c r="B9" i="2"/>
  <c r="B8" i="2"/>
  <c r="B7" i="2"/>
  <c r="B6" i="2"/>
  <c r="B5" i="2"/>
  <c r="B4" i="2"/>
  <c r="B3" i="2"/>
  <c r="G14" i="3"/>
  <c r="F14" i="3"/>
  <c r="E14" i="3"/>
  <c r="D14" i="3"/>
  <c r="C14" i="3"/>
  <c r="G13" i="3"/>
  <c r="F13" i="3"/>
  <c r="E13" i="3"/>
  <c r="D13" i="3"/>
  <c r="C13" i="3"/>
  <c r="G12" i="3"/>
  <c r="F12" i="3"/>
  <c r="E12" i="3"/>
  <c r="D12" i="3"/>
  <c r="C12" i="3"/>
  <c r="G11" i="3"/>
  <c r="F11" i="3"/>
  <c r="E11" i="3"/>
  <c r="D11" i="3"/>
  <c r="C11" i="3"/>
  <c r="K10" i="3"/>
  <c r="J10" i="3"/>
  <c r="I10" i="3"/>
  <c r="H10" i="3"/>
  <c r="G10" i="3"/>
  <c r="F10" i="3"/>
  <c r="E10" i="3"/>
  <c r="D10" i="3"/>
  <c r="C10" i="3"/>
  <c r="G9" i="3"/>
  <c r="F9" i="3"/>
  <c r="E9" i="3"/>
  <c r="D9" i="3"/>
  <c r="C9" i="3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G6" i="3"/>
  <c r="F6" i="3"/>
  <c r="E6" i="3"/>
  <c r="D6" i="3"/>
  <c r="C6" i="3"/>
  <c r="G4" i="3"/>
  <c r="F4" i="3"/>
  <c r="E4" i="3"/>
  <c r="D4" i="3"/>
  <c r="C4" i="3"/>
  <c r="B14" i="3"/>
  <c r="B13" i="3"/>
  <c r="B12" i="3"/>
  <c r="B11" i="3"/>
  <c r="B10" i="3"/>
  <c r="B9" i="3"/>
  <c r="B8" i="3"/>
  <c r="B7" i="3"/>
  <c r="B6" i="3"/>
  <c r="B4" i="3"/>
  <c r="B16" i="3"/>
  <c r="B3" i="3"/>
  <c r="K14" i="1"/>
  <c r="J14" i="1"/>
  <c r="I14" i="1"/>
  <c r="H14" i="1"/>
  <c r="G14" i="1"/>
  <c r="F14" i="1"/>
  <c r="E14" i="1"/>
  <c r="D14" i="1"/>
  <c r="C14" i="1"/>
  <c r="K13" i="1"/>
  <c r="J13" i="1"/>
  <c r="I13" i="1"/>
  <c r="H13" i="1"/>
  <c r="G13" i="1"/>
  <c r="F13" i="1"/>
  <c r="E13" i="1"/>
  <c r="D13" i="1"/>
  <c r="C13" i="1"/>
  <c r="K12" i="1"/>
  <c r="J12" i="1"/>
  <c r="I12" i="1"/>
  <c r="H12" i="1"/>
  <c r="G12" i="1"/>
  <c r="F12" i="1"/>
  <c r="E12" i="1"/>
  <c r="D12" i="1"/>
  <c r="C12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B14" i="1"/>
  <c r="B13" i="1"/>
  <c r="B12" i="1"/>
  <c r="B11" i="1"/>
  <c r="B10" i="1"/>
  <c r="B9" i="1"/>
  <c r="B8" i="1"/>
  <c r="B7" i="1"/>
  <c r="K5" i="1"/>
  <c r="J5" i="1"/>
  <c r="F5" i="1"/>
  <c r="C5" i="1"/>
  <c r="B19" i="2"/>
  <c r="B3" i="1"/>
  <c r="H16" i="3"/>
  <c r="D22" i="2"/>
  <c r="G23" i="2"/>
  <c r="G20" i="2"/>
  <c r="E22" i="2"/>
  <c r="H20" i="2"/>
  <c r="J16" i="3"/>
  <c r="F22" i="2"/>
  <c r="I20" i="2"/>
  <c r="J20" i="2"/>
  <c r="D16" i="3"/>
  <c r="H22" i="2"/>
  <c r="C23" i="2"/>
  <c r="K23" i="2"/>
  <c r="K20" i="2"/>
  <c r="B22" i="2"/>
  <c r="I22" i="2"/>
  <c r="G5" i="1"/>
  <c r="F16" i="3"/>
  <c r="J22" i="2"/>
  <c r="E5" i="3"/>
  <c r="E16" i="3"/>
  <c r="I5" i="3"/>
  <c r="I16" i="3"/>
  <c r="D23" i="2"/>
  <c r="H23" i="2"/>
  <c r="D5" i="1"/>
  <c r="H5" i="1"/>
  <c r="B23" i="2"/>
  <c r="E23" i="2"/>
  <c r="I23" i="2"/>
  <c r="E5" i="1"/>
  <c r="I5" i="1"/>
  <c r="C5" i="3"/>
  <c r="C16" i="3"/>
  <c r="G5" i="3"/>
  <c r="G16" i="3"/>
  <c r="K5" i="3"/>
  <c r="K16" i="3"/>
  <c r="C22" i="2"/>
  <c r="G22" i="2"/>
  <c r="K22" i="2"/>
  <c r="F23" i="2"/>
  <c r="J23" i="2"/>
  <c r="D5" i="3"/>
  <c r="F5" i="3"/>
  <c r="H5" i="3"/>
  <c r="J5" i="3"/>
  <c r="L5" i="1"/>
  <c r="B5" i="3"/>
  <c r="G19" i="2"/>
  <c r="I19" i="2"/>
  <c r="K19" i="2"/>
  <c r="D19" i="2"/>
  <c r="F19" i="2"/>
  <c r="H19" i="2"/>
  <c r="J19" i="2"/>
  <c r="C19" i="2"/>
  <c r="E19" i="2"/>
  <c r="M11" i="1"/>
  <c r="L10" i="1"/>
  <c r="M9" i="1"/>
  <c r="L8" i="1"/>
  <c r="L7" i="1"/>
  <c r="A1" i="3"/>
  <c r="A1" i="2"/>
  <c r="A1" i="4"/>
  <c r="B5" i="1"/>
  <c r="M13" i="1"/>
  <c r="M26" i="1"/>
  <c r="N26" i="1"/>
  <c r="M16" i="1"/>
  <c r="N16" i="1"/>
  <c r="K25" i="1"/>
  <c r="N25" i="1"/>
  <c r="N6" i="1"/>
  <c r="N5" i="1"/>
  <c r="M25" i="1"/>
  <c r="M6" i="1"/>
  <c r="M5" i="1"/>
  <c r="M8" i="1"/>
  <c r="M10" i="1"/>
  <c r="M12" i="1"/>
  <c r="M14" i="1"/>
  <c r="M15" i="1"/>
  <c r="M17" i="1"/>
  <c r="N8" i="1"/>
  <c r="N10" i="1"/>
  <c r="N12" i="1"/>
  <c r="N14" i="1"/>
  <c r="N15" i="1"/>
  <c r="N17" i="1"/>
  <c r="B11" i="5"/>
  <c r="B14" i="5"/>
  <c r="B15" i="5"/>
</calcChain>
</file>

<file path=xl/sharedStrings.xml><?xml version="1.0" encoding="utf-8"?>
<sst xmlns="http://schemas.openxmlformats.org/spreadsheetml/2006/main" count="175" uniqueCount="107">
  <si>
    <t>ITC LIMITED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</si>
  <si>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</si>
  <si>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</si>
  <si>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</si>
  <si>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</si>
  <si>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</si>
  <si>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</si>
  <si>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</si>
  <si>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</si>
  <si>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</si>
  <si>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EBIDT</t>
  </si>
  <si>
    <t>Depreciation</t>
  </si>
  <si>
    <t>EBIT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</si>
  <si>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</si>
  <si>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</si>
  <si>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</si>
  <si>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</si>
  <si>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</si>
  <si>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</si>
  <si>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</si>
  <si>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</si>
  <si>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</si>
  <si>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Recent</t>
  </si>
  <si>
    <t>3Years</t>
  </si>
  <si>
    <t>5Years</t>
  </si>
  <si>
    <t>7Years</t>
  </si>
  <si>
    <t>10Years</t>
  </si>
  <si>
    <t>BEST</t>
  </si>
  <si>
    <t>WORST</t>
  </si>
  <si>
    <t>Sales Growth</t>
  </si>
  <si>
    <t>Price to Earning</t>
  </si>
  <si>
    <t>Equity Share Capital</t>
  </si>
  <si>
    <t>Reserves</t>
  </si>
  <si>
    <t>Secured Loans</t>
  </si>
  <si>
    <t>Unsecured Loans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</si>
  <si>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</si>
  <si>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</si>
  <si>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</si>
  <si>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</si>
  <si>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</si>
  <si>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</si>
  <si>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</si>
  <si>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</si>
  <si>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</si>
  <si>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</si>
  <si>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Cash &amp; Eq. at the end of year</t>
  </si>
  <si>
    <t>PLEASE DO NOT MAKE ANY CHANGES TO THIS SHEET</t>
  </si>
  <si>
    <t>PROFIT &amp; LOSS</t>
  </si>
  <si>
    <t>Report Date</t>
  </si>
  <si>
    <t>Period</t>
  </si>
  <si>
    <t>Quarters</t>
  </si>
  <si>
    <t>BALANCE SHEET</t>
  </si>
  <si>
    <t>CASH FLOW:</t>
  </si>
  <si>
    <t>OTHER:</t>
  </si>
  <si>
    <t>Number of shares</t>
  </si>
  <si>
    <t>Current Price</t>
  </si>
  <si>
    <t>Industry PE</t>
  </si>
  <si>
    <t>Debtors</t>
  </si>
  <si>
    <t>Inventory</t>
  </si>
  <si>
    <t>Debtor Days</t>
  </si>
  <si>
    <t>Inventory Turnover</t>
  </si>
  <si>
    <t>Unadjusted No. of Shares (lacs)</t>
  </si>
  <si>
    <t>Market Cap</t>
  </si>
  <si>
    <t>PE</t>
  </si>
  <si>
    <t>EPS</t>
  </si>
  <si>
    <t>Price</t>
  </si>
  <si>
    <t>Return on Equity</t>
  </si>
  <si>
    <t>Return on Capital Emp</t>
  </si>
  <si>
    <t>Cash</t>
  </si>
  <si>
    <t>Dividend Paid</t>
  </si>
  <si>
    <t>ShareHolders Funds</t>
  </si>
  <si>
    <t>Total Debt</t>
  </si>
  <si>
    <t>Debt To Equity</t>
  </si>
  <si>
    <t>Free Cash Flow</t>
  </si>
  <si>
    <t>Debt Burden Ratio</t>
  </si>
  <si>
    <t>EPS Valuation</t>
  </si>
  <si>
    <t>Book value</t>
  </si>
  <si>
    <t>Graham Number</t>
  </si>
  <si>
    <t>Average Fair Price</t>
  </si>
  <si>
    <t>PE Consolidated</t>
  </si>
  <si>
    <t>Industry</t>
  </si>
  <si>
    <t>Net Profit Margin</t>
  </si>
  <si>
    <t>Operating Profit Margin</t>
  </si>
  <si>
    <t>10% Margin</t>
  </si>
  <si>
    <t>Quaterly Net Profit Margin</t>
  </si>
  <si>
    <t>Quaterly Operating Profit Margin</t>
  </si>
  <si>
    <t>Dividend Payout Growth%</t>
  </si>
  <si>
    <t>(All figures, except per share numbers, are in Rs million)</t>
  </si>
  <si>
    <t>3-Year Avg. FCF</t>
  </si>
  <si>
    <t>Years:</t>
  </si>
  <si>
    <t>1-5</t>
  </si>
  <si>
    <t>6-10</t>
  </si>
  <si>
    <t>Growth Rate:</t>
  </si>
  <si>
    <t>Terminal Growth Rate:</t>
  </si>
  <si>
    <t>Discount Rate:</t>
  </si>
  <si>
    <t>Shares Outstanding (Nos.):</t>
  </si>
  <si>
    <t>Year</t>
  </si>
  <si>
    <t>FCF</t>
  </si>
  <si>
    <t>Growth</t>
  </si>
  <si>
    <t>Present Value (PV)</t>
  </si>
  <si>
    <t>Terminal Year CF:</t>
  </si>
  <si>
    <t>PV of Year 1-10 Cash Flows:</t>
  </si>
  <si>
    <t>PV = Present Value</t>
  </si>
  <si>
    <t>Terminal Value:</t>
  </si>
  <si>
    <t>Total PV of Cash Flows:</t>
  </si>
  <si>
    <t>Intrinsic Value per Share (IV):</t>
  </si>
  <si>
    <r>
      <t xml:space="preserve">(Figures in </t>
    </r>
    <r>
      <rPr>
        <i/>
        <sz val="12"/>
        <color rgb="FFC00000"/>
        <rFont val="Century Gothic"/>
      </rPr>
      <t xml:space="preserve">"red" </t>
    </r>
    <r>
      <rPr>
        <i/>
        <sz val="12"/>
        <color theme="1"/>
        <rFont val="Century Gothic"/>
      </rPr>
      <t>are entered figures. Rest is all calculation)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</si>
</sst>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 * #,##0.00_ ;_ * \-#,##0.00_ ;_ * &quot;-&quot;??_ ;_ @_ "/>
    <numFmt numFmtId="165" formatCode="[$-F800]dddd\,\ mmmm\ dd\,\ yyyy"/>
    <numFmt numFmtId="166" formatCode="[$-409]mmm\-yy;@"/>
    <numFmt numFmtId="167" formatCode="_(* #,##0_);_(* \(#,##0\);_(* &quot;-&quot;??_);_(@_)"/>
    <numFmt numFmtId="168" formatCode="#,##0.000_);[Red]\(#,##0.000\)"/>
    <numFmt numFmtId="169" formatCode="&quot;$&quot;#,##0_);[Red]\(&quot;$&quot;#,##0\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entury Gothic"/>
    </font>
    <font>
      <sz val="12"/>
      <color theme="1"/>
      <name val="Century Gothic"/>
    </font>
    <font>
      <i/>
      <sz val="12"/>
      <color rgb="FFC00000"/>
      <name val="Century Gothic"/>
    </font>
    <font>
      <sz val="12"/>
      <color rgb="FFC00000"/>
      <name val="Century Gothic"/>
    </font>
    <font>
      <sz val="12"/>
      <name val="Century Gothic"/>
    </font>
    <font>
      <b/>
      <sz val="12"/>
      <name val="Century Gothic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medium">
        <color indexed="48"/>
      </right>
      <top/>
      <bottom/>
      <diagonal/>
    </border>
    <border>
      <left/>
      <right style="medium">
        <color indexed="48"/>
      </right>
      <top/>
      <bottom/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4" xfId="0" applyFont="1" applyBorder="1"/>
    <xf numFmtId="10" fontId="0" fillId="0" borderId="5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" xfId="0" applyBorder="1"/>
    <xf numFmtId="164" fontId="2" fillId="0" borderId="2" xfId="1" applyFont="1" applyBorder="1"/>
    <xf numFmtId="0" fontId="3" fillId="2" borderId="3" xfId="0" applyFont="1" applyFill="1" applyBorder="1" applyAlignment="1">
      <alignment horizontal="center"/>
    </xf>
    <xf numFmtId="10" fontId="0" fillId="0" borderId="2" xfId="0" applyNumberFormat="1" applyFont="1" applyBorder="1"/>
    <xf numFmtId="164" fontId="2" fillId="0" borderId="3" xfId="1" applyFont="1" applyBorder="1"/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0" xfId="1" applyFont="1"/>
    <xf numFmtId="0" fontId="2" fillId="0" borderId="0" xfId="0" applyFont="1" applyAlignment="1">
      <alignment horizontal="center"/>
    </xf>
    <xf numFmtId="164" fontId="4" fillId="0" borderId="2" xfId="1" applyFont="1" applyBorder="1"/>
    <xf numFmtId="14" fontId="3" fillId="2" borderId="2" xfId="0" applyNumberFormat="1" applyFont="1" applyFill="1" applyBorder="1" applyAlignment="1">
      <alignment horizontal="center"/>
    </xf>
    <xf numFmtId="164" fontId="2" fillId="0" borderId="0" xfId="1" applyFont="1"/>
    <xf numFmtId="164" fontId="0" fillId="0" borderId="1" xfId="1" applyFont="1" applyBorder="1"/>
    <xf numFmtId="164" fontId="2" fillId="0" borderId="1" xfId="1" applyFont="1" applyBorder="1"/>
    <xf numFmtId="165" fontId="3" fillId="2" borderId="1" xfId="1" applyNumberFormat="1" applyFont="1" applyFill="1" applyBorder="1"/>
    <xf numFmtId="165" fontId="0" fillId="0" borderId="0" xfId="1" applyNumberFormat="1" applyFont="1"/>
    <xf numFmtId="164" fontId="2" fillId="0" borderId="0" xfId="1" applyFont="1" applyBorder="1"/>
    <xf numFmtId="164" fontId="2" fillId="0" borderId="2" xfId="1" applyNumberFormat="1" applyFont="1" applyBorder="1" applyAlignment="1">
      <alignment horizontal="center"/>
    </xf>
    <xf numFmtId="164" fontId="4" fillId="0" borderId="3" xfId="1" applyFont="1" applyBorder="1"/>
    <xf numFmtId="9" fontId="4" fillId="0" borderId="2" xfId="1" applyNumberFormat="1" applyFont="1" applyBorder="1"/>
    <xf numFmtId="10" fontId="0" fillId="0" borderId="0" xfId="0" applyNumberFormat="1" applyFont="1"/>
    <xf numFmtId="164" fontId="4" fillId="0" borderId="0" xfId="1" applyFont="1"/>
    <xf numFmtId="0" fontId="2" fillId="0" borderId="3" xfId="0" applyFont="1" applyBorder="1"/>
    <xf numFmtId="10" fontId="2" fillId="0" borderId="0" xfId="0" applyNumberFormat="1" applyFont="1"/>
    <xf numFmtId="0" fontId="0" fillId="0" borderId="7" xfId="0" applyFont="1" applyFill="1" applyBorder="1"/>
    <xf numFmtId="164" fontId="4" fillId="0" borderId="1" xfId="1" applyFont="1" applyBorder="1"/>
    <xf numFmtId="0" fontId="2" fillId="0" borderId="0" xfId="0" applyFont="1" applyFill="1" applyBorder="1"/>
    <xf numFmtId="9" fontId="2" fillId="0" borderId="0" xfId="5" applyFont="1"/>
    <xf numFmtId="166" fontId="3" fillId="2" borderId="2" xfId="0" applyNumberFormat="1" applyFont="1" applyFill="1" applyBorder="1" applyAlignment="1">
      <alignment horizontal="center"/>
    </xf>
    <xf numFmtId="164" fontId="3" fillId="3" borderId="2" xfId="2" applyNumberFormat="1" applyFont="1" applyBorder="1"/>
    <xf numFmtId="164" fontId="3" fillId="4" borderId="2" xfId="3" applyNumberFormat="1" applyFont="1" applyBorder="1"/>
    <xf numFmtId="0" fontId="0" fillId="0" borderId="0" xfId="0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7" borderId="0" xfId="0" applyFont="1" applyFill="1"/>
    <xf numFmtId="0" fontId="0" fillId="7" borderId="0" xfId="0" applyFill="1"/>
    <xf numFmtId="14" fontId="0" fillId="0" borderId="0" xfId="0" applyNumberFormat="1"/>
    <xf numFmtId="0" fontId="9" fillId="0" borderId="0" xfId="0" applyFont="1"/>
    <xf numFmtId="0" fontId="10" fillId="0" borderId="0" xfId="0" applyFont="1"/>
    <xf numFmtId="167" fontId="12" fillId="0" borderId="10" xfId="1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3" fillId="0" borderId="0" xfId="0" applyNumberFormat="1" applyFont="1" applyAlignment="1">
      <alignment horizontal="center"/>
    </xf>
    <xf numFmtId="9" fontId="12" fillId="0" borderId="11" xfId="0" applyNumberFormat="1" applyFont="1" applyBorder="1" applyAlignment="1">
      <alignment horizontal="center"/>
    </xf>
    <xf numFmtId="9" fontId="12" fillId="0" borderId="12" xfId="0" applyNumberFormat="1" applyFont="1" applyBorder="1" applyAlignment="1">
      <alignment horizontal="center"/>
    </xf>
    <xf numFmtId="9" fontId="10" fillId="0" borderId="13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/>
    </xf>
    <xf numFmtId="167" fontId="12" fillId="0" borderId="14" xfId="1" applyNumberFormat="1" applyFont="1" applyBorder="1" applyAlignment="1">
      <alignment horizontal="center"/>
    </xf>
    <xf numFmtId="0" fontId="13" fillId="0" borderId="0" xfId="0" applyFont="1"/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167" fontId="13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68" fontId="13" fillId="0" borderId="20" xfId="0" applyNumberFormat="1" applyFont="1" applyBorder="1" applyAlignment="1">
      <alignment horizontal="center"/>
    </xf>
    <xf numFmtId="9" fontId="13" fillId="0" borderId="20" xfId="0" applyNumberFormat="1" applyFont="1" applyBorder="1" applyAlignment="1">
      <alignment horizontal="center"/>
    </xf>
    <xf numFmtId="169" fontId="13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167" fontId="13" fillId="0" borderId="21" xfId="0" applyNumberFormat="1" applyFont="1" applyBorder="1" applyAlignment="1">
      <alignment horizontal="center"/>
    </xf>
    <xf numFmtId="9" fontId="13" fillId="0" borderId="0" xfId="0" applyNumberFormat="1" applyFont="1" applyAlignment="1">
      <alignment horizontal="center"/>
    </xf>
    <xf numFmtId="0" fontId="13" fillId="0" borderId="21" xfId="0" quotePrefix="1" applyFont="1" applyBorder="1" applyAlignment="1">
      <alignment horizontal="left"/>
    </xf>
    <xf numFmtId="0" fontId="1" fillId="0" borderId="0" xfId="0" applyFont="1"/>
    <xf numFmtId="167" fontId="10" fillId="0" borderId="0" xfId="1" applyNumberFormat="1" applyFont="1"/>
    <xf numFmtId="0" fontId="8" fillId="0" borderId="0" xfId="0" applyFont="1"/>
    <xf numFmtId="0" fontId="1" fillId="0" borderId="0" xfId="0" applyFont="1" applyAlignment="1">
      <alignment horizontal="left"/>
    </xf>
    <xf numFmtId="43" fontId="13" fillId="8" borderId="21" xfId="0" applyNumberFormat="1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164" fontId="3" fillId="5" borderId="0" xfId="4" applyNumberFormat="1" applyFont="1" applyAlignment="1">
      <alignment horizontal="center"/>
    </xf>
  </cellXfs>
  <cellStyles count="22">
    <cellStyle name="60% - Accent1" xfId="2" builtinId="32"/>
    <cellStyle name="60% - Accent3" xfId="3" builtinId="40"/>
    <cellStyle name="Accent6" xfId="4" builtinId="49"/>
    <cellStyle name="Comma" xfId="1" builtinId="3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Normal" xfId="0" builtinId="0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Annual Profits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'Data Sheet'!$A$6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'Data Sheet'!$B$6:$K$6</c:f>
              <c:numCache>
                <c:formatCode>_ * #,##0.00_ ;_ * \-#,##0.00_ ;_ * "-"??_ ;_ @_ </c:formatCode>
                <c:ptCount val="10"/>
                <c:pt idx="0">
                  <c:v>7605.6</c:v>
                </c:pt>
                <c:pt idx="1">
                  <c:v>9798.33</c:v>
                </c:pt>
                <c:pt idx="2">
                  <c:v>12313.83</c:v>
                </c:pt>
                <c:pt idx="3">
                  <c:v>14032.2</c:v>
                </c:pt>
                <c:pt idx="4">
                  <c:v>14985.81</c:v>
                </c:pt>
                <c:pt idx="5">
                  <c:v>18567.45</c:v>
                </c:pt>
                <c:pt idx="6">
                  <c:v>21120.83</c:v>
                </c:pt>
                <c:pt idx="7">
                  <c:v>25090.11</c:v>
                </c:pt>
                <c:pt idx="8">
                  <c:v>29901.27</c:v>
                </c:pt>
                <c:pt idx="9">
                  <c:v>33238.6</c:v>
                </c:pt>
              </c:numCache>
            </c:numRef>
          </c:val>
        </c:ser>
        <c:ser>
          <c:idx val="1"/>
          <c:order val="1"/>
          <c:tx>
            <c:strRef>
              <c:f>'Data Sheet'!$A$7</c:f>
              <c:strCache>
                <c:ptCount val="1"/>
                <c:pt idx="0">
                  <c:v>Operating Profit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'Data Sheet'!$B$7:$K$7</c:f>
              <c:numCache>
                <c:formatCode>_ * #,##0.00_ ;_ * \-#,##0.00_ ;_ * "-"??_ ;_ @_ </c:formatCode>
                <c:ptCount val="10"/>
                <c:pt idx="0">
                  <c:v>2768.9</c:v>
                </c:pt>
                <c:pt idx="1">
                  <c:v>3367.03</c:v>
                </c:pt>
                <c:pt idx="2">
                  <c:v>4003.84</c:v>
                </c:pt>
                <c:pt idx="3">
                  <c:v>4430.23</c:v>
                </c:pt>
                <c:pt idx="4">
                  <c:v>4922.02</c:v>
                </c:pt>
                <c:pt idx="5">
                  <c:v>6132.32</c:v>
                </c:pt>
                <c:pt idx="6">
                  <c:v>7199.03</c:v>
                </c:pt>
                <c:pt idx="7">
                  <c:v>8921.809999999999</c:v>
                </c:pt>
                <c:pt idx="8">
                  <c:v>10627.51</c:v>
                </c:pt>
                <c:pt idx="9">
                  <c:v>12454.84</c:v>
                </c:pt>
              </c:numCache>
            </c:numRef>
          </c:val>
        </c:ser>
        <c:ser>
          <c:idx val="9"/>
          <c:order val="2"/>
          <c:tx>
            <c:strRef>
              <c:f>'Data Sheet'!$A$15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'Data Sheet'!$B$15:$K$15</c:f>
              <c:numCache>
                <c:formatCode>_ * #,##0.00_ ;_ * \-#,##0.00_ ;_ * "-"??_ ;_ @_ </c:formatCode>
                <c:ptCount val="10"/>
                <c:pt idx="0">
                  <c:v>2191.4</c:v>
                </c:pt>
                <c:pt idx="1">
                  <c:v>2235.35</c:v>
                </c:pt>
                <c:pt idx="2">
                  <c:v>2699.97</c:v>
                </c:pt>
                <c:pt idx="3">
                  <c:v>3120.1</c:v>
                </c:pt>
                <c:pt idx="4">
                  <c:v>3263.59</c:v>
                </c:pt>
                <c:pt idx="5">
                  <c:v>4061.0</c:v>
                </c:pt>
                <c:pt idx="6">
                  <c:v>4987.61</c:v>
                </c:pt>
                <c:pt idx="7">
                  <c:v>6162.37</c:v>
                </c:pt>
                <c:pt idx="8">
                  <c:v>7418.39</c:v>
                </c:pt>
                <c:pt idx="9">
                  <c:v>8785.209999999999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433336"/>
        <c:axId val="2123126040"/>
      </c:areaChart>
      <c:dateAx>
        <c:axId val="21224333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126040"/>
        <c:crosses val="autoZero"/>
        <c:auto val="0"/>
        <c:lblOffset val="100"/>
        <c:baseTimeUnit val="years"/>
      </c:dateAx>
      <c:valAx>
        <c:axId val="212312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433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Annual Profit Margins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Customization!$A$18</c:f>
              <c:strCache>
                <c:ptCount val="1"/>
                <c:pt idx="0">
                  <c:v>Net Profit Margin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>
                <a:gsLst>
                  <a:gs pos="0">
                    <a:schemeClr val="accent2">
                      <a:lumMod val="67000"/>
                    </a:schemeClr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16200000" scaled="1"/>
              </a:gradFill>
              <a:ln w="9525">
                <a:noFill/>
                <a:round/>
              </a:ln>
              <a:effectLst/>
              <a:scene3d>
                <a:camera prst="orthographicFront">
                  <a:rot lat="0" lon="0" rev="0"/>
                </a:camera>
                <a:lightRig rig="brightRoom" dir="tl">
                  <a:rot lat="0" lon="0" rev="1800000"/>
                </a:lightRig>
              </a:scene3d>
              <a:sp3d contourW="10160" prstMaterial="dkEdge">
                <a:bevelT w="38100" h="50800" prst="angle"/>
                <a:contourClr>
                  <a:scrgbClr r="0" g="0" b="0">
                    <a:shade val="40000"/>
                    <a:satMod val="150000"/>
                  </a:scrgbClr>
                </a:contourClr>
              </a:sp3d>
            </c:spPr>
          </c:marker>
          <c:dLbls>
            <c:numFmt formatCode="#,##0.00" sourceLinked="0"/>
            <c:spPr>
              <a:noFill/>
              <a:ln>
                <a:noFill/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Customization!$B$18:$K$18</c:f>
              <c:numCache>
                <c:formatCode>General</c:formatCode>
                <c:ptCount val="10"/>
                <c:pt idx="0">
                  <c:v>28.81297990954034</c:v>
                </c:pt>
                <c:pt idx="1">
                  <c:v>22.81358149807161</c:v>
                </c:pt>
                <c:pt idx="2">
                  <c:v>21.92632186736377</c:v>
                </c:pt>
                <c:pt idx="3">
                  <c:v>22.23528741038469</c:v>
                </c:pt>
                <c:pt idx="4">
                  <c:v>21.77786853029633</c:v>
                </c:pt>
                <c:pt idx="5">
                  <c:v>21.87160864846815</c:v>
                </c:pt>
                <c:pt idx="6">
                  <c:v>23.61464961367522</c:v>
                </c:pt>
                <c:pt idx="7">
                  <c:v>24.56095250279891</c:v>
                </c:pt>
                <c:pt idx="8">
                  <c:v>24.80961510999366</c:v>
                </c:pt>
                <c:pt idx="9">
                  <c:v>26.43074618064539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Customization!$A$19</c:f>
              <c:strCache>
                <c:ptCount val="1"/>
                <c:pt idx="0">
                  <c:v>Operating Profit Margin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>
                  <a:lumMod val="85000"/>
                </a:schemeClr>
              </a:solidFill>
              <a:ln w="9525">
                <a:solidFill>
                  <a:schemeClr val="accent2"/>
                </a:solidFill>
                <a:round/>
              </a:ln>
              <a:effectLst/>
              <a:scene3d>
                <a:camera prst="orthographicFront">
                  <a:rot lat="0" lon="0" rev="0"/>
                </a:camera>
                <a:lightRig rig="brightRoom" dir="tl">
                  <a:rot lat="0" lon="0" rev="1800000"/>
                </a:lightRig>
              </a:scene3d>
              <a:sp3d contourW="10160" prstMaterial="dkEdge">
                <a:bevelT w="38100" h="50800" prst="angle"/>
                <a:contourClr>
                  <a:scrgbClr r="0" g="0" b="0">
                    <a:shade val="40000"/>
                    <a:satMod val="150000"/>
                  </a:scrgbClr>
                </a:contourClr>
              </a:sp3d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Customization!$B$19:$K$19</c:f>
              <c:numCache>
                <c:formatCode>General</c:formatCode>
                <c:ptCount val="10"/>
                <c:pt idx="0">
                  <c:v>36.40606921215946</c:v>
                </c:pt>
                <c:pt idx="1">
                  <c:v>34.36330476724095</c:v>
                </c:pt>
                <c:pt idx="2">
                  <c:v>32.51498518332639</c:v>
                </c:pt>
                <c:pt idx="3">
                  <c:v>31.57188466526987</c:v>
                </c:pt>
                <c:pt idx="4">
                  <c:v>32.84453759923554</c:v>
                </c:pt>
                <c:pt idx="5">
                  <c:v>33.02726007071514</c:v>
                </c:pt>
                <c:pt idx="6">
                  <c:v>34.08497677411351</c:v>
                </c:pt>
                <c:pt idx="7">
                  <c:v>35.55907088490245</c:v>
                </c:pt>
                <c:pt idx="8">
                  <c:v>35.54200206211977</c:v>
                </c:pt>
                <c:pt idx="9">
                  <c:v>37.47101261785996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8859048"/>
        <c:axId val="2108844504"/>
      </c:lineChart>
      <c:dateAx>
        <c:axId val="210885904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844504"/>
        <c:crosses val="autoZero"/>
        <c:auto val="0"/>
        <c:lblOffset val="100"/>
        <c:baseTimeUnit val="years"/>
      </c:dateAx>
      <c:valAx>
        <c:axId val="210884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85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Quaterly Profit Margins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Customization!$A$22</c:f>
              <c:strCache>
                <c:ptCount val="1"/>
                <c:pt idx="0">
                  <c:v>Quaterly Net Profit Margin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>
                <a:gsLst>
                  <a:gs pos="0">
                    <a:schemeClr val="accent2">
                      <a:lumMod val="67000"/>
                    </a:schemeClr>
                  </a:gs>
                  <a:gs pos="100000">
                    <a:schemeClr val="accent4">
                      <a:lumMod val="60000"/>
                      <a:lumOff val="40000"/>
                    </a:schemeClr>
                  </a:gs>
                </a:gsLst>
                <a:lin ang="16200000" scaled="1"/>
              </a:gradFill>
              <a:ln w="9525">
                <a:noFill/>
                <a:round/>
              </a:ln>
              <a:effectLst/>
              <a:scene3d>
                <a:camera prst="orthographicFront">
                  <a:rot lat="0" lon="0" rev="0"/>
                </a:camera>
                <a:lightRig rig="brightRoom" dir="tl">
                  <a:rot lat="0" lon="0" rev="1800000"/>
                </a:lightRig>
              </a:scene3d>
              <a:sp3d contourW="10160" prstMaterial="dkEdge">
                <a:bevelT w="38100" h="50800" prst="angle"/>
                <a:contourClr>
                  <a:scrgbClr r="0" g="0" b="0">
                    <a:shade val="40000"/>
                    <a:satMod val="150000"/>
                  </a:scrgbClr>
                </a:contourClr>
              </a:sp3d>
            </c:spPr>
          </c:marker>
          <c:dLbls>
            <c:numFmt formatCode="#,##0.00" sourceLinked="0"/>
            <c:spPr>
              <a:noFill/>
              <a:ln>
                <a:noFill/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Customization!$B$21:$K$21</c:f>
              <c:numCache>
                <c:formatCode>m/d/yy</c:formatCode>
                <c:ptCount val="10"/>
                <c:pt idx="0">
                  <c:v>40999.0</c:v>
                </c:pt>
                <c:pt idx="1">
                  <c:v>41090.0</c:v>
                </c:pt>
                <c:pt idx="2">
                  <c:v>41182.0</c:v>
                </c:pt>
                <c:pt idx="3">
                  <c:v>41274.0</c:v>
                </c:pt>
                <c:pt idx="4">
                  <c:v>41364.0</c:v>
                </c:pt>
                <c:pt idx="5">
                  <c:v>41455.0</c:v>
                </c:pt>
                <c:pt idx="6">
                  <c:v>41547.0</c:v>
                </c:pt>
                <c:pt idx="7">
                  <c:v>41639.0</c:v>
                </c:pt>
                <c:pt idx="8">
                  <c:v>41729.0</c:v>
                </c:pt>
                <c:pt idx="9">
                  <c:v>41820.0</c:v>
                </c:pt>
              </c:numCache>
            </c:numRef>
          </c:cat>
          <c:val>
            <c:numRef>
              <c:f>Customization!$B$22:$K$22</c:f>
              <c:numCache>
                <c:formatCode>General</c:formatCode>
                <c:ptCount val="10"/>
                <c:pt idx="0">
                  <c:v>26.60559380713424</c:v>
                </c:pt>
                <c:pt idx="1">
                  <c:v>23.34851163804587</c:v>
                </c:pt>
                <c:pt idx="2">
                  <c:v>25.52161064406871</c:v>
                </c:pt>
                <c:pt idx="3">
                  <c:v>28.36911274106427</c:v>
                </c:pt>
                <c:pt idx="4">
                  <c:v>27.33334479222171</c:v>
                </c:pt>
                <c:pt idx="5">
                  <c:v>24.6577373865078</c:v>
                </c:pt>
                <c:pt idx="6">
                  <c:v>23.64101904243919</c:v>
                </c:pt>
                <c:pt idx="7">
                  <c:v>26.87533107115231</c:v>
                </c:pt>
                <c:pt idx="8">
                  <c:v>29.46573643653572</c:v>
                </c:pt>
                <c:pt idx="9">
                  <c:v>25.40875819722408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Customization!$A$23</c:f>
              <c:strCache>
                <c:ptCount val="1"/>
                <c:pt idx="0">
                  <c:v>Quaterly Operating Profit Margin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>
                  <a:lumMod val="85000"/>
                </a:schemeClr>
              </a:solidFill>
              <a:ln w="9525">
                <a:solidFill>
                  <a:schemeClr val="accent2"/>
                </a:solidFill>
                <a:round/>
              </a:ln>
              <a:effectLst/>
              <a:scene3d>
                <a:camera prst="orthographicFront">
                  <a:rot lat="0" lon="0" rev="0"/>
                </a:camera>
                <a:lightRig rig="brightRoom" dir="tl">
                  <a:rot lat="0" lon="0" rev="1800000"/>
                </a:lightRig>
              </a:scene3d>
              <a:sp3d contourW="10160" prstMaterial="dkEdge">
                <a:bevelT w="38100" h="50800" prst="angle"/>
                <a:contourClr>
                  <a:scrgbClr r="0" g="0" b="0">
                    <a:shade val="40000"/>
                    <a:satMod val="150000"/>
                  </a:scrgbClr>
                </a:contourClr>
              </a:sp3d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>
                      <a:noFill/>
                    </a:ln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Customization!$B$21:$K$21</c:f>
              <c:numCache>
                <c:formatCode>m/d/yy</c:formatCode>
                <c:ptCount val="10"/>
                <c:pt idx="0">
                  <c:v>40999.0</c:v>
                </c:pt>
                <c:pt idx="1">
                  <c:v>41090.0</c:v>
                </c:pt>
                <c:pt idx="2">
                  <c:v>41182.0</c:v>
                </c:pt>
                <c:pt idx="3">
                  <c:v>41274.0</c:v>
                </c:pt>
                <c:pt idx="4">
                  <c:v>41364.0</c:v>
                </c:pt>
                <c:pt idx="5">
                  <c:v>41455.0</c:v>
                </c:pt>
                <c:pt idx="6">
                  <c:v>41547.0</c:v>
                </c:pt>
                <c:pt idx="7">
                  <c:v>41639.0</c:v>
                </c:pt>
                <c:pt idx="8">
                  <c:v>41729.0</c:v>
                </c:pt>
                <c:pt idx="9">
                  <c:v>41820.0</c:v>
                </c:pt>
              </c:numCache>
            </c:numRef>
          </c:cat>
          <c:val>
            <c:numRef>
              <c:f>Customization!$B$23:$K$23</c:f>
              <c:numCache>
                <c:formatCode>General</c:formatCode>
                <c:ptCount val="10"/>
                <c:pt idx="0">
                  <c:v>37.05553610560029</c:v>
                </c:pt>
                <c:pt idx="1">
                  <c:v>32.77448107152372</c:v>
                </c:pt>
                <c:pt idx="2">
                  <c:v>37.66594248856383</c:v>
                </c:pt>
                <c:pt idx="3">
                  <c:v>40.39208753416521</c:v>
                </c:pt>
                <c:pt idx="4">
                  <c:v>37.63442708422856</c:v>
                </c:pt>
                <c:pt idx="5">
                  <c:v>34.67427683221987</c:v>
                </c:pt>
                <c:pt idx="6">
                  <c:v>35.43995700826855</c:v>
                </c:pt>
                <c:pt idx="7">
                  <c:v>38.66079918082747</c:v>
                </c:pt>
                <c:pt idx="8">
                  <c:v>38.73821789884138</c:v>
                </c:pt>
                <c:pt idx="9">
                  <c:v>34.8992443595996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9164024"/>
        <c:axId val="2125443880"/>
      </c:lineChart>
      <c:dateAx>
        <c:axId val="2109164024"/>
        <c:scaling>
          <c:orientation val="minMax"/>
        </c:scaling>
        <c:delete val="0"/>
        <c:axPos val="b"/>
        <c:numFmt formatCode="mmm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443880"/>
        <c:crosses val="autoZero"/>
        <c:auto val="0"/>
        <c:lblOffset val="100"/>
        <c:baseTimeUnit val="months"/>
        <c:majorUnit val="3.0"/>
        <c:majorTimeUnit val="months"/>
        <c:minorUnit val="3.0"/>
        <c:minorTimeUnit val="months"/>
      </c:dateAx>
      <c:valAx>
        <c:axId val="212544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16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Customization!$A$25</c:f>
              <c:strCache>
                <c:ptCount val="1"/>
                <c:pt idx="0">
                  <c:v>Dividend Payout Growth%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Customization!$B$25:$K$25</c:f>
              <c:numCache>
                <c:formatCode>General</c:formatCode>
                <c:ptCount val="10"/>
                <c:pt idx="0">
                  <c:v>0.0</c:v>
                </c:pt>
                <c:pt idx="1">
                  <c:v>20.88768027713756</c:v>
                </c:pt>
                <c:pt idx="2">
                  <c:v>-6.743755349439747</c:v>
                </c:pt>
                <c:pt idx="3">
                  <c:v>-2.181004278494882</c:v>
                </c:pt>
                <c:pt idx="4">
                  <c:v>1.207696849156202</c:v>
                </c:pt>
                <c:pt idx="5">
                  <c:v>54.69826130569365</c:v>
                </c:pt>
                <c:pt idx="6">
                  <c:v>-35.55433535920231</c:v>
                </c:pt>
                <c:pt idx="7">
                  <c:v>-20.92575643186945</c:v>
                </c:pt>
                <c:pt idx="8">
                  <c:v>-3.045810470139306</c:v>
                </c:pt>
                <c:pt idx="9">
                  <c:v>-2.952684134250443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11514168"/>
        <c:axId val="2074415208"/>
      </c:barChart>
      <c:dateAx>
        <c:axId val="21115141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415208"/>
        <c:crosses val="autoZero"/>
        <c:auto val="0"/>
        <c:lblOffset val="100"/>
        <c:baseTimeUnit val="years"/>
      </c:dateAx>
      <c:valAx>
        <c:axId val="207441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51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Sheet'!$A$16</c:f>
              <c:strCache>
                <c:ptCount val="1"/>
                <c:pt idx="0">
                  <c:v>Dividend Payout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'Data Sheet'!$B$16:$K$16</c:f>
              <c:numCache>
                <c:formatCode>_ * #,##0.00_ ;_ * \-#,##0.00_ ;_ * "-"??_ ;_ @_ </c:formatCode>
                <c:ptCount val="10"/>
                <c:pt idx="0">
                  <c:v>30.27881719448754</c:v>
                </c:pt>
                <c:pt idx="1">
                  <c:v>38.27320106471022</c:v>
                </c:pt>
                <c:pt idx="2">
                  <c:v>35.85521320607267</c:v>
                </c:pt>
                <c:pt idx="3">
                  <c:v>35.08990096471267</c:v>
                </c:pt>
                <c:pt idx="4">
                  <c:v>35.5188611314534</c:v>
                </c:pt>
                <c:pt idx="5">
                  <c:v>78.40507264220635</c:v>
                </c:pt>
                <c:pt idx="6">
                  <c:v>57.84032833361069</c:v>
                </c:pt>
                <c:pt idx="7">
                  <c:v>47.8312727083898</c:v>
                </c:pt>
                <c:pt idx="8">
                  <c:v>46.41748411717367</c:v>
                </c:pt>
                <c:pt idx="9">
                  <c:v>45.08623015272259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27237144"/>
        <c:axId val="2127248120"/>
      </c:barChart>
      <c:dateAx>
        <c:axId val="212723714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248120"/>
        <c:crosses val="autoZero"/>
        <c:auto val="0"/>
        <c:lblOffset val="100"/>
        <c:baseTimeUnit val="years"/>
      </c:dateAx>
      <c:valAx>
        <c:axId val="212724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237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Growth Trends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 &amp; Loss'!$G$24</c:f>
              <c:strCache>
                <c:ptCount val="1"/>
                <c:pt idx="0">
                  <c:v>Sales Growth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forward val="2.0"/>
            <c:dispRSqr val="0"/>
            <c:dispEq val="0"/>
          </c:trendline>
          <c:cat>
            <c:strRef>
              <c:f>'Profit &amp; Loss'!$H$23:$L$23</c:f>
              <c:strCache>
                <c:ptCount val="5"/>
                <c:pt idx="0">
                  <c:v>10Years</c:v>
                </c:pt>
                <c:pt idx="1">
                  <c:v>7Years</c:v>
                </c:pt>
                <c:pt idx="2">
                  <c:v>5Years</c:v>
                </c:pt>
                <c:pt idx="3">
                  <c:v>3Years</c:v>
                </c:pt>
                <c:pt idx="4">
                  <c:v>Recent</c:v>
                </c:pt>
              </c:strCache>
            </c:strRef>
          </c:cat>
          <c:val>
            <c:numRef>
              <c:f>'Profit &amp; Loss'!$H$24:$L$24</c:f>
              <c:numCache>
                <c:formatCode>0.00%</c:formatCode>
                <c:ptCount val="5"/>
                <c:pt idx="0">
                  <c:v>0.178060768833864</c:v>
                </c:pt>
                <c:pt idx="1">
                  <c:v>0.152410167604762</c:v>
                </c:pt>
                <c:pt idx="2">
                  <c:v>0.17271505413655</c:v>
                </c:pt>
                <c:pt idx="3">
                  <c:v>0.163171932505029</c:v>
                </c:pt>
                <c:pt idx="4">
                  <c:v>0.111611647264481</c:v>
                </c:pt>
              </c:numCache>
            </c:numRef>
          </c:val>
        </c:ser>
        <c:ser>
          <c:idx val="1"/>
          <c:order val="1"/>
          <c:tx>
            <c:strRef>
              <c:f>'Profit &amp; Loss'!$G$25</c:f>
              <c:strCache>
                <c:ptCount val="1"/>
                <c:pt idx="0">
                  <c:v>OPM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forward val="2.0"/>
            <c:dispRSqr val="0"/>
            <c:dispEq val="0"/>
          </c:trendline>
          <c:cat>
            <c:strRef>
              <c:f>'Profit &amp; Loss'!$H$23:$L$23</c:f>
              <c:strCache>
                <c:ptCount val="5"/>
                <c:pt idx="0">
                  <c:v>10Years</c:v>
                </c:pt>
                <c:pt idx="1">
                  <c:v>7Years</c:v>
                </c:pt>
                <c:pt idx="2">
                  <c:v>5Years</c:v>
                </c:pt>
                <c:pt idx="3">
                  <c:v>3Years</c:v>
                </c:pt>
                <c:pt idx="4">
                  <c:v>Recent</c:v>
                </c:pt>
              </c:strCache>
            </c:strRef>
          </c:cat>
          <c:val>
            <c:numRef>
              <c:f>'Profit &amp; Loss'!$H$25:$L$25</c:f>
              <c:numCache>
                <c:formatCode>0.00%</c:formatCode>
                <c:ptCount val="5"/>
                <c:pt idx="0">
                  <c:v>0.347313851193033</c:v>
                </c:pt>
                <c:pt idx="1">
                  <c:v>0.348471134174401</c:v>
                </c:pt>
                <c:pt idx="2">
                  <c:v>0.354409995883308</c:v>
                </c:pt>
                <c:pt idx="3">
                  <c:v>0.362735659692998</c:v>
                </c:pt>
                <c:pt idx="4">
                  <c:v>0.369063532324953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11232280"/>
        <c:axId val="2125385768"/>
      </c:barChart>
      <c:catAx>
        <c:axId val="211123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5385768"/>
        <c:crosses val="autoZero"/>
        <c:auto val="1"/>
        <c:lblAlgn val="ctr"/>
        <c:lblOffset val="100"/>
        <c:noMultiLvlLbl val="0"/>
      </c:catAx>
      <c:valAx>
        <c:axId val="212538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23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Quaterly OPM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Quarters!$A$16</c:f>
              <c:strCache>
                <c:ptCount val="1"/>
                <c:pt idx="0">
                  <c:v>OPM</c:v>
                </c:pt>
              </c:strCache>
            </c:strRef>
          </c:tx>
          <c:marker>
            <c:symbol val="circle"/>
            <c:size val="6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brightRoom" dir="tl">
                    <a:rot lat="0" lon="0" rev="1800000"/>
                  </a:lightRig>
                </a:scene3d>
                <a:sp3d contourW="10160" prstMaterial="dkEdge">
                  <a:bevelT w="38100" h="50800" prst="angle"/>
                  <a:contourClr>
                    <a:scrgbClr r="0" g="0" b="0">
                      <a:shade val="40000"/>
                      <a:satMod val="150000"/>
                    </a:scrgbClr>
                  </a:contourClr>
                </a:sp3d>
              </c:spPr>
            </c:marker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/>
            </c:spPr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brightRoom" dir="tl">
                    <a:rot lat="0" lon="0" rev="1800000"/>
                  </a:lightRig>
                </a:scene3d>
                <a:sp3d contourW="10160" prstMaterial="dkEdge">
                  <a:bevelT w="38100" h="50800" prst="angle"/>
                  <a:contourClr>
                    <a:scrgbClr r="0" g="0" b="0">
                      <a:shade val="40000"/>
                      <a:satMod val="150000"/>
                    </a:scrgbClr>
                  </a:contourClr>
                </a:sp3d>
              </c:spPr>
            </c:marker>
            <c:bubble3D val="0"/>
            <c:spPr>
              <a:ln w="34925" cap="rnd">
                <a:solidFill>
                  <a:schemeClr val="accent2"/>
                </a:solidFill>
                <a:round/>
              </a:ln>
              <a:effectLst/>
            </c:spPr>
          </c:dPt>
          <c:dPt>
            <c:idx val="2"/>
            <c:marker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brightRoom" dir="tl">
                    <a:rot lat="0" lon="0" rev="1800000"/>
                  </a:lightRig>
                </a:scene3d>
                <a:sp3d contourW="10160" prstMaterial="dkEdge">
                  <a:bevelT w="38100" h="50800" prst="angle"/>
                  <a:contourClr>
                    <a:scrgbClr r="0" g="0" b="0">
                      <a:shade val="40000"/>
                      <a:satMod val="150000"/>
                    </a:scrgbClr>
                  </a:contourClr>
                </a:sp3d>
              </c:spPr>
            </c:marker>
            <c:bubble3D val="0"/>
            <c:spPr>
              <a:ln w="34925" cap="rnd">
                <a:solidFill>
                  <a:schemeClr val="accent3"/>
                </a:solidFill>
                <a:round/>
              </a:ln>
              <a:effectLst/>
            </c:spPr>
          </c:dPt>
          <c:dPt>
            <c:idx val="3"/>
            <c:marker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brightRoom" dir="tl">
                    <a:rot lat="0" lon="0" rev="1800000"/>
                  </a:lightRig>
                </a:scene3d>
                <a:sp3d contourW="10160" prstMaterial="dkEdge">
                  <a:bevelT w="38100" h="50800" prst="angle"/>
                  <a:contourClr>
                    <a:scrgbClr r="0" g="0" b="0">
                      <a:shade val="40000"/>
                      <a:satMod val="150000"/>
                    </a:scrgbClr>
                  </a:contourClr>
                </a:sp3d>
              </c:spPr>
            </c:marker>
            <c:bubble3D val="0"/>
            <c:spPr>
              <a:ln w="34925" cap="rnd">
                <a:solidFill>
                  <a:schemeClr val="accent4"/>
                </a:solidFill>
                <a:round/>
              </a:ln>
              <a:effectLst/>
            </c:spPr>
          </c:dPt>
          <c:dPt>
            <c:idx val="4"/>
            <c:marker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brightRoom" dir="tl">
                    <a:rot lat="0" lon="0" rev="1800000"/>
                  </a:lightRig>
                </a:scene3d>
                <a:sp3d contourW="10160" prstMaterial="dkEdge">
                  <a:bevelT w="38100" h="50800" prst="angle"/>
                  <a:contourClr>
                    <a:scrgbClr r="0" g="0" b="0">
                      <a:shade val="40000"/>
                      <a:satMod val="150000"/>
                    </a:scrgbClr>
                  </a:contourClr>
                </a:sp3d>
              </c:spPr>
            </c:marker>
            <c:bubble3D val="0"/>
            <c:spPr>
              <a:ln w="34925" cap="rnd">
                <a:solidFill>
                  <a:schemeClr val="accent5"/>
                </a:solidFill>
                <a:round/>
              </a:ln>
              <a:effectLst/>
            </c:spPr>
          </c:dPt>
          <c:dPt>
            <c:idx val="5"/>
            <c:marker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brightRoom" dir="tl">
                    <a:rot lat="0" lon="0" rev="1800000"/>
                  </a:lightRig>
                </a:scene3d>
                <a:sp3d contourW="10160" prstMaterial="dkEdge">
                  <a:bevelT w="38100" h="50800" prst="angle"/>
                  <a:contourClr>
                    <a:scrgbClr r="0" g="0" b="0">
                      <a:shade val="40000"/>
                      <a:satMod val="150000"/>
                    </a:scrgbClr>
                  </a:contourClr>
                </a:sp3d>
              </c:spPr>
            </c:marker>
            <c:bubble3D val="0"/>
            <c:spPr>
              <a:ln w="34925" cap="rnd">
                <a:solidFill>
                  <a:schemeClr val="accent6"/>
                </a:solidFill>
                <a:round/>
              </a:ln>
              <a:effectLst/>
            </c:spPr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brightRoom" dir="tl">
                    <a:rot lat="0" lon="0" rev="1800000"/>
                  </a:lightRig>
                </a:scene3d>
                <a:sp3d contourW="10160" prstMaterial="dkEdge">
                  <a:bevelT w="38100" h="50800" prst="angle"/>
                  <a:contourClr>
                    <a:scrgbClr r="0" g="0" b="0">
                      <a:shade val="40000"/>
                      <a:satMod val="150000"/>
                    </a:scrgbClr>
                  </a:contourClr>
                </a:sp3d>
              </c:spPr>
            </c:marker>
            <c:bubble3D val="0"/>
            <c:spPr>
              <a:ln w="349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accent2">
                      <a:lumMod val="60000"/>
                    </a:schemeClr>
                  </a:solidFill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brightRoom" dir="tl">
                    <a:rot lat="0" lon="0" rev="1800000"/>
                  </a:lightRig>
                </a:scene3d>
                <a:sp3d contourW="10160" prstMaterial="dkEdge">
                  <a:bevelT w="38100" h="50800" prst="angle"/>
                  <a:contourClr>
                    <a:scrgbClr r="0" g="0" b="0">
                      <a:shade val="40000"/>
                      <a:satMod val="150000"/>
                    </a:scrgbClr>
                  </a:contourClr>
                </a:sp3d>
              </c:spPr>
            </c:marker>
            <c:bubble3D val="0"/>
            <c:spPr>
              <a:ln w="34925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 w="9525">
                  <a:solidFill>
                    <a:schemeClr val="accent3">
                      <a:lumMod val="60000"/>
                    </a:schemeClr>
                  </a:solidFill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brightRoom" dir="tl">
                    <a:rot lat="0" lon="0" rev="1800000"/>
                  </a:lightRig>
                </a:scene3d>
                <a:sp3d contourW="10160" prstMaterial="dkEdge">
                  <a:bevelT w="38100" h="50800" prst="angle"/>
                  <a:contourClr>
                    <a:scrgbClr r="0" g="0" b="0">
                      <a:shade val="40000"/>
                      <a:satMod val="150000"/>
                    </a:scrgbClr>
                  </a:contourClr>
                </a:sp3d>
              </c:spPr>
            </c:marker>
            <c:bubble3D val="0"/>
            <c:spPr>
              <a:ln w="349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 w="9525">
                  <a:solidFill>
                    <a:schemeClr val="accent4">
                      <a:lumMod val="60000"/>
                    </a:schemeClr>
                  </a:solidFill>
                  <a:round/>
                </a:ln>
                <a:effectLst/>
                <a:scene3d>
                  <a:camera prst="orthographicFront">
                    <a:rot lat="0" lon="0" rev="0"/>
                  </a:camera>
                  <a:lightRig rig="brightRoom" dir="tl">
                    <a:rot lat="0" lon="0" rev="1800000"/>
                  </a:lightRig>
                </a:scene3d>
                <a:sp3d contourW="10160" prstMaterial="dkEdge">
                  <a:bevelT w="38100" h="50800" prst="angle"/>
                  <a:contourClr>
                    <a:scrgbClr r="0" g="0" b="0">
                      <a:shade val="40000"/>
                      <a:satMod val="150000"/>
                    </a:scrgbClr>
                  </a:contourClr>
                </a:sp3d>
              </c:spPr>
            </c:marker>
            <c:bubble3D val="0"/>
            <c:spPr>
              <a:ln w="34925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Quarters!$B$3:$K$3</c:f>
              <c:numCache>
                <c:formatCode>[$-409]mmm\-yy;@</c:formatCode>
                <c:ptCount val="10"/>
                <c:pt idx="0">
                  <c:v>41274.0</c:v>
                </c:pt>
                <c:pt idx="1">
                  <c:v>41364.0</c:v>
                </c:pt>
                <c:pt idx="2">
                  <c:v>41455.0</c:v>
                </c:pt>
                <c:pt idx="3">
                  <c:v>41547.0</c:v>
                </c:pt>
                <c:pt idx="4">
                  <c:v>41639.0</c:v>
                </c:pt>
                <c:pt idx="5">
                  <c:v>41729.0</c:v>
                </c:pt>
                <c:pt idx="6">
                  <c:v>41820.0</c:v>
                </c:pt>
                <c:pt idx="7">
                  <c:v>41912.0</c:v>
                </c:pt>
                <c:pt idx="8">
                  <c:v>42004.0</c:v>
                </c:pt>
                <c:pt idx="9">
                  <c:v>42094.0</c:v>
                </c:pt>
              </c:numCache>
            </c:numRef>
          </c:cat>
          <c:val>
            <c:numRef>
              <c:f>Quarters!$B$16:$K$16</c:f>
              <c:numCache>
                <c:formatCode>0%</c:formatCode>
                <c:ptCount val="10"/>
                <c:pt idx="0">
                  <c:v>0.370555361056003</c:v>
                </c:pt>
                <c:pt idx="1">
                  <c:v>0.327744810715237</c:v>
                </c:pt>
                <c:pt idx="2">
                  <c:v>0.376659424885638</c:v>
                </c:pt>
                <c:pt idx="3">
                  <c:v>0.403920875341652</c:v>
                </c:pt>
                <c:pt idx="4">
                  <c:v>0.376344270842286</c:v>
                </c:pt>
                <c:pt idx="5">
                  <c:v>0.346742768322199</c:v>
                </c:pt>
                <c:pt idx="6">
                  <c:v>0.354399570082685</c:v>
                </c:pt>
                <c:pt idx="7">
                  <c:v>0.386607991808275</c:v>
                </c:pt>
                <c:pt idx="8">
                  <c:v>0.387382178988414</c:v>
                </c:pt>
                <c:pt idx="9">
                  <c:v>0.348992443595996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13738328"/>
        <c:axId val="2110978312"/>
      </c:lineChart>
      <c:dateAx>
        <c:axId val="2113738328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978312"/>
        <c:crosses val="autoZero"/>
        <c:auto val="1"/>
        <c:lblOffset val="100"/>
        <c:baseTimeUnit val="months"/>
        <c:majorUnit val="3.0"/>
        <c:majorTimeUnit val="months"/>
        <c:minorUnit val="3.0"/>
        <c:minorTimeUnit val="months"/>
      </c:dateAx>
      <c:valAx>
        <c:axId val="211097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73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Quaterly Profiits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'Data Sheet'!$A$23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cat>
            <c:numRef>
              <c:f>Customization!$B$21:$K$21</c:f>
              <c:numCache>
                <c:formatCode>m/d/yy</c:formatCode>
                <c:ptCount val="10"/>
                <c:pt idx="0">
                  <c:v>40999.0</c:v>
                </c:pt>
                <c:pt idx="1">
                  <c:v>41090.0</c:v>
                </c:pt>
                <c:pt idx="2">
                  <c:v>41182.0</c:v>
                </c:pt>
                <c:pt idx="3">
                  <c:v>41274.0</c:v>
                </c:pt>
                <c:pt idx="4">
                  <c:v>41364.0</c:v>
                </c:pt>
                <c:pt idx="5">
                  <c:v>41455.0</c:v>
                </c:pt>
                <c:pt idx="6">
                  <c:v>41547.0</c:v>
                </c:pt>
                <c:pt idx="7">
                  <c:v>41639.0</c:v>
                </c:pt>
                <c:pt idx="8">
                  <c:v>41729.0</c:v>
                </c:pt>
                <c:pt idx="9">
                  <c:v>41820.0</c:v>
                </c:pt>
              </c:numCache>
            </c:numRef>
          </c:cat>
          <c:val>
            <c:numRef>
              <c:f>'Data Sheet'!$B$23:$K$23</c:f>
              <c:numCache>
                <c:formatCode>_ * #,##0.00_ ;_ * \-#,##0.00_ ;_ * "-"??_ ;_ @_ </c:formatCode>
                <c:ptCount val="10"/>
                <c:pt idx="0">
                  <c:v>7712.1</c:v>
                </c:pt>
                <c:pt idx="1">
                  <c:v>8257.4</c:v>
                </c:pt>
                <c:pt idx="2">
                  <c:v>7410.7</c:v>
                </c:pt>
                <c:pt idx="3">
                  <c:v>7862.53</c:v>
                </c:pt>
                <c:pt idx="4">
                  <c:v>8726.85</c:v>
                </c:pt>
                <c:pt idx="5">
                  <c:v>9238.52</c:v>
                </c:pt>
                <c:pt idx="6">
                  <c:v>9248.29</c:v>
                </c:pt>
                <c:pt idx="7">
                  <c:v>9023.74</c:v>
                </c:pt>
                <c:pt idx="8">
                  <c:v>8942.59</c:v>
                </c:pt>
                <c:pt idx="9">
                  <c:v>9292.78</c:v>
                </c:pt>
              </c:numCache>
            </c:numRef>
          </c:val>
        </c:ser>
        <c:ser>
          <c:idx val="2"/>
          <c:order val="1"/>
          <c:tx>
            <c:strRef>
              <c:f>'Data Sheet'!$A$25</c:f>
              <c:strCache>
                <c:ptCount val="1"/>
                <c:pt idx="0">
                  <c:v>Operating Profit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cat>
            <c:numRef>
              <c:f>Customization!$B$21:$K$21</c:f>
              <c:numCache>
                <c:formatCode>m/d/yy</c:formatCode>
                <c:ptCount val="10"/>
                <c:pt idx="0">
                  <c:v>40999.0</c:v>
                </c:pt>
                <c:pt idx="1">
                  <c:v>41090.0</c:v>
                </c:pt>
                <c:pt idx="2">
                  <c:v>41182.0</c:v>
                </c:pt>
                <c:pt idx="3">
                  <c:v>41274.0</c:v>
                </c:pt>
                <c:pt idx="4">
                  <c:v>41364.0</c:v>
                </c:pt>
                <c:pt idx="5">
                  <c:v>41455.0</c:v>
                </c:pt>
                <c:pt idx="6">
                  <c:v>41547.0</c:v>
                </c:pt>
                <c:pt idx="7">
                  <c:v>41639.0</c:v>
                </c:pt>
                <c:pt idx="8">
                  <c:v>41729.0</c:v>
                </c:pt>
                <c:pt idx="9">
                  <c:v>41820.0</c:v>
                </c:pt>
              </c:numCache>
            </c:numRef>
          </c:cat>
          <c:val>
            <c:numRef>
              <c:f>'Data Sheet'!$B$25:$K$25</c:f>
              <c:numCache>
                <c:formatCode>_ * #,##0.00_ ;_ * \-#,##0.00_ ;_ * "-"??_ ;_ @_ </c:formatCode>
                <c:ptCount val="10"/>
                <c:pt idx="0">
                  <c:v>2857.76</c:v>
                </c:pt>
                <c:pt idx="1">
                  <c:v>2706.32</c:v>
                </c:pt>
                <c:pt idx="2">
                  <c:v>2791.31</c:v>
                </c:pt>
                <c:pt idx="3">
                  <c:v>3175.84</c:v>
                </c:pt>
                <c:pt idx="4">
                  <c:v>3284.3</c:v>
                </c:pt>
                <c:pt idx="5">
                  <c:v>3203.39</c:v>
                </c:pt>
                <c:pt idx="6">
                  <c:v>3277.59</c:v>
                </c:pt>
                <c:pt idx="7">
                  <c:v>3488.65</c:v>
                </c:pt>
                <c:pt idx="8">
                  <c:v>3464.2</c:v>
                </c:pt>
                <c:pt idx="9">
                  <c:v>3243.11</c:v>
                </c:pt>
              </c:numCache>
            </c:numRef>
          </c:val>
        </c:ser>
        <c:ser>
          <c:idx val="9"/>
          <c:order val="2"/>
          <c:tx>
            <c:strRef>
              <c:f>'Data Sheet'!$A$33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cat>
            <c:numRef>
              <c:f>Customization!$B$21:$K$21</c:f>
              <c:numCache>
                <c:formatCode>m/d/yy</c:formatCode>
                <c:ptCount val="10"/>
                <c:pt idx="0">
                  <c:v>40999.0</c:v>
                </c:pt>
                <c:pt idx="1">
                  <c:v>41090.0</c:v>
                </c:pt>
                <c:pt idx="2">
                  <c:v>41182.0</c:v>
                </c:pt>
                <c:pt idx="3">
                  <c:v>41274.0</c:v>
                </c:pt>
                <c:pt idx="4">
                  <c:v>41364.0</c:v>
                </c:pt>
                <c:pt idx="5">
                  <c:v>41455.0</c:v>
                </c:pt>
                <c:pt idx="6">
                  <c:v>41547.0</c:v>
                </c:pt>
                <c:pt idx="7">
                  <c:v>41639.0</c:v>
                </c:pt>
                <c:pt idx="8">
                  <c:v>41729.0</c:v>
                </c:pt>
                <c:pt idx="9">
                  <c:v>41820.0</c:v>
                </c:pt>
              </c:numCache>
            </c:numRef>
          </c:cat>
          <c:val>
            <c:numRef>
              <c:f>'Data Sheet'!$B$33:$K$33</c:f>
              <c:numCache>
                <c:formatCode>_ * #,##0.00_ ;_ * \-#,##0.00_ ;_ * "-"??_ ;_ @_ </c:formatCode>
                <c:ptCount val="10"/>
                <c:pt idx="0">
                  <c:v>2051.85</c:v>
                </c:pt>
                <c:pt idx="1">
                  <c:v>1927.98</c:v>
                </c:pt>
                <c:pt idx="2">
                  <c:v>1891.33</c:v>
                </c:pt>
                <c:pt idx="3">
                  <c:v>2230.53</c:v>
                </c:pt>
                <c:pt idx="4">
                  <c:v>2385.34</c:v>
                </c:pt>
                <c:pt idx="5">
                  <c:v>2278.01</c:v>
                </c:pt>
                <c:pt idx="6">
                  <c:v>2186.39</c:v>
                </c:pt>
                <c:pt idx="7">
                  <c:v>2425.16</c:v>
                </c:pt>
                <c:pt idx="8">
                  <c:v>2635.0</c:v>
                </c:pt>
                <c:pt idx="9">
                  <c:v>2361.18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433672"/>
        <c:axId val="2108437256"/>
      </c:areaChart>
      <c:dateAx>
        <c:axId val="210843367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37256"/>
        <c:crosses val="autoZero"/>
        <c:auto val="0"/>
        <c:lblOffset val="100"/>
        <c:baseTimeUnit val="months"/>
        <c:majorUnit val="3.0"/>
        <c:majorTimeUnit val="months"/>
        <c:minorUnit val="3.0"/>
        <c:minorTimeUnit val="months"/>
      </c:dateAx>
      <c:valAx>
        <c:axId val="2108437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433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ROE/ROCE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'Balance Sheet'!$A$22</c:f>
              <c:strCache>
                <c:ptCount val="1"/>
                <c:pt idx="0">
                  <c:v>Return on Equity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'Balance Sheet'!$G$3:$K$3</c:f>
              <c:numCache>
                <c:formatCode>[$-409]mmm\-yy;@</c:formatCode>
                <c:ptCount val="5"/>
                <c:pt idx="0">
                  <c:v>40268.0</c:v>
                </c:pt>
                <c:pt idx="1">
                  <c:v>40633.0</c:v>
                </c:pt>
                <c:pt idx="2">
                  <c:v>40999.0</c:v>
                </c:pt>
                <c:pt idx="3">
                  <c:v>41364.0</c:v>
                </c:pt>
                <c:pt idx="4">
                  <c:v>41729.0</c:v>
                </c:pt>
              </c:numCache>
            </c:numRef>
          </c:cat>
          <c:val>
            <c:numRef>
              <c:f>'Balance Sheet'!$G$22:$K$22</c:f>
              <c:numCache>
                <c:formatCode>0%</c:formatCode>
                <c:ptCount val="5"/>
                <c:pt idx="0">
                  <c:v>0.289864589482219</c:v>
                </c:pt>
                <c:pt idx="1">
                  <c:v>0.31368754453636</c:v>
                </c:pt>
                <c:pt idx="2">
                  <c:v>0.328855468107951</c:v>
                </c:pt>
                <c:pt idx="3">
                  <c:v>0.332844576753702</c:v>
                </c:pt>
                <c:pt idx="4">
                  <c:v>0.334521487684496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'Balance Sheet'!$A$23</c:f>
              <c:strCache>
                <c:ptCount val="1"/>
                <c:pt idx="0">
                  <c:v>Return on Capital Emp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'Balance Sheet'!$G$3:$K$3</c:f>
              <c:numCache>
                <c:formatCode>[$-409]mmm\-yy;@</c:formatCode>
                <c:ptCount val="5"/>
                <c:pt idx="0">
                  <c:v>40268.0</c:v>
                </c:pt>
                <c:pt idx="1">
                  <c:v>40633.0</c:v>
                </c:pt>
                <c:pt idx="2">
                  <c:v>40999.0</c:v>
                </c:pt>
                <c:pt idx="3">
                  <c:v>41364.0</c:v>
                </c:pt>
                <c:pt idx="4">
                  <c:v>41729.0</c:v>
                </c:pt>
              </c:numCache>
            </c:numRef>
          </c:cat>
          <c:val>
            <c:numRef>
              <c:f>'Balance Sheet'!$G$23:$K$23</c:f>
              <c:numCache>
                <c:formatCode>0%</c:formatCode>
                <c:ptCount val="5"/>
                <c:pt idx="0">
                  <c:v>0.549246529320603</c:v>
                </c:pt>
                <c:pt idx="1">
                  <c:v>0.538165111232819</c:v>
                </c:pt>
                <c:pt idx="2">
                  <c:v>0.614170413161881</c:v>
                </c:pt>
                <c:pt idx="3">
                  <c:v>0.543587396070018</c:v>
                </c:pt>
                <c:pt idx="4">
                  <c:v>0.578396735553508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3054344"/>
        <c:axId val="2123057928"/>
      </c:lineChart>
      <c:dateAx>
        <c:axId val="212305434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057928"/>
        <c:crosses val="autoZero"/>
        <c:auto val="1"/>
        <c:lblOffset val="100"/>
        <c:baseTimeUnit val="years"/>
      </c:dateAx>
      <c:valAx>
        <c:axId val="212305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3054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Cash From Operations</a:t>
            </a:r>
            <a:r>
              <a:rPr lang="en-US" baseline="0"/>
              <a:t>/Profits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Sheet'!$A$53</c:f>
              <c:strCache>
                <c:ptCount val="1"/>
                <c:pt idx="0">
                  <c:v>Cash from Operating Activity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'Data Sheet'!$B$53:$K$53</c:f>
              <c:numCache>
                <c:formatCode>_ * #,##0.00_ ;_ * \-#,##0.00_ ;_ * "-"??_ ;_ @_ </c:formatCode>
                <c:ptCount val="10"/>
                <c:pt idx="0">
                  <c:v>1851.2</c:v>
                </c:pt>
                <c:pt idx="1">
                  <c:v>1929.68</c:v>
                </c:pt>
                <c:pt idx="2">
                  <c:v>2141.19</c:v>
                </c:pt>
                <c:pt idx="3">
                  <c:v>2722.96</c:v>
                </c:pt>
                <c:pt idx="4">
                  <c:v>3279.03</c:v>
                </c:pt>
                <c:pt idx="5">
                  <c:v>4630.65</c:v>
                </c:pt>
                <c:pt idx="6">
                  <c:v>5264.24</c:v>
                </c:pt>
                <c:pt idx="7">
                  <c:v>6015.59</c:v>
                </c:pt>
                <c:pt idx="8">
                  <c:v>6709.89</c:v>
                </c:pt>
                <c:pt idx="9">
                  <c:v>6962.3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Sheet'!$A$15</c:f>
              <c:strCache>
                <c:ptCount val="1"/>
                <c:pt idx="0">
                  <c:v>Net profit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'Data Sheet'!$B$15:$K$15</c:f>
              <c:numCache>
                <c:formatCode>_ * #,##0.00_ ;_ * \-#,##0.00_ ;_ * "-"??_ ;_ @_ </c:formatCode>
                <c:ptCount val="10"/>
                <c:pt idx="0">
                  <c:v>2191.4</c:v>
                </c:pt>
                <c:pt idx="1">
                  <c:v>2235.35</c:v>
                </c:pt>
                <c:pt idx="2">
                  <c:v>2699.97</c:v>
                </c:pt>
                <c:pt idx="3">
                  <c:v>3120.1</c:v>
                </c:pt>
                <c:pt idx="4">
                  <c:v>3263.59</c:v>
                </c:pt>
                <c:pt idx="5">
                  <c:v>4061.0</c:v>
                </c:pt>
                <c:pt idx="6">
                  <c:v>4987.61</c:v>
                </c:pt>
                <c:pt idx="7">
                  <c:v>6162.37</c:v>
                </c:pt>
                <c:pt idx="8">
                  <c:v>7418.39</c:v>
                </c:pt>
                <c:pt idx="9">
                  <c:v>8785.209999999999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Sheet'!$A$7</c:f>
              <c:strCache>
                <c:ptCount val="1"/>
                <c:pt idx="0">
                  <c:v>Operating Profit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'Data Sheet'!$B$7:$K$7</c:f>
              <c:numCache>
                <c:formatCode>_ * #,##0.00_ ;_ * \-#,##0.00_ ;_ * "-"??_ ;_ @_ </c:formatCode>
                <c:ptCount val="10"/>
                <c:pt idx="0">
                  <c:v>2768.9</c:v>
                </c:pt>
                <c:pt idx="1">
                  <c:v>3367.03</c:v>
                </c:pt>
                <c:pt idx="2">
                  <c:v>4003.84</c:v>
                </c:pt>
                <c:pt idx="3">
                  <c:v>4430.23</c:v>
                </c:pt>
                <c:pt idx="4">
                  <c:v>4922.02</c:v>
                </c:pt>
                <c:pt idx="5">
                  <c:v>6132.32</c:v>
                </c:pt>
                <c:pt idx="6">
                  <c:v>7199.03</c:v>
                </c:pt>
                <c:pt idx="7">
                  <c:v>8921.809999999999</c:v>
                </c:pt>
                <c:pt idx="8">
                  <c:v>10627.51</c:v>
                </c:pt>
                <c:pt idx="9">
                  <c:v>12454.84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336680"/>
        <c:axId val="2122417320"/>
      </c:lineChart>
      <c:dateAx>
        <c:axId val="212233668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417320"/>
        <c:crosses val="autoZero"/>
        <c:auto val="0"/>
        <c:lblOffset val="100"/>
        <c:baseTimeUnit val="years"/>
      </c:dateAx>
      <c:valAx>
        <c:axId val="212241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33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PE Growth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brightRoom" dir="tl">
                  <a:rot lat="0" lon="0" rev="1800000"/>
                </a:lightRig>
              </a:scene3d>
              <a:sp3d contourW="10160" prstMaterial="dkEdge">
                <a:bevelT w="38100" h="50800" prst="angle"/>
                <a:contourClr>
                  <a:scrgbClr r="0" g="0" b="0">
                    <a:shade val="40000"/>
                    <a:satMod val="150000"/>
                  </a:scrgbClr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ln w="3175"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'Profit &amp; Loss'!$H$23:$L$23</c:f>
              <c:strCache>
                <c:ptCount val="5"/>
                <c:pt idx="0">
                  <c:v>10Years</c:v>
                </c:pt>
                <c:pt idx="1">
                  <c:v>7Years</c:v>
                </c:pt>
                <c:pt idx="2">
                  <c:v>5Years</c:v>
                </c:pt>
                <c:pt idx="3">
                  <c:v>3Years</c:v>
                </c:pt>
                <c:pt idx="4">
                  <c:v>Recent</c:v>
                </c:pt>
              </c:strCache>
            </c:strRef>
          </c:cat>
          <c:val>
            <c:numRef>
              <c:f>'Profit &amp; Loss'!$H$26:$L$26</c:f>
              <c:numCache>
                <c:formatCode>_ * #,##0.00_ ;_ * \-#,##0.00_ ;_ * "-"??_ ;_ @_ </c:formatCode>
                <c:ptCount val="5"/>
                <c:pt idx="0">
                  <c:v>23.69892420388819</c:v>
                </c:pt>
                <c:pt idx="1">
                  <c:v>25.12981335242953</c:v>
                </c:pt>
                <c:pt idx="2">
                  <c:v>26.21862019815708</c:v>
                </c:pt>
                <c:pt idx="3">
                  <c:v>27.83199201609146</c:v>
                </c:pt>
                <c:pt idx="4">
                  <c:v>27.28917288475009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108711784"/>
        <c:axId val="2109389512"/>
      </c:barChart>
      <c:catAx>
        <c:axId val="210871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9389512"/>
        <c:crosses val="autoZero"/>
        <c:auto val="1"/>
        <c:lblAlgn val="ctr"/>
        <c:lblOffset val="100"/>
        <c:noMultiLvlLbl val="0"/>
      </c:catAx>
      <c:valAx>
        <c:axId val="210938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711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Historical PE</a:t>
            </a:r>
          </a:p>
        </c:rich>
      </c:tx>
      <c:layout>
        <c:manualLayout>
          <c:xMode val="edge"/>
          <c:yMode val="edge"/>
          <c:x val="0.417826334208224"/>
          <c:y val="0.03240740740740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Customization!$A$9</c:f>
              <c:strCache>
                <c:ptCount val="1"/>
                <c:pt idx="0">
                  <c:v>PE Consolidated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invertIfNegative val="0"/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brightRoom" dir="tl">
                  <a:rot lat="0" lon="0" rev="1800000"/>
                </a:lightRig>
              </a:scene3d>
              <a:sp3d contourW="10160" prstMaterial="dkEdge">
                <a:bevelT w="38100" h="50800" prst="angle"/>
                <a:contourClr>
                  <a:scrgbClr r="0" g="0" b="0">
                    <a:shade val="40000"/>
                    <a:satMod val="150000"/>
                  </a:scrgbClr>
                </a:contourClr>
              </a:sp3d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>
                  <a:rot lat="0" lon="0" rev="0"/>
                </a:camera>
                <a:lightRig rig="brightRoom" dir="tl">
                  <a:rot lat="0" lon="0" rev="1800000"/>
                </a:lightRig>
              </a:scene3d>
              <a:sp3d contourW="10160" prstMaterial="dkEdge">
                <a:bevelT w="38100" h="50800" prst="angle"/>
                <a:contourClr>
                  <a:scrgbClr r="0" g="0" b="0">
                    <a:shade val="40000"/>
                    <a:satMod val="150000"/>
                  </a:scrgbClr>
                </a:contourClr>
              </a:sp3d>
            </c:spPr>
          </c:dPt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movingAvg"/>
            <c:period val="5"/>
            <c:dispRSqr val="0"/>
            <c:dispEq val="0"/>
          </c:trendline>
          <c:cat>
            <c:strRef>
              <c:f>Customization!$B$8:$M$8</c:f>
              <c:strCache>
                <c:ptCount val="12"/>
                <c:pt idx="0">
                  <c:v>31/03/05</c:v>
                </c:pt>
                <c:pt idx="1">
                  <c:v>31/03/06</c:v>
                </c:pt>
                <c:pt idx="2">
                  <c:v>31/03/07</c:v>
                </c:pt>
                <c:pt idx="3">
                  <c:v>31/03/08</c:v>
                </c:pt>
                <c:pt idx="4">
                  <c:v>31/03/09</c:v>
                </c:pt>
                <c:pt idx="5">
                  <c:v>31/03/10</c:v>
                </c:pt>
                <c:pt idx="6">
                  <c:v>31/03/11</c:v>
                </c:pt>
                <c:pt idx="7">
                  <c:v>31/03/12</c:v>
                </c:pt>
                <c:pt idx="8">
                  <c:v>31/03/13</c:v>
                </c:pt>
                <c:pt idx="9">
                  <c:v>31/03/14</c:v>
                </c:pt>
                <c:pt idx="10">
                  <c:v>Recent</c:v>
                </c:pt>
                <c:pt idx="11">
                  <c:v>Industry</c:v>
                </c:pt>
              </c:strCache>
            </c:strRef>
          </c:cat>
          <c:val>
            <c:numRef>
              <c:f>Customization!$B$9:$M$9</c:f>
              <c:numCache>
                <c:formatCode>General</c:formatCode>
                <c:ptCount val="12"/>
                <c:pt idx="0">
                  <c:v>12.87068084329652</c:v>
                </c:pt>
                <c:pt idx="1">
                  <c:v>21.74135593978572</c:v>
                </c:pt>
                <c:pt idx="2">
                  <c:v>25.03762264025156</c:v>
                </c:pt>
                <c:pt idx="3">
                  <c:v>22.03017851991924</c:v>
                </c:pt>
                <c:pt idx="4">
                  <c:v>21.69660711057455</c:v>
                </c:pt>
                <c:pt idx="5">
                  <c:v>21.30940408766314</c:v>
                </c:pt>
                <c:pt idx="6">
                  <c:v>24.67434903691347</c:v>
                </c:pt>
                <c:pt idx="7">
                  <c:v>25.72690377241224</c:v>
                </c:pt>
                <c:pt idx="8">
                  <c:v>28.66801152271584</c:v>
                </c:pt>
                <c:pt idx="9">
                  <c:v>29.64387988448768</c:v>
                </c:pt>
                <c:pt idx="10">
                  <c:v>27.28917288475009</c:v>
                </c:pt>
                <c:pt idx="11">
                  <c:v>27.92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13592232"/>
        <c:axId val="2074161448"/>
      </c:barChart>
      <c:dateAx>
        <c:axId val="211359223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161448"/>
        <c:crosses val="autoZero"/>
        <c:auto val="0"/>
        <c:lblOffset val="100"/>
        <c:baseTimeUnit val="days"/>
      </c:dateAx>
      <c:valAx>
        <c:axId val="207416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592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Inventory/Receivables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Sheet'!$A$66</c:f>
              <c:strCache>
                <c:ptCount val="1"/>
                <c:pt idx="0">
                  <c:v>Debtors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'Data Sheet'!$B$66:$K$66</c:f>
              <c:numCache>
                <c:formatCode>_ * #,##0.00_ ;_ * \-#,##0.00_ ;_ * "-"??_ ;_ @_ 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275.67</c:v>
                </c:pt>
                <c:pt idx="5">
                  <c:v>858.8</c:v>
                </c:pt>
                <c:pt idx="6">
                  <c:v>907.62</c:v>
                </c:pt>
                <c:pt idx="7">
                  <c:v>986.02</c:v>
                </c:pt>
                <c:pt idx="8">
                  <c:v>1163.34</c:v>
                </c:pt>
                <c:pt idx="9">
                  <c:v>2165.36</c:v>
                </c:pt>
              </c:numCache>
            </c:numRef>
          </c:val>
        </c:ser>
        <c:ser>
          <c:idx val="1"/>
          <c:order val="1"/>
          <c:tx>
            <c:strRef>
              <c:f>'Data Sheet'!$A$67</c:f>
              <c:strCache>
                <c:ptCount val="1"/>
                <c:pt idx="0">
                  <c:v>Inventory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cene3d>
              <a:camera prst="orthographicFront">
                <a:rot lat="0" lon="0" rev="0"/>
              </a:camera>
              <a:lightRig rig="brightRoom" dir="tl">
                <a:rot lat="0" lon="0" rev="1800000"/>
              </a:lightRig>
            </a:scene3d>
            <a:sp3d contourW="10160" prstMaterial="dkEdge">
              <a:bevelT w="38100" h="50800" prst="angle"/>
              <a:contourClr>
                <a:scrgbClr r="0" g="0" b="0">
                  <a:shade val="40000"/>
                  <a:satMod val="150000"/>
                </a:scrgb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'Data Sheet'!$B$67:$K$67</c:f>
              <c:numCache>
                <c:formatCode>_ * #,##0.00_ ;_ * \-#,##0.00_ ;_ * "-"??_ ;_ @_ 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620.1</c:v>
                </c:pt>
                <c:pt idx="5">
                  <c:v>4549.07</c:v>
                </c:pt>
                <c:pt idx="6">
                  <c:v>5267.53</c:v>
                </c:pt>
                <c:pt idx="7">
                  <c:v>5637.83</c:v>
                </c:pt>
                <c:pt idx="8">
                  <c:v>6600.2</c:v>
                </c:pt>
                <c:pt idx="9">
                  <c:v>7359.54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11727528"/>
        <c:axId val="2111276312"/>
      </c:barChart>
      <c:dateAx>
        <c:axId val="211172752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1276312"/>
        <c:crosses val="autoZero"/>
        <c:auto val="0"/>
        <c:lblOffset val="100"/>
        <c:baseTimeUnit val="years"/>
      </c:dateAx>
      <c:valAx>
        <c:axId val="2111276312"/>
        <c:scaling>
          <c:orientation val="minMax"/>
        </c:scaling>
        <c:delete val="1"/>
        <c:axPos val="l"/>
        <c:numFmt formatCode="_ * #,##0.00_ ;_ * \-#,##0.00_ ;_ * &quot;-&quot;??_ ;_ @_ " sourceLinked="1"/>
        <c:majorTickMark val="none"/>
        <c:minorTickMark val="none"/>
        <c:tickLblPos val="nextTo"/>
        <c:crossAx val="211172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Valuation</c:v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dLbl>
              <c:idx val="0"/>
              <c:layout>
                <c:manualLayout>
                  <c:x val="-0.127777777777778"/>
                  <c:y val="0.60648148148148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444444444444445"/>
                  <c:y val="0.15277777777777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416666666666667"/>
                  <c:y val="0.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5"/>
                  <c:y val="0.398148148148148"/>
                </c:manualLayout>
              </c:layout>
              <c:numFmt formatCode="#,##0.0" sourceLinked="0"/>
              <c:spPr>
                <a:solidFill>
                  <a:srgbClr val="DA1F28">
                    <a:lumMod val="75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15000"/>
                          <a:lumOff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268643615148175"/>
                  <c:y val="-0.2280956707094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lt1">
                            <a:lumMod val="15000"/>
                            <a:lumOff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Valuation - </a:t>
                    </a:r>
                    <a:fld id="{167440B2-6F3C-48B8-96CB-5126A1477EA2}" type="YVALUE">
                      <a:rPr lang="en-US"/>
                      <a:pPr>
                        <a:defRPr sz="900" b="0" i="0" u="none" strike="noStrike" kern="1200" baseline="0">
                          <a:solidFill>
                            <a:schemeClr val="lt1">
                              <a:lumMod val="15000"/>
                              <a:lumOff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[Y VALUE]</a:t>
                    </a:fld>
                    <a:endParaRPr lang="en-US"/>
                  </a:p>
                </c:rich>
              </c:tx>
              <c:numFmt formatCode="#,##0.0" sourceLinked="0"/>
              <c:spPr>
                <a:solidFill>
                  <a:srgbClr val="00B050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33835290790671"/>
                      <c:h val="0.1267305786172498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13640361810463"/>
                  <c:y val="-0.0467254585099387"/>
                </c:manualLayout>
              </c:layout>
              <c:numFmt formatCode="#,##0.0" sourceLinked="0"/>
              <c:spPr>
                <a:gradFill>
                  <a:gsLst>
                    <a:gs pos="0">
                      <a:srgbClr val="7D3C4A">
                        <a:lumMod val="89000"/>
                      </a:srgbClr>
                    </a:gs>
                    <a:gs pos="23000">
                      <a:srgbClr val="7D3C4A">
                        <a:lumMod val="89000"/>
                      </a:srgbClr>
                    </a:gs>
                    <a:gs pos="69000">
                      <a:srgbClr val="7D3C4A">
                        <a:lumMod val="75000"/>
                      </a:srgbClr>
                    </a:gs>
                    <a:gs pos="97000">
                      <a:srgbClr val="7D3C4A">
                        <a:lumMod val="70000"/>
                      </a:srgbClr>
                    </a:gs>
                  </a:gsLst>
                  <a:lin ang="2700000" scaled="1"/>
                </a:gra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15000"/>
                          <a:lumOff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0815479695905882"/>
                      <c:h val="9.7890425732363326E-2"/>
                    </c:manualLayout>
                  </c15:layout>
                </c:ext>
              </c:extLst>
            </c:dLbl>
            <c:numFmt formatCode="#,##0.0" sourceLinked="0"/>
            <c:spPr>
              <a:solidFill>
                <a:sysClr val="windowText" lastClr="000000">
                  <a:lumMod val="65000"/>
                  <a:lumOff val="35000"/>
                </a:sysClr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15000"/>
                        <a:lumOff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Customization!$A$11:$A$16</c:f>
              <c:strCache>
                <c:ptCount val="6"/>
                <c:pt idx="0">
                  <c:v>EPS Valuation</c:v>
                </c:pt>
                <c:pt idx="1">
                  <c:v>Book value</c:v>
                </c:pt>
                <c:pt idx="2">
                  <c:v>Graham Number</c:v>
                </c:pt>
                <c:pt idx="3">
                  <c:v>Average Fair Price</c:v>
                </c:pt>
                <c:pt idx="4">
                  <c:v>10% Margin</c:v>
                </c:pt>
                <c:pt idx="5">
                  <c:v>Current Price</c:v>
                </c:pt>
              </c:strCache>
            </c:strRef>
          </c:xVal>
          <c:yVal>
            <c:numRef>
              <c:f>Customization!$B$11:$B$16</c:f>
              <c:numCache>
                <c:formatCode>General</c:formatCode>
                <c:ptCount val="6"/>
                <c:pt idx="0">
                  <c:v>284.6637000387528</c:v>
                </c:pt>
                <c:pt idx="1">
                  <c:v>44.0</c:v>
                </c:pt>
                <c:pt idx="2">
                  <c:v>108.9338073654132</c:v>
                </c:pt>
                <c:pt idx="3">
                  <c:v>196.798753702083</c:v>
                </c:pt>
                <c:pt idx="4">
                  <c:v>177.1188783318747</c:v>
                </c:pt>
                <c:pt idx="5">
                  <c:v>327.1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155912"/>
        <c:axId val="2113620760"/>
      </c:scatterChart>
      <c:valAx>
        <c:axId val="207415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3620760"/>
        <c:crosses val="autoZero"/>
        <c:crossBetween val="midCat"/>
      </c:valAx>
      <c:valAx>
        <c:axId val="2113620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65000"/>
                  <a:lumOff val="35000"/>
                  <a:alpha val="2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155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Free Cash Flow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Customization!$A$5</c:f>
              <c:strCache>
                <c:ptCount val="1"/>
                <c:pt idx="0">
                  <c:v>Free Cash Flow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  <a:scene3d>
                <a:camera prst="orthographicFront">
                  <a:rot lat="0" lon="0" rev="0"/>
                </a:camera>
                <a:lightRig rig="brightRoom" dir="tl">
                  <a:rot lat="0" lon="0" rev="1800000"/>
                </a:lightRig>
              </a:scene3d>
              <a:sp3d contourW="10160" prstMaterial="dkEdge">
                <a:bevelT w="38100" h="50800" prst="angle"/>
                <a:contourClr>
                  <a:scrgbClr r="0" g="0" b="0">
                    <a:shade val="40000"/>
                    <a:satMod val="150000"/>
                  </a:scrgbClr>
                </a:contourClr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effectLst>
                      <a:glow rad="228600">
                        <a:schemeClr val="accent2">
                          <a:satMod val="175000"/>
                          <a:alpha val="40000"/>
                        </a:schemeClr>
                      </a:glo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Customization!$B$5:$K$5</c:f>
              <c:numCache>
                <c:formatCode>General</c:formatCode>
                <c:ptCount val="10"/>
                <c:pt idx="0">
                  <c:v>412.25</c:v>
                </c:pt>
                <c:pt idx="1">
                  <c:v>1754.37</c:v>
                </c:pt>
                <c:pt idx="2">
                  <c:v>1058.41</c:v>
                </c:pt>
                <c:pt idx="3">
                  <c:v>986.18</c:v>
                </c:pt>
                <c:pt idx="4">
                  <c:v>2018.29</c:v>
                </c:pt>
                <c:pt idx="5">
                  <c:v>1099.09</c:v>
                </c:pt>
                <c:pt idx="6">
                  <c:v>4648.02</c:v>
                </c:pt>
                <c:pt idx="7">
                  <c:v>3805.4</c:v>
                </c:pt>
                <c:pt idx="8">
                  <c:v>3129.11</c:v>
                </c:pt>
                <c:pt idx="9">
                  <c:v>4139.01</c:v>
                </c:pt>
              </c:numCache>
            </c:numRef>
          </c:val>
          <c:smooth val="0"/>
        </c:ser>
        <c:ser>
          <c:idx val="1"/>
          <c:order val="1"/>
          <c:spPr>
            <a:ln w="2222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6"/>
            <c:spPr>
              <a:noFill/>
              <a:ln w="9525">
                <a:noFill/>
                <a:round/>
              </a:ln>
              <a:effectLst/>
            </c:spPr>
          </c:marker>
          <c:cat>
            <c:numRef>
              <c:f>Customization!$B$1:$K$1</c:f>
              <c:numCache>
                <c:formatCode>m/d/yy</c:formatCode>
                <c:ptCount val="10"/>
                <c:pt idx="0">
                  <c:v>38442.0</c:v>
                </c:pt>
                <c:pt idx="1">
                  <c:v>38807.0</c:v>
                </c:pt>
                <c:pt idx="2">
                  <c:v>39172.0</c:v>
                </c:pt>
                <c:pt idx="3">
                  <c:v>39538.0</c:v>
                </c:pt>
                <c:pt idx="4">
                  <c:v>39903.0</c:v>
                </c:pt>
                <c:pt idx="5">
                  <c:v>40268.0</c:v>
                </c:pt>
                <c:pt idx="6">
                  <c:v>40633.0</c:v>
                </c:pt>
                <c:pt idx="7">
                  <c:v>40999.0</c:v>
                </c:pt>
                <c:pt idx="8">
                  <c:v>41364.0</c:v>
                </c:pt>
                <c:pt idx="9">
                  <c:v>41729.0</c:v>
                </c:pt>
              </c:numCache>
            </c:numRef>
          </c:cat>
          <c:val>
            <c:numRef>
              <c:f>Customization!$B$6:$K$6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12536"/>
        <c:axId val="2113897816"/>
      </c:lineChart>
      <c:dateAx>
        <c:axId val="2127312536"/>
        <c:scaling>
          <c:orientation val="minMax"/>
        </c:scaling>
        <c:delete val="1"/>
        <c:axPos val="b"/>
        <c:numFmt formatCode="yyyy" sourceLinked="0"/>
        <c:majorTickMark val="none"/>
        <c:minorTickMark val="none"/>
        <c:tickLblPos val="nextTo"/>
        <c:crossAx val="2113897816"/>
        <c:crosses val="autoZero"/>
        <c:auto val="0"/>
        <c:lblOffset val="100"/>
        <c:baseTimeUnit val="years"/>
      </c:dateAx>
      <c:valAx>
        <c:axId val="21138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7312536"/>
        <c:crosses val="autoZero"/>
        <c:crossBetween val="between"/>
      </c:valAx>
      <c:spPr>
        <a:gradFill flip="none" rotWithShape="1">
          <a:gsLst>
            <a:gs pos="0">
              <a:schemeClr val="accent2">
                <a:lumMod val="67000"/>
              </a:schemeClr>
            </a:gs>
            <a:gs pos="100000">
              <a:schemeClr val="accent4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3</xdr:col>
      <xdr:colOff>1447800</xdr:colOff>
      <xdr:row>46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1495424</xdr:colOff>
      <xdr:row>28</xdr:row>
      <xdr:rowOff>9524</xdr:rowOff>
    </xdr:from>
    <xdr:to>
      <xdr:col>12</xdr:col>
      <xdr:colOff>66674</xdr:colOff>
      <xdr:row>46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3</xdr:col>
      <xdr:colOff>1428750</xdr:colOff>
      <xdr:row>63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1523999</xdr:colOff>
      <xdr:row>47</xdr:row>
      <xdr:rowOff>190499</xdr:rowOff>
    </xdr:from>
    <xdr:to>
      <xdr:col>12</xdr:col>
      <xdr:colOff>19049</xdr:colOff>
      <xdr:row>63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3</xdr:col>
      <xdr:colOff>1428750</xdr:colOff>
      <xdr:row>80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1587500</xdr:colOff>
      <xdr:row>64</xdr:row>
      <xdr:rowOff>38099</xdr:rowOff>
    </xdr:from>
    <xdr:to>
      <xdr:col>11</xdr:col>
      <xdr:colOff>660400</xdr:colOff>
      <xdr:row>80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80</xdr:row>
      <xdr:rowOff>190499</xdr:rowOff>
    </xdr:from>
    <xdr:to>
      <xdr:col>3</xdr:col>
      <xdr:colOff>1400174</xdr:colOff>
      <xdr:row>96</xdr:row>
      <xdr:rowOff>47624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148</xdr:row>
      <xdr:rowOff>57149</xdr:rowOff>
    </xdr:from>
    <xdr:to>
      <xdr:col>11</xdr:col>
      <xdr:colOff>571499</xdr:colOff>
      <xdr:row>172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1523999</xdr:colOff>
      <xdr:row>80</xdr:row>
      <xdr:rowOff>190499</xdr:rowOff>
    </xdr:from>
    <xdr:to>
      <xdr:col>11</xdr:col>
      <xdr:colOff>590549</xdr:colOff>
      <xdr:row>96</xdr:row>
      <xdr:rowOff>28574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96</xdr:row>
      <xdr:rowOff>190499</xdr:rowOff>
    </xdr:from>
    <xdr:to>
      <xdr:col>3</xdr:col>
      <xdr:colOff>1381124</xdr:colOff>
      <xdr:row>114</xdr:row>
      <xdr:rowOff>66674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0</xdr:colOff>
      <xdr:row>97</xdr:row>
      <xdr:rowOff>0</xdr:rowOff>
    </xdr:from>
    <xdr:to>
      <xdr:col>12</xdr:col>
      <xdr:colOff>57149</xdr:colOff>
      <xdr:row>114</xdr:row>
      <xdr:rowOff>66675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1514475</xdr:colOff>
      <xdr:row>115</xdr:row>
      <xdr:rowOff>9525</xdr:rowOff>
    </xdr:from>
    <xdr:to>
      <xdr:col>12</xdr:col>
      <xdr:colOff>9524</xdr:colOff>
      <xdr:row>131</xdr:row>
      <xdr:rowOff>104775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3</xdr:col>
      <xdr:colOff>1343024</xdr:colOff>
      <xdr:row>131</xdr:row>
      <xdr:rowOff>95250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131</xdr:row>
      <xdr:rowOff>114300</xdr:rowOff>
    </xdr:from>
    <xdr:to>
      <xdr:col>3</xdr:col>
      <xdr:colOff>1314450</xdr:colOff>
      <xdr:row>148</xdr:row>
      <xdr:rowOff>38100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1523999</xdr:colOff>
      <xdr:row>131</xdr:row>
      <xdr:rowOff>190499</xdr:rowOff>
    </xdr:from>
    <xdr:to>
      <xdr:col>11</xdr:col>
      <xdr:colOff>590549</xdr:colOff>
      <xdr:row>147</xdr:row>
      <xdr:rowOff>161924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N26"/>
  <sheetViews>
    <sheetView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24" sqref="J24"/>
    </sheetView>
  </sheetViews>
  <sheetFormatPr baseColWidth="10" defaultColWidth="8.83203125" defaultRowHeight="14" x14ac:dyDescent="0"/>
  <cols>
    <col min="1" max="1" width="20.6640625" style="2" customWidth="1"/>
    <col min="2" max="6" width="13.5" style="2" hidden="1" customWidth="1"/>
    <col min="7" max="7" width="14.83203125" style="2" bestFit="1" customWidth="1"/>
    <col min="8" max="11" width="13.5" style="2" customWidth="1"/>
    <col min="12" max="12" width="13.33203125" style="2" customWidth="1"/>
    <col min="13" max="13" width="11.6640625" style="2" customWidth="1"/>
    <col min="14" max="14" width="11" style="2" bestFit="1" customWidth="1"/>
    <col min="15" max="16384" width="8.83203125" style="2"/>
  </cols>
  <sheetData>
    <row r="1" spans="1:14" s="1" customFormat="1">
      <c r="A1" s="1" t="s">
        <v>0</v>
      </c>
      <c r="J1" s="46" t="e">
        <f>IF(Customization!#REF!&lt;&gt;Customization!#REF!,"New updates in Data Sheet","")</f>
      </c>
      <c r="K1" s="46"/>
      <c r="M1" s="1" t="s">
        <v>1</v>
      </c>
    </row>
    <row r="3" spans="1:14" s="1" customFormat="1">
      <c r="A3" s="3" t="s">
        <v>2</v>
      </c>
      <c r="B3" s="42">
        <f>'Data Sheet'!B4</f>
      </c>
      <c r="C3" s="42">
        <f>'Data Sheet'!C4</f>
      </c>
      <c r="D3" s="42">
        <f>'Data Sheet'!D4</f>
      </c>
      <c r="E3" s="42">
        <f>'Data Sheet'!E4</f>
      </c>
      <c r="F3" s="42">
        <f>'Data Sheet'!F4</f>
      </c>
      <c r="G3" s="42">
        <f>'Data Sheet'!G4</f>
      </c>
      <c r="H3" s="42">
        <f>'Data Sheet'!H4</f>
      </c>
      <c r="I3" s="42">
        <f>'Data Sheet'!I4</f>
      </c>
      <c r="J3" s="42">
        <f>'Data Sheet'!J4</f>
      </c>
      <c r="K3" s="42">
        <f>'Data Sheet'!K4</f>
      </c>
      <c r="L3" s="4" t="s">
        <v>3</v>
      </c>
      <c r="M3" s="4" t="s">
        <v>4</v>
      </c>
      <c r="N3" s="16" t="s">
        <v>5</v>
      </c>
    </row>
    <row r="4" spans="1:14" s="1" customFormat="1">
      <c r="A4" s="8" t="s">
        <v>6</v>
      </c>
      <c r="B4" s="15">
        <f>'Data Sheet'!B6</f>
      </c>
      <c r="C4" s="15">
        <f>'Data Sheet'!C6</f>
      </c>
      <c r="D4" s="15">
        <f>'Data Sheet'!D6</f>
      </c>
      <c r="E4" s="15">
        <f>'Data Sheet'!E6</f>
      </c>
      <c r="F4" s="15">
        <f>'Data Sheet'!F6</f>
      </c>
      <c r="G4" s="15">
        <f>'Data Sheet'!G6</f>
      </c>
      <c r="H4" s="15">
        <f>'Data Sheet'!H6</f>
      </c>
      <c r="I4" s="15">
        <f>'Data Sheet'!I6</f>
      </c>
      <c r="J4" s="15">
        <f>'Data Sheet'!J6</f>
      </c>
      <c r="K4" s="15">
        <f>'Data Sheet'!K6</f>
      </c>
      <c r="L4" s="15">
        <f>SUM(Quarters!H4:K4)</f>
      </c>
      <c r="M4" s="15">
        <f>$K4+M24*K4</f>
      </c>
      <c r="N4" s="18">
        <f>$K4+N24*L4</f>
      </c>
    </row>
    <row r="5" spans="1:14">
      <c r="A5" s="5" t="s">
        <v>7</v>
      </c>
      <c r="B5" s="23">
        <f>B4-B6</f>
      </c>
      <c r="C5" s="23">
        <f t="shared" ref="C5:K5" si="0">C4-C6</f>
      </c>
      <c r="D5" s="23">
        <f t="shared" si="0"/>
      </c>
      <c r="E5" s="23">
        <f t="shared" si="0"/>
      </c>
      <c r="F5" s="23">
        <f t="shared" si="0"/>
      </c>
      <c r="G5" s="23">
        <f t="shared" si="0"/>
      </c>
      <c r="H5" s="23">
        <f t="shared" si="0"/>
      </c>
      <c r="I5" s="23">
        <f t="shared" si="0"/>
      </c>
      <c r="J5" s="23">
        <f t="shared" si="0"/>
      </c>
      <c r="K5" s="23">
        <f t="shared" si="0"/>
      </c>
      <c r="L5" s="23">
        <f>SUM(Quarters!H5:K5)</f>
      </c>
      <c r="M5" s="23">
        <f t="shared" ref="M5:N5" si="1">M4-M6</f>
      </c>
      <c r="N5" s="32">
        <f t="shared" si="1"/>
      </c>
    </row>
    <row r="6" spans="1:14" s="1" customFormat="1">
      <c r="A6" s="8" t="s">
        <v>8</v>
      </c>
      <c r="B6" s="15">
        <f>'Data Sheet'!B7</f>
      </c>
      <c r="C6" s="15">
        <f>'Data Sheet'!C7</f>
      </c>
      <c r="D6" s="15">
        <f>'Data Sheet'!D7</f>
      </c>
      <c r="E6" s="15">
        <f>'Data Sheet'!E7</f>
      </c>
      <c r="F6" s="15">
        <f>'Data Sheet'!F7</f>
      </c>
      <c r="G6" s="15">
        <f>'Data Sheet'!G7</f>
      </c>
      <c r="H6" s="15">
        <f>'Data Sheet'!H7</f>
      </c>
      <c r="I6" s="15">
        <f>'Data Sheet'!I7</f>
      </c>
      <c r="J6" s="15">
        <f>'Data Sheet'!J7</f>
      </c>
      <c r="K6" s="15">
        <f>'Data Sheet'!K7</f>
      </c>
      <c r="L6" s="15">
        <f>SUM(Quarters!H6:K6)</f>
      </c>
      <c r="M6" s="15">
        <f>M4*M25</f>
      </c>
      <c r="N6" s="18">
        <f>N4*N25</f>
      </c>
    </row>
    <row r="7" spans="1:14">
      <c r="A7" s="5" t="s">
        <v>9</v>
      </c>
      <c r="B7" s="23">
        <f>'Data Sheet'!B8</f>
      </c>
      <c r="C7" s="23">
        <f>'Data Sheet'!C8</f>
      </c>
      <c r="D7" s="23">
        <f>'Data Sheet'!D8</f>
      </c>
      <c r="E7" s="23">
        <f>'Data Sheet'!E8</f>
      </c>
      <c r="F7" s="23">
        <f>'Data Sheet'!F8</f>
      </c>
      <c r="G7" s="23">
        <f>'Data Sheet'!G8</f>
      </c>
      <c r="H7" s="23">
        <f>'Data Sheet'!H8</f>
      </c>
      <c r="I7" s="23">
        <f>'Data Sheet'!I8</f>
      </c>
      <c r="J7" s="23">
        <f>'Data Sheet'!J8</f>
      </c>
      <c r="K7" s="23">
        <f>'Data Sheet'!K8</f>
      </c>
      <c r="L7" s="23">
        <f>SUM(Quarters!H7:K7)</f>
      </c>
      <c r="M7" s="23">
        <v>0</v>
      </c>
      <c r="N7" s="32">
        <v>0</v>
      </c>
    </row>
    <row r="8" spans="1:14">
      <c r="A8" s="5" t="s">
        <v>10</v>
      </c>
      <c r="B8" s="23">
        <f>'Data Sheet'!B9</f>
      </c>
      <c r="C8" s="23">
        <f>'Data Sheet'!C9</f>
      </c>
      <c r="D8" s="23">
        <f>'Data Sheet'!D9</f>
      </c>
      <c r="E8" s="23">
        <f>'Data Sheet'!E9</f>
      </c>
      <c r="F8" s="23">
        <f>'Data Sheet'!F9</f>
      </c>
      <c r="G8" s="23">
        <f>'Data Sheet'!G9</f>
      </c>
      <c r="H8" s="23">
        <f>'Data Sheet'!H9</f>
      </c>
      <c r="I8" s="23">
        <f>'Data Sheet'!I9</f>
      </c>
      <c r="J8" s="23">
        <f>'Data Sheet'!J9</f>
      </c>
      <c r="K8" s="23">
        <f>'Data Sheet'!K9</f>
      </c>
      <c r="L8" s="23">
        <f>SUM(Quarters!H8:K8)</f>
      </c>
      <c r="M8" s="23">
        <f>M6+M7</f>
      </c>
      <c r="N8" s="32">
        <f>N6+N7</f>
      </c>
    </row>
    <row r="9" spans="1:14">
      <c r="A9" s="5" t="s">
        <v>11</v>
      </c>
      <c r="B9" s="23">
        <f>'Data Sheet'!B10</f>
      </c>
      <c r="C9" s="23">
        <f>'Data Sheet'!C10</f>
      </c>
      <c r="D9" s="23">
        <f>'Data Sheet'!D10</f>
      </c>
      <c r="E9" s="23">
        <f>'Data Sheet'!E10</f>
      </c>
      <c r="F9" s="23">
        <f>'Data Sheet'!F10</f>
      </c>
      <c r="G9" s="23">
        <f>'Data Sheet'!G10</f>
      </c>
      <c r="H9" s="23">
        <f>'Data Sheet'!H10</f>
      </c>
      <c r="I9" s="23">
        <f>'Data Sheet'!I10</f>
      </c>
      <c r="J9" s="23">
        <f>'Data Sheet'!J10</f>
      </c>
      <c r="K9" s="23">
        <f>'Data Sheet'!K10</f>
      </c>
      <c r="L9" s="23">
        <f>SUM(Quarters!H9:K9)</f>
      </c>
      <c r="M9" s="23">
        <f>+$L9</f>
      </c>
      <c r="N9" s="32">
        <f>+$L9</f>
      </c>
    </row>
    <row r="10" spans="1:14">
      <c r="A10" s="5" t="s">
        <v>12</v>
      </c>
      <c r="B10" s="23">
        <f>'Data Sheet'!B11</f>
      </c>
      <c r="C10" s="23">
        <f>'Data Sheet'!C11</f>
      </c>
      <c r="D10" s="23">
        <f>'Data Sheet'!D11</f>
      </c>
      <c r="E10" s="23">
        <f>'Data Sheet'!E11</f>
      </c>
      <c r="F10" s="23">
        <f>'Data Sheet'!F11</f>
      </c>
      <c r="G10" s="23">
        <f>'Data Sheet'!G11</f>
      </c>
      <c r="H10" s="23">
        <f>'Data Sheet'!H11</f>
      </c>
      <c r="I10" s="23">
        <f>'Data Sheet'!I11</f>
      </c>
      <c r="J10" s="23">
        <f>'Data Sheet'!J11</f>
      </c>
      <c r="K10" s="23">
        <f>'Data Sheet'!K11</f>
      </c>
      <c r="L10" s="23">
        <f>SUM(Quarters!H10:K10)</f>
      </c>
      <c r="M10" s="23">
        <f>M8-M9</f>
      </c>
      <c r="N10" s="32">
        <f>N8-N9</f>
      </c>
    </row>
    <row r="11" spans="1:14">
      <c r="A11" s="5" t="s">
        <v>13</v>
      </c>
      <c r="B11" s="23">
        <f>'Data Sheet'!B12</f>
      </c>
      <c r="C11" s="23">
        <f>'Data Sheet'!C12</f>
      </c>
      <c r="D11" s="23">
        <f>'Data Sheet'!D12</f>
      </c>
      <c r="E11" s="23">
        <f>'Data Sheet'!E12</f>
      </c>
      <c r="F11" s="23">
        <f>'Data Sheet'!F12</f>
      </c>
      <c r="G11" s="23">
        <f>'Data Sheet'!G12</f>
      </c>
      <c r="H11" s="23">
        <f>'Data Sheet'!H12</f>
      </c>
      <c r="I11" s="23">
        <f>'Data Sheet'!I12</f>
      </c>
      <c r="J11" s="23">
        <f>'Data Sheet'!J12</f>
      </c>
      <c r="K11" s="23">
        <f>'Data Sheet'!K12</f>
      </c>
      <c r="L11" s="23">
        <f>SUM(Quarters!H11:K11)</f>
      </c>
      <c r="M11" s="23">
        <f>+$L11</f>
      </c>
      <c r="N11" s="32">
        <f>+$L11</f>
      </c>
    </row>
    <row r="12" spans="1:14">
      <c r="A12" s="5" t="s">
        <v>14</v>
      </c>
      <c r="B12" s="23">
        <f>'Data Sheet'!B13</f>
      </c>
      <c r="C12" s="23">
        <f>'Data Sheet'!C13</f>
      </c>
      <c r="D12" s="23">
        <f>'Data Sheet'!D13</f>
      </c>
      <c r="E12" s="23">
        <f>'Data Sheet'!E13</f>
      </c>
      <c r="F12" s="23">
        <f>'Data Sheet'!F13</f>
      </c>
      <c r="G12" s="23">
        <f>'Data Sheet'!G13</f>
      </c>
      <c r="H12" s="23">
        <f>'Data Sheet'!H13</f>
      </c>
      <c r="I12" s="23">
        <f>'Data Sheet'!I13</f>
      </c>
      <c r="J12" s="23">
        <f>'Data Sheet'!J13</f>
      </c>
      <c r="K12" s="23">
        <f>'Data Sheet'!K13</f>
      </c>
      <c r="L12" s="23">
        <f>SUM(Quarters!H12:K12)</f>
      </c>
      <c r="M12" s="23">
        <f>M10-M11</f>
      </c>
      <c r="N12" s="32">
        <f>N10-N11</f>
      </c>
    </row>
    <row r="13" spans="1:14">
      <c r="A13" s="5" t="s">
        <v>15</v>
      </c>
      <c r="B13" s="23">
        <f>'Data Sheet'!B14</f>
      </c>
      <c r="C13" s="23">
        <f>'Data Sheet'!C14</f>
      </c>
      <c r="D13" s="23">
        <f>'Data Sheet'!D14</f>
      </c>
      <c r="E13" s="23">
        <f>'Data Sheet'!E14</f>
      </c>
      <c r="F13" s="23">
        <f>'Data Sheet'!F14</f>
      </c>
      <c r="G13" s="23">
        <f>'Data Sheet'!G14</f>
      </c>
      <c r="H13" s="23">
        <f>'Data Sheet'!H14</f>
      </c>
      <c r="I13" s="23">
        <f>'Data Sheet'!I14</f>
      </c>
      <c r="J13" s="23">
        <f>'Data Sheet'!J14</f>
      </c>
      <c r="K13" s="23">
        <f>'Data Sheet'!K14</f>
      </c>
      <c r="L13" s="23">
        <f>SUM(Quarters!H13:K13)</f>
      </c>
      <c r="M13" s="33">
        <f>IF($L12&gt;0,$L13/$L12,0)</f>
      </c>
      <c r="N13" s="33">
        <f>IF($L12&gt;0,$L13/$L12,0)</f>
      </c>
    </row>
    <row r="14" spans="1:14" s="1" customFormat="1">
      <c r="A14" s="8" t="s">
        <v>16</v>
      </c>
      <c r="B14" s="15">
        <f>'Data Sheet'!B15</f>
      </c>
      <c r="C14" s="15">
        <f>'Data Sheet'!C15</f>
      </c>
      <c r="D14" s="15">
        <f>'Data Sheet'!D15</f>
      </c>
      <c r="E14" s="15">
        <f>'Data Sheet'!E15</f>
      </c>
      <c r="F14" s="15">
        <f>'Data Sheet'!F15</f>
      </c>
      <c r="G14" s="15">
        <f>'Data Sheet'!G15</f>
      </c>
      <c r="H14" s="15">
        <f>'Data Sheet'!H15</f>
      </c>
      <c r="I14" s="15">
        <f>'Data Sheet'!I15</f>
      </c>
      <c r="J14" s="15">
        <f>'Data Sheet'!J15</f>
      </c>
      <c r="K14" s="15">
        <f>'Data Sheet'!K15</f>
      </c>
      <c r="L14" s="15">
        <f>SUM(Quarters!H14:K14)</f>
      </c>
      <c r="M14" s="15">
        <f>M12-M13*M12</f>
      </c>
      <c r="N14" s="18">
        <f>N12-N13*N12</f>
      </c>
    </row>
    <row r="15" spans="1:14">
      <c r="A15" s="14" t="s">
        <v>64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>
        <f>IF('Data Sheet'!$B61&gt;0,'Profit &amp; Loss'!L14/'Data Sheet'!$B61,0)</f>
      </c>
      <c r="M15" s="23">
        <f>IF('Data Sheet'!$B61&gt;0,'Profit &amp; Loss'!M14/'Data Sheet'!$B61,0)</f>
      </c>
      <c r="N15" s="23">
        <f>IF('Data Sheet'!$B61&gt;0,'Profit &amp; Loss'!N14/'Data Sheet'!$B61,0)</f>
      </c>
    </row>
    <row r="16" spans="1:14">
      <c r="A16" s="5" t="s">
        <v>18</v>
      </c>
      <c r="B16" s="23">
        <f>'Data Sheet'!B69</f>
      </c>
      <c r="C16" s="23">
        <f>'Data Sheet'!C69</f>
      </c>
      <c r="D16" s="23">
        <f>'Data Sheet'!D69</f>
      </c>
      <c r="E16" s="23">
        <f>'Data Sheet'!E69</f>
      </c>
      <c r="F16" s="23">
        <f>'Data Sheet'!F69</f>
      </c>
      <c r="G16" s="23">
        <f>'Data Sheet'!G69</f>
      </c>
      <c r="H16" s="23">
        <f>'Data Sheet'!H69</f>
      </c>
      <c r="I16" s="23">
        <f>'Data Sheet'!I69</f>
      </c>
      <c r="J16" s="23">
        <f>'Data Sheet'!J69</f>
      </c>
      <c r="K16" s="23">
        <f>'Data Sheet'!K69</f>
      </c>
      <c r="L16" s="23">
        <f t="shared" ref="L16" si="2">IF(L15&gt;0,L17/L15,0)</f>
      </c>
      <c r="M16" s="23">
        <f>M26</f>
      </c>
      <c r="N16" s="23">
        <f>N26</f>
      </c>
    </row>
    <row r="17" spans="1:14" s="1" customFormat="1">
      <c r="A17" s="8" t="s">
        <v>65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>
        <f>'Data Sheet'!B63</f>
      </c>
      <c r="M17" s="43">
        <f>M15*M16</f>
      </c>
      <c r="N17" s="44">
        <f>N15*N16</f>
      </c>
    </row>
    <row r="18" spans="1:14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s="1" customFormat="1">
      <c r="A19" s="8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6"/>
    </row>
    <row r="20" spans="1:14">
      <c r="A20" s="5" t="s">
        <v>19</v>
      </c>
      <c r="B20" s="17">
        <f>'Data Sheet'!B16/100</f>
      </c>
      <c r="C20" s="17">
        <f>'Data Sheet'!C16/100</f>
      </c>
      <c r="D20" s="17">
        <f>'Data Sheet'!D16/100</f>
      </c>
      <c r="E20" s="17">
        <f>'Data Sheet'!E16/100</f>
      </c>
      <c r="F20" s="17">
        <f>'Data Sheet'!F16/100</f>
      </c>
      <c r="G20" s="17">
        <f>'Data Sheet'!G16/100</f>
      </c>
      <c r="H20" s="17">
        <f>'Data Sheet'!H16/100</f>
      </c>
      <c r="I20" s="17">
        <f>'Data Sheet'!I16/100</f>
      </c>
      <c r="J20" s="17">
        <f>'Data Sheet'!J16/100</f>
      </c>
      <c r="K20" s="17">
        <f>'Data Sheet'!K16/100</f>
      </c>
      <c r="L20" s="6"/>
      <c r="M20" s="6"/>
      <c r="N20" s="7"/>
    </row>
    <row r="21" spans="1:14">
      <c r="A21" s="10" t="s">
        <v>20</v>
      </c>
      <c r="B21" s="11">
        <f t="shared" ref="B21:L21" si="3">IF(B6&gt;0,B6/B4,0)</f>
      </c>
      <c r="C21" s="11">
        <f t="shared" si="3"/>
      </c>
      <c r="D21" s="11">
        <f t="shared" si="3"/>
      </c>
      <c r="E21" s="11">
        <f t="shared" si="3"/>
      </c>
      <c r="F21" s="11">
        <f t="shared" si="3"/>
      </c>
      <c r="G21" s="11">
        <f t="shared" si="3"/>
      </c>
      <c r="H21" s="11">
        <f t="shared" si="3"/>
      </c>
      <c r="I21" s="11">
        <f t="shared" si="3"/>
      </c>
      <c r="J21" s="11">
        <f t="shared" si="3"/>
      </c>
      <c r="K21" s="11">
        <f t="shared" si="3"/>
      </c>
      <c r="L21" s="11">
        <f t="shared" si="3"/>
      </c>
      <c r="M21" s="12"/>
      <c r="N21" s="13"/>
    </row>
    <row r="23" spans="1:14" s="1" customFormat="1">
      <c r="G23" s="22" t="s">
        <v>21</v>
      </c>
      <c r="H23" s="22" t="s">
        <v>26</v>
      </c>
      <c r="I23" s="22" t="s">
        <v>25</v>
      </c>
      <c r="J23" s="22" t="s">
        <v>24</v>
      </c>
      <c r="K23" s="22" t="s">
        <v>23</v>
      </c>
      <c r="L23" s="22" t="s">
        <v>22</v>
      </c>
      <c r="M23" s="22" t="s">
        <v>27</v>
      </c>
      <c r="N23" s="22" t="s">
        <v>28</v>
      </c>
    </row>
    <row r="24" spans="1:14">
      <c r="G24" s="2" t="s">
        <v>29</v>
      </c>
      <c r="H24" s="34">
        <f>IF(B4=0,"",POWER($K4/B4,1/9)-1)</f>
      </c>
      <c r="I24" s="34">
        <f>IF(D4=0,"",POWER($K4/D4,1/7)-1)</f>
      </c>
      <c r="J24" s="34">
        <f>IF(F4=0,"",POWER($K4/F4,1/5)-1)</f>
      </c>
      <c r="K24" s="34">
        <f>IF(H4=0,"",POWER($K4/H4, 1/3)-1)</f>
      </c>
      <c r="L24" s="34">
        <f>IF(ISERROR(MAX(IF(J4=0,"",(K4-J4)/J4),IF(K4=0,"",(L4-K4)/K4))),"",MAX(IF(J4=0,"",(K4-J4)/J4),IF(K4=0,"",(L4-K4)/K4)))</f>
      </c>
      <c r="M24" s="37">
        <f>MAX(K24:L24)</f>
      </c>
      <c r="N24" s="37">
        <f>MIN(H24:L24)</f>
      </c>
    </row>
    <row r="25" spans="1:14">
      <c r="G25" s="2" t="s">
        <v>20</v>
      </c>
      <c r="H25" s="34">
        <f>IF(SUM(B4:$K$4)=0,"",SUMPRODUCT(B21:$K$21,B4:$K$4)/SUM(B4:$K$4))</f>
      </c>
      <c r="I25" s="34">
        <f>IF(SUM(E4:$K$4)=0,"",SUMPRODUCT(E21:$K$21,E4:$K$4)/SUM(E4:$K$4))</f>
      </c>
      <c r="J25" s="34">
        <f>IF(SUM(G4:$K$4)=0,"",SUMPRODUCT(G21:$K$21,G4:$K$4)/SUM(G4:$K$4))</f>
      </c>
      <c r="K25" s="34">
        <f>IF(SUM(I4:$K$4)=0, "", SUMPRODUCT(I21:$K$21,I4:$K$4)/SUM(I4:$K$4))</f>
      </c>
      <c r="L25" s="34">
        <f>L21</f>
      </c>
      <c r="M25" s="37">
        <f>MAX(K25:L25)</f>
      </c>
      <c r="N25" s="37">
        <f>MIN(H25:L25)</f>
      </c>
    </row>
    <row r="26" spans="1:14">
      <c r="G26" s="2" t="s">
        <v>30</v>
      </c>
      <c r="H26" s="35">
        <f>IF(ISERROR(AVERAGEIF(B16:$L16,"&gt;0")),"",AVERAGEIF(B16:$L16,"&gt;0"))</f>
      </c>
      <c r="I26" s="35">
        <f>IF(ISERROR(AVERAGEIF(E16:$L16,"&gt;0")),"",AVERAGEIF(E16:$L16,"&gt;0"))</f>
      </c>
      <c r="J26" s="35">
        <f>IF(ISERROR(AVERAGEIF(G16:$L16,"&gt;0")),"",AVERAGEIF(G16:$L16,"&gt;0"))</f>
      </c>
      <c r="K26" s="35">
        <f>IF(ISERROR(AVERAGEIF(I16:$L16,"&gt;0")),"",AVERAGEIF(I16:$L16,"&gt;0"))</f>
      </c>
      <c r="L26" s="35">
        <f>L16</f>
      </c>
      <c r="M26" s="25">
        <f>MAX(K26:L26)</f>
      </c>
      <c r="N26" s="25">
        <f>MIN(H26:L26)</f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K16"/>
  <sheetViews>
    <sheetView topLeftCell="D1" workbookViewId="0">
      <selection activeCell="A16" sqref="A16:K16"/>
    </sheetView>
  </sheetViews>
  <sheetFormatPr baseColWidth="10" defaultColWidth="8.83203125" defaultRowHeight="14" x14ac:dyDescent="0"/>
  <cols>
    <col min="1" max="1" width="20.6640625" style="2" customWidth="1"/>
    <col min="2" max="11" width="13.5" style="2" bestFit="1" customWidth="1"/>
    <col min="12" max="16384" width="8.83203125" style="2"/>
  </cols>
  <sheetData>
    <row r="1" spans="1:11" s="1" customFormat="1">
      <c r="A1" s="1" t="str">
        <f>'Profit &amp; Loss'!A1</f>
      </c>
      <c r="G1" s="82" t="e">
        <f>IF(Customization!#REF!&lt;&gt;Customization!#REF!,"New updates in Data Sheet","")</f>
      </c>
      <c r="H1" s="83"/>
      <c r="J1" s="47" t="s">
        <v>1</v>
      </c>
      <c r="K1" s="47"/>
    </row>
    <row r="3" spans="1:11" s="1" customFormat="1">
      <c r="A3" s="3" t="s">
        <v>2</v>
      </c>
      <c r="B3" s="42">
        <f>'Data Sheet'!B21</f>
      </c>
      <c r="C3" s="42">
        <f>'Data Sheet'!C21</f>
      </c>
      <c r="D3" s="42">
        <f>'Data Sheet'!D21</f>
      </c>
      <c r="E3" s="42">
        <f>'Data Sheet'!E21</f>
      </c>
      <c r="F3" s="42">
        <f>'Data Sheet'!F21</f>
      </c>
      <c r="G3" s="42">
        <f>'Data Sheet'!G21</f>
      </c>
      <c r="H3" s="42">
        <f>'Data Sheet'!H21</f>
      </c>
      <c r="I3" s="42">
        <f>'Data Sheet'!I21</f>
      </c>
      <c r="J3" s="42">
        <f>'Data Sheet'!J21</f>
      </c>
      <c r="K3" s="42">
        <f>'Data Sheet'!K21</f>
      </c>
    </row>
    <row r="4" spans="1:11" s="1" customFormat="1">
      <c r="A4" s="8" t="s">
        <v>6</v>
      </c>
      <c r="B4" s="15">
        <f>'Data Sheet'!B23</f>
      </c>
      <c r="C4" s="15">
        <f>'Data Sheet'!C23</f>
      </c>
      <c r="D4" s="15">
        <f>'Data Sheet'!D23</f>
      </c>
      <c r="E4" s="15">
        <f>'Data Sheet'!E23</f>
      </c>
      <c r="F4" s="15">
        <f>'Data Sheet'!F23</f>
      </c>
      <c r="G4" s="15">
        <f>'Data Sheet'!G23</f>
      </c>
      <c r="H4" s="15">
        <f>'Data Sheet'!H23</f>
      </c>
      <c r="I4" s="15">
        <f>'Data Sheet'!I23</f>
      </c>
      <c r="J4" s="15">
        <f>'Data Sheet'!J23</f>
      </c>
      <c r="K4" s="15">
        <f>'Data Sheet'!K23</f>
      </c>
    </row>
    <row r="5" spans="1:11">
      <c r="A5" s="5" t="s">
        <v>7</v>
      </c>
      <c r="B5" s="23">
        <f>B4-B6</f>
      </c>
      <c r="C5" s="23">
        <f t="shared" ref="C5:K5" si="0">C4-C6</f>
      </c>
      <c r="D5" s="23">
        <f t="shared" si="0"/>
      </c>
      <c r="E5" s="23">
        <f t="shared" si="0"/>
      </c>
      <c r="F5" s="23">
        <f t="shared" si="0"/>
      </c>
      <c r="G5" s="23">
        <f t="shared" si="0"/>
      </c>
      <c r="H5" s="23">
        <f t="shared" si="0"/>
      </c>
      <c r="I5" s="23">
        <f t="shared" si="0"/>
      </c>
      <c r="J5" s="23">
        <f t="shared" si="0"/>
      </c>
      <c r="K5" s="23">
        <f t="shared" si="0"/>
      </c>
    </row>
    <row r="6" spans="1:11" s="1" customFormat="1">
      <c r="A6" s="8" t="s">
        <v>8</v>
      </c>
      <c r="B6" s="15">
        <f>'Data Sheet'!B25</f>
      </c>
      <c r="C6" s="15">
        <f>'Data Sheet'!C25</f>
      </c>
      <c r="D6" s="15">
        <f>'Data Sheet'!D25</f>
      </c>
      <c r="E6" s="15">
        <f>'Data Sheet'!E25</f>
      </c>
      <c r="F6" s="15">
        <f>'Data Sheet'!F25</f>
      </c>
      <c r="G6" s="15">
        <f>'Data Sheet'!G25</f>
      </c>
      <c r="H6" s="15">
        <f>'Data Sheet'!H25</f>
      </c>
      <c r="I6" s="15">
        <f>'Data Sheet'!I25</f>
      </c>
      <c r="J6" s="15">
        <f>'Data Sheet'!J25</f>
      </c>
      <c r="K6" s="15">
        <f>'Data Sheet'!K25</f>
      </c>
    </row>
    <row r="7" spans="1:11">
      <c r="A7" s="5" t="s">
        <v>9</v>
      </c>
      <c r="B7" s="23">
        <f>'Data Sheet'!B26</f>
      </c>
      <c r="C7" s="23">
        <f>'Data Sheet'!C26</f>
      </c>
      <c r="D7" s="23">
        <f>'Data Sheet'!D26</f>
      </c>
      <c r="E7" s="23">
        <f>'Data Sheet'!E26</f>
      </c>
      <c r="F7" s="23">
        <f>'Data Sheet'!F26</f>
      </c>
      <c r="G7" s="23">
        <f>'Data Sheet'!G26</f>
      </c>
      <c r="H7" s="23">
        <f>'Data Sheet'!H26</f>
      </c>
      <c r="I7" s="23">
        <f>'Data Sheet'!I26</f>
      </c>
      <c r="J7" s="23">
        <f>'Data Sheet'!J26</f>
      </c>
      <c r="K7" s="23">
        <f>'Data Sheet'!K26</f>
      </c>
    </row>
    <row r="8" spans="1:11">
      <c r="A8" s="5" t="s">
        <v>10</v>
      </c>
      <c r="B8" s="23">
        <f>'Data Sheet'!B27</f>
      </c>
      <c r="C8" s="23">
        <f>'Data Sheet'!C27</f>
      </c>
      <c r="D8" s="23">
        <f>'Data Sheet'!D27</f>
      </c>
      <c r="E8" s="23">
        <f>'Data Sheet'!E27</f>
      </c>
      <c r="F8" s="23">
        <f>'Data Sheet'!F27</f>
      </c>
      <c r="G8" s="23">
        <f>'Data Sheet'!G27</f>
      </c>
      <c r="H8" s="23">
        <f>'Data Sheet'!H27</f>
      </c>
      <c r="I8" s="23">
        <f>'Data Sheet'!I27</f>
      </c>
      <c r="J8" s="23">
        <f>'Data Sheet'!J27</f>
      </c>
      <c r="K8" s="23">
        <f>'Data Sheet'!K27</f>
      </c>
    </row>
    <row r="9" spans="1:11">
      <c r="A9" s="5" t="s">
        <v>11</v>
      </c>
      <c r="B9" s="23">
        <f>'Data Sheet'!B28</f>
      </c>
      <c r="C9" s="23">
        <f>'Data Sheet'!C28</f>
      </c>
      <c r="D9" s="23">
        <f>'Data Sheet'!D28</f>
      </c>
      <c r="E9" s="23">
        <f>'Data Sheet'!E28</f>
      </c>
      <c r="F9" s="23">
        <f>'Data Sheet'!F28</f>
      </c>
      <c r="G9" s="23">
        <f>'Data Sheet'!G28</f>
      </c>
      <c r="H9" s="23">
        <f>'Data Sheet'!H28</f>
      </c>
      <c r="I9" s="23">
        <f>'Data Sheet'!I28</f>
      </c>
      <c r="J9" s="23">
        <f>'Data Sheet'!J28</f>
      </c>
      <c r="K9" s="23">
        <f>'Data Sheet'!K28</f>
      </c>
    </row>
    <row r="10" spans="1:11">
      <c r="A10" s="5" t="s">
        <v>12</v>
      </c>
      <c r="B10" s="23">
        <f>'Data Sheet'!B29</f>
      </c>
      <c r="C10" s="23">
        <f>'Data Sheet'!C29</f>
      </c>
      <c r="D10" s="23">
        <f>'Data Sheet'!D29</f>
      </c>
      <c r="E10" s="23">
        <f>'Data Sheet'!E29</f>
      </c>
      <c r="F10" s="23">
        <f>'Data Sheet'!F29</f>
      </c>
      <c r="G10" s="23">
        <f>'Data Sheet'!G29</f>
      </c>
      <c r="H10" s="23">
        <f>'Data Sheet'!H29</f>
      </c>
      <c r="I10" s="23">
        <f>'Data Sheet'!I29</f>
      </c>
      <c r="J10" s="23">
        <f>'Data Sheet'!J29</f>
      </c>
      <c r="K10" s="23">
        <f>'Data Sheet'!K29</f>
      </c>
    </row>
    <row r="11" spans="1:11">
      <c r="A11" s="5" t="s">
        <v>13</v>
      </c>
      <c r="B11" s="23">
        <f>'Data Sheet'!B30</f>
      </c>
      <c r="C11" s="23">
        <f>'Data Sheet'!C30</f>
      </c>
      <c r="D11" s="23">
        <f>'Data Sheet'!D30</f>
      </c>
      <c r="E11" s="23">
        <f>'Data Sheet'!E30</f>
      </c>
      <c r="F11" s="23">
        <f>'Data Sheet'!F30</f>
      </c>
      <c r="G11" s="23">
        <f>'Data Sheet'!G30</f>
      </c>
      <c r="H11" s="23">
        <f>'Data Sheet'!H30</f>
      </c>
      <c r="I11" s="23">
        <f>'Data Sheet'!I30</f>
      </c>
      <c r="J11" s="23">
        <f>'Data Sheet'!J30</f>
      </c>
      <c r="K11" s="23">
        <f>'Data Sheet'!K30</f>
      </c>
    </row>
    <row r="12" spans="1:11">
      <c r="A12" s="5" t="s">
        <v>14</v>
      </c>
      <c r="B12" s="23">
        <f>'Data Sheet'!B31</f>
      </c>
      <c r="C12" s="23">
        <f>'Data Sheet'!C31</f>
      </c>
      <c r="D12" s="23">
        <f>'Data Sheet'!D31</f>
      </c>
      <c r="E12" s="23">
        <f>'Data Sheet'!E31</f>
      </c>
      <c r="F12" s="23">
        <f>'Data Sheet'!F31</f>
      </c>
      <c r="G12" s="23">
        <f>'Data Sheet'!G31</f>
      </c>
      <c r="H12" s="23">
        <f>'Data Sheet'!H31</f>
      </c>
      <c r="I12" s="23">
        <f>'Data Sheet'!I31</f>
      </c>
      <c r="J12" s="23">
        <f>'Data Sheet'!J31</f>
      </c>
      <c r="K12" s="23">
        <f>'Data Sheet'!K31</f>
      </c>
    </row>
    <row r="13" spans="1:11">
      <c r="A13" s="5" t="s">
        <v>15</v>
      </c>
      <c r="B13" s="23">
        <f>'Data Sheet'!B32</f>
      </c>
      <c r="C13" s="23">
        <f>'Data Sheet'!C32</f>
      </c>
      <c r="D13" s="23">
        <f>'Data Sheet'!D32</f>
      </c>
      <c r="E13" s="23">
        <f>'Data Sheet'!E32</f>
      </c>
      <c r="F13" s="23">
        <f>'Data Sheet'!F32</f>
      </c>
      <c r="G13" s="23">
        <f>'Data Sheet'!G32</f>
      </c>
      <c r="H13" s="23">
        <f>'Data Sheet'!H32</f>
      </c>
      <c r="I13" s="23">
        <f>'Data Sheet'!I32</f>
      </c>
      <c r="J13" s="23">
        <f>'Data Sheet'!J32</f>
      </c>
      <c r="K13" s="23">
        <f>'Data Sheet'!K32</f>
      </c>
    </row>
    <row r="14" spans="1:11" s="1" customFormat="1">
      <c r="A14" s="8" t="s">
        <v>16</v>
      </c>
      <c r="B14" s="15">
        <f>'Data Sheet'!B33</f>
      </c>
      <c r="C14" s="15">
        <f>'Data Sheet'!C33</f>
      </c>
      <c r="D14" s="15">
        <f>'Data Sheet'!D33</f>
      </c>
      <c r="E14" s="15">
        <f>'Data Sheet'!E33</f>
      </c>
      <c r="F14" s="15">
        <f>'Data Sheet'!F33</f>
      </c>
      <c r="G14" s="15">
        <f>'Data Sheet'!G33</f>
      </c>
      <c r="H14" s="15">
        <f>'Data Sheet'!H33</f>
      </c>
      <c r="I14" s="15">
        <f>'Data Sheet'!I33</f>
      </c>
      <c r="J14" s="15">
        <f>'Data Sheet'!J33</f>
      </c>
      <c r="K14" s="15">
        <f>'Data Sheet'!K33</f>
      </c>
    </row>
    <row r="16" spans="1:11" s="1" customFormat="1">
      <c r="A16" s="40" t="s">
        <v>20</v>
      </c>
      <c r="B16" s="41">
        <f>IF(B4&gt;0,B6/B4,"")</f>
      </c>
      <c r="C16" s="41">
        <f t="shared" ref="C16:K16" si="1">IF(C4&gt;0,C6/C4,"")</f>
      </c>
      <c r="D16" s="41">
        <f t="shared" si="1"/>
      </c>
      <c r="E16" s="41">
        <f t="shared" si="1"/>
      </c>
      <c r="F16" s="41">
        <f t="shared" si="1"/>
      </c>
      <c r="G16" s="41">
        <f t="shared" si="1"/>
      </c>
      <c r="H16" s="41">
        <f t="shared" si="1"/>
      </c>
      <c r="I16" s="41">
        <f t="shared" si="1"/>
      </c>
      <c r="J16" s="41">
        <f t="shared" si="1"/>
      </c>
      <c r="K16" s="41">
        <f t="shared" si="1"/>
      </c>
    </row>
  </sheetData>
  <mergeCells count="1">
    <mergeCell ref="G1:H1"/>
  </mergeCells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K23"/>
  <sheetViews>
    <sheetView workbookViewId="0">
      <pane xSplit="1" ySplit="3" topLeftCell="B7" activePane="bottomRight" state="frozen"/>
      <selection activeCell="M17" sqref="M17"/>
      <selection pane="topRight" activeCell="M17" sqref="M17"/>
      <selection pane="bottomLeft" activeCell="M17" sqref="M17"/>
      <selection pane="bottomRight" activeCell="G25" sqref="G25"/>
    </sheetView>
  </sheetViews>
  <sheetFormatPr baseColWidth="10" defaultColWidth="8.83203125" defaultRowHeight="14" x14ac:dyDescent="0"/>
  <cols>
    <col min="1" max="1" width="22.83203125" bestFit="1" customWidth="1"/>
    <col min="2" max="2" width="13.5" hidden="1" customWidth="1"/>
    <col min="3" max="6" width="15.5" hidden="1" customWidth="1"/>
    <col min="7" max="11" width="15.5" customWidth="1"/>
  </cols>
  <sheetData>
    <row r="1" spans="1:11" s="1" customFormat="1">
      <c r="A1" s="1" t="str">
        <f>'Profit &amp; Loss'!A1</f>
      </c>
      <c r="G1" s="82" t="e">
        <f>IF(Customization!#REF!&lt;&gt;Customization!#REF!,"New updates in Data Sheet","")</f>
      </c>
      <c r="H1" s="83"/>
      <c r="J1" s="47" t="s">
        <v>1</v>
      </c>
      <c r="K1" s="47"/>
    </row>
    <row r="3" spans="1:11">
      <c r="A3" s="3" t="s">
        <v>2</v>
      </c>
      <c r="B3" s="42">
        <f>'Data Sheet'!B37</f>
      </c>
      <c r="C3" s="42">
        <f>'Data Sheet'!C37</f>
      </c>
      <c r="D3" s="42">
        <f>'Data Sheet'!D37</f>
      </c>
      <c r="E3" s="42">
        <f>'Data Sheet'!E37</f>
      </c>
      <c r="F3" s="42">
        <f>'Data Sheet'!F37</f>
      </c>
      <c r="G3" s="42">
        <f>'Data Sheet'!G37</f>
      </c>
      <c r="H3" s="42">
        <f>'Data Sheet'!H37</f>
      </c>
      <c r="I3" s="42">
        <f>'Data Sheet'!I37</f>
      </c>
      <c r="J3" s="42">
        <f>'Data Sheet'!J37</f>
      </c>
      <c r="K3" s="42">
        <f>'Data Sheet'!K37</f>
      </c>
    </row>
    <row r="4" spans="1:11">
      <c r="A4" s="5" t="s">
        <v>31</v>
      </c>
      <c r="B4" s="19">
        <f>'Data Sheet'!B38</f>
      </c>
      <c r="C4" s="19">
        <f>'Data Sheet'!C38</f>
      </c>
      <c r="D4" s="19">
        <f>'Data Sheet'!D38</f>
      </c>
      <c r="E4" s="19">
        <f>'Data Sheet'!E38</f>
      </c>
      <c r="F4" s="19">
        <f>'Data Sheet'!F38</f>
      </c>
      <c r="G4" s="19">
        <f>'Data Sheet'!G38</f>
      </c>
      <c r="H4" s="19">
        <f>'Data Sheet'!H38</f>
      </c>
      <c r="I4" s="19">
        <f>'Data Sheet'!I38</f>
      </c>
      <c r="J4" s="19">
        <f>'Data Sheet'!J38</f>
      </c>
      <c r="K4" s="19">
        <f>'Data Sheet'!K38</f>
      </c>
    </row>
    <row r="5" spans="1:11" s="2" customFormat="1">
      <c r="A5" s="5" t="s">
        <v>32</v>
      </c>
      <c r="B5" s="19">
        <f>'Data Sheet'!B39</f>
      </c>
      <c r="C5" s="19">
        <f>'Data Sheet'!C39</f>
      </c>
      <c r="D5" s="19">
        <f>'Data Sheet'!D39</f>
      </c>
      <c r="E5" s="19">
        <f>'Data Sheet'!E39</f>
      </c>
      <c r="F5" s="19">
        <f>'Data Sheet'!F39</f>
      </c>
      <c r="G5" s="19">
        <f>'Data Sheet'!G39</f>
      </c>
      <c r="H5" s="19">
        <f>'Data Sheet'!H39</f>
      </c>
      <c r="I5" s="19">
        <f>'Data Sheet'!I39</f>
      </c>
      <c r="J5" s="19">
        <f>'Data Sheet'!J39</f>
      </c>
      <c r="K5" s="19">
        <f>'Data Sheet'!K39</f>
      </c>
    </row>
    <row r="6" spans="1:11">
      <c r="A6" s="5" t="s">
        <v>33</v>
      </c>
      <c r="B6" s="19">
        <f>'Data Sheet'!B40</f>
      </c>
      <c r="C6" s="19">
        <f>'Data Sheet'!C40</f>
      </c>
      <c r="D6" s="19">
        <f>'Data Sheet'!D40</f>
      </c>
      <c r="E6" s="19">
        <f>'Data Sheet'!E40</f>
      </c>
      <c r="F6" s="19">
        <f>'Data Sheet'!F40</f>
      </c>
      <c r="G6" s="19">
        <f>'Data Sheet'!G40</f>
      </c>
      <c r="H6" s="19">
        <f>'Data Sheet'!H40</f>
      </c>
      <c r="I6" s="19">
        <f>'Data Sheet'!I40</f>
      </c>
      <c r="J6" s="19">
        <f>'Data Sheet'!J40</f>
      </c>
      <c r="K6" s="19">
        <f>'Data Sheet'!K40</f>
      </c>
    </row>
    <row r="7" spans="1:11" s="2" customFormat="1">
      <c r="A7" s="5" t="s">
        <v>34</v>
      </c>
      <c r="B7" s="19">
        <f>'Data Sheet'!B41</f>
      </c>
      <c r="C7" s="19">
        <f>'Data Sheet'!C41</f>
      </c>
      <c r="D7" s="19">
        <f>'Data Sheet'!D41</f>
      </c>
      <c r="E7" s="19">
        <f>'Data Sheet'!E41</f>
      </c>
      <c r="F7" s="19">
        <f>'Data Sheet'!F41</f>
      </c>
      <c r="G7" s="19">
        <f>'Data Sheet'!G41</f>
      </c>
      <c r="H7" s="19">
        <f>'Data Sheet'!H41</f>
      </c>
      <c r="I7" s="19">
        <f>'Data Sheet'!I41</f>
      </c>
      <c r="J7" s="19">
        <f>'Data Sheet'!J41</f>
      </c>
      <c r="K7" s="19">
        <f>'Data Sheet'!K41</f>
      </c>
    </row>
    <row r="8" spans="1:11" s="1" customFormat="1">
      <c r="A8" s="8" t="s">
        <v>35</v>
      </c>
      <c r="B8" s="31">
        <f>'Data Sheet'!B42</f>
      </c>
      <c r="C8" s="31">
        <f>'Data Sheet'!C42</f>
      </c>
      <c r="D8" s="31">
        <f>'Data Sheet'!D42</f>
      </c>
      <c r="E8" s="31">
        <f>'Data Sheet'!E42</f>
      </c>
      <c r="F8" s="31">
        <f>'Data Sheet'!F42</f>
      </c>
      <c r="G8" s="31">
        <f>'Data Sheet'!G42</f>
      </c>
      <c r="H8" s="31">
        <f>'Data Sheet'!H42</f>
      </c>
      <c r="I8" s="31">
        <f>'Data Sheet'!I42</f>
      </c>
      <c r="J8" s="31">
        <f>'Data Sheet'!J42</f>
      </c>
      <c r="K8" s="31">
        <f>'Data Sheet'!K42</f>
      </c>
    </row>
    <row r="9" spans="1:11">
      <c r="A9" s="5" t="s">
        <v>36</v>
      </c>
      <c r="B9" s="19">
        <f>'Data Sheet'!B43</f>
      </c>
      <c r="C9" s="19">
        <f>'Data Sheet'!C43</f>
      </c>
      <c r="D9" s="19">
        <f>'Data Sheet'!D43</f>
      </c>
      <c r="E9" s="19">
        <f>'Data Sheet'!E43</f>
      </c>
      <c r="F9" s="19">
        <f>'Data Sheet'!F43</f>
      </c>
      <c r="G9" s="19">
        <f>'Data Sheet'!G43</f>
      </c>
      <c r="H9" s="19">
        <f>'Data Sheet'!H43</f>
      </c>
      <c r="I9" s="19">
        <f>'Data Sheet'!I43</f>
      </c>
      <c r="J9" s="19">
        <f>'Data Sheet'!J43</f>
      </c>
      <c r="K9" s="19">
        <f>'Data Sheet'!K43</f>
      </c>
    </row>
    <row r="10" spans="1:11">
      <c r="A10" s="5" t="s">
        <v>37</v>
      </c>
      <c r="B10" s="19">
        <f>'Data Sheet'!B44</f>
      </c>
      <c r="C10" s="19">
        <f>'Data Sheet'!C44</f>
      </c>
      <c r="D10" s="19">
        <f>'Data Sheet'!D44</f>
      </c>
      <c r="E10" s="19">
        <f>'Data Sheet'!E44</f>
      </c>
      <c r="F10" s="19">
        <f>'Data Sheet'!F44</f>
      </c>
      <c r="G10" s="19">
        <f>'Data Sheet'!G44</f>
      </c>
      <c r="H10" s="19">
        <f>'Data Sheet'!H44</f>
      </c>
      <c r="I10" s="19">
        <f>'Data Sheet'!I44</f>
      </c>
      <c r="J10" s="19">
        <f>'Data Sheet'!J44</f>
      </c>
      <c r="K10" s="19">
        <f>'Data Sheet'!K44</f>
      </c>
    </row>
    <row r="11" spans="1:11">
      <c r="A11" s="5" t="s">
        <v>38</v>
      </c>
      <c r="B11" s="19">
        <f>'Data Sheet'!B45</f>
      </c>
      <c r="C11" s="19">
        <f>'Data Sheet'!C45</f>
      </c>
      <c r="D11" s="19">
        <f>'Data Sheet'!D45</f>
      </c>
      <c r="E11" s="19">
        <f>'Data Sheet'!E45</f>
      </c>
      <c r="F11" s="19">
        <f>'Data Sheet'!F45</f>
      </c>
      <c r="G11" s="19">
        <f>'Data Sheet'!G45</f>
      </c>
      <c r="H11" s="19">
        <f>'Data Sheet'!H45</f>
      </c>
      <c r="I11" s="19">
        <f>'Data Sheet'!I45</f>
      </c>
      <c r="J11" s="19">
        <f>'Data Sheet'!J45</f>
      </c>
      <c r="K11" s="19">
        <f>'Data Sheet'!K45</f>
      </c>
    </row>
    <row r="12" spans="1:11">
      <c r="A12" s="5" t="s">
        <v>39</v>
      </c>
      <c r="B12" s="19">
        <f>'Data Sheet'!B46</f>
      </c>
      <c r="C12" s="19">
        <f>'Data Sheet'!C46</f>
      </c>
      <c r="D12" s="19">
        <f>'Data Sheet'!D46</f>
      </c>
      <c r="E12" s="19">
        <f>'Data Sheet'!E46</f>
      </c>
      <c r="F12" s="19">
        <f>'Data Sheet'!F46</f>
      </c>
      <c r="G12" s="19">
        <f>'Data Sheet'!G46</f>
      </c>
      <c r="H12" s="19">
        <f>'Data Sheet'!H46</f>
      </c>
      <c r="I12" s="19">
        <f>'Data Sheet'!I46</f>
      </c>
      <c r="J12" s="19">
        <f>'Data Sheet'!J46</f>
      </c>
      <c r="K12" s="19">
        <f>'Data Sheet'!K46</f>
      </c>
    </row>
    <row r="13" spans="1:11" s="1" customFormat="1">
      <c r="A13" s="8" t="s">
        <v>35</v>
      </c>
      <c r="B13" s="31">
        <f>'Data Sheet'!B47</f>
      </c>
      <c r="C13" s="31">
        <f>'Data Sheet'!C47</f>
      </c>
      <c r="D13" s="31">
        <f>'Data Sheet'!D47</f>
      </c>
      <c r="E13" s="31">
        <f>'Data Sheet'!E47</f>
      </c>
      <c r="F13" s="31">
        <f>'Data Sheet'!F47</f>
      </c>
      <c r="G13" s="31">
        <f>'Data Sheet'!G47</f>
      </c>
      <c r="H13" s="31">
        <f>'Data Sheet'!H47</f>
      </c>
      <c r="I13" s="31">
        <f>'Data Sheet'!I47</f>
      </c>
      <c r="J13" s="31">
        <f>'Data Sheet'!J47</f>
      </c>
      <c r="K13" s="31">
        <f>'Data Sheet'!K47</f>
      </c>
    </row>
    <row r="14" spans="1:11">
      <c r="A14" s="5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>
      <c r="A15" s="5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>
      <c r="A16" s="14" t="s">
        <v>57</v>
      </c>
      <c r="B16" s="20">
        <f>'Data Sheet'!B66</f>
      </c>
      <c r="C16" s="20">
        <f>'Data Sheet'!C66</f>
      </c>
      <c r="D16" s="20">
        <f>'Data Sheet'!D66</f>
      </c>
      <c r="E16" s="20">
        <f>'Data Sheet'!E66</f>
      </c>
      <c r="F16" s="20">
        <f>'Data Sheet'!F66</f>
      </c>
      <c r="G16" s="20">
        <f>'Data Sheet'!G66</f>
      </c>
      <c r="H16" s="20">
        <f>'Data Sheet'!H66</f>
      </c>
      <c r="I16" s="20">
        <f>'Data Sheet'!I66</f>
      </c>
      <c r="J16" s="20">
        <f>'Data Sheet'!J66</f>
      </c>
      <c r="K16" s="20">
        <f>'Data Sheet'!K66</f>
      </c>
    </row>
    <row r="17" spans="1:11">
      <c r="A17" s="14" t="s">
        <v>58</v>
      </c>
      <c r="B17" s="20">
        <f>'Data Sheet'!B67</f>
      </c>
      <c r="C17" s="20">
        <f>'Data Sheet'!C67</f>
      </c>
      <c r="D17" s="20">
        <f>'Data Sheet'!D67</f>
      </c>
      <c r="E17" s="20">
        <f>'Data Sheet'!E67</f>
      </c>
      <c r="F17" s="20">
        <f>'Data Sheet'!F67</f>
      </c>
      <c r="G17" s="20">
        <f>'Data Sheet'!G67</f>
      </c>
      <c r="H17" s="20">
        <f>'Data Sheet'!H67</f>
      </c>
      <c r="I17" s="20">
        <f>'Data Sheet'!I67</f>
      </c>
      <c r="J17" s="20">
        <f>'Data Sheet'!J67</f>
      </c>
      <c r="K17" s="20">
        <f>'Data Sheet'!K67</f>
      </c>
    </row>
    <row r="19" spans="1:11">
      <c r="A19" t="s">
        <v>59</v>
      </c>
      <c r="B19" s="21">
        <f>IF('Profit &amp; Loss'!B4&gt;0,'Balance Sheet'!B16/('Profit &amp; Loss'!B4/365),0)</f>
      </c>
      <c r="C19" s="21">
        <f>IF('Profit &amp; Loss'!C4&gt;0,'Balance Sheet'!C16/('Profit &amp; Loss'!C4/365),0)</f>
      </c>
      <c r="D19" s="21">
        <f>IF('Profit &amp; Loss'!D4&gt;0,'Balance Sheet'!D16/('Profit &amp; Loss'!D4/365),0)</f>
      </c>
      <c r="E19" s="21">
        <f>IF('Profit &amp; Loss'!E4&gt;0,'Balance Sheet'!E16/('Profit &amp; Loss'!E4/365),0)</f>
      </c>
      <c r="F19" s="21">
        <f>IF('Profit &amp; Loss'!F4&gt;0,'Balance Sheet'!F16/('Profit &amp; Loss'!F4/365),0)</f>
      </c>
      <c r="G19" s="21">
        <f>IF('Profit &amp; Loss'!G4&gt;0,'Balance Sheet'!G16/('Profit &amp; Loss'!G4/365),0)</f>
      </c>
      <c r="H19" s="21">
        <f>IF('Profit &amp; Loss'!H4&gt;0,'Balance Sheet'!H16/('Profit &amp; Loss'!H4/365),0)</f>
      </c>
      <c r="I19" s="21">
        <f>IF('Profit &amp; Loss'!I4&gt;0,'Balance Sheet'!I16/('Profit &amp; Loss'!I4/365),0)</f>
      </c>
      <c r="J19" s="21">
        <f>IF('Profit &amp; Loss'!J4&gt;0,'Balance Sheet'!J16/('Profit &amp; Loss'!J4/365),0)</f>
      </c>
      <c r="K19" s="21">
        <f>IF('Profit &amp; Loss'!K4&gt;0,'Balance Sheet'!K16/('Profit &amp; Loss'!K4/365),0)</f>
      </c>
    </row>
    <row r="20" spans="1:11">
      <c r="A20" t="s">
        <v>60</v>
      </c>
      <c r="B20" s="21">
        <f>IF('Balance Sheet'!B17&gt;0,'Profit &amp; Loss'!B4/'Balance Sheet'!B17,0)</f>
      </c>
      <c r="C20" s="21">
        <f>IF('Balance Sheet'!C17&gt;0,'Profit &amp; Loss'!C4/'Balance Sheet'!C17,0)</f>
      </c>
      <c r="D20" s="21">
        <f>IF('Balance Sheet'!D17&gt;0,'Profit &amp; Loss'!D4/'Balance Sheet'!D17,0)</f>
      </c>
      <c r="E20" s="21">
        <f>IF('Balance Sheet'!E17&gt;0,'Profit &amp; Loss'!E4/'Balance Sheet'!E17,0)</f>
      </c>
      <c r="F20" s="21">
        <f>IF('Balance Sheet'!F17&gt;0,'Profit &amp; Loss'!F4/'Balance Sheet'!F17,0)</f>
      </c>
      <c r="G20" s="21">
        <f>IF('Balance Sheet'!G17&gt;0,'Profit &amp; Loss'!G4/'Balance Sheet'!G17,0)</f>
      </c>
      <c r="H20" s="21">
        <f>IF('Balance Sheet'!H17&gt;0,'Profit &amp; Loss'!H4/'Balance Sheet'!H17,0)</f>
      </c>
      <c r="I20" s="21">
        <f>IF('Balance Sheet'!I17&gt;0,'Profit &amp; Loss'!I4/'Balance Sheet'!I17,0)</f>
      </c>
      <c r="J20" s="21">
        <f>IF('Balance Sheet'!J17&gt;0,'Profit &amp; Loss'!J4/'Balance Sheet'!J17,0)</f>
      </c>
      <c r="K20" s="21">
        <f>IF('Balance Sheet'!K17&gt;0,'Profit &amp; Loss'!K4/'Balance Sheet'!K17,0)</f>
      </c>
    </row>
    <row r="22" spans="1:11" s="1" customFormat="1">
      <c r="A22" s="1" t="s">
        <v>66</v>
      </c>
      <c r="B22" s="41">
        <f>IF(SUM('Balance Sheet'!B4:B5),'Profit &amp; Loss'!B14/SUM('Balance Sheet'!B4:B5),"")</f>
      </c>
      <c r="C22" s="41">
        <f>IF(SUM('Balance Sheet'!C4:C5),'Profit &amp; Loss'!C14/SUM('Balance Sheet'!C4:C5),"")</f>
      </c>
      <c r="D22" s="41">
        <f>IF(SUM('Balance Sheet'!D4:D5),'Profit &amp; Loss'!D14/SUM('Balance Sheet'!D4:D5),"")</f>
      </c>
      <c r="E22" s="41">
        <f>IF(SUM('Balance Sheet'!E4:E5),'Profit &amp; Loss'!E14/SUM('Balance Sheet'!E4:E5),"")</f>
      </c>
      <c r="F22" s="41">
        <f>IF(SUM('Balance Sheet'!F4:F5),'Profit &amp; Loss'!F14/SUM('Balance Sheet'!F4:F5),"")</f>
      </c>
      <c r="G22" s="41">
        <f>IF(SUM('Balance Sheet'!G4:G5),'Profit &amp; Loss'!G14/SUM('Balance Sheet'!G4:G5),"")</f>
      </c>
      <c r="H22" s="41">
        <f>IF(SUM('Balance Sheet'!H4:H5),'Profit &amp; Loss'!H14/SUM('Balance Sheet'!H4:H5),"")</f>
      </c>
      <c r="I22" s="41">
        <f>IF(SUM('Balance Sheet'!I4:I5),'Profit &amp; Loss'!I14/SUM('Balance Sheet'!I4:I5),"")</f>
      </c>
      <c r="J22" s="41">
        <f>IF(SUM('Balance Sheet'!J4:J5),'Profit &amp; Loss'!J14/SUM('Balance Sheet'!J4:J5),"")</f>
      </c>
      <c r="K22" s="41">
        <f>IF(SUM('Balance Sheet'!K4:K5),'Profit &amp; Loss'!K14/SUM('Balance Sheet'!K4:K5),"")</f>
      </c>
    </row>
    <row r="23" spans="1:11" s="1" customFormat="1">
      <c r="A23" s="1" t="s">
        <v>67</v>
      </c>
      <c r="B23" s="41">
        <f>IF(('Balance Sheet'!B9+'Balance Sheet'!B12)&gt;0,('Profit &amp; Loss'!B10-'Profit &amp; Loss'!B13)/('Balance Sheet'!B9+'Balance Sheet'!B12),"")</f>
      </c>
      <c r="C23" s="41">
        <f>IF(('Balance Sheet'!C9+'Balance Sheet'!C12)&gt;0,('Profit &amp; Loss'!C10-'Profit &amp; Loss'!C13)/('Balance Sheet'!C9+'Balance Sheet'!C12),"")</f>
      </c>
      <c r="D23" s="41">
        <f>IF(('Balance Sheet'!D9+'Balance Sheet'!D12)&gt;0,('Profit &amp; Loss'!D10-'Profit &amp; Loss'!D13)/('Balance Sheet'!D9+'Balance Sheet'!D12),"")</f>
      </c>
      <c r="E23" s="41">
        <f>IF(('Balance Sheet'!E9+'Balance Sheet'!E12)&gt;0,('Profit &amp; Loss'!E10-'Profit &amp; Loss'!E13)/('Balance Sheet'!E9+'Balance Sheet'!E12),"")</f>
      </c>
      <c r="F23" s="41">
        <f>IF(('Balance Sheet'!F9+'Balance Sheet'!F12)&gt;0,('Profit &amp; Loss'!F10-'Profit &amp; Loss'!F13)/('Balance Sheet'!F9+'Balance Sheet'!F12),"")</f>
      </c>
      <c r="G23" s="41">
        <f>IF(('Balance Sheet'!G9+'Balance Sheet'!G12)&gt;0,('Profit &amp; Loss'!G10-'Profit &amp; Loss'!G13)/('Balance Sheet'!G9+'Balance Sheet'!G12),"")</f>
      </c>
      <c r="H23" s="41">
        <f>IF(('Balance Sheet'!H9+'Balance Sheet'!H12)&gt;0,('Profit &amp; Loss'!H10-'Profit &amp; Loss'!H13)/('Balance Sheet'!H9+'Balance Sheet'!H12),"")</f>
      </c>
      <c r="I23" s="41">
        <f>IF(('Balance Sheet'!I9+'Balance Sheet'!I12)&gt;0,('Profit &amp; Loss'!I10-'Profit &amp; Loss'!I13)/('Balance Sheet'!I9+'Balance Sheet'!I12),"")</f>
      </c>
      <c r="J23" s="41">
        <f>IF(('Balance Sheet'!J9+'Balance Sheet'!J12)&gt;0,('Profit &amp; Loss'!J10-'Profit &amp; Loss'!J13)/('Balance Sheet'!J9+'Balance Sheet'!J12),"")</f>
      </c>
      <c r="K23" s="41">
        <f>IF(('Balance Sheet'!K9+'Balance Sheet'!K12)&gt;0,('Profit &amp; Loss'!K10-'Profit &amp; Loss'!K13)/('Balance Sheet'!K9+'Balance Sheet'!K12),"")</f>
      </c>
    </row>
  </sheetData>
  <mergeCells count="1">
    <mergeCell ref="G1:H1"/>
  </mergeCells>
  <hyperlinks>
    <hyperlink ref="J1" r:id="rId1"/>
  </hyperlinks>
  <printOptions gridLines="1"/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K8"/>
  <sheetViews>
    <sheetView workbookViewId="0">
      <selection activeCell="J26" sqref="J26"/>
    </sheetView>
  </sheetViews>
  <sheetFormatPr baseColWidth="10" defaultColWidth="8.83203125" defaultRowHeight="14" x14ac:dyDescent="0"/>
  <cols>
    <col min="1" max="1" width="26.83203125" style="2" bestFit="1" customWidth="1"/>
    <col min="2" max="6" width="13.5" style="2" hidden="1" customWidth="1"/>
    <col min="7" max="11" width="13.5" style="2" bestFit="1" customWidth="1"/>
    <col min="12" max="16384" width="8.83203125" style="2"/>
  </cols>
  <sheetData>
    <row r="1" spans="1:11" s="1" customFormat="1">
      <c r="A1" s="1" t="str">
        <f>'Balance Sheet'!A1</f>
      </c>
      <c r="G1" s="82" t="e">
        <f>IF(Customization!#REF!&lt;&gt;Customization!#REF!,"New updates in Data Sheet","")</f>
      </c>
      <c r="H1" s="83"/>
      <c r="J1" s="47" t="s">
        <v>1</v>
      </c>
      <c r="K1" s="47"/>
    </row>
    <row r="3" spans="1:11" s="1" customFormat="1">
      <c r="A3" s="3" t="s">
        <v>2</v>
      </c>
      <c r="B3" s="42">
        <f>'Data Sheet'!B52</f>
      </c>
      <c r="C3" s="42">
        <f>'Data Sheet'!C52</f>
      </c>
      <c r="D3" s="42">
        <f>'Data Sheet'!D52</f>
      </c>
      <c r="E3" s="42">
        <f>'Data Sheet'!E52</f>
      </c>
      <c r="F3" s="42">
        <f>'Data Sheet'!F52</f>
      </c>
      <c r="G3" s="42">
        <f>'Data Sheet'!G52</f>
      </c>
      <c r="H3" s="42">
        <f>'Data Sheet'!H52</f>
      </c>
      <c r="I3" s="42">
        <f>'Data Sheet'!I52</f>
      </c>
      <c r="J3" s="42">
        <f>'Data Sheet'!J52</f>
      </c>
      <c r="K3" s="42">
        <f>'Data Sheet'!K52</f>
      </c>
    </row>
    <row r="4" spans="1:11" s="1" customFormat="1">
      <c r="A4" s="8" t="s">
        <v>41</v>
      </c>
      <c r="B4" s="15">
        <f>'Data Sheet'!B53</f>
      </c>
      <c r="C4" s="15">
        <f>'Data Sheet'!C53</f>
      </c>
      <c r="D4" s="15">
        <f>'Data Sheet'!D53</f>
      </c>
      <c r="E4" s="15">
        <f>'Data Sheet'!E53</f>
      </c>
      <c r="F4" s="15">
        <f>'Data Sheet'!F53</f>
      </c>
      <c r="G4" s="15">
        <f>'Data Sheet'!G53</f>
      </c>
      <c r="H4" s="15">
        <f>'Data Sheet'!H53</f>
      </c>
      <c r="I4" s="15">
        <f>'Data Sheet'!I53</f>
      </c>
      <c r="J4" s="15">
        <f>'Data Sheet'!J53</f>
      </c>
      <c r="K4" s="15">
        <f>'Data Sheet'!K53</f>
      </c>
    </row>
    <row r="5" spans="1:11">
      <c r="A5" s="5" t="s">
        <v>42</v>
      </c>
      <c r="B5" s="23">
        <f>'Data Sheet'!B54</f>
      </c>
      <c r="C5" s="23">
        <f>'Data Sheet'!C54</f>
      </c>
      <c r="D5" s="23">
        <f>'Data Sheet'!D54</f>
      </c>
      <c r="E5" s="23">
        <f>'Data Sheet'!E54</f>
      </c>
      <c r="F5" s="23">
        <f>'Data Sheet'!F54</f>
      </c>
      <c r="G5" s="23">
        <f>'Data Sheet'!G54</f>
      </c>
      <c r="H5" s="23">
        <f>'Data Sheet'!H54</f>
      </c>
      <c r="I5" s="23">
        <f>'Data Sheet'!I54</f>
      </c>
      <c r="J5" s="23">
        <f>'Data Sheet'!J54</f>
      </c>
      <c r="K5" s="23">
        <f>'Data Sheet'!K54</f>
      </c>
    </row>
    <row r="6" spans="1:11">
      <c r="A6" s="5" t="s">
        <v>43</v>
      </c>
      <c r="B6" s="23">
        <f>'Data Sheet'!B55</f>
      </c>
      <c r="C6" s="23">
        <f>'Data Sheet'!C55</f>
      </c>
      <c r="D6" s="23">
        <f>'Data Sheet'!D55</f>
      </c>
      <c r="E6" s="23">
        <f>'Data Sheet'!E55</f>
      </c>
      <c r="F6" s="23">
        <f>'Data Sheet'!F55</f>
      </c>
      <c r="G6" s="23">
        <f>'Data Sheet'!G55</f>
      </c>
      <c r="H6" s="23">
        <f>'Data Sheet'!H55</f>
      </c>
      <c r="I6" s="23">
        <f>'Data Sheet'!I55</f>
      </c>
      <c r="J6" s="23">
        <f>'Data Sheet'!J55</f>
      </c>
      <c r="K6" s="23">
        <f>'Data Sheet'!K55</f>
      </c>
    </row>
    <row r="7" spans="1:11" s="1" customFormat="1">
      <c r="A7" s="8" t="s">
        <v>44</v>
      </c>
      <c r="B7" s="15">
        <f>'Data Sheet'!B56</f>
      </c>
      <c r="C7" s="15">
        <f>'Data Sheet'!C56</f>
      </c>
      <c r="D7" s="15">
        <f>'Data Sheet'!D56</f>
      </c>
      <c r="E7" s="15">
        <f>'Data Sheet'!E56</f>
      </c>
      <c r="F7" s="15">
        <f>'Data Sheet'!F56</f>
      </c>
      <c r="G7" s="15">
        <f>'Data Sheet'!G56</f>
      </c>
      <c r="H7" s="15">
        <f>'Data Sheet'!H56</f>
      </c>
      <c r="I7" s="15">
        <f>'Data Sheet'!I56</f>
      </c>
      <c r="J7" s="15">
        <f>'Data Sheet'!J56</f>
      </c>
      <c r="K7" s="15">
        <f>'Data Sheet'!K56</f>
      </c>
    </row>
    <row r="8" spans="1:11">
      <c r="A8" s="38" t="s">
        <v>45</v>
      </c>
      <c r="B8" s="23">
        <f>'Data Sheet'!B57</f>
      </c>
      <c r="C8" s="23">
        <f>'Data Sheet'!C57</f>
      </c>
      <c r="D8" s="23">
        <f>'Data Sheet'!D57</f>
      </c>
      <c r="E8" s="23">
        <f>'Data Sheet'!E57</f>
      </c>
      <c r="F8" s="23">
        <f>'Data Sheet'!F57</f>
      </c>
      <c r="G8" s="23">
        <f>'Data Sheet'!G57</f>
      </c>
      <c r="H8" s="23">
        <f>'Data Sheet'!H57</f>
      </c>
      <c r="I8" s="23">
        <f>'Data Sheet'!I57</f>
      </c>
      <c r="J8" s="23">
        <f>'Data Sheet'!J57</f>
      </c>
      <c r="K8" s="23">
        <f>'Data Sheet'!K57</f>
      </c>
    </row>
  </sheetData>
  <mergeCells count="1">
    <mergeCell ref="G1:H1"/>
  </mergeCells>
  <hyperlinks>
    <hyperlink ref="J1" r:id="rId1"/>
  </hyperlinks>
  <printOptions gridLines="1"/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O209"/>
  <sheetViews>
    <sheetView tabSelected="1" topLeftCell="A177" workbookViewId="0">
      <selection activeCell="D203" sqref="D203"/>
    </sheetView>
  </sheetViews>
  <sheetFormatPr baseColWidth="10" defaultColWidth="8.83203125" defaultRowHeight="14" x14ac:dyDescent="0"/>
  <cols>
    <col min="1" max="1" width="34.6640625" style="1" customWidth="1"/>
    <col min="2" max="2" width="36.6640625" customWidth="1"/>
    <col min="3" max="3" width="13.33203125" style="45" customWidth="1"/>
    <col min="4" max="4" width="25.1640625" customWidth="1"/>
    <col min="5" max="11" width="10.6640625" bestFit="1" customWidth="1"/>
  </cols>
  <sheetData>
    <row r="1" spans="1:15">
      <c r="B1" s="24">
        <v>38442</v>
      </c>
      <c r="C1" s="24">
        <v>38807</v>
      </c>
      <c r="D1" s="24">
        <v>39172</v>
      </c>
      <c r="E1" s="24">
        <v>39538</v>
      </c>
      <c r="F1" s="24">
        <v>39903</v>
      </c>
      <c r="G1" s="24">
        <v>40268</v>
      </c>
      <c r="H1" s="24">
        <v>40633</v>
      </c>
      <c r="I1" s="24">
        <v>40999</v>
      </c>
      <c r="J1" s="24">
        <v>41364</v>
      </c>
      <c r="K1" s="24">
        <v>41729</v>
      </c>
    </row>
    <row r="2" spans="1:15">
      <c r="A2" s="1" t="s">
        <v>70</v>
      </c>
      <c r="B2">
        <f>'Data Sheet'!B38+'Data Sheet'!B39</f>
      </c>
      <c r="C2">
        <f>'Data Sheet'!C38+'Data Sheet'!C39</f>
      </c>
      <c r="D2">
        <f>'Data Sheet'!D38+'Data Sheet'!D39</f>
      </c>
      <c r="E2">
        <f>'Data Sheet'!E38+'Data Sheet'!E39</f>
      </c>
      <c r="F2">
        <f>'Data Sheet'!F38+'Data Sheet'!F39</f>
      </c>
      <c r="G2">
        <f>'Data Sheet'!G38+'Data Sheet'!G39</f>
      </c>
      <c r="H2">
        <f>'Data Sheet'!H38+'Data Sheet'!H39</f>
      </c>
      <c r="I2">
        <f>'Data Sheet'!I38+'Data Sheet'!I39</f>
      </c>
      <c r="J2">
        <f>'Data Sheet'!J38+'Data Sheet'!J39</f>
      </c>
      <c r="K2">
        <f>'Data Sheet'!K38+'Data Sheet'!K39</f>
      </c>
    </row>
    <row r="3" spans="1:15">
      <c r="A3" s="1" t="s">
        <v>71</v>
      </c>
      <c r="B3">
        <f>'Data Sheet'!B40+'Data Sheet'!B41</f>
      </c>
      <c r="C3">
        <f>'Data Sheet'!C40+'Data Sheet'!C41</f>
      </c>
      <c r="D3">
        <f>'Data Sheet'!D40+'Data Sheet'!D41</f>
      </c>
      <c r="E3">
        <f>'Data Sheet'!E40+'Data Sheet'!E41</f>
      </c>
      <c r="F3">
        <f>'Data Sheet'!F40+'Data Sheet'!F41</f>
      </c>
      <c r="G3">
        <f>'Data Sheet'!G40+'Data Sheet'!G41</f>
      </c>
      <c r="H3">
        <f>'Data Sheet'!H40+'Data Sheet'!H41</f>
      </c>
      <c r="I3">
        <f>'Data Sheet'!I40+'Data Sheet'!I41</f>
      </c>
      <c r="J3">
        <f>'Data Sheet'!J40+'Data Sheet'!J41</f>
      </c>
      <c r="K3">
        <f>'Data Sheet'!K40+'Data Sheet'!K41</f>
      </c>
    </row>
    <row r="4" spans="1:15">
      <c r="A4" s="48" t="s">
        <v>72</v>
      </c>
      <c r="B4">
        <f>B3/B2</f>
      </c>
      <c r="C4">
        <f t="shared" ref="C4:K4" si="0">C3/C2</f>
      </c>
      <c r="D4">
        <f t="shared" si="0"/>
      </c>
      <c r="E4">
        <f t="shared" si="0"/>
      </c>
      <c r="F4">
        <f t="shared" si="0"/>
      </c>
      <c r="G4">
        <f t="shared" si="0"/>
      </c>
      <c r="H4">
        <f t="shared" si="0"/>
      </c>
      <c r="I4">
        <f t="shared" si="0"/>
      </c>
      <c r="J4">
        <f t="shared" si="0"/>
      </c>
      <c r="K4">
        <f t="shared" si="0"/>
      </c>
    </row>
    <row r="5" spans="1:15">
      <c r="A5" s="1" t="s">
        <v>73</v>
      </c>
      <c r="B5">
        <f>'Data Sheet'!B53-ABS('Data Sheet'!B54)</f>
      </c>
      <c r="C5">
        <f>'Data Sheet'!C53-ABS('Data Sheet'!C54)</f>
      </c>
      <c r="D5">
        <f>'Data Sheet'!D53-ABS('Data Sheet'!D54)</f>
      </c>
      <c r="E5">
        <f>'Data Sheet'!E53-ABS('Data Sheet'!E54)</f>
      </c>
      <c r="F5">
        <f>'Data Sheet'!F53-ABS('Data Sheet'!F54)</f>
      </c>
      <c r="G5">
        <f>'Data Sheet'!G53-ABS('Data Sheet'!G54)</f>
      </c>
      <c r="H5">
        <f>'Data Sheet'!H53-ABS('Data Sheet'!H54)</f>
      </c>
      <c r="I5">
        <f>'Data Sheet'!I53-ABS('Data Sheet'!I54)</f>
      </c>
      <c r="J5">
        <f>'Data Sheet'!J53-ABS('Data Sheet'!J54)</f>
      </c>
      <c r="K5">
        <f>'Data Sheet'!K53-ABS('Data Sheet'!K54)</f>
      </c>
    </row>
    <row r="6" spans="1:15"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5">
      <c r="A7" s="48" t="s">
        <v>74</v>
      </c>
      <c r="B7">
        <f>B3/B5</f>
      </c>
      <c r="C7">
        <f t="shared" ref="C7:K7" si="1">C3/C5</f>
      </c>
      <c r="D7">
        <f t="shared" si="1"/>
      </c>
      <c r="E7">
        <f t="shared" si="1"/>
      </c>
      <c r="F7">
        <f t="shared" si="1"/>
      </c>
      <c r="G7">
        <f t="shared" si="1"/>
      </c>
      <c r="H7">
        <f t="shared" si="1"/>
      </c>
      <c r="I7">
        <f t="shared" si="1"/>
      </c>
      <c r="J7">
        <f t="shared" si="1"/>
      </c>
      <c r="K7">
        <f t="shared" si="1"/>
      </c>
    </row>
    <row r="8" spans="1:15">
      <c r="A8" s="48"/>
      <c r="B8" s="24">
        <v>38442</v>
      </c>
      <c r="C8" s="24">
        <v>38807</v>
      </c>
      <c r="D8" s="24">
        <v>39172</v>
      </c>
      <c r="E8" s="24">
        <v>39538</v>
      </c>
      <c r="F8" s="24">
        <v>39903</v>
      </c>
      <c r="G8" s="24">
        <v>40268</v>
      </c>
      <c r="H8" s="24">
        <v>40633</v>
      </c>
      <c r="I8" s="24">
        <v>40999</v>
      </c>
      <c r="J8" s="24">
        <v>41364</v>
      </c>
      <c r="K8" s="24">
        <v>41729</v>
      </c>
      <c r="L8" t="s">
        <v>22</v>
      </c>
      <c r="M8" t="s">
        <v>80</v>
      </c>
    </row>
    <row r="9" spans="1:15">
      <c r="A9" s="1" t="s">
        <v>79</v>
      </c>
      <c r="B9" s="45">
        <f>'Data Sheet'!B69</f>
      </c>
      <c r="C9" s="45">
        <f>'Data Sheet'!C69</f>
      </c>
      <c r="D9" s="45">
        <f>'Data Sheet'!D69</f>
      </c>
      <c r="E9" s="45">
        <f>'Data Sheet'!E69</f>
      </c>
      <c r="F9" s="45">
        <f>'Data Sheet'!F69</f>
      </c>
      <c r="G9" s="45">
        <f>'Data Sheet'!G69</f>
      </c>
      <c r="H9" s="45">
        <f>'Data Sheet'!H69</f>
      </c>
      <c r="I9" s="45">
        <f>'Data Sheet'!I69</f>
      </c>
      <c r="J9" s="45">
        <f>'Data Sheet'!J69</f>
      </c>
      <c r="K9" s="45">
        <f>'Data Sheet'!K69</f>
      </c>
      <c r="L9">
        <f>'Profit &amp; Loss'!L26</f>
      </c>
      <c r="M9">
        <f>'Data Sheet'!B64</f>
      </c>
    </row>
    <row r="10" spans="1:15">
      <c r="B10" s="45"/>
      <c r="C10"/>
    </row>
    <row r="11" spans="1:15">
      <c r="A11" s="1" t="s">
        <v>75</v>
      </c>
      <c r="B11" s="1">
        <f>SUM('Profit &amp; Loss'!I26:K26)/3 * SUM('Profit &amp; Loss'!M15:N15)/2</f>
      </c>
      <c r="C11"/>
    </row>
    <row r="12" spans="1:15">
      <c r="A12" s="1" t="s">
        <v>76</v>
      </c>
      <c r="B12" s="49">
        <v>44</v>
      </c>
    </row>
    <row r="13" spans="1:15">
      <c r="A13" s="1" t="s">
        <v>77</v>
      </c>
      <c r="B13" s="1">
        <f>SQRT(22.5*'Profit &amp; Loss'!L15*Customization!B12)</f>
      </c>
    </row>
    <row r="14" spans="1:15">
      <c r="A14" s="1" t="s">
        <v>78</v>
      </c>
      <c r="B14">
        <f>(B11+B13)/2</f>
      </c>
    </row>
    <row r="15" spans="1:15">
      <c r="A15" s="1" t="s">
        <v>83</v>
      </c>
      <c r="B15">
        <f>B14*0.9</f>
      </c>
      <c r="O15" s="50"/>
    </row>
    <row r="16" spans="1:15">
      <c r="A16" s="1" t="s">
        <v>55</v>
      </c>
      <c r="B16">
        <f>'Data Sheet'!B63</f>
      </c>
    </row>
    <row r="18" spans="1:11">
      <c r="A18" s="1" t="s">
        <v>81</v>
      </c>
      <c r="B18">
        <f>('Data Sheet'!B15)/'Data Sheet'!B6 * 100</f>
      </c>
      <c r="C18">
        <f>('Data Sheet'!C15)/'Data Sheet'!C6 * 100</f>
      </c>
      <c r="D18">
        <f>('Data Sheet'!D15)/'Data Sheet'!D6 * 100</f>
      </c>
      <c r="E18">
        <f>('Data Sheet'!E15)/'Data Sheet'!E6 * 100</f>
      </c>
      <c r="F18">
        <f>('Data Sheet'!F15)/'Data Sheet'!F6 * 100</f>
      </c>
      <c r="G18">
        <f>('Data Sheet'!G15)/'Data Sheet'!G6 * 100</f>
      </c>
      <c r="H18">
        <f>('Data Sheet'!H15)/'Data Sheet'!H6 * 100</f>
      </c>
      <c r="I18">
        <f>('Data Sheet'!I15)/'Data Sheet'!I6 * 100</f>
      </c>
      <c r="J18">
        <f>('Data Sheet'!J15)/'Data Sheet'!J6 * 100</f>
      </c>
      <c r="K18">
        <f>('Data Sheet'!K15)/'Data Sheet'!K6 * 100</f>
      </c>
    </row>
    <row r="19" spans="1:11">
      <c r="A19" s="1" t="s">
        <v>82</v>
      </c>
      <c r="B19">
        <f>'Data Sheet'!B7/'Data Sheet'!B6*100</f>
      </c>
      <c r="C19">
        <f>'Data Sheet'!C7/'Data Sheet'!C6*100</f>
      </c>
      <c r="D19">
        <f>'Data Sheet'!D7/'Data Sheet'!D6*100</f>
      </c>
      <c r="E19">
        <f>'Data Sheet'!E7/'Data Sheet'!E6*100</f>
      </c>
      <c r="F19">
        <f>'Data Sheet'!F7/'Data Sheet'!F6*100</f>
      </c>
      <c r="G19">
        <f>'Data Sheet'!G7/'Data Sheet'!G6*100</f>
      </c>
      <c r="H19">
        <f>'Data Sheet'!H7/'Data Sheet'!H6*100</f>
      </c>
      <c r="I19">
        <f>'Data Sheet'!I7/'Data Sheet'!I6*100</f>
      </c>
      <c r="J19">
        <f>'Data Sheet'!J7/'Data Sheet'!J6*100</f>
      </c>
      <c r="K19">
        <f>'Data Sheet'!K7/'Data Sheet'!K6*100</f>
      </c>
    </row>
    <row r="21" spans="1:11" s="29" customFormat="1">
      <c r="A21" s="28" t="s">
        <v>48</v>
      </c>
      <c r="B21" s="24">
        <v>40999</v>
      </c>
      <c r="C21" s="24">
        <v>41090</v>
      </c>
      <c r="D21" s="24">
        <v>41182</v>
      </c>
      <c r="E21" s="24">
        <v>41274</v>
      </c>
      <c r="F21" s="24">
        <v>41364</v>
      </c>
      <c r="G21" s="24">
        <v>41455</v>
      </c>
      <c r="H21" s="24">
        <v>41547</v>
      </c>
      <c r="I21" s="24">
        <v>41639</v>
      </c>
      <c r="J21" s="24">
        <v>41729</v>
      </c>
      <c r="K21" s="24">
        <v>41820</v>
      </c>
    </row>
    <row r="22" spans="1:11">
      <c r="A22" s="1" t="s">
        <v>84</v>
      </c>
      <c r="B22">
        <f>'Data Sheet'!B33/'Data Sheet'!B23*100</f>
      </c>
      <c r="C22">
        <f>'Data Sheet'!C33/'Data Sheet'!C23*100</f>
      </c>
      <c r="D22">
        <f>'Data Sheet'!D33/'Data Sheet'!D23*100</f>
      </c>
      <c r="E22">
        <f>'Data Sheet'!E33/'Data Sheet'!E23*100</f>
      </c>
      <c r="F22">
        <f>'Data Sheet'!F33/'Data Sheet'!F23*100</f>
      </c>
      <c r="G22">
        <f>'Data Sheet'!G33/'Data Sheet'!G23*100</f>
      </c>
      <c r="H22">
        <f>'Data Sheet'!H33/'Data Sheet'!H23*100</f>
      </c>
      <c r="I22">
        <f>'Data Sheet'!I33/'Data Sheet'!I23*100</f>
      </c>
      <c r="J22">
        <f>'Data Sheet'!J33/'Data Sheet'!J23*100</f>
      </c>
      <c r="K22">
        <f>'Data Sheet'!K33/'Data Sheet'!K23*100</f>
      </c>
    </row>
    <row r="23" spans="1:11">
      <c r="A23" s="1" t="s">
        <v>85</v>
      </c>
      <c r="B23">
        <f>'Data Sheet'!B25/'Data Sheet'!B23*100</f>
      </c>
      <c r="C23">
        <f>'Data Sheet'!C25/'Data Sheet'!C23*100</f>
      </c>
      <c r="D23">
        <f>'Data Sheet'!D25/'Data Sheet'!D23*100</f>
      </c>
      <c r="E23">
        <f>'Data Sheet'!E25/'Data Sheet'!E23*100</f>
      </c>
      <c r="F23">
        <f>'Data Sheet'!F25/'Data Sheet'!F23*100</f>
      </c>
      <c r="G23">
        <f>'Data Sheet'!G25/'Data Sheet'!G23*100</f>
      </c>
      <c r="H23">
        <f>'Data Sheet'!H25/'Data Sheet'!H23*100</f>
      </c>
      <c r="I23">
        <f>'Data Sheet'!I25/'Data Sheet'!I23*100</f>
      </c>
      <c r="J23">
        <f>'Data Sheet'!J25/'Data Sheet'!J23*100</f>
      </c>
      <c r="K23">
        <f>'Data Sheet'!K25/'Data Sheet'!K23*100</f>
      </c>
    </row>
    <row r="25" spans="1:11">
      <c r="A25" s="1" t="s">
        <v>86</v>
      </c>
      <c r="B25">
        <v>0</v>
      </c>
      <c r="C25" s="45">
        <f>('Data Sheet'!C16-'Data Sheet'!B16)/'Data Sheet'!C16*100</f>
      </c>
      <c r="D25" s="45">
        <f>('Data Sheet'!D16-'Data Sheet'!C16)/'Data Sheet'!D16*100</f>
      </c>
      <c r="E25" s="45">
        <f>('Data Sheet'!E16-'Data Sheet'!D16)/'Data Sheet'!E16*100</f>
      </c>
      <c r="F25" s="45">
        <f>('Data Sheet'!F16-'Data Sheet'!E16)/'Data Sheet'!F16*100</f>
      </c>
      <c r="G25" s="45">
        <f>('Data Sheet'!G16-'Data Sheet'!F16)/'Data Sheet'!G16*100</f>
      </c>
      <c r="H25" s="45">
        <f>('Data Sheet'!H16-'Data Sheet'!G16)/'Data Sheet'!H16*100</f>
      </c>
      <c r="I25" s="45">
        <f>('Data Sheet'!I16-'Data Sheet'!H16)/'Data Sheet'!I16*100</f>
      </c>
      <c r="J25" s="45">
        <f>('Data Sheet'!J16-'Data Sheet'!I16)/'Data Sheet'!J16*100</f>
      </c>
      <c r="K25" s="45">
        <f>('Data Sheet'!K16-'Data Sheet'!J16)/'Data Sheet'!K16*100</f>
      </c>
    </row>
    <row r="26" spans="1:11">
      <c r="B26" s="45"/>
      <c r="C26"/>
    </row>
    <row r="177" spans="1:6" s="77" customFormat="1" ht="16">
      <c r="A177" s="51" t="s">
        <v>87</v>
      </c>
      <c r="B177" s="52"/>
      <c r="C177" s="52"/>
      <c r="D177" s="52"/>
      <c r="E177" s="52"/>
      <c r="F177" s="52"/>
    </row>
    <row r="178" spans="1:6" s="77" customFormat="1" ht="16">
      <c r="A178" s="51" t="s">
        <v>106</v>
      </c>
      <c r="B178" s="52"/>
      <c r="C178" s="52"/>
      <c r="D178" s="52"/>
      <c r="E178" s="52"/>
      <c r="F178" s="52"/>
    </row>
    <row r="179" spans="1:6" s="77" customFormat="1" ht="17" thickBot="1">
      <c r="A179" s="51"/>
      <c r="B179" s="52"/>
      <c r="C179" s="52"/>
      <c r="D179" s="52"/>
      <c r="E179" s="52"/>
      <c r="F179" s="52"/>
    </row>
    <row r="180" spans="1:6" s="77" customFormat="1" ht="17" thickBot="1">
      <c r="A180" s="52" t="s">
        <v>88</v>
      </c>
      <c r="B180" s="53">
        <f>(I5+J5+K5)/3*10^6</f>
      </c>
      <c r="C180" s="52"/>
      <c r="D180" s="52"/>
      <c r="E180" s="52"/>
      <c r="F180" s="78"/>
    </row>
    <row r="181" spans="1:6" s="77" customFormat="1" ht="16">
      <c r="A181" s="52"/>
      <c r="B181" s="52"/>
      <c r="C181" s="52"/>
      <c r="D181" s="52"/>
      <c r="E181" s="52"/>
      <c r="F181" s="52"/>
    </row>
    <row r="182" spans="1:6" s="77" customFormat="1" ht="17" thickBot="1">
      <c r="A182" s="54" t="s">
        <v>89</v>
      </c>
      <c r="B182" s="55" t="s">
        <v>90</v>
      </c>
      <c r="C182" s="55" t="s">
        <v>91</v>
      </c>
      <c r="D182" s="55"/>
      <c r="E182" s="52"/>
      <c r="F182" s="52"/>
    </row>
    <row r="183" spans="1:6" s="77" customFormat="1" ht="17" thickBot="1">
      <c r="A183" s="52" t="s">
        <v>92</v>
      </c>
      <c r="B183" s="56">
        <f>'Profit &amp; Loss'!J24</f>
      </c>
      <c r="C183" s="57">
        <f>'Profit &amp; Loss'!H24</f>
      </c>
      <c r="D183" s="58"/>
      <c r="E183" s="52"/>
      <c r="F183" s="52"/>
    </row>
    <row r="184" spans="1:6" s="77" customFormat="1" ht="17" thickBot="1">
      <c r="A184" s="52" t="s">
        <v>93</v>
      </c>
      <c r="B184" s="59">
        <f>'Profit &amp; Loss'!N24/2</f>
      </c>
      <c r="C184" s="52"/>
      <c r="D184" s="52"/>
      <c r="E184" s="52"/>
      <c r="F184" s="52"/>
    </row>
    <row r="185" spans="1:6" s="77" customFormat="1" ht="17" thickBot="1">
      <c r="A185" s="52" t="s">
        <v>94</v>
      </c>
      <c r="B185" s="59">
        <v>0.12</v>
      </c>
      <c r="C185" s="52"/>
      <c r="D185" s="52"/>
      <c r="E185" s="52"/>
      <c r="F185" s="52"/>
    </row>
    <row r="186" spans="1:6" s="77" customFormat="1" ht="16">
      <c r="A186" s="52" t="s">
        <v>95</v>
      </c>
      <c r="B186" s="60">
        <f>'Data Sheet'!B61*10^6</f>
      </c>
      <c r="C186" s="52"/>
      <c r="D186" s="52"/>
      <c r="E186" s="52"/>
      <c r="F186" s="52"/>
    </row>
    <row r="187" spans="1:6" s="77" customFormat="1" ht="17" thickBot="1">
      <c r="A187" s="52"/>
      <c r="B187" s="52"/>
      <c r="C187" s="52"/>
      <c r="D187" s="52"/>
      <c r="E187" s="52"/>
      <c r="F187" s="52"/>
    </row>
    <row r="188" spans="1:6" s="77" customFormat="1" ht="17" thickBot="1">
      <c r="A188" s="62" t="s">
        <v>96</v>
      </c>
      <c r="B188" s="63" t="s">
        <v>97</v>
      </c>
      <c r="C188" s="63" t="s">
        <v>98</v>
      </c>
      <c r="D188" s="64" t="s">
        <v>99</v>
      </c>
      <c r="E188" s="52"/>
      <c r="F188" s="52"/>
    </row>
    <row r="189" spans="1:6" s="77" customFormat="1" ht="16">
      <c r="A189" s="65">
        <v>1</v>
      </c>
      <c r="B189" s="66">
        <f>(B180*C189)+B180</f>
      </c>
      <c r="C189" s="67">
        <f>B183</f>
      </c>
      <c r="D189" s="68">
        <f>B189/((1+B185)^A189)</f>
      </c>
      <c r="E189" s="52"/>
      <c r="F189" s="52"/>
    </row>
    <row r="190" spans="1:6" s="77" customFormat="1" ht="16">
      <c r="A190" s="65">
        <v>2</v>
      </c>
      <c r="B190" s="66">
        <f t="shared" ref="B190:B198" si="2">(B189*C190)+B189</f>
      </c>
      <c r="C190" s="67">
        <f>B183</f>
      </c>
      <c r="D190" s="68">
        <f>B190/((1+B185)^A190)</f>
      </c>
      <c r="E190" s="52"/>
      <c r="F190" s="52"/>
    </row>
    <row r="191" spans="1:6" s="77" customFormat="1" ht="16">
      <c r="A191" s="65">
        <v>3</v>
      </c>
      <c r="B191" s="66">
        <f t="shared" si="2"/>
      </c>
      <c r="C191" s="67">
        <f>B183</f>
      </c>
      <c r="D191" s="68">
        <f>B191/((1+B185)^A191)</f>
      </c>
      <c r="E191" s="52"/>
      <c r="F191" s="52"/>
    </row>
    <row r="192" spans="1:6" s="77" customFormat="1" ht="16">
      <c r="A192" s="65">
        <v>4</v>
      </c>
      <c r="B192" s="66">
        <f t="shared" si="2"/>
      </c>
      <c r="C192" s="67">
        <f>B183</f>
      </c>
      <c r="D192" s="68">
        <f>B192/((1+B185)^A192)</f>
      </c>
      <c r="E192" s="52"/>
      <c r="F192" s="52"/>
    </row>
    <row r="193" spans="1:6" s="77" customFormat="1" ht="16">
      <c r="A193" s="65">
        <v>5</v>
      </c>
      <c r="B193" s="66">
        <f t="shared" si="2"/>
      </c>
      <c r="C193" s="67">
        <f>B183</f>
      </c>
      <c r="D193" s="68">
        <f>B193/((1+B185)^A193)</f>
      </c>
      <c r="E193" s="52"/>
      <c r="F193" s="52"/>
    </row>
    <row r="194" spans="1:6" s="77" customFormat="1" ht="16">
      <c r="A194" s="65">
        <v>6</v>
      </c>
      <c r="B194" s="66">
        <f t="shared" si="2"/>
      </c>
      <c r="C194" s="67">
        <f>C183</f>
      </c>
      <c r="D194" s="68">
        <f>B194/((1+B185)^A194)</f>
      </c>
      <c r="E194" s="52"/>
      <c r="F194" s="52"/>
    </row>
    <row r="195" spans="1:6" s="77" customFormat="1" ht="16">
      <c r="A195" s="65">
        <v>7</v>
      </c>
      <c r="B195" s="66">
        <f t="shared" si="2"/>
      </c>
      <c r="C195" s="67">
        <f>C183</f>
      </c>
      <c r="D195" s="68">
        <f>B195/((1+B185)^A195)</f>
      </c>
      <c r="E195" s="52"/>
      <c r="F195" s="52"/>
    </row>
    <row r="196" spans="1:6" s="77" customFormat="1" ht="16">
      <c r="A196" s="65">
        <v>8</v>
      </c>
      <c r="B196" s="66">
        <f t="shared" si="2"/>
      </c>
      <c r="C196" s="67">
        <f>C183</f>
      </c>
      <c r="D196" s="68">
        <f>B196/((1+B185)^A196)</f>
      </c>
      <c r="E196" s="52"/>
      <c r="F196" s="52"/>
    </row>
    <row r="197" spans="1:6" s="77" customFormat="1" ht="16">
      <c r="A197" s="65">
        <v>9</v>
      </c>
      <c r="B197" s="66">
        <f t="shared" si="2"/>
      </c>
      <c r="C197" s="67">
        <f>C183</f>
      </c>
      <c r="D197" s="68">
        <f>B197/((1+B185)^A197)</f>
      </c>
      <c r="E197" s="52"/>
      <c r="F197" s="52"/>
    </row>
    <row r="198" spans="1:6" s="77" customFormat="1" ht="17" thickBot="1">
      <c r="A198" s="65">
        <v>10</v>
      </c>
      <c r="B198" s="66">
        <f t="shared" si="2"/>
      </c>
      <c r="C198" s="67">
        <f>C183</f>
      </c>
      <c r="D198" s="68">
        <f>B198/((1+B185)^A198)</f>
      </c>
      <c r="E198" s="52"/>
      <c r="F198" s="52"/>
    </row>
    <row r="199" spans="1:6" s="77" customFormat="1" ht="16">
      <c r="A199" s="69"/>
      <c r="B199" s="70"/>
      <c r="C199" s="71"/>
      <c r="D199" s="72"/>
      <c r="E199" s="52"/>
      <c r="F199" s="52"/>
    </row>
    <row r="200" spans="1:6" s="77" customFormat="1" ht="16">
      <c r="A200" s="73" t="s">
        <v>100</v>
      </c>
      <c r="B200" s="74">
        <f>(B198*B184)+B198</f>
      </c>
      <c r="C200" s="75"/>
      <c r="D200" s="52"/>
      <c r="E200" s="52"/>
      <c r="F200" s="52"/>
    </row>
    <row r="201" spans="1:6" s="77" customFormat="1" ht="16">
      <c r="A201" s="76" t="s">
        <v>101</v>
      </c>
      <c r="B201" s="74">
        <f>SUM(D189:D198)</f>
      </c>
      <c r="C201" s="61"/>
      <c r="D201" s="51" t="s">
        <v>102</v>
      </c>
      <c r="E201" s="52"/>
      <c r="F201" s="52"/>
    </row>
    <row r="202" spans="1:6" s="77" customFormat="1" ht="16">
      <c r="A202" s="73" t="s">
        <v>103</v>
      </c>
      <c r="B202" s="74">
        <f>((B200)/(B185-B184))/(1+B185)^A198</f>
      </c>
      <c r="C202" s="61"/>
      <c r="D202" s="52"/>
      <c r="E202" s="52"/>
      <c r="F202" s="52"/>
    </row>
    <row r="203" spans="1:6" s="77" customFormat="1" ht="16">
      <c r="A203" s="73" t="s">
        <v>104</v>
      </c>
      <c r="B203" s="74">
        <f>B201+B202</f>
      </c>
      <c r="C203" s="61"/>
      <c r="D203" s="52"/>
      <c r="E203" s="52"/>
      <c r="F203" s="52"/>
    </row>
    <row r="204" spans="1:6" s="77" customFormat="1" ht="16">
      <c r="A204" s="73" t="s">
        <v>105</v>
      </c>
      <c r="B204" s="81">
        <f>B203/B186</f>
      </c>
      <c r="C204" s="61"/>
      <c r="D204" s="52"/>
      <c r="E204" s="52"/>
      <c r="F204" s="52"/>
    </row>
    <row r="205" spans="1:6" s="77" customFormat="1" ht="16">
      <c r="A205" s="52"/>
      <c r="B205" s="52"/>
      <c r="C205" s="52"/>
      <c r="D205" s="52"/>
      <c r="E205" s="52"/>
      <c r="F205" s="52"/>
    </row>
    <row r="206" spans="1:6" s="77" customFormat="1" ht="16">
      <c r="A206" s="52"/>
      <c r="B206" s="52"/>
      <c r="C206" s="52"/>
      <c r="D206" s="52"/>
      <c r="E206" s="52"/>
      <c r="F206" s="52"/>
    </row>
    <row r="207" spans="1:6" s="77" customFormat="1" ht="15">
      <c r="A207" s="79"/>
      <c r="C207" s="80"/>
    </row>
    <row r="208" spans="1:6" s="77" customFormat="1" ht="15">
      <c r="A208" s="79"/>
      <c r="C208" s="80"/>
    </row>
    <row r="209" spans="1:3" s="77" customFormat="1" ht="15">
      <c r="A209" s="79"/>
      <c r="C209" s="80"/>
    </row>
  </sheetData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pane xSplit="1" ySplit="1" topLeftCell="B40" activePane="bottomRight" state="frozen"/>
      <selection pane="topRight" activeCell="B1" sqref="B1"/>
      <selection pane="bottomLeft" activeCell="A2" sqref="A2"/>
      <selection pane="bottomRight" activeCell="K16" sqref="A16:K16"/>
    </sheetView>
  </sheetViews>
  <sheetFormatPr baseColWidth="10" defaultColWidth="8.83203125" defaultRowHeight="14" x14ac:dyDescent="0"/>
  <cols>
    <col min="1" max="1" width="27.6640625" style="21" bestFit="1" customWidth="1"/>
    <col min="2" max="11" width="13.5" style="21" bestFit="1" customWidth="1"/>
    <col min="12" max="16384" width="8.83203125" style="21"/>
  </cols>
  <sheetData>
    <row r="1" spans="1:11">
      <c r="A1" s="25" t="s">
        <v>0</v>
      </c>
      <c r="E1" s="84" t="s">
        <v>46</v>
      </c>
      <c r="F1" s="84"/>
      <c r="G1" s="84"/>
      <c r="H1" s="84"/>
      <c r="I1" s="84"/>
      <c r="J1" s="84"/>
      <c r="K1" s="84"/>
    </row>
    <row r="2" spans="1:11">
      <c r="A2" s="25"/>
    </row>
    <row r="3" spans="1:11">
      <c r="A3" s="25" t="s">
        <v>47</v>
      </c>
    </row>
    <row r="4" spans="1:11" s="29" customFormat="1">
      <c r="A4" s="28" t="s">
        <v>48</v>
      </c>
      <c r="B4" s="24">
        <v>38442.0</v>
      </c>
      <c r="C4" s="24">
        <v>38807.0</v>
      </c>
      <c r="D4" s="24">
        <v>39172.0</v>
      </c>
      <c r="E4" s="24">
        <v>39538.0</v>
      </c>
      <c r="F4" s="24">
        <v>39903.0</v>
      </c>
      <c r="G4" s="24">
        <v>40268.0</v>
      </c>
      <c r="H4" s="24">
        <v>40633.0</v>
      </c>
      <c r="I4" s="24">
        <v>40999.0</v>
      </c>
      <c r="J4" s="24">
        <v>41364.0</v>
      </c>
      <c r="K4" s="24">
        <v>41729.0</v>
      </c>
    </row>
    <row r="5" spans="1:11">
      <c r="A5" s="26" t="s">
        <v>49</v>
      </c>
    </row>
    <row r="6" spans="1:11">
      <c r="A6" s="27" t="s">
        <v>6</v>
      </c>
      <c r="B6" s="21">
        <v>7605.60</v>
      </c>
      <c r="C6" s="21">
        <v>9798.33</v>
      </c>
      <c r="D6" s="21">
        <v>12313.83</v>
      </c>
      <c r="E6" s="21">
        <v>14032.20</v>
      </c>
      <c r="F6" s="21">
        <v>14985.81</v>
      </c>
      <c r="G6" s="21">
        <v>18567.45</v>
      </c>
      <c r="H6" s="21">
        <v>21120.83</v>
      </c>
      <c r="I6" s="21">
        <v>25090.11</v>
      </c>
      <c r="J6" s="21">
        <v>29901.27</v>
      </c>
      <c r="K6" s="21">
        <v>33238.60</v>
      </c>
    </row>
    <row r="7" spans="1:11">
      <c r="A7" s="27" t="s">
        <v>8</v>
      </c>
      <c r="B7" s="21">
        <v>2768.90</v>
      </c>
      <c r="C7" s="21">
        <v>3367.03</v>
      </c>
      <c r="D7" s="21">
        <v>4003.84</v>
      </c>
      <c r="E7" s="21">
        <v>4430.23</v>
      </c>
      <c r="F7" s="21">
        <v>4922.02</v>
      </c>
      <c r="G7" s="21">
        <v>6132.32</v>
      </c>
      <c r="H7" s="21">
        <v>7199.03</v>
      </c>
      <c r="I7" s="21">
        <v>8921.81</v>
      </c>
      <c r="J7" s="21">
        <v>10627.51</v>
      </c>
      <c r="K7" s="21">
        <v>12454.84</v>
      </c>
    </row>
    <row r="8" spans="1:11">
      <c r="A8" s="26" t="s">
        <v>9</v>
      </c>
      <c r="B8" s="21">
        <v>218.26</v>
      </c>
      <c r="C8" s="21">
        <v>273.22</v>
      </c>
      <c r="D8" s="21">
        <v>300.14</v>
      </c>
      <c r="E8" s="21">
        <v>479.82</v>
      </c>
      <c r="F8" s="21">
        <v>422.80</v>
      </c>
      <c r="G8" s="21">
        <v>496.27</v>
      </c>
      <c r="H8" s="21">
        <v>647.91</v>
      </c>
      <c r="I8" s="21">
        <v>612.05</v>
      </c>
      <c r="J8" s="21">
        <v>938.70</v>
      </c>
      <c r="K8" s="21">
        <v>1107.14</v>
      </c>
    </row>
    <row r="9" spans="1:11">
      <c r="A9" s="26" t="s">
        <v>10</v>
      </c>
      <c r="B9" s="21">
        <v>2987.16</v>
      </c>
      <c r="C9" s="21">
        <v>3640.25</v>
      </c>
      <c r="D9" s="21">
        <v>4303.98</v>
      </c>
      <c r="E9" s="21">
        <v>4910.05</v>
      </c>
      <c r="F9" s="21">
        <v>5344.82</v>
      </c>
      <c r="G9" s="21">
        <v>6628.59</v>
      </c>
      <c r="H9" s="21">
        <v>7846.94</v>
      </c>
      <c r="I9" s="21">
        <v>9533.86</v>
      </c>
      <c r="J9" s="21">
        <v>11566.21</v>
      </c>
      <c r="K9" s="21">
        <v>13561.98</v>
      </c>
    </row>
    <row r="10" spans="1:11">
      <c r="A10" s="26" t="s">
        <v>11</v>
      </c>
      <c r="B10" s="21">
        <v>312.87</v>
      </c>
      <c r="C10" s="21">
        <v>332.34</v>
      </c>
      <c r="D10" s="21">
        <v>362.92</v>
      </c>
      <c r="E10" s="21">
        <v>438.46</v>
      </c>
      <c r="F10" s="21">
        <v>549.41</v>
      </c>
      <c r="G10" s="21">
        <v>608.71</v>
      </c>
      <c r="H10" s="21">
        <v>655.99</v>
      </c>
      <c r="I10" s="21">
        <v>698.51</v>
      </c>
      <c r="J10" s="21">
        <v>795.56</v>
      </c>
      <c r="K10" s="21">
        <v>899.92</v>
      </c>
    </row>
    <row r="11" spans="1:11">
      <c r="A11" s="26" t="s">
        <v>12</v>
      </c>
      <c r="B11" s="21">
        <v>2674.29</v>
      </c>
      <c r="C11" s="21">
        <v>3307.91</v>
      </c>
      <c r="D11" s="21">
        <v>3941.06</v>
      </c>
      <c r="E11" s="21">
        <v>4471.59</v>
      </c>
      <c r="F11" s="21">
        <v>4795.41</v>
      </c>
      <c r="G11" s="21">
        <v>6019.88</v>
      </c>
      <c r="H11" s="21">
        <v>7190.95</v>
      </c>
      <c r="I11" s="21">
        <v>8835.35</v>
      </c>
      <c r="J11" s="21">
        <v>10770.65</v>
      </c>
      <c r="K11" s="21">
        <v>12662.06</v>
      </c>
    </row>
    <row r="12" spans="1:11">
      <c r="A12" s="26" t="s">
        <v>13</v>
      </c>
      <c r="B12" s="21">
        <v>50.80</v>
      </c>
      <c r="C12" s="21">
        <v>21.10</v>
      </c>
      <c r="D12" s="21">
        <v>16.04</v>
      </c>
      <c r="E12" s="21">
        <v>24.61</v>
      </c>
      <c r="F12" s="21">
        <v>47.65</v>
      </c>
      <c r="G12" s="21">
        <v>90.28</v>
      </c>
      <c r="H12" s="21">
        <v>78.11</v>
      </c>
      <c r="I12" s="21">
        <v>87.02</v>
      </c>
      <c r="J12" s="21">
        <v>86.47</v>
      </c>
      <c r="K12" s="21">
        <v>2.95</v>
      </c>
    </row>
    <row r="13" spans="1:11">
      <c r="A13" s="26" t="s">
        <v>14</v>
      </c>
      <c r="B13" s="21">
        <v>2623.49</v>
      </c>
      <c r="C13" s="21">
        <v>3286.81</v>
      </c>
      <c r="D13" s="21">
        <v>3925.02</v>
      </c>
      <c r="E13" s="21">
        <v>4446.98</v>
      </c>
      <c r="F13" s="21">
        <v>4747.76</v>
      </c>
      <c r="G13" s="21">
        <v>5929.60</v>
      </c>
      <c r="H13" s="21">
        <v>7112.84</v>
      </c>
      <c r="I13" s="21">
        <v>8748.33</v>
      </c>
      <c r="J13" s="21">
        <v>10684.18</v>
      </c>
      <c r="K13" s="21">
        <v>12659.11</v>
      </c>
    </row>
    <row r="14" spans="1:11">
      <c r="A14" s="26" t="s">
        <v>15</v>
      </c>
      <c r="B14" s="21">
        <v>927.56</v>
      </c>
      <c r="C14" s="21">
        <v>1027.57</v>
      </c>
      <c r="D14" s="21">
        <v>1263.07</v>
      </c>
      <c r="E14" s="21">
        <v>1480.97</v>
      </c>
      <c r="F14" s="21">
        <v>1565.13</v>
      </c>
      <c r="G14" s="21">
        <v>1965.43</v>
      </c>
      <c r="H14" s="21">
        <v>2287.69</v>
      </c>
      <c r="I14" s="21">
        <v>2737.08</v>
      </c>
      <c r="J14" s="21">
        <v>3265.79</v>
      </c>
      <c r="K14" s="21">
        <v>3873.90</v>
      </c>
    </row>
    <row r="15" spans="1:11">
      <c r="A15" s="27" t="s">
        <v>16</v>
      </c>
      <c r="B15" s="21">
        <v>2191.40</v>
      </c>
      <c r="C15" s="21">
        <v>2235.35</v>
      </c>
      <c r="D15" s="21">
        <v>2699.97</v>
      </c>
      <c r="E15" s="21">
        <v>3120.10</v>
      </c>
      <c r="F15" s="21">
        <v>3263.59</v>
      </c>
      <c r="G15" s="21">
        <v>4061.00</v>
      </c>
      <c r="H15" s="21">
        <v>4987.61</v>
      </c>
      <c r="I15" s="21">
        <v>6162.37</v>
      </c>
      <c r="J15" s="21">
        <v>7418.39</v>
      </c>
      <c r="K15" s="21">
        <v>8785.21</v>
      </c>
    </row>
    <row r="16" spans="1:11">
      <c r="A16" s="26" t="s">
        <v>19</v>
      </c>
      <c r="B16" s="21">
        <f>IF(B15,B72/B15*100,0)</f>
      </c>
      <c r="C16" s="21">
        <f t="shared" ref="C16:K16" si="0">IF(C15,C72/C15*100,0)</f>
      </c>
      <c r="D16" s="21">
        <f t="shared" si="0"/>
      </c>
      <c r="E16" s="21">
        <f t="shared" si="0"/>
      </c>
      <c r="F16" s="21">
        <f t="shared" si="0"/>
      </c>
      <c r="G16" s="21">
        <f t="shared" si="0"/>
      </c>
      <c r="H16" s="21">
        <f t="shared" si="0"/>
      </c>
      <c r="I16" s="21">
        <f t="shared" si="0"/>
      </c>
      <c r="J16" s="21">
        <f t="shared" si="0"/>
      </c>
      <c r="K16" s="21">
        <f t="shared" si="0"/>
      </c>
    </row>
    <row r="17" spans="1:11">
      <c r="A17" s="26" t="s">
        <v>62</v>
      </c>
      <c r="B17" s="21">
        <v>28204.81</v>
      </c>
      <c r="C17" s="21">
        <v>48599.54</v>
      </c>
      <c r="D17" s="21">
        <v>67600.83</v>
      </c>
      <c r="E17" s="21">
        <v>68736.36</v>
      </c>
      <c r="F17" s="21">
        <v>70808.83</v>
      </c>
      <c r="G17" s="21">
        <v>86537.49</v>
      </c>
      <c r="H17" s="21">
        <v>123066.03</v>
      </c>
      <c r="I17" s="21">
        <v>158538.70</v>
      </c>
      <c r="J17" s="21">
        <v>212670.49</v>
      </c>
      <c r="K17" s="21">
        <v>260427.71</v>
      </c>
    </row>
    <row r="18" spans="1:11">
      <c r="A18" s="27"/>
    </row>
    <row r="19" spans="1:11">
      <c r="A19" s="30"/>
    </row>
    <row r="20" spans="1:11">
      <c r="A20" s="25" t="s">
        <v>50</v>
      </c>
    </row>
    <row r="21" spans="1:11" s="29" customFormat="1">
      <c r="A21" s="28" t="s">
        <v>48</v>
      </c>
      <c r="B21" s="24">
        <v>41274.0</v>
      </c>
      <c r="C21" s="24">
        <v>41364.0</v>
      </c>
      <c r="D21" s="24">
        <v>41455.0</v>
      </c>
      <c r="E21" s="24">
        <v>41547.0</v>
      </c>
      <c r="F21" s="24">
        <v>41639.0</v>
      </c>
      <c r="G21" s="24">
        <v>41729.0</v>
      </c>
      <c r="H21" s="24">
        <v>41820.0</v>
      </c>
      <c r="I21" s="24">
        <v>41912.0</v>
      </c>
      <c r="J21" s="24">
        <v>42004.0</v>
      </c>
      <c r="K21" s="24">
        <v>42094.0</v>
      </c>
    </row>
    <row r="22" spans="1:11">
      <c r="A22" s="26" t="s">
        <v>49</v>
      </c>
    </row>
    <row r="23" spans="1:11">
      <c r="A23" s="27" t="s">
        <v>6</v>
      </c>
      <c r="B23" s="21">
        <v>7712.10</v>
      </c>
      <c r="C23" s="21">
        <v>8257.40</v>
      </c>
      <c r="D23" s="21">
        <v>7410.70</v>
      </c>
      <c r="E23" s="21">
        <v>7862.53</v>
      </c>
      <c r="F23" s="21">
        <v>8726.85</v>
      </c>
      <c r="G23" s="21">
        <v>9238.52</v>
      </c>
      <c r="H23" s="21">
        <v>9248.29</v>
      </c>
      <c r="I23" s="21">
        <v>9023.74</v>
      </c>
      <c r="J23" s="21">
        <v>8942.59</v>
      </c>
      <c r="K23" s="21">
        <v>9292.78</v>
      </c>
    </row>
    <row r="24" spans="1:11">
      <c r="A24" s="26" t="s">
        <v>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</row>
    <row r="25" spans="1:11">
      <c r="A25" s="27" t="s">
        <v>8</v>
      </c>
      <c r="B25" s="21">
        <v>2857.76</v>
      </c>
      <c r="C25" s="21">
        <v>2706.32</v>
      </c>
      <c r="D25" s="21">
        <v>2791.31</v>
      </c>
      <c r="E25" s="21">
        <v>3175.84</v>
      </c>
      <c r="F25" s="21">
        <v>3284.30</v>
      </c>
      <c r="G25" s="21">
        <v>3203.39</v>
      </c>
      <c r="H25" s="21">
        <v>3277.59</v>
      </c>
      <c r="I25" s="21">
        <v>3488.65</v>
      </c>
      <c r="J25" s="21">
        <v>3464.20</v>
      </c>
      <c r="K25" s="21">
        <v>3243.11</v>
      </c>
    </row>
    <row r="26" spans="1:11">
      <c r="A26" s="26" t="s">
        <v>9</v>
      </c>
      <c r="B26" s="21">
        <v>329.80</v>
      </c>
      <c r="C26" s="21">
        <v>253.98</v>
      </c>
      <c r="D26" s="21">
        <v>203.18</v>
      </c>
      <c r="E26" s="21">
        <v>246.19</v>
      </c>
      <c r="F26" s="21">
        <v>391.06</v>
      </c>
      <c r="G26" s="21">
        <v>266.71</v>
      </c>
      <c r="H26" s="21">
        <v>234.55</v>
      </c>
      <c r="I26" s="21">
        <v>356.22</v>
      </c>
      <c r="J26" s="21">
        <v>581.99</v>
      </c>
      <c r="K26" s="21">
        <v>370.37</v>
      </c>
    </row>
    <row r="27" spans="1:11">
      <c r="A27" s="26" t="s">
        <v>10</v>
      </c>
      <c r="B27" s="21">
        <v>3187.56</v>
      </c>
      <c r="C27" s="21">
        <v>2960.30</v>
      </c>
      <c r="D27" s="21">
        <v>2994.49</v>
      </c>
      <c r="E27" s="21">
        <v>3422.03</v>
      </c>
      <c r="F27" s="21">
        <v>3675.36</v>
      </c>
      <c r="G27" s="21">
        <v>3470.10</v>
      </c>
      <c r="H27" s="21">
        <v>3512.14</v>
      </c>
      <c r="I27" s="21">
        <v>3844.87</v>
      </c>
      <c r="J27" s="21">
        <v>4046.19</v>
      </c>
      <c r="K27" s="21">
        <v>3613.48</v>
      </c>
    </row>
    <row r="28" spans="1:11">
      <c r="A28" s="26" t="s">
        <v>11</v>
      </c>
      <c r="B28" s="21">
        <v>205.22</v>
      </c>
      <c r="C28" s="21">
        <v>206.69</v>
      </c>
      <c r="D28" s="21">
        <v>215.30</v>
      </c>
      <c r="E28" s="21">
        <v>220.87</v>
      </c>
      <c r="F28" s="21">
        <v>225.92</v>
      </c>
      <c r="G28" s="21">
        <v>237.83</v>
      </c>
      <c r="H28" s="21">
        <v>231.32</v>
      </c>
      <c r="I28" s="21">
        <v>243.22</v>
      </c>
      <c r="J28" s="21">
        <v>237.63</v>
      </c>
      <c r="K28" s="21">
        <v>249.57</v>
      </c>
    </row>
    <row r="29" spans="1:11">
      <c r="A29" s="26" t="s">
        <v>12</v>
      </c>
      <c r="B29" s="21">
        <v>2982.34</v>
      </c>
      <c r="C29" s="21">
        <v>2753.61</v>
      </c>
      <c r="D29" s="21">
        <v>2779.19</v>
      </c>
      <c r="E29" s="21">
        <v>3201.16</v>
      </c>
      <c r="F29" s="21">
        <v>3449.44</v>
      </c>
      <c r="G29" s="21">
        <v>3232.27</v>
      </c>
      <c r="H29" s="21">
        <v>3280.82</v>
      </c>
      <c r="I29" s="21">
        <v>3601.65</v>
      </c>
      <c r="J29" s="21">
        <v>3808.56</v>
      </c>
      <c r="K29" s="21">
        <v>3363.91</v>
      </c>
    </row>
    <row r="30" spans="1:11">
      <c r="A30" s="26" t="s">
        <v>13</v>
      </c>
      <c r="B30" s="21">
        <v>25.15</v>
      </c>
      <c r="C30" s="21">
        <v>24.27</v>
      </c>
      <c r="D30" s="21">
        <v>16.95</v>
      </c>
      <c r="E30" s="21">
        <v>-32.67</v>
      </c>
      <c r="F30" s="21">
        <v>9.14</v>
      </c>
      <c r="G30" s="21">
        <v>9.53</v>
      </c>
      <c r="H30" s="21">
        <v>15.15</v>
      </c>
      <c r="I30" s="21">
        <v>18.39</v>
      </c>
      <c r="J30" s="21">
        <v>8.37</v>
      </c>
      <c r="K30" s="21">
        <v>15.51</v>
      </c>
    </row>
    <row r="31" spans="1:11">
      <c r="A31" s="26" t="s">
        <v>14</v>
      </c>
      <c r="B31" s="21">
        <v>2957.19</v>
      </c>
      <c r="C31" s="21">
        <v>2729.34</v>
      </c>
      <c r="D31" s="21">
        <v>2762.24</v>
      </c>
      <c r="E31" s="21">
        <v>3233.83</v>
      </c>
      <c r="F31" s="21">
        <v>3440.30</v>
      </c>
      <c r="G31" s="21">
        <v>3222.74</v>
      </c>
      <c r="H31" s="21">
        <v>3265.67</v>
      </c>
      <c r="I31" s="21">
        <v>3583.26</v>
      </c>
      <c r="J31" s="21">
        <v>3800.19</v>
      </c>
      <c r="K31" s="21">
        <v>3348.40</v>
      </c>
    </row>
    <row r="32" spans="1:11">
      <c r="A32" s="26" t="s">
        <v>15</v>
      </c>
      <c r="B32" s="21">
        <v>905.34</v>
      </c>
      <c r="C32" s="21">
        <v>801.36</v>
      </c>
      <c r="D32" s="21">
        <v>870.91</v>
      </c>
      <c r="E32" s="21">
        <v>1003.30</v>
      </c>
      <c r="F32" s="21">
        <v>1054.96</v>
      </c>
      <c r="G32" s="21">
        <v>944.73</v>
      </c>
      <c r="H32" s="21">
        <v>1079.28</v>
      </c>
      <c r="I32" s="21">
        <v>1158.10</v>
      </c>
      <c r="J32" s="21">
        <v>1165.19</v>
      </c>
      <c r="K32" s="21">
        <v>987.22</v>
      </c>
    </row>
    <row r="33" spans="1:11">
      <c r="A33" s="27" t="s">
        <v>16</v>
      </c>
      <c r="B33" s="21">
        <v>2051.85</v>
      </c>
      <c r="C33" s="21">
        <v>1927.98</v>
      </c>
      <c r="D33" s="21">
        <v>1891.33</v>
      </c>
      <c r="E33" s="21">
        <v>2230.53</v>
      </c>
      <c r="F33" s="21">
        <v>2385.34</v>
      </c>
      <c r="G33" s="21">
        <v>2278.01</v>
      </c>
      <c r="H33" s="21">
        <v>2186.39</v>
      </c>
      <c r="I33" s="21">
        <v>2425.16</v>
      </c>
      <c r="J33" s="21">
        <v>2635.00</v>
      </c>
      <c r="K33" s="21">
        <v>2361.18</v>
      </c>
    </row>
    <row r="34" spans="1:11">
      <c r="A34" s="27"/>
    </row>
    <row r="35" spans="1:11">
      <c r="A35" s="27"/>
    </row>
    <row r="36" spans="1:11">
      <c r="A36" s="27" t="s">
        <v>51</v>
      </c>
    </row>
    <row r="37" spans="1:11" s="29" customFormat="1">
      <c r="A37" s="28" t="s">
        <v>48</v>
      </c>
      <c r="B37" s="24">
        <v>38442.0</v>
      </c>
      <c r="C37" s="24">
        <v>38807.0</v>
      </c>
      <c r="D37" s="24">
        <v>39172.0</v>
      </c>
      <c r="E37" s="24">
        <v>39538.0</v>
      </c>
      <c r="F37" s="24">
        <v>39903.0</v>
      </c>
      <c r="G37" s="24">
        <v>40268.0</v>
      </c>
      <c r="H37" s="24">
        <v>40633.0</v>
      </c>
      <c r="I37" s="24">
        <v>40999.0</v>
      </c>
      <c r="J37" s="24">
        <v>41364.0</v>
      </c>
      <c r="K37" s="24">
        <v>41729.0</v>
      </c>
    </row>
    <row r="38" spans="1:11">
      <c r="A38" s="26" t="s">
        <v>31</v>
      </c>
      <c r="B38" s="21">
        <v>248.22</v>
      </c>
      <c r="C38" s="21">
        <v>375.52</v>
      </c>
      <c r="D38" s="21">
        <v>376.22</v>
      </c>
      <c r="E38" s="21">
        <v>376.86</v>
      </c>
      <c r="F38" s="21">
        <v>377.44</v>
      </c>
      <c r="G38" s="21">
        <v>381.82</v>
      </c>
      <c r="H38" s="21">
        <v>773.81</v>
      </c>
      <c r="I38" s="21">
        <v>781.84</v>
      </c>
      <c r="J38" s="21">
        <v>790.18</v>
      </c>
      <c r="K38" s="21">
        <v>795.32</v>
      </c>
    </row>
    <row r="39" spans="1:11">
      <c r="A39" s="26" t="s">
        <v>32</v>
      </c>
      <c r="B39" s="21">
        <v>7586.28</v>
      </c>
      <c r="C39" s="21">
        <v>8626.79</v>
      </c>
      <c r="D39" s="21">
        <v>10003.78</v>
      </c>
      <c r="E39" s="21">
        <v>11624.69</v>
      </c>
      <c r="F39" s="21">
        <v>13302.55</v>
      </c>
      <c r="G39" s="21">
        <v>13628.17</v>
      </c>
      <c r="H39" s="21">
        <v>15126.12</v>
      </c>
      <c r="I39" s="21">
        <v>17957.00</v>
      </c>
      <c r="J39" s="21">
        <v>21497.67</v>
      </c>
      <c r="K39" s="21">
        <v>25466.70</v>
      </c>
    </row>
    <row r="40" spans="1:11">
      <c r="A40" s="26" t="s">
        <v>33</v>
      </c>
      <c r="B40" s="21">
        <v>88.69</v>
      </c>
      <c r="C40" s="21">
        <v>25.91</v>
      </c>
      <c r="D40" s="21">
        <v>60.78</v>
      </c>
      <c r="E40" s="21">
        <v>5.57</v>
      </c>
      <c r="F40" s="21">
        <v>11.63</v>
      </c>
      <c r="G40" s="21">
        <v>0.00</v>
      </c>
      <c r="H40" s="21">
        <v>1.94</v>
      </c>
      <c r="I40" s="21">
        <v>1.77</v>
      </c>
      <c r="J40" s="21">
        <v>0.00</v>
      </c>
      <c r="K40" s="21">
        <v>0.14</v>
      </c>
    </row>
    <row r="41" spans="1:11">
      <c r="A41" s="26" t="s">
        <v>34</v>
      </c>
      <c r="B41" s="21">
        <v>156.67</v>
      </c>
      <c r="C41" s="21">
        <v>93.82</v>
      </c>
      <c r="D41" s="21">
        <v>140.10</v>
      </c>
      <c r="E41" s="21">
        <v>208.86</v>
      </c>
      <c r="F41" s="21">
        <v>165.92</v>
      </c>
      <c r="G41" s="21">
        <v>107.71</v>
      </c>
      <c r="H41" s="21">
        <v>97.26</v>
      </c>
      <c r="I41" s="21">
        <v>77.32</v>
      </c>
      <c r="J41" s="21">
        <v>66.40</v>
      </c>
      <c r="K41" s="21">
        <v>51.00</v>
      </c>
    </row>
    <row r="42" spans="1:11">
      <c r="A42" s="27" t="s">
        <v>35</v>
      </c>
      <c r="B42" s="21">
        <v>8081.07</v>
      </c>
      <c r="C42" s="21">
        <v>9122.04</v>
      </c>
      <c r="D42" s="21">
        <v>10580.88</v>
      </c>
      <c r="E42" s="21">
        <v>12215.98</v>
      </c>
      <c r="F42" s="21">
        <v>13857.54</v>
      </c>
      <c r="G42" s="21">
        <v>14117.70</v>
      </c>
      <c r="H42" s="21">
        <v>15999.13</v>
      </c>
      <c r="I42" s="21">
        <v>18817.93</v>
      </c>
      <c r="J42" s="21">
        <v>22354.25</v>
      </c>
      <c r="K42" s="21">
        <v>26313.16</v>
      </c>
    </row>
    <row r="43" spans="1:11">
      <c r="A43" s="26" t="s">
        <v>36</v>
      </c>
      <c r="B43" s="21">
        <v>3890.86</v>
      </c>
      <c r="C43" s="21">
        <v>4102.56</v>
      </c>
      <c r="D43" s="21">
        <v>4687.69</v>
      </c>
      <c r="E43" s="21">
        <v>6112.71</v>
      </c>
      <c r="F43" s="21">
        <v>7216.82</v>
      </c>
      <c r="G43" s="21">
        <v>8088.01</v>
      </c>
      <c r="H43" s="21">
        <v>8291.73</v>
      </c>
      <c r="I43" s="21">
        <v>9053.63</v>
      </c>
      <c r="J43" s="21">
        <v>11209.34</v>
      </c>
      <c r="K43" s="21">
        <v>12012.74</v>
      </c>
    </row>
    <row r="44" spans="1:11">
      <c r="A44" s="26" t="s">
        <v>37</v>
      </c>
      <c r="B44" s="21">
        <v>186.15</v>
      </c>
      <c r="C44" s="21">
        <v>399.97</v>
      </c>
      <c r="D44" s="21">
        <v>1130.20</v>
      </c>
      <c r="E44" s="21">
        <v>1126.82</v>
      </c>
      <c r="F44" s="21">
        <v>1214.06</v>
      </c>
      <c r="G44" s="21">
        <v>1008.99</v>
      </c>
      <c r="H44" s="21">
        <v>1333.40</v>
      </c>
      <c r="I44" s="21">
        <v>2572.06</v>
      </c>
      <c r="J44" s="21">
        <v>1487.79</v>
      </c>
      <c r="K44" s="21">
        <v>2295.73</v>
      </c>
    </row>
    <row r="45" spans="1:11">
      <c r="A45" s="26" t="s">
        <v>38</v>
      </c>
      <c r="B45" s="21">
        <v>3874.68</v>
      </c>
      <c r="C45" s="21">
        <v>3517.01</v>
      </c>
      <c r="D45" s="21">
        <v>3067.77</v>
      </c>
      <c r="E45" s="21">
        <v>2934.55</v>
      </c>
      <c r="F45" s="21">
        <v>2837.75</v>
      </c>
      <c r="G45" s="21">
        <v>5726.87</v>
      </c>
      <c r="H45" s="21">
        <v>5554.66</v>
      </c>
      <c r="I45" s="21">
        <v>6316.59</v>
      </c>
      <c r="J45" s="21">
        <v>7060.29</v>
      </c>
      <c r="K45" s="21">
        <v>8823.43</v>
      </c>
    </row>
    <row r="46" spans="1:11">
      <c r="A46" s="26" t="s">
        <v>39</v>
      </c>
      <c r="B46" s="21">
        <v>129.38</v>
      </c>
      <c r="C46" s="21">
        <v>1102.50</v>
      </c>
      <c r="D46" s="21">
        <v>1695.22</v>
      </c>
      <c r="E46" s="21">
        <v>2041.90</v>
      </c>
      <c r="F46" s="21">
        <v>2588.91</v>
      </c>
      <c r="G46" s="21">
        <v>-706.17</v>
      </c>
      <c r="H46" s="21">
        <v>819.34</v>
      </c>
      <c r="I46" s="21">
        <v>875.65</v>
      </c>
      <c r="J46" s="21">
        <v>2596.83</v>
      </c>
      <c r="K46" s="21">
        <v>3181.26</v>
      </c>
    </row>
    <row r="47" spans="1:11">
      <c r="A47" s="27" t="s">
        <v>35</v>
      </c>
      <c r="B47" s="21">
        <v>8081.07</v>
      </c>
      <c r="C47" s="21">
        <v>9122.04</v>
      </c>
      <c r="D47" s="21">
        <v>10580.88</v>
      </c>
      <c r="E47" s="21">
        <v>12215.98</v>
      </c>
      <c r="F47" s="21">
        <v>13857.54</v>
      </c>
      <c r="G47" s="21">
        <v>14117.70</v>
      </c>
      <c r="H47" s="21">
        <v>15999.13</v>
      </c>
      <c r="I47" s="21">
        <v>18817.93</v>
      </c>
      <c r="J47" s="21">
        <v>22354.25</v>
      </c>
      <c r="K47" s="21">
        <v>26313.16</v>
      </c>
    </row>
    <row r="48" spans="1:11">
      <c r="A48" s="26" t="s">
        <v>61</v>
      </c>
      <c r="B48" s="21">
        <v>2482.21</v>
      </c>
      <c r="C48" s="21">
        <v>37551.79</v>
      </c>
      <c r="D48" s="21">
        <v>37622.23</v>
      </c>
      <c r="E48" s="21">
        <v>37686.10</v>
      </c>
      <c r="F48" s="21">
        <v>37744.00</v>
      </c>
      <c r="G48" s="21">
        <v>38181.77</v>
      </c>
      <c r="H48" s="21">
        <v>77381.44</v>
      </c>
      <c r="I48" s="21">
        <v>78184.24</v>
      </c>
      <c r="J48" s="21">
        <v>79018.33</v>
      </c>
      <c r="K48" s="21">
        <v>79531.83</v>
      </c>
    </row>
    <row r="51" spans="1:11">
      <c r="A51" s="25" t="s">
        <v>52</v>
      </c>
    </row>
    <row r="52" spans="1:11" s="29" customFormat="1">
      <c r="A52" s="28" t="s">
        <v>48</v>
      </c>
      <c r="B52" s="24">
        <v>38442.0</v>
      </c>
      <c r="C52" s="24">
        <v>38807.0</v>
      </c>
      <c r="D52" s="24">
        <v>39172.0</v>
      </c>
      <c r="E52" s="24">
        <v>39538.0</v>
      </c>
      <c r="F52" s="24">
        <v>39903.0</v>
      </c>
      <c r="G52" s="24">
        <v>40268.0</v>
      </c>
      <c r="H52" s="24">
        <v>40633.0</v>
      </c>
      <c r="I52" s="24">
        <v>40999.0</v>
      </c>
      <c r="J52" s="24">
        <v>41364.0</v>
      </c>
      <c r="K52" s="24">
        <v>41729.0</v>
      </c>
    </row>
    <row r="53" spans="1:11" s="25" customFormat="1">
      <c r="A53" s="25" t="s">
        <v>41</v>
      </c>
      <c r="B53" s="25">
        <v>1851.20</v>
      </c>
      <c r="C53" s="25">
        <v>1929.68</v>
      </c>
      <c r="D53" s="25">
        <v>2141.19</v>
      </c>
      <c r="E53" s="25">
        <v>2722.96</v>
      </c>
      <c r="F53" s="25">
        <v>3279.03</v>
      </c>
      <c r="G53" s="25">
        <v>4630.65</v>
      </c>
      <c r="H53" s="25">
        <v>5264.24</v>
      </c>
      <c r="I53" s="25">
        <v>6015.59</v>
      </c>
      <c r="J53" s="25">
        <v>6709.89</v>
      </c>
      <c r="K53" s="25">
        <v>6962.30</v>
      </c>
    </row>
    <row r="54" spans="1:11" s="35" customFormat="1">
      <c r="A54" s="39" t="s">
        <v>42</v>
      </c>
      <c r="B54" s="35">
        <v>-1438.95</v>
      </c>
      <c r="C54" s="35">
        <v>-175.31</v>
      </c>
      <c r="D54" s="35">
        <v>-1082.78</v>
      </c>
      <c r="E54" s="35">
        <v>-1736.78</v>
      </c>
      <c r="F54" s="35">
        <v>-1260.74</v>
      </c>
      <c r="G54" s="35">
        <v>-3531.56</v>
      </c>
      <c r="H54" s="35">
        <v>-616.22</v>
      </c>
      <c r="I54" s="35">
        <v>-2210.19</v>
      </c>
      <c r="J54" s="35">
        <v>-3580.78</v>
      </c>
      <c r="K54" s="35">
        <v>-2823.29</v>
      </c>
    </row>
    <row r="55" spans="1:11" s="35" customFormat="1">
      <c r="A55" s="39" t="s">
        <v>43</v>
      </c>
      <c r="B55" s="35">
        <v>-417.09</v>
      </c>
      <c r="C55" s="35">
        <v>-954.21</v>
      </c>
      <c r="D55" s="35">
        <v>-1014.07</v>
      </c>
      <c r="E55" s="35">
        <v>-1316.09</v>
      </c>
      <c r="F55" s="35">
        <v>-1556.15</v>
      </c>
      <c r="G55" s="35">
        <v>-1009.86</v>
      </c>
      <c r="H55" s="35">
        <v>-3551.64</v>
      </c>
      <c r="I55" s="35">
        <v>-3246.55</v>
      </c>
      <c r="J55" s="35">
        <v>-3232.55</v>
      </c>
      <c r="K55" s="35">
        <v>-4173.85</v>
      </c>
    </row>
    <row r="56" spans="1:11" s="25" customFormat="1">
      <c r="A56" s="27" t="s">
        <v>44</v>
      </c>
      <c r="B56" s="25">
        <v>-4.84</v>
      </c>
      <c r="C56" s="25">
        <v>800.16</v>
      </c>
      <c r="D56" s="25">
        <v>44.34</v>
      </c>
      <c r="E56" s="25">
        <v>-329.91</v>
      </c>
      <c r="F56" s="25">
        <v>462.14</v>
      </c>
      <c r="G56" s="25">
        <v>89.23</v>
      </c>
      <c r="H56" s="25">
        <v>1096.38</v>
      </c>
      <c r="I56" s="25">
        <v>558.85</v>
      </c>
      <c r="J56" s="25">
        <v>-103.44</v>
      </c>
      <c r="K56" s="25">
        <v>-34.84</v>
      </c>
    </row>
    <row r="57" spans="1:11" s="35" customFormat="1">
      <c r="A57" s="39" t="s">
        <v>45</v>
      </c>
      <c r="B57" s="35">
        <v>55.66</v>
      </c>
      <c r="C57" s="35">
        <v>855.82</v>
      </c>
      <c r="D57" s="35">
        <v>900.16</v>
      </c>
      <c r="E57" s="35">
        <v>570.25</v>
      </c>
      <c r="F57" s="35">
        <v>1032.39</v>
      </c>
      <c r="G57" s="35">
        <v>1082.93</v>
      </c>
      <c r="H57" s="35">
        <v>2179.31</v>
      </c>
      <c r="I57" s="35">
        <v>2737.77</v>
      </c>
      <c r="J57" s="35">
        <v>155.90</v>
      </c>
      <c r="K57" s="35">
        <v>121.06</v>
      </c>
    </row>
    <row r="58" spans="1:11">
      <c r="A58" s="27"/>
    </row>
    <row r="59" spans="1:11">
      <c r="A59" s="27"/>
    </row>
    <row r="60" spans="1:11">
      <c r="A60" s="27" t="s">
        <v>53</v>
      </c>
    </row>
    <row r="61" spans="1:11">
      <c r="A61" s="26" t="s">
        <v>54</v>
      </c>
      <c r="B61" s="21">
        <v>801.55</v>
      </c>
    </row>
    <row r="62" spans="1:11">
      <c r="A62" s="26" t="s">
        <v>40</v>
      </c>
      <c r="B62" s="21">
        <v>1.00</v>
      </c>
    </row>
    <row r="63" spans="1:11">
      <c r="A63" s="26" t="s">
        <v>55</v>
      </c>
      <c r="B63" s="21">
        <v>301.60</v>
      </c>
    </row>
    <row r="64" spans="1:11">
      <c r="A64" s="26" t="s">
        <v>56</v>
      </c>
      <c r="B64" s="21">
        <v>25.76</v>
      </c>
    </row>
    <row r="65" spans="1:11" s="29" customFormat="1">
      <c r="A65" s="28" t="s">
        <v>48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>
      <c r="A66" s="26" t="s">
        <v>57</v>
      </c>
      <c r="B66" s="21">
        <v>0</v>
      </c>
      <c r="C66" s="21">
        <v>0</v>
      </c>
      <c r="D66" s="21">
        <v>0</v>
      </c>
      <c r="E66" s="21">
        <v>0</v>
      </c>
      <c r="F66" s="21">
        <v>275.67</v>
      </c>
      <c r="G66" s="21">
        <v>858.80</v>
      </c>
      <c r="H66" s="21">
        <v>907.62</v>
      </c>
      <c r="I66" s="21">
        <v>986.02</v>
      </c>
      <c r="J66" s="21">
        <v>1163.34</v>
      </c>
      <c r="K66" s="21">
        <v>2165.36</v>
      </c>
    </row>
    <row r="67" spans="1:11">
      <c r="A67" s="26" t="s">
        <v>58</v>
      </c>
      <c r="B67" s="21">
        <v>0</v>
      </c>
      <c r="C67" s="21">
        <v>0</v>
      </c>
      <c r="D67" s="21">
        <v>0</v>
      </c>
      <c r="E67" s="21">
        <v>0</v>
      </c>
      <c r="F67" s="21">
        <v>620.1</v>
      </c>
      <c r="G67" s="21">
        <v>4549.07</v>
      </c>
      <c r="H67" s="21">
        <v>5267.53</v>
      </c>
      <c r="I67" s="21">
        <v>5637.83</v>
      </c>
      <c r="J67" s="21">
        <v>6600.20</v>
      </c>
      <c r="K67" s="21">
        <v>7359.54</v>
      </c>
    </row>
    <row r="68" spans="1:11">
      <c r="A68" s="26"/>
    </row>
    <row r="69" spans="1:11">
      <c r="A69" s="21" t="s">
        <v>63</v>
      </c>
      <c r="B69" s="21">
        <f>IF(B15&gt;0,B17/B15,0)</f>
      </c>
      <c r="C69" s="21">
        <f t="shared" ref="C69:K69" si="1">IF(C15&gt;0,C17/C15,0)</f>
      </c>
      <c r="D69" s="21">
        <f t="shared" si="1"/>
      </c>
      <c r="E69" s="21">
        <f t="shared" si="1"/>
      </c>
      <c r="F69" s="21">
        <f t="shared" si="1"/>
      </c>
      <c r="G69" s="21">
        <f t="shared" si="1"/>
      </c>
      <c r="H69" s="21">
        <f t="shared" si="1"/>
      </c>
      <c r="I69" s="21">
        <f t="shared" si="1"/>
      </c>
      <c r="J69" s="21">
        <f t="shared" si="1"/>
      </c>
      <c r="K69" s="21">
        <f t="shared" si="1"/>
      </c>
    </row>
    <row r="71" spans="1:11">
      <c r="A71" s="21" t="s">
        <v>68</v>
      </c>
      <c r="B71" s="21">
        <v>0</v>
      </c>
      <c r="C71" s="21">
        <v>0</v>
      </c>
      <c r="D71" s="21">
        <v>0</v>
      </c>
      <c r="E71" s="21">
        <v>0</v>
      </c>
      <c r="F71" s="21">
        <v>38.479999999999997</v>
      </c>
      <c r="G71" s="21">
        <v>120.16</v>
      </c>
      <c r="H71" s="21">
        <v>98.77</v>
      </c>
      <c r="I71" s="21">
        <v>140.50</v>
      </c>
      <c r="J71" s="21">
        <v>3615.00</v>
      </c>
      <c r="K71" s="21">
        <v>3289.37</v>
      </c>
    </row>
    <row r="72" spans="1:11">
      <c r="A72" s="21" t="s">
        <v>69</v>
      </c>
      <c r="B72" s="21">
        <v>663.53</v>
      </c>
      <c r="C72" s="21">
        <v>855.54</v>
      </c>
      <c r="D72" s="21">
        <v>968.08</v>
      </c>
      <c r="E72" s="21">
        <v>1094.84</v>
      </c>
      <c r="F72" s="21">
        <v>1159.19</v>
      </c>
      <c r="G72" s="21">
        <v>3184.03</v>
      </c>
      <c r="H72" s="21">
        <v>2884.85</v>
      </c>
      <c r="I72" s="21">
        <v>2947.54</v>
      </c>
      <c r="J72" s="21">
        <v>3443.43</v>
      </c>
      <c r="K72" s="21">
        <v>3960.92</v>
      </c>
    </row>
  </sheetData>
  <mergeCells count="1">
    <mergeCell ref="E1:K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Profit &amp; Loss</vt:lpstr>
      <vt:lpstr>Quarters</vt:lpstr>
      <vt:lpstr>Balance Sheet</vt:lpstr>
      <vt:lpstr>Cash Flow</vt:lpstr>
      <vt:lpstr>Customization</vt:lpstr>
      <vt:lpstr>Data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Udit Sharma</cp:lastModifiedBy>
  <cp:lastPrinted>2012-12-06T18:14:13Z</cp:lastPrinted>
  <dcterms:created xsi:type="dcterms:W3CDTF">2012-08-17T09:55:37Z</dcterms:created>
  <dcterms:modified xsi:type="dcterms:W3CDTF">2015-05-30T11:12:28Z</dcterms:modified>
</cp:coreProperties>
</file>