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\Desktop\"/>
    </mc:Choice>
  </mc:AlternateContent>
  <bookViews>
    <workbookView xWindow="0" yWindow="0" windowWidth="26595" windowHeight="8085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Calculated Data" sheetId="7" r:id="rId7"/>
  </sheets>
  <definedNames>
    <definedName name="UPDATE">'Data Sheet'!$E$1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I18" i="7"/>
  <c r="I19" i="7"/>
  <c r="I64" i="5"/>
  <c r="J17" i="7"/>
  <c r="J18" i="7"/>
  <c r="J19" i="7"/>
  <c r="J64" i="5"/>
  <c r="K17" i="7"/>
  <c r="K18" i="7"/>
  <c r="K19" i="7"/>
  <c r="K64" i="5"/>
  <c r="B78" i="5"/>
  <c r="F4" i="1"/>
  <c r="K4" i="1"/>
  <c r="J23" i="1"/>
  <c r="F78" i="5"/>
  <c r="C84" i="5"/>
  <c r="B84" i="5"/>
  <c r="D84" i="5"/>
  <c r="C85" i="5"/>
  <c r="B85" i="5"/>
  <c r="D85" i="5"/>
  <c r="C86" i="5"/>
  <c r="B86" i="5"/>
  <c r="D86" i="5"/>
  <c r="C87" i="5"/>
  <c r="B87" i="5"/>
  <c r="D87" i="5"/>
  <c r="C88" i="5"/>
  <c r="B88" i="5"/>
  <c r="D88" i="5"/>
  <c r="B4" i="1"/>
  <c r="H23" i="1"/>
  <c r="G78" i="5"/>
  <c r="C89" i="5"/>
  <c r="B89" i="5"/>
  <c r="D89" i="5"/>
  <c r="C90" i="5"/>
  <c r="B90" i="5"/>
  <c r="D90" i="5"/>
  <c r="C91" i="5"/>
  <c r="B91" i="5"/>
  <c r="D91" i="5"/>
  <c r="C92" i="5"/>
  <c r="B92" i="5"/>
  <c r="D92" i="5"/>
  <c r="C93" i="5"/>
  <c r="B93" i="5"/>
  <c r="D93" i="5"/>
  <c r="B96" i="5"/>
  <c r="D4" i="1"/>
  <c r="I23" i="1"/>
  <c r="H4" i="1"/>
  <c r="K23" i="1"/>
  <c r="J4" i="1"/>
  <c r="H4" i="3"/>
  <c r="I4" i="3"/>
  <c r="J4" i="3"/>
  <c r="K4" i="3"/>
  <c r="L4" i="1"/>
  <c r="L23" i="1"/>
  <c r="N23" i="1"/>
  <c r="F79" i="5"/>
  <c r="B95" i="5"/>
  <c r="B97" i="5"/>
  <c r="B98" i="5"/>
  <c r="B6" i="6"/>
  <c r="B79" i="5"/>
  <c r="B99" i="5"/>
  <c r="B76" i="5"/>
  <c r="C17" i="7"/>
  <c r="C18" i="7"/>
  <c r="C19" i="7"/>
  <c r="C64" i="5"/>
  <c r="D17" i="7"/>
  <c r="D18" i="7"/>
  <c r="D19" i="7"/>
  <c r="D64" i="5"/>
  <c r="E17" i="7"/>
  <c r="E18" i="7"/>
  <c r="E19" i="7"/>
  <c r="E64" i="5"/>
  <c r="F17" i="7"/>
  <c r="F18" i="7"/>
  <c r="F19" i="7"/>
  <c r="F64" i="5"/>
  <c r="G17" i="7"/>
  <c r="G18" i="7"/>
  <c r="G19" i="7"/>
  <c r="G64" i="5"/>
  <c r="H17" i="7"/>
  <c r="H18" i="7"/>
  <c r="H19" i="7"/>
  <c r="H64" i="5"/>
  <c r="B64" i="5"/>
  <c r="D5" i="1"/>
  <c r="D6" i="1"/>
  <c r="C67" i="5"/>
  <c r="C68" i="5"/>
  <c r="E4" i="1"/>
  <c r="E5" i="1"/>
  <c r="E6" i="1"/>
  <c r="D67" i="5"/>
  <c r="D68" i="5"/>
  <c r="F5" i="1"/>
  <c r="F6" i="1"/>
  <c r="E67" i="5"/>
  <c r="E68" i="5"/>
  <c r="G4" i="1"/>
  <c r="G5" i="1"/>
  <c r="G6" i="1"/>
  <c r="F67" i="5"/>
  <c r="F68" i="5"/>
  <c r="H5" i="1"/>
  <c r="H6" i="1"/>
  <c r="G67" i="5"/>
  <c r="G68" i="5"/>
  <c r="I4" i="1"/>
  <c r="I5" i="1"/>
  <c r="I6" i="1"/>
  <c r="H67" i="5"/>
  <c r="H68" i="5"/>
  <c r="J5" i="1"/>
  <c r="J6" i="1"/>
  <c r="I67" i="5"/>
  <c r="I68" i="5"/>
  <c r="K5" i="1"/>
  <c r="K6" i="1"/>
  <c r="J67" i="5"/>
  <c r="J68" i="5"/>
  <c r="H6" i="3"/>
  <c r="I6" i="3"/>
  <c r="J6" i="3"/>
  <c r="K6" i="3"/>
  <c r="L6" i="1"/>
  <c r="K67" i="5"/>
  <c r="K68" i="5"/>
  <c r="C66" i="5"/>
  <c r="D66" i="5"/>
  <c r="E66" i="5"/>
  <c r="F66" i="5"/>
  <c r="G66" i="5"/>
  <c r="H66" i="5"/>
  <c r="I66" i="5"/>
  <c r="J66" i="5"/>
  <c r="K66" i="5"/>
  <c r="C4" i="1"/>
  <c r="C5" i="1"/>
  <c r="C6" i="1"/>
  <c r="B67" i="5"/>
  <c r="B68" i="5"/>
  <c r="B66" i="5"/>
  <c r="B75" i="5"/>
  <c r="H12" i="3"/>
  <c r="I12" i="3"/>
  <c r="J12" i="3"/>
  <c r="K12" i="3"/>
  <c r="L12" i="1"/>
  <c r="L13" i="1"/>
  <c r="B72" i="5"/>
  <c r="E15" i="1"/>
  <c r="E93" i="6"/>
  <c r="E12" i="1"/>
  <c r="E13" i="1"/>
  <c r="E14" i="1"/>
  <c r="F15" i="1"/>
  <c r="F93" i="6"/>
  <c r="F12" i="1"/>
  <c r="F13" i="1"/>
  <c r="F14" i="1"/>
  <c r="G15" i="1"/>
  <c r="G93" i="6"/>
  <c r="G12" i="1"/>
  <c r="G13" i="1"/>
  <c r="G14" i="1"/>
  <c r="H15" i="1"/>
  <c r="H93" i="6"/>
  <c r="H12" i="1"/>
  <c r="H13" i="1"/>
  <c r="H14" i="1"/>
  <c r="I15" i="1"/>
  <c r="I93" i="6"/>
  <c r="I12" i="1"/>
  <c r="I13" i="1"/>
  <c r="I14" i="1"/>
  <c r="J15" i="1"/>
  <c r="J93" i="6"/>
  <c r="J12" i="1"/>
  <c r="J13" i="1"/>
  <c r="J14" i="1"/>
  <c r="K15" i="1"/>
  <c r="K93" i="6"/>
  <c r="K12" i="1"/>
  <c r="K13" i="1"/>
  <c r="K14" i="1"/>
  <c r="L15" i="1"/>
  <c r="L14" i="1"/>
  <c r="I25" i="1"/>
  <c r="J25" i="1"/>
  <c r="K25" i="1"/>
  <c r="M23" i="1"/>
  <c r="M4" i="1"/>
  <c r="C63" i="5"/>
  <c r="D63" i="5"/>
  <c r="E63" i="5"/>
  <c r="F63" i="5"/>
  <c r="G63" i="5"/>
  <c r="H63" i="5"/>
  <c r="I63" i="5"/>
  <c r="J63" i="5"/>
  <c r="K63" i="5"/>
  <c r="C62" i="5"/>
  <c r="D62" i="5"/>
  <c r="E62" i="5"/>
  <c r="F62" i="5"/>
  <c r="G62" i="5"/>
  <c r="H62" i="5"/>
  <c r="I62" i="5"/>
  <c r="J62" i="5"/>
  <c r="K62" i="5"/>
  <c r="B63" i="5"/>
  <c r="B62" i="5"/>
  <c r="C5" i="7"/>
  <c r="C6" i="7"/>
  <c r="C7" i="7"/>
  <c r="D5" i="7"/>
  <c r="D6" i="7"/>
  <c r="D7" i="7"/>
  <c r="E5" i="7"/>
  <c r="E6" i="7"/>
  <c r="E7" i="7"/>
  <c r="F5" i="7"/>
  <c r="F6" i="7"/>
  <c r="F7" i="7"/>
  <c r="G5" i="7"/>
  <c r="G6" i="7"/>
  <c r="G7" i="7"/>
  <c r="H5" i="7"/>
  <c r="H6" i="7"/>
  <c r="H7" i="7"/>
  <c r="I5" i="7"/>
  <c r="I6" i="7"/>
  <c r="I7" i="7"/>
  <c r="J5" i="7"/>
  <c r="J6" i="7"/>
  <c r="J7" i="7"/>
  <c r="K5" i="7"/>
  <c r="K6" i="7"/>
  <c r="K7" i="7"/>
  <c r="K21" i="5"/>
  <c r="J21" i="5"/>
  <c r="I21" i="5"/>
  <c r="H21" i="5"/>
  <c r="G21" i="5"/>
  <c r="F21" i="5"/>
  <c r="E21" i="5"/>
  <c r="D21" i="5"/>
  <c r="C21" i="5"/>
  <c r="N19" i="7"/>
  <c r="N18" i="7"/>
  <c r="C3" i="7"/>
  <c r="C30" i="7"/>
  <c r="B3" i="7"/>
  <c r="B30" i="7"/>
  <c r="D3" i="7"/>
  <c r="D30" i="7"/>
  <c r="E3" i="7"/>
  <c r="E30" i="7"/>
  <c r="F3" i="7"/>
  <c r="F30" i="7"/>
  <c r="G3" i="7"/>
  <c r="G30" i="7"/>
  <c r="H3" i="7"/>
  <c r="H30" i="7"/>
  <c r="I3" i="7"/>
  <c r="I30" i="7"/>
  <c r="J3" i="7"/>
  <c r="J30" i="7"/>
  <c r="K3" i="7"/>
  <c r="K30" i="7"/>
  <c r="C93" i="6"/>
  <c r="C26" i="7"/>
  <c r="C31" i="7"/>
  <c r="B93" i="6"/>
  <c r="B26" i="7"/>
  <c r="B31" i="7"/>
  <c r="N31" i="7"/>
  <c r="D93" i="6"/>
  <c r="D26" i="7"/>
  <c r="D31" i="7"/>
  <c r="O31" i="7"/>
  <c r="E26" i="7"/>
  <c r="E31" i="7"/>
  <c r="P31" i="7"/>
  <c r="F26" i="7"/>
  <c r="F31" i="7"/>
  <c r="Q31" i="7"/>
  <c r="G26" i="7"/>
  <c r="G31" i="7"/>
  <c r="R31" i="7"/>
  <c r="H26" i="7"/>
  <c r="H31" i="7"/>
  <c r="S31" i="7"/>
  <c r="I26" i="7"/>
  <c r="I31" i="7"/>
  <c r="T31" i="7"/>
  <c r="J26" i="7"/>
  <c r="J31" i="7"/>
  <c r="U31" i="7"/>
  <c r="K26" i="7"/>
  <c r="K31" i="7"/>
  <c r="V31" i="7"/>
  <c r="C11" i="7"/>
  <c r="C32" i="7"/>
  <c r="B11" i="7"/>
  <c r="B32" i="7"/>
  <c r="N32" i="7"/>
  <c r="D11" i="7"/>
  <c r="D32" i="7"/>
  <c r="O32" i="7"/>
  <c r="E11" i="7"/>
  <c r="E32" i="7"/>
  <c r="P32" i="7"/>
  <c r="F11" i="7"/>
  <c r="F32" i="7"/>
  <c r="Q32" i="7"/>
  <c r="G11" i="7"/>
  <c r="G32" i="7"/>
  <c r="R32" i="7"/>
  <c r="H11" i="7"/>
  <c r="H32" i="7"/>
  <c r="S32" i="7"/>
  <c r="I11" i="7"/>
  <c r="I32" i="7"/>
  <c r="T32" i="7"/>
  <c r="J11" i="7"/>
  <c r="J32" i="7"/>
  <c r="U32" i="7"/>
  <c r="K11" i="7"/>
  <c r="K32" i="7"/>
  <c r="V32" i="7"/>
  <c r="C33" i="7"/>
  <c r="B17" i="7"/>
  <c r="B33" i="7"/>
  <c r="N33" i="7"/>
  <c r="D33" i="7"/>
  <c r="O33" i="7"/>
  <c r="E33" i="7"/>
  <c r="P33" i="7"/>
  <c r="F33" i="7"/>
  <c r="Q33" i="7"/>
  <c r="G33" i="7"/>
  <c r="R33" i="7"/>
  <c r="H33" i="7"/>
  <c r="S33" i="7"/>
  <c r="I33" i="7"/>
  <c r="T33" i="7"/>
  <c r="J33" i="7"/>
  <c r="U33" i="7"/>
  <c r="K33" i="7"/>
  <c r="V33" i="7"/>
  <c r="C34" i="7"/>
  <c r="B34" i="7"/>
  <c r="N34" i="7"/>
  <c r="D34" i="7"/>
  <c r="O34" i="7"/>
  <c r="E34" i="7"/>
  <c r="P34" i="7"/>
  <c r="F34" i="7"/>
  <c r="Q34" i="7"/>
  <c r="G34" i="7"/>
  <c r="R34" i="7"/>
  <c r="H34" i="7"/>
  <c r="S34" i="7"/>
  <c r="I34" i="7"/>
  <c r="T34" i="7"/>
  <c r="J34" i="7"/>
  <c r="U34" i="7"/>
  <c r="K34" i="7"/>
  <c r="V34" i="7"/>
  <c r="C29" i="7"/>
  <c r="C35" i="7"/>
  <c r="B29" i="7"/>
  <c r="B5" i="7"/>
  <c r="B6" i="7"/>
  <c r="B35" i="7"/>
  <c r="N35" i="7"/>
  <c r="D29" i="7"/>
  <c r="D35" i="7"/>
  <c r="O35" i="7"/>
  <c r="E29" i="7"/>
  <c r="E35" i="7"/>
  <c r="P35" i="7"/>
  <c r="F29" i="7"/>
  <c r="F35" i="7"/>
  <c r="Q35" i="7"/>
  <c r="G29" i="7"/>
  <c r="G35" i="7"/>
  <c r="R35" i="7"/>
  <c r="H29" i="7"/>
  <c r="H35" i="7"/>
  <c r="S35" i="7"/>
  <c r="I29" i="7"/>
  <c r="I35" i="7"/>
  <c r="T35" i="7"/>
  <c r="J29" i="7"/>
  <c r="J35" i="7"/>
  <c r="U35" i="7"/>
  <c r="K29" i="7"/>
  <c r="K35" i="7"/>
  <c r="V35" i="7"/>
  <c r="C36" i="7"/>
  <c r="B36" i="7"/>
  <c r="N36" i="7"/>
  <c r="D36" i="7"/>
  <c r="O36" i="7"/>
  <c r="E36" i="7"/>
  <c r="P36" i="7"/>
  <c r="F36" i="7"/>
  <c r="Q36" i="7"/>
  <c r="G36" i="7"/>
  <c r="R36" i="7"/>
  <c r="H36" i="7"/>
  <c r="S36" i="7"/>
  <c r="I36" i="7"/>
  <c r="T36" i="7"/>
  <c r="J36" i="7"/>
  <c r="U36" i="7"/>
  <c r="K36" i="7"/>
  <c r="V36" i="7"/>
  <c r="C37" i="7"/>
  <c r="B37" i="7"/>
  <c r="D37" i="7"/>
  <c r="E37" i="7"/>
  <c r="F37" i="7"/>
  <c r="G37" i="7"/>
  <c r="H37" i="7"/>
  <c r="I37" i="7"/>
  <c r="J37" i="7"/>
  <c r="K37" i="7"/>
  <c r="C12" i="7"/>
  <c r="C15" i="7"/>
  <c r="C38" i="7"/>
  <c r="B12" i="7"/>
  <c r="B15" i="7"/>
  <c r="B38" i="7"/>
  <c r="N38" i="7"/>
  <c r="D12" i="7"/>
  <c r="D15" i="7"/>
  <c r="D38" i="7"/>
  <c r="O38" i="7"/>
  <c r="E12" i="7"/>
  <c r="E15" i="7"/>
  <c r="E38" i="7"/>
  <c r="P38" i="7"/>
  <c r="F12" i="7"/>
  <c r="F15" i="7"/>
  <c r="F38" i="7"/>
  <c r="Q38" i="7"/>
  <c r="G12" i="7"/>
  <c r="G15" i="7"/>
  <c r="G38" i="7"/>
  <c r="R38" i="7"/>
  <c r="H12" i="7"/>
  <c r="H15" i="7"/>
  <c r="H38" i="7"/>
  <c r="S38" i="7"/>
  <c r="I12" i="7"/>
  <c r="I15" i="7"/>
  <c r="I38" i="7"/>
  <c r="T38" i="7"/>
  <c r="J12" i="7"/>
  <c r="J15" i="7"/>
  <c r="J38" i="7"/>
  <c r="U38" i="7"/>
  <c r="K12" i="7"/>
  <c r="K15" i="7"/>
  <c r="K38" i="7"/>
  <c r="V38" i="7"/>
  <c r="C28" i="7"/>
  <c r="C39" i="7"/>
  <c r="B28" i="7"/>
  <c r="B39" i="7"/>
  <c r="N39" i="7"/>
  <c r="D28" i="7"/>
  <c r="D39" i="7"/>
  <c r="O39" i="7"/>
  <c r="E28" i="7"/>
  <c r="E39" i="7"/>
  <c r="P39" i="7"/>
  <c r="F28" i="7"/>
  <c r="F39" i="7"/>
  <c r="Q39" i="7"/>
  <c r="G28" i="7"/>
  <c r="G39" i="7"/>
  <c r="R39" i="7"/>
  <c r="H28" i="7"/>
  <c r="H39" i="7"/>
  <c r="S39" i="7"/>
  <c r="I28" i="7"/>
  <c r="I39" i="7"/>
  <c r="T39" i="7"/>
  <c r="J28" i="7"/>
  <c r="J39" i="7"/>
  <c r="U39" i="7"/>
  <c r="K28" i="7"/>
  <c r="K39" i="7"/>
  <c r="V39" i="7"/>
  <c r="C40" i="7"/>
  <c r="B40" i="7"/>
  <c r="N40" i="7"/>
  <c r="D40" i="7"/>
  <c r="O40" i="7"/>
  <c r="E40" i="7"/>
  <c r="P40" i="7"/>
  <c r="F40" i="7"/>
  <c r="Q40" i="7"/>
  <c r="G40" i="7"/>
  <c r="R40" i="7"/>
  <c r="H40" i="7"/>
  <c r="S40" i="7"/>
  <c r="I40" i="7"/>
  <c r="T40" i="7"/>
  <c r="J40" i="7"/>
  <c r="U40" i="7"/>
  <c r="K40" i="7"/>
  <c r="V40" i="7"/>
  <c r="C41" i="7"/>
  <c r="B41" i="7"/>
  <c r="N41" i="7"/>
  <c r="D41" i="7"/>
  <c r="O41" i="7"/>
  <c r="E41" i="7"/>
  <c r="P41" i="7"/>
  <c r="F41" i="7"/>
  <c r="Q41" i="7"/>
  <c r="G41" i="7"/>
  <c r="R41" i="7"/>
  <c r="H41" i="7"/>
  <c r="S41" i="7"/>
  <c r="I41" i="7"/>
  <c r="T41" i="7"/>
  <c r="J41" i="7"/>
  <c r="U41" i="7"/>
  <c r="K41" i="7"/>
  <c r="V41" i="7"/>
  <c r="C42" i="7"/>
  <c r="B42" i="7"/>
  <c r="N42" i="7"/>
  <c r="D42" i="7"/>
  <c r="O42" i="7"/>
  <c r="E42" i="7"/>
  <c r="P42" i="7"/>
  <c r="F42" i="7"/>
  <c r="Q42" i="7"/>
  <c r="G42" i="7"/>
  <c r="R42" i="7"/>
  <c r="H42" i="7"/>
  <c r="S42" i="7"/>
  <c r="I42" i="7"/>
  <c r="T42" i="7"/>
  <c r="J42" i="7"/>
  <c r="U42" i="7"/>
  <c r="K42" i="7"/>
  <c r="V42" i="7"/>
  <c r="C43" i="7"/>
  <c r="B43" i="7"/>
  <c r="N43" i="7"/>
  <c r="D43" i="7"/>
  <c r="O43" i="7"/>
  <c r="E43" i="7"/>
  <c r="P43" i="7"/>
  <c r="F43" i="7"/>
  <c r="Q43" i="7"/>
  <c r="G43" i="7"/>
  <c r="R43" i="7"/>
  <c r="H43" i="7"/>
  <c r="S43" i="7"/>
  <c r="I43" i="7"/>
  <c r="T43" i="7"/>
  <c r="J43" i="7"/>
  <c r="U43" i="7"/>
  <c r="K43" i="7"/>
  <c r="V43" i="7"/>
  <c r="N11" i="7"/>
  <c r="O11" i="7"/>
  <c r="P11" i="7"/>
  <c r="Q11" i="7"/>
  <c r="R11" i="7"/>
  <c r="S11" i="7"/>
  <c r="T11" i="7"/>
  <c r="U11" i="7"/>
  <c r="V11" i="7"/>
  <c r="N12" i="7"/>
  <c r="O12" i="7"/>
  <c r="P12" i="7"/>
  <c r="Q12" i="7"/>
  <c r="R12" i="7"/>
  <c r="S12" i="7"/>
  <c r="T12" i="7"/>
  <c r="U12" i="7"/>
  <c r="V12" i="7"/>
  <c r="C13" i="7"/>
  <c r="B13" i="7"/>
  <c r="N13" i="7"/>
  <c r="D13" i="7"/>
  <c r="O13" i="7"/>
  <c r="E13" i="7"/>
  <c r="P13" i="7"/>
  <c r="F13" i="7"/>
  <c r="Q13" i="7"/>
  <c r="G13" i="7"/>
  <c r="R13" i="7"/>
  <c r="H13" i="7"/>
  <c r="S13" i="7"/>
  <c r="I13" i="7"/>
  <c r="T13" i="7"/>
  <c r="J13" i="7"/>
  <c r="U13" i="7"/>
  <c r="K13" i="7"/>
  <c r="V13" i="7"/>
  <c r="C14" i="7"/>
  <c r="B14" i="7"/>
  <c r="N14" i="7"/>
  <c r="D14" i="7"/>
  <c r="O14" i="7"/>
  <c r="E14" i="7"/>
  <c r="P14" i="7"/>
  <c r="F14" i="7"/>
  <c r="Q14" i="7"/>
  <c r="G14" i="7"/>
  <c r="R14" i="7"/>
  <c r="H14" i="7"/>
  <c r="S14" i="7"/>
  <c r="I14" i="7"/>
  <c r="T14" i="7"/>
  <c r="J14" i="7"/>
  <c r="U14" i="7"/>
  <c r="K14" i="7"/>
  <c r="V14" i="7"/>
  <c r="N15" i="7"/>
  <c r="O15" i="7"/>
  <c r="P15" i="7"/>
  <c r="Q15" i="7"/>
  <c r="R15" i="7"/>
  <c r="S15" i="7"/>
  <c r="T15" i="7"/>
  <c r="U15" i="7"/>
  <c r="V15" i="7"/>
  <c r="N17" i="7"/>
  <c r="O17" i="7"/>
  <c r="P17" i="7"/>
  <c r="Q17" i="7"/>
  <c r="R17" i="7"/>
  <c r="S17" i="7"/>
  <c r="T17" i="7"/>
  <c r="U17" i="7"/>
  <c r="V17" i="7"/>
  <c r="O18" i="7"/>
  <c r="P18" i="7"/>
  <c r="Q18" i="7"/>
  <c r="R18" i="7"/>
  <c r="S18" i="7"/>
  <c r="T18" i="7"/>
  <c r="U18" i="7"/>
  <c r="V18" i="7"/>
  <c r="O19" i="7"/>
  <c r="P19" i="7"/>
  <c r="Q19" i="7"/>
  <c r="R19" i="7"/>
  <c r="S19" i="7"/>
  <c r="T19" i="7"/>
  <c r="U19" i="7"/>
  <c r="V19" i="7"/>
  <c r="C20" i="7"/>
  <c r="B20" i="7"/>
  <c r="N20" i="7"/>
  <c r="D20" i="7"/>
  <c r="O20" i="7"/>
  <c r="E20" i="7"/>
  <c r="P20" i="7"/>
  <c r="F20" i="7"/>
  <c r="Q20" i="7"/>
  <c r="G20" i="7"/>
  <c r="R20" i="7"/>
  <c r="H20" i="7"/>
  <c r="S20" i="7"/>
  <c r="I20" i="7"/>
  <c r="T20" i="7"/>
  <c r="J20" i="7"/>
  <c r="U20" i="7"/>
  <c r="K20" i="7"/>
  <c r="V20" i="7"/>
  <c r="C21" i="7"/>
  <c r="B21" i="7"/>
  <c r="N21" i="7"/>
  <c r="D21" i="7"/>
  <c r="O21" i="7"/>
  <c r="E21" i="7"/>
  <c r="P21" i="7"/>
  <c r="F21" i="7"/>
  <c r="Q21" i="7"/>
  <c r="G21" i="7"/>
  <c r="R21" i="7"/>
  <c r="H21" i="7"/>
  <c r="S21" i="7"/>
  <c r="I21" i="7"/>
  <c r="T21" i="7"/>
  <c r="J21" i="7"/>
  <c r="U21" i="7"/>
  <c r="K21" i="7"/>
  <c r="V21" i="7"/>
  <c r="C22" i="7"/>
  <c r="B22" i="7"/>
  <c r="N22" i="7"/>
  <c r="D22" i="7"/>
  <c r="O22" i="7"/>
  <c r="E22" i="7"/>
  <c r="P22" i="7"/>
  <c r="F22" i="7"/>
  <c r="Q22" i="7"/>
  <c r="G22" i="7"/>
  <c r="R22" i="7"/>
  <c r="H22" i="7"/>
  <c r="S22" i="7"/>
  <c r="I22" i="7"/>
  <c r="T22" i="7"/>
  <c r="J22" i="7"/>
  <c r="U22" i="7"/>
  <c r="K22" i="7"/>
  <c r="V22" i="7"/>
  <c r="N23" i="7"/>
  <c r="O23" i="7"/>
  <c r="P23" i="7"/>
  <c r="Q23" i="7"/>
  <c r="R23" i="7"/>
  <c r="S23" i="7"/>
  <c r="T23" i="7"/>
  <c r="U23" i="7"/>
  <c r="V23" i="7"/>
  <c r="C24" i="7"/>
  <c r="B24" i="7"/>
  <c r="N24" i="7"/>
  <c r="D24" i="7"/>
  <c r="O24" i="7"/>
  <c r="E24" i="7"/>
  <c r="P24" i="7"/>
  <c r="F24" i="7"/>
  <c r="Q24" i="7"/>
  <c r="G24" i="7"/>
  <c r="R24" i="7"/>
  <c r="H24" i="7"/>
  <c r="S24" i="7"/>
  <c r="I24" i="7"/>
  <c r="T24" i="7"/>
  <c r="J24" i="7"/>
  <c r="U24" i="7"/>
  <c r="K24" i="7"/>
  <c r="V24" i="7"/>
  <c r="N26" i="7"/>
  <c r="O26" i="7"/>
  <c r="P26" i="7"/>
  <c r="Q26" i="7"/>
  <c r="R26" i="7"/>
  <c r="S26" i="7"/>
  <c r="T26" i="7"/>
  <c r="U26" i="7"/>
  <c r="V26" i="7"/>
  <c r="C27" i="7"/>
  <c r="B27" i="7"/>
  <c r="N27" i="7"/>
  <c r="D27" i="7"/>
  <c r="O27" i="7"/>
  <c r="E27" i="7"/>
  <c r="P27" i="7"/>
  <c r="F27" i="7"/>
  <c r="Q27" i="7"/>
  <c r="G27" i="7"/>
  <c r="R27" i="7"/>
  <c r="H27" i="7"/>
  <c r="S27" i="7"/>
  <c r="I27" i="7"/>
  <c r="T27" i="7"/>
  <c r="J27" i="7"/>
  <c r="U27" i="7"/>
  <c r="K27" i="7"/>
  <c r="V27" i="7"/>
  <c r="N28" i="7"/>
  <c r="O28" i="7"/>
  <c r="P28" i="7"/>
  <c r="Q28" i="7"/>
  <c r="R28" i="7"/>
  <c r="S28" i="7"/>
  <c r="T28" i="7"/>
  <c r="U28" i="7"/>
  <c r="V28" i="7"/>
  <c r="N29" i="7"/>
  <c r="O29" i="7"/>
  <c r="P29" i="7"/>
  <c r="Q29" i="7"/>
  <c r="R29" i="7"/>
  <c r="S29" i="7"/>
  <c r="T29" i="7"/>
  <c r="U29" i="7"/>
  <c r="V29" i="7"/>
  <c r="M42" i="7"/>
  <c r="M43" i="7"/>
  <c r="M11" i="7"/>
  <c r="M12" i="7"/>
  <c r="M13" i="7"/>
  <c r="M14" i="7"/>
  <c r="M15" i="7"/>
  <c r="M17" i="7"/>
  <c r="M18" i="7"/>
  <c r="M19" i="7"/>
  <c r="M20" i="7"/>
  <c r="M21" i="7"/>
  <c r="M22" i="7"/>
  <c r="M23" i="7"/>
  <c r="M24" i="7"/>
  <c r="M26" i="7"/>
  <c r="M27" i="7"/>
  <c r="M28" i="7"/>
  <c r="M29" i="7"/>
  <c r="M31" i="7"/>
  <c r="M32" i="7"/>
  <c r="M33" i="7"/>
  <c r="M34" i="7"/>
  <c r="M35" i="7"/>
  <c r="M36" i="7"/>
  <c r="M38" i="7"/>
  <c r="M39" i="7"/>
  <c r="M40" i="7"/>
  <c r="M41" i="7"/>
  <c r="M5" i="7"/>
  <c r="M6" i="7"/>
  <c r="M7" i="7"/>
  <c r="M8" i="7"/>
  <c r="M9" i="7"/>
  <c r="M4" i="7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D8" i="7"/>
  <c r="C8" i="7"/>
  <c r="O8" i="7"/>
  <c r="E8" i="7"/>
  <c r="P8" i="7"/>
  <c r="F8" i="7"/>
  <c r="Q8" i="7"/>
  <c r="G8" i="7"/>
  <c r="R8" i="7"/>
  <c r="H8" i="7"/>
  <c r="S8" i="7"/>
  <c r="I8" i="7"/>
  <c r="T8" i="7"/>
  <c r="J8" i="7"/>
  <c r="U8" i="7"/>
  <c r="K8" i="7"/>
  <c r="V8" i="7"/>
  <c r="D9" i="7"/>
  <c r="C9" i="7"/>
  <c r="O9" i="7"/>
  <c r="E9" i="7"/>
  <c r="P9" i="7"/>
  <c r="F9" i="7"/>
  <c r="Q9" i="7"/>
  <c r="G9" i="7"/>
  <c r="R9" i="7"/>
  <c r="H9" i="7"/>
  <c r="S9" i="7"/>
  <c r="I9" i="7"/>
  <c r="T9" i="7"/>
  <c r="J9" i="7"/>
  <c r="U9" i="7"/>
  <c r="K9" i="7"/>
  <c r="V9" i="7"/>
  <c r="O5" i="7"/>
  <c r="P5" i="7"/>
  <c r="Q5" i="7"/>
  <c r="R5" i="7"/>
  <c r="S5" i="7"/>
  <c r="T5" i="7"/>
  <c r="U5" i="7"/>
  <c r="V5" i="7"/>
  <c r="N5" i="7"/>
  <c r="N6" i="7"/>
  <c r="B7" i="7"/>
  <c r="N7" i="7"/>
  <c r="B8" i="7"/>
  <c r="N8" i="7"/>
  <c r="B9" i="7"/>
  <c r="N9" i="7"/>
  <c r="D4" i="7"/>
  <c r="C4" i="7"/>
  <c r="O4" i="7"/>
  <c r="E4" i="7"/>
  <c r="P4" i="7"/>
  <c r="F4" i="7"/>
  <c r="Q4" i="7"/>
  <c r="G4" i="7"/>
  <c r="R4" i="7"/>
  <c r="H4" i="7"/>
  <c r="S4" i="7"/>
  <c r="I4" i="7"/>
  <c r="T4" i="7"/>
  <c r="J4" i="7"/>
  <c r="U4" i="7"/>
  <c r="K4" i="7"/>
  <c r="V4" i="7"/>
  <c r="B4" i="7"/>
  <c r="N4" i="7"/>
  <c r="V3" i="7"/>
  <c r="N3" i="7"/>
  <c r="O3" i="7"/>
  <c r="P3" i="7"/>
  <c r="Q3" i="7"/>
  <c r="R3" i="7"/>
  <c r="S3" i="7"/>
  <c r="T3" i="7"/>
  <c r="U3" i="7"/>
  <c r="C18" i="5"/>
  <c r="D18" i="5"/>
  <c r="E18" i="5"/>
  <c r="F18" i="5"/>
  <c r="G18" i="5"/>
  <c r="H18" i="5"/>
  <c r="I18" i="5"/>
  <c r="J18" i="5"/>
  <c r="K18" i="5"/>
  <c r="B18" i="5"/>
  <c r="C8" i="5"/>
  <c r="C7" i="5"/>
  <c r="C6" i="5"/>
  <c r="G6" i="5"/>
  <c r="L16" i="5"/>
  <c r="L15" i="5"/>
  <c r="L14" i="5"/>
  <c r="L13" i="5"/>
  <c r="K16" i="5"/>
  <c r="K15" i="5"/>
  <c r="K14" i="5"/>
  <c r="K13" i="5"/>
  <c r="J16" i="5"/>
  <c r="J15" i="5"/>
  <c r="J14" i="5"/>
  <c r="J13" i="5"/>
  <c r="I16" i="5"/>
  <c r="I15" i="5"/>
  <c r="I14" i="5"/>
  <c r="I13" i="5"/>
  <c r="H16" i="5"/>
  <c r="H15" i="5"/>
  <c r="H14" i="5"/>
  <c r="H13" i="5"/>
  <c r="G16" i="5"/>
  <c r="G15" i="5"/>
  <c r="G14" i="5"/>
  <c r="G13" i="5"/>
  <c r="F16" i="5"/>
  <c r="F15" i="5"/>
  <c r="F14" i="5"/>
  <c r="F13" i="5"/>
  <c r="E16" i="5"/>
  <c r="E15" i="5"/>
  <c r="E14" i="5"/>
  <c r="E13" i="5"/>
  <c r="D16" i="5"/>
  <c r="D15" i="5"/>
  <c r="D14" i="5"/>
  <c r="D13" i="5"/>
  <c r="C16" i="5"/>
  <c r="C15" i="5"/>
  <c r="C14" i="5"/>
  <c r="C13" i="5"/>
  <c r="F74" i="5"/>
  <c r="F73" i="5"/>
  <c r="F72" i="5"/>
  <c r="F71" i="5"/>
  <c r="F70" i="5"/>
  <c r="C57" i="5"/>
  <c r="D57" i="5"/>
  <c r="E57" i="5"/>
  <c r="F57" i="5"/>
  <c r="F58" i="5"/>
  <c r="G57" i="5"/>
  <c r="H57" i="5"/>
  <c r="I57" i="5"/>
  <c r="J57" i="5"/>
  <c r="J58" i="5"/>
  <c r="J56" i="5"/>
  <c r="J59" i="5"/>
  <c r="K57" i="5"/>
  <c r="C56" i="5"/>
  <c r="D56" i="5"/>
  <c r="E56" i="5"/>
  <c r="F56" i="5"/>
  <c r="G56" i="5"/>
  <c r="H56" i="5"/>
  <c r="I56" i="5"/>
  <c r="K56" i="5"/>
  <c r="C55" i="5"/>
  <c r="D55" i="5"/>
  <c r="E55" i="5"/>
  <c r="F55" i="5"/>
  <c r="G55" i="5"/>
  <c r="H55" i="5"/>
  <c r="I55" i="5"/>
  <c r="J55" i="5"/>
  <c r="K55" i="5"/>
  <c r="C54" i="5"/>
  <c r="D54" i="5"/>
  <c r="E54" i="5"/>
  <c r="F54" i="5"/>
  <c r="G54" i="5"/>
  <c r="H54" i="5"/>
  <c r="I54" i="5"/>
  <c r="J54" i="5"/>
  <c r="K54" i="5"/>
  <c r="C53" i="5"/>
  <c r="D53" i="5"/>
  <c r="E53" i="5"/>
  <c r="F53" i="5"/>
  <c r="G53" i="5"/>
  <c r="H53" i="5"/>
  <c r="I53" i="5"/>
  <c r="J53" i="5"/>
  <c r="K53" i="5"/>
  <c r="C52" i="5"/>
  <c r="D52" i="5"/>
  <c r="E52" i="5"/>
  <c r="F52" i="5"/>
  <c r="G52" i="5"/>
  <c r="H52" i="5"/>
  <c r="I52" i="5"/>
  <c r="J52" i="5"/>
  <c r="K52" i="5"/>
  <c r="B57" i="5"/>
  <c r="B56" i="5"/>
  <c r="B55" i="5"/>
  <c r="B54" i="5"/>
  <c r="B53" i="5"/>
  <c r="B52" i="5"/>
  <c r="C36" i="5"/>
  <c r="C44" i="5"/>
  <c r="C50" i="5"/>
  <c r="D36" i="5"/>
  <c r="D44" i="5"/>
  <c r="D50" i="5"/>
  <c r="E36" i="5"/>
  <c r="E44" i="5"/>
  <c r="E50" i="5"/>
  <c r="F36" i="5"/>
  <c r="F44" i="5"/>
  <c r="F50" i="5"/>
  <c r="G36" i="5"/>
  <c r="G44" i="5"/>
  <c r="G50" i="5"/>
  <c r="H36" i="5"/>
  <c r="H44" i="5"/>
  <c r="H50" i="5"/>
  <c r="I36" i="5"/>
  <c r="I44" i="5"/>
  <c r="I50" i="5"/>
  <c r="J36" i="5"/>
  <c r="J44" i="5"/>
  <c r="J50" i="5"/>
  <c r="K36" i="5"/>
  <c r="K44" i="5"/>
  <c r="K50" i="5"/>
  <c r="C49" i="5"/>
  <c r="D49" i="5"/>
  <c r="E49" i="5"/>
  <c r="F49" i="5"/>
  <c r="G49" i="5"/>
  <c r="H49" i="5"/>
  <c r="I49" i="5"/>
  <c r="J49" i="5"/>
  <c r="K49" i="5"/>
  <c r="B36" i="5"/>
  <c r="B44" i="5"/>
  <c r="B50" i="5"/>
  <c r="B49" i="5"/>
  <c r="C46" i="5"/>
  <c r="D46" i="5"/>
  <c r="E46" i="5"/>
  <c r="F46" i="5"/>
  <c r="G46" i="5"/>
  <c r="H46" i="5"/>
  <c r="I46" i="5"/>
  <c r="J46" i="5"/>
  <c r="J39" i="5"/>
  <c r="J47" i="5"/>
  <c r="K46" i="5"/>
  <c r="C45" i="5"/>
  <c r="D45" i="5"/>
  <c r="E45" i="5"/>
  <c r="F45" i="5"/>
  <c r="G45" i="5"/>
  <c r="H45" i="5"/>
  <c r="I45" i="5"/>
  <c r="J45" i="5"/>
  <c r="K45" i="5"/>
  <c r="B46" i="5"/>
  <c r="B45" i="5"/>
  <c r="C42" i="5"/>
  <c r="D42" i="5"/>
  <c r="E42" i="5"/>
  <c r="F42" i="5"/>
  <c r="G42" i="5"/>
  <c r="H42" i="5"/>
  <c r="I42" i="5"/>
  <c r="J42" i="5"/>
  <c r="K42" i="5"/>
  <c r="C41" i="5"/>
  <c r="D41" i="5"/>
  <c r="E41" i="5"/>
  <c r="F41" i="5"/>
  <c r="G41" i="5"/>
  <c r="H41" i="5"/>
  <c r="I41" i="5"/>
  <c r="J41" i="5"/>
  <c r="K41" i="5"/>
  <c r="C40" i="5"/>
  <c r="D40" i="5"/>
  <c r="E40" i="5"/>
  <c r="F40" i="5"/>
  <c r="G40" i="5"/>
  <c r="H40" i="5"/>
  <c r="I40" i="5"/>
  <c r="J40" i="5"/>
  <c r="K40" i="5"/>
  <c r="C39" i="5"/>
  <c r="D39" i="5"/>
  <c r="E39" i="5"/>
  <c r="F39" i="5"/>
  <c r="G39" i="5"/>
  <c r="H39" i="5"/>
  <c r="I39" i="5"/>
  <c r="K39" i="5"/>
  <c r="C38" i="5"/>
  <c r="D38" i="5"/>
  <c r="E38" i="5"/>
  <c r="F38" i="5"/>
  <c r="G38" i="5"/>
  <c r="H38" i="5"/>
  <c r="I38" i="5"/>
  <c r="J38" i="5"/>
  <c r="K38" i="5"/>
  <c r="C37" i="5"/>
  <c r="D37" i="5"/>
  <c r="E37" i="5"/>
  <c r="F37" i="5"/>
  <c r="G37" i="5"/>
  <c r="H37" i="5"/>
  <c r="I37" i="5"/>
  <c r="J37" i="5"/>
  <c r="K37" i="5"/>
  <c r="C35" i="5"/>
  <c r="D35" i="5"/>
  <c r="E35" i="5"/>
  <c r="F35" i="5"/>
  <c r="G35" i="5"/>
  <c r="H35" i="5"/>
  <c r="I35" i="5"/>
  <c r="J35" i="5"/>
  <c r="K35" i="5"/>
  <c r="B42" i="5"/>
  <c r="B41" i="5"/>
  <c r="B40" i="5"/>
  <c r="B39" i="5"/>
  <c r="B38" i="5"/>
  <c r="B37" i="5"/>
  <c r="B35" i="5"/>
  <c r="C22" i="5"/>
  <c r="D22" i="5"/>
  <c r="E22" i="5"/>
  <c r="F22" i="5"/>
  <c r="G22" i="5"/>
  <c r="H22" i="5"/>
  <c r="I22" i="5"/>
  <c r="J22" i="5"/>
  <c r="K22" i="5"/>
  <c r="B21" i="5"/>
  <c r="C33" i="5"/>
  <c r="D33" i="5"/>
  <c r="E33" i="5"/>
  <c r="F33" i="5"/>
  <c r="G33" i="5"/>
  <c r="H33" i="5"/>
  <c r="I33" i="5"/>
  <c r="J33" i="5"/>
  <c r="K33" i="5"/>
  <c r="C32" i="5"/>
  <c r="D32" i="5"/>
  <c r="E32" i="5"/>
  <c r="F32" i="5"/>
  <c r="G32" i="5"/>
  <c r="H32" i="5"/>
  <c r="I32" i="5"/>
  <c r="J32" i="5"/>
  <c r="K32" i="5"/>
  <c r="C31" i="5"/>
  <c r="D31" i="5"/>
  <c r="E31" i="5"/>
  <c r="F31" i="5"/>
  <c r="G31" i="5"/>
  <c r="H31" i="5"/>
  <c r="I31" i="5"/>
  <c r="J31" i="5"/>
  <c r="K31" i="5"/>
  <c r="B31" i="5"/>
  <c r="B32" i="5"/>
  <c r="B33" i="5"/>
  <c r="C17" i="2"/>
  <c r="C20" i="2"/>
  <c r="C28" i="5"/>
  <c r="D17" i="2"/>
  <c r="D20" i="2"/>
  <c r="D28" i="5"/>
  <c r="E17" i="2"/>
  <c r="E20" i="2"/>
  <c r="E28" i="5"/>
  <c r="F17" i="2"/>
  <c r="F20" i="2"/>
  <c r="F28" i="5"/>
  <c r="G17" i="2"/>
  <c r="G20" i="2"/>
  <c r="G28" i="5"/>
  <c r="H17" i="2"/>
  <c r="H20" i="2"/>
  <c r="H28" i="5"/>
  <c r="I17" i="2"/>
  <c r="I20" i="2"/>
  <c r="I28" i="5"/>
  <c r="J17" i="2"/>
  <c r="J20" i="2"/>
  <c r="J28" i="5"/>
  <c r="K17" i="2"/>
  <c r="K20" i="2"/>
  <c r="K28" i="5"/>
  <c r="B17" i="2"/>
  <c r="B20" i="2"/>
  <c r="B28" i="5"/>
  <c r="C18" i="2"/>
  <c r="C21" i="2"/>
  <c r="C27" i="5"/>
  <c r="D18" i="2"/>
  <c r="D21" i="2"/>
  <c r="D27" i="5"/>
  <c r="E18" i="2"/>
  <c r="E21" i="2"/>
  <c r="E27" i="5"/>
  <c r="F18" i="2"/>
  <c r="F21" i="2"/>
  <c r="F27" i="5"/>
  <c r="G18" i="2"/>
  <c r="G21" i="2"/>
  <c r="G27" i="5"/>
  <c r="H18" i="2"/>
  <c r="H21" i="2"/>
  <c r="H27" i="5"/>
  <c r="I18" i="2"/>
  <c r="I21" i="2"/>
  <c r="I27" i="5"/>
  <c r="J18" i="2"/>
  <c r="J21" i="2"/>
  <c r="J27" i="5"/>
  <c r="K18" i="2"/>
  <c r="K21" i="2"/>
  <c r="K27" i="5"/>
  <c r="B18" i="2"/>
  <c r="B21" i="2"/>
  <c r="B27" i="5"/>
  <c r="C25" i="5"/>
  <c r="D25" i="5"/>
  <c r="E25" i="5"/>
  <c r="F25" i="5"/>
  <c r="G25" i="5"/>
  <c r="H25" i="5"/>
  <c r="I25" i="5"/>
  <c r="J25" i="5"/>
  <c r="K25" i="5"/>
  <c r="B25" i="5"/>
  <c r="C24" i="5"/>
  <c r="D24" i="5"/>
  <c r="E24" i="5"/>
  <c r="F24" i="5"/>
  <c r="G24" i="5"/>
  <c r="H24" i="5"/>
  <c r="I24" i="5"/>
  <c r="J24" i="5"/>
  <c r="K24" i="5"/>
  <c r="B24" i="5"/>
  <c r="C23" i="5"/>
  <c r="D23" i="5"/>
  <c r="E23" i="5"/>
  <c r="F23" i="5"/>
  <c r="G23" i="5"/>
  <c r="H23" i="5"/>
  <c r="I23" i="5"/>
  <c r="J23" i="5"/>
  <c r="K23" i="5"/>
  <c r="B23" i="5"/>
  <c r="C20" i="5"/>
  <c r="D20" i="5"/>
  <c r="E20" i="5"/>
  <c r="F20" i="5"/>
  <c r="G20" i="5"/>
  <c r="H20" i="5"/>
  <c r="I20" i="5"/>
  <c r="J20" i="5"/>
  <c r="K20" i="5"/>
  <c r="C19" i="5"/>
  <c r="D19" i="5"/>
  <c r="E19" i="5"/>
  <c r="F19" i="5"/>
  <c r="G19" i="5"/>
  <c r="H19" i="5"/>
  <c r="I19" i="5"/>
  <c r="J19" i="5"/>
  <c r="K19" i="5"/>
  <c r="B22" i="5"/>
  <c r="B20" i="5"/>
  <c r="B19" i="5"/>
  <c r="B16" i="5"/>
  <c r="B15" i="5"/>
  <c r="B14" i="5"/>
  <c r="B13" i="5"/>
  <c r="N7" i="5"/>
  <c r="H10" i="3"/>
  <c r="I10" i="3"/>
  <c r="J10" i="3"/>
  <c r="K10" i="3"/>
  <c r="L10" i="1"/>
  <c r="N6" i="5"/>
  <c r="L26" i="7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C9" i="5"/>
  <c r="C5" i="5"/>
  <c r="B9" i="5"/>
  <c r="B8" i="5"/>
  <c r="B7" i="5"/>
  <c r="B6" i="5"/>
  <c r="B5" i="5"/>
  <c r="A1" i="5"/>
  <c r="A18" i="5"/>
  <c r="I58" i="5"/>
  <c r="I59" i="5"/>
  <c r="H58" i="5"/>
  <c r="H59" i="5"/>
  <c r="E58" i="5"/>
  <c r="E59" i="5"/>
  <c r="D58" i="5"/>
  <c r="D59" i="5"/>
  <c r="C58" i="5"/>
  <c r="C59" i="5"/>
  <c r="I47" i="5"/>
  <c r="E47" i="5"/>
  <c r="B47" i="5"/>
  <c r="K48" i="5"/>
  <c r="H47" i="5"/>
  <c r="G48" i="5"/>
  <c r="D47" i="5"/>
  <c r="C48" i="5"/>
  <c r="B48" i="5"/>
  <c r="J26" i="5"/>
  <c r="I26" i="5"/>
  <c r="F26" i="5"/>
  <c r="E26" i="5"/>
  <c r="B26" i="5"/>
  <c r="K26" i="5"/>
  <c r="H26" i="5"/>
  <c r="G26" i="5"/>
  <c r="D26" i="5"/>
  <c r="C26" i="5"/>
  <c r="D9" i="5"/>
  <c r="D8" i="5"/>
  <c r="D7" i="5"/>
  <c r="D6" i="5"/>
  <c r="D5" i="5"/>
  <c r="A1" i="7"/>
  <c r="A3" i="7"/>
  <c r="J16" i="7"/>
  <c r="H25" i="7"/>
  <c r="F16" i="7"/>
  <c r="D25" i="7"/>
  <c r="B16" i="7"/>
  <c r="K58" i="5"/>
  <c r="K59" i="5"/>
  <c r="G58" i="5"/>
  <c r="G59" i="5"/>
  <c r="F59" i="5"/>
  <c r="F47" i="5"/>
  <c r="E48" i="5"/>
  <c r="I48" i="5"/>
  <c r="F48" i="5"/>
  <c r="J48" i="5"/>
  <c r="A12" i="5"/>
  <c r="D48" i="5"/>
  <c r="C47" i="5"/>
  <c r="G47" i="5"/>
  <c r="K47" i="5"/>
  <c r="H48" i="5"/>
  <c r="C10" i="7"/>
  <c r="G10" i="7"/>
  <c r="K10" i="7"/>
  <c r="C16" i="7"/>
  <c r="G16" i="7"/>
  <c r="K16" i="7"/>
  <c r="E25" i="7"/>
  <c r="I25" i="7"/>
  <c r="D10" i="7"/>
  <c r="H10" i="7"/>
  <c r="D16" i="7"/>
  <c r="H16" i="7"/>
  <c r="B25" i="7"/>
  <c r="F25" i="7"/>
  <c r="J25" i="7"/>
  <c r="E10" i="7"/>
  <c r="I10" i="7"/>
  <c r="E16" i="7"/>
  <c r="I16" i="7"/>
  <c r="C25" i="7"/>
  <c r="G25" i="7"/>
  <c r="K25" i="7"/>
  <c r="B10" i="7"/>
  <c r="F10" i="7"/>
  <c r="J10" i="7"/>
  <c r="C6" i="3"/>
  <c r="D6" i="3"/>
  <c r="E6" i="3"/>
  <c r="F6" i="3"/>
  <c r="G6" i="3"/>
  <c r="I14" i="3"/>
  <c r="B6" i="3"/>
  <c r="C19" i="1"/>
  <c r="G19" i="1"/>
  <c r="K19" i="1"/>
  <c r="B5" i="1"/>
  <c r="C12" i="1"/>
  <c r="C13" i="1"/>
  <c r="C15" i="1"/>
  <c r="C14" i="1"/>
  <c r="D12" i="1"/>
  <c r="D13" i="1"/>
  <c r="B12" i="1"/>
  <c r="B13" i="1"/>
  <c r="L25" i="1"/>
  <c r="C4" i="2"/>
  <c r="C5" i="2"/>
  <c r="C6" i="2"/>
  <c r="D4" i="2"/>
  <c r="D5" i="2"/>
  <c r="D6" i="2"/>
  <c r="D10" i="1"/>
  <c r="D9" i="1"/>
  <c r="D24" i="2"/>
  <c r="E4" i="2"/>
  <c r="E5" i="2"/>
  <c r="E6" i="2"/>
  <c r="E10" i="1"/>
  <c r="E9" i="1"/>
  <c r="E24" i="2"/>
  <c r="F4" i="2"/>
  <c r="F5" i="2"/>
  <c r="F6" i="2"/>
  <c r="F10" i="1"/>
  <c r="F9" i="1"/>
  <c r="F24" i="2"/>
  <c r="E23" i="2"/>
  <c r="G4" i="2"/>
  <c r="G5" i="2"/>
  <c r="G6" i="2"/>
  <c r="H4" i="2"/>
  <c r="H5" i="2"/>
  <c r="H6" i="2"/>
  <c r="H10" i="1"/>
  <c r="H9" i="1"/>
  <c r="H24" i="2"/>
  <c r="I4" i="2"/>
  <c r="I5" i="2"/>
  <c r="I6" i="2"/>
  <c r="I10" i="1"/>
  <c r="I9" i="1"/>
  <c r="I24" i="2"/>
  <c r="I23" i="2"/>
  <c r="J4" i="2"/>
  <c r="J5" i="2"/>
  <c r="J23" i="2"/>
  <c r="J6" i="2"/>
  <c r="K4" i="2"/>
  <c r="K5" i="2"/>
  <c r="K6" i="2"/>
  <c r="K10" i="1"/>
  <c r="K9" i="1"/>
  <c r="K24" i="2"/>
  <c r="K23" i="2"/>
  <c r="G10" i="1"/>
  <c r="G9" i="1"/>
  <c r="G24" i="2"/>
  <c r="C7" i="2"/>
  <c r="D7" i="2"/>
  <c r="E7" i="2"/>
  <c r="E13" i="2"/>
  <c r="E16" i="2"/>
  <c r="F7" i="2"/>
  <c r="G7" i="2"/>
  <c r="H7" i="2"/>
  <c r="I7" i="2"/>
  <c r="I13" i="2"/>
  <c r="I16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F13" i="2"/>
  <c r="G13" i="2"/>
  <c r="H13" i="2"/>
  <c r="H16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B6" i="2"/>
  <c r="C10" i="1"/>
  <c r="C9" i="1"/>
  <c r="C2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C14" i="3"/>
  <c r="D4" i="3"/>
  <c r="E4" i="3"/>
  <c r="F4" i="3"/>
  <c r="G4" i="3"/>
  <c r="G14" i="3"/>
  <c r="C5" i="3"/>
  <c r="D5" i="3"/>
  <c r="E5" i="3"/>
  <c r="F5" i="3"/>
  <c r="G5" i="3"/>
  <c r="H5" i="3"/>
  <c r="I5" i="3"/>
  <c r="J5" i="3"/>
  <c r="K5" i="3"/>
  <c r="L5" i="1"/>
  <c r="C7" i="3"/>
  <c r="D7" i="3"/>
  <c r="E7" i="3"/>
  <c r="F7" i="3"/>
  <c r="G7" i="3"/>
  <c r="H7" i="3"/>
  <c r="I7" i="3"/>
  <c r="J7" i="3"/>
  <c r="K7" i="3"/>
  <c r="L7" i="1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L9" i="1"/>
  <c r="C10" i="3"/>
  <c r="D10" i="3"/>
  <c r="E10" i="3"/>
  <c r="F10" i="3"/>
  <c r="G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B5" i="3"/>
  <c r="C18" i="1"/>
  <c r="D18" i="1"/>
  <c r="E18" i="1"/>
  <c r="F18" i="1"/>
  <c r="G18" i="1"/>
  <c r="H18" i="1"/>
  <c r="I18" i="1"/>
  <c r="J18" i="1"/>
  <c r="K18" i="1"/>
  <c r="B18" i="1"/>
  <c r="H19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J9" i="1"/>
  <c r="J10" i="1"/>
  <c r="C11" i="1"/>
  <c r="D11" i="1"/>
  <c r="E11" i="1"/>
  <c r="F11" i="1"/>
  <c r="G11" i="1"/>
  <c r="H11" i="1"/>
  <c r="I11" i="1"/>
  <c r="J11" i="1"/>
  <c r="K11" i="1"/>
  <c r="D15" i="1"/>
  <c r="D14" i="1"/>
  <c r="B15" i="1"/>
  <c r="B14" i="1"/>
  <c r="B7" i="1"/>
  <c r="A1" i="1"/>
  <c r="E1" i="6"/>
  <c r="E1" i="4"/>
  <c r="E1" i="2"/>
  <c r="D16" i="2"/>
  <c r="G16" i="2"/>
  <c r="C23" i="2"/>
  <c r="K16" i="2"/>
  <c r="C16" i="2"/>
  <c r="G23" i="2"/>
  <c r="J16" i="2"/>
  <c r="F16" i="2"/>
  <c r="B23" i="2"/>
  <c r="E19" i="1"/>
  <c r="H23" i="2"/>
  <c r="D23" i="2"/>
  <c r="I19" i="1"/>
  <c r="J19" i="1"/>
  <c r="F19" i="1"/>
  <c r="B6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B13" i="2"/>
  <c r="B7" i="2"/>
  <c r="B16" i="2"/>
  <c r="B12" i="2"/>
  <c r="B11" i="2"/>
  <c r="B10" i="2"/>
  <c r="B8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B11" i="1"/>
  <c r="B10" i="1"/>
  <c r="B9" i="1"/>
  <c r="B8" i="1"/>
  <c r="B3" i="1"/>
  <c r="B14" i="3"/>
  <c r="E14" i="3"/>
  <c r="K14" i="3"/>
  <c r="L11" i="1"/>
  <c r="L8" i="1"/>
  <c r="M8" i="1"/>
  <c r="A1" i="3"/>
  <c r="A1" i="2"/>
  <c r="A1" i="4"/>
  <c r="B19" i="1"/>
  <c r="N8" i="1"/>
  <c r="I24" i="1"/>
  <c r="M11" i="1"/>
  <c r="N11" i="1"/>
  <c r="N9" i="1"/>
  <c r="M9" i="1"/>
  <c r="M25" i="1"/>
  <c r="M14" i="1"/>
  <c r="H25" i="1"/>
  <c r="N25" i="1"/>
  <c r="N14" i="1"/>
  <c r="D19" i="1"/>
  <c r="H24" i="1"/>
  <c r="J24" i="1"/>
  <c r="F23" i="2"/>
  <c r="J24" i="2"/>
  <c r="L19" i="1"/>
  <c r="L24" i="1"/>
  <c r="H1" i="1"/>
  <c r="E1" i="3"/>
  <c r="N4" i="1"/>
  <c r="K24" i="1"/>
  <c r="M24" i="1"/>
  <c r="M6" i="1"/>
  <c r="M5" i="1"/>
  <c r="N24" i="1"/>
  <c r="N6" i="1"/>
  <c r="N5" i="1"/>
  <c r="N10" i="1"/>
  <c r="N12" i="1"/>
  <c r="N13" i="1"/>
  <c r="N15" i="1"/>
  <c r="M10" i="1"/>
  <c r="M12" i="1"/>
  <c r="M13" i="1"/>
  <c r="M15" i="1"/>
  <c r="B70" i="5"/>
  <c r="B73" i="5"/>
  <c r="B74" i="5"/>
</calcChain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 shapeId="0">
      <text>
        <r>
          <rPr>
            <b/>
            <sz val="9"/>
            <color indexed="8"/>
            <rFont val="Tahoma"/>
            <family val="2"/>
            <charset val="1"/>
          </rPr>
          <t>Shrey Sao</t>
        </r>
      </text>
    </comment>
    <comment ref="A25" authorId="0" shape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6" authorId="0" shapeId="0">
      <text>
        <r>
          <rPr>
            <b/>
            <sz val="9"/>
            <color indexed="8"/>
            <rFont val="Tahoma"/>
            <family val="2"/>
            <charset val="1"/>
          </rPr>
          <t>Shrey</t>
        </r>
      </text>
    </comment>
    <comment ref="A44" authorId="0" shapeId="0">
      <text/>
    </comment>
    <comment ref="A50" authorId="0" shapeId="0">
      <text>
        <r>
          <rPr>
            <b/>
            <sz val="9"/>
            <color indexed="8"/>
            <rFont val="Tahoma"/>
            <family val="2"/>
            <charset val="1"/>
          </rPr>
          <t>Shrey Sao:</t>
        </r>
      </text>
    </comment>
  </commentList>
</comments>
</file>

<file path=xl/sharedStrings.xml><?xml version="1.0" encoding="utf-8"?>
<sst xmlns="http://schemas.openxmlformats.org/spreadsheetml/2006/main" count="306" uniqueCount="234">
  <si>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</si>
  <si>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</si>
  <si>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</si>
  <si>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</si>
  <si>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</si>
  <si>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</si>
  <si>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</si>
  <si>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</si>
  <si>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</si>
  <si>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</si>
  <si>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</si>
  <si>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</si>
  <si>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</si>
  <si>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</si>
  <si>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</si>
  <si>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</si>
  <si>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</si>
  <si>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</si>
  <si>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</si>
  <si>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</si>
  <si>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</si>
  <si>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</si>
  <si>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</si>
  <si>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</si>
  <si>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</si>
  <si>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</si>
  <si>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</si>
  <si>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</si>
  <si>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</si>
  <si>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</si>
  <si>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</si>
  <si>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</si>
  <si>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</si>
  <si>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</si>
  <si>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</si>
  <si>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</si>
  <si>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</si>
  <si>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</si>
  <si>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</si>
  <si>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</si>
  <si>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</si>
  <si>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</si>
  <si>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</si>
  <si>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</si>
  <si>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</si>
  <si>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</si>
  <si>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</si>
  <si>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</si>
  <si>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</si>
  <si>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</si>
  <si>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</si>
  <si>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</si>
  <si>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</si>
  <si>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</si>
  <si>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AURO LABORATORIES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</si>
  <si>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</si>
  <si>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</si>
  <si>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</si>
  <si>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</si>
  <si>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</si>
  <si>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</si>
  <si>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</si>
  <si>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</si>
  <si>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</si>
  <si>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</si>
  <si>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</si>
  <si>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</si>
  <si>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</si>
  <si>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</si>
  <si>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</si>
  <si>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</si>
  <si>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</si>
  <si>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</si>
  <si>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</si>
  <si>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</si>
  <si>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</si>
  <si>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</si>
  <si>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</si>
  <si>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</si>
  <si>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</si>
  <si>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</si>
  <si>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Gross Profit</t>
  </si>
  <si>
    <t>EBIT</t>
  </si>
  <si>
    <t>EBITDA</t>
  </si>
  <si>
    <t>Operating Profit (excl Other Income)</t>
  </si>
  <si>
    <t>PAT</t>
  </si>
  <si>
    <t>Dividend</t>
  </si>
  <si>
    <t>Networth</t>
  </si>
  <si>
    <t>Invested Capital</t>
  </si>
  <si>
    <t>Capital Employed</t>
  </si>
  <si>
    <t>Total Assets</t>
  </si>
  <si>
    <t>Operating Cash Flow</t>
  </si>
  <si>
    <t>Capex</t>
  </si>
  <si>
    <t>CHECK?</t>
  </si>
  <si>
    <t>Free Cash Flow</t>
  </si>
  <si>
    <t>Tax Rate</t>
  </si>
  <si>
    <t>NOPLAT</t>
  </si>
  <si>
    <t>RoIC</t>
  </si>
  <si>
    <t>WACC</t>
  </si>
  <si>
    <t>EPA (Economic Profit Added)</t>
  </si>
  <si>
    <t>CURRENT</t>
  </si>
  <si>
    <t>MktCap</t>
  </si>
  <si>
    <t>MktCap+Dividend</t>
  </si>
  <si>
    <t>Retained Profit</t>
  </si>
  <si>
    <t>EV</t>
  </si>
  <si>
    <t>Price/Earnings</t>
  </si>
  <si>
    <t>Price/Book</t>
  </si>
  <si>
    <t>Price/CashFlow</t>
  </si>
  <si>
    <t>Price/Sales</t>
  </si>
  <si>
    <t>EV/EBITDA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</si>
  <si>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</si>
  <si>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</si>
  <si>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</si>
  <si>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</si>
  <si>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</si>
  <si>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</si>
  <si>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</si>
  <si>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Altman Z-Score</t>
  </si>
  <si>
    <t>Z &gt; 2.99 -“Safe” Zones</t>
  </si>
  <si>
    <t>1.81 &lt; Z &lt; 2.99 -“Grey” Zones</t>
  </si>
  <si>
    <t>Z &lt; 1.81 -“Distress” Zones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</si>
  <si>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</si>
  <si>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</si>
  <si>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</si>
  <si>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</si>
  <si>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</si>
  <si>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</si>
  <si>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</si>
  <si>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</si>
  <si>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</si>
  <si>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</si>
  <si>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</si>
  <si>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</si>
  <si>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</si>
  <si>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</si>
  <si>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</si>
  <si>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</si>
  <si>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</si>
  <si>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Equity 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</si>
  <si>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</si>
  <si>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</si>
  <si>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</si>
  <si>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</si>
  <si>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</si>
  <si>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</si>
  <si>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DIVIDEND</t>
  </si>
  <si>
    <t>EPA**</t>
  </si>
  <si>
    <t>MKTCAP</t>
  </si>
  <si>
    <t>CFO**</t>
  </si>
  <si>
    <t>FCF**</t>
  </si>
  <si>
    <t>NETWORTH</t>
  </si>
  <si>
    <t>TOTAL RETURNS</t>
  </si>
  <si>
    <t>10 YR CAGR</t>
  </si>
  <si>
    <t>5 YR CAGR</t>
  </si>
  <si>
    <t>3 YR CAGR</t>
  </si>
  <si>
    <t>1 YR GROWTH</t>
  </si>
  <si>
    <t>**modify (if, then) for negative values</t>
  </si>
  <si>
    <t xml:space="preserve">    </t>
  </si>
  <si>
    <t>Total Assets/Networth= Financial Leverage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</si>
  <si>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</si>
  <si>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</si>
  <si>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</si>
  <si>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</si>
  <si>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</si>
  <si>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</si>
  <si>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Check for improving or deteriorating picture</t>
  </si>
  <si>
    <t>Inventory Turns</t>
  </si>
  <si>
    <t>Inventory Days</t>
  </si>
  <si>
    <t>Creditor Days</t>
  </si>
  <si>
    <t>Check back to see if Creditor policy change is impacting Working Cap cycle</t>
  </si>
  <si>
    <t>Cash Conversion Cycle</t>
  </si>
  <si>
    <t>Cash In/Cash Out Ratio</t>
  </si>
  <si>
    <t xml:space="preserve">  </t>
  </si>
  <si>
    <t>Current Ratio</t>
  </si>
  <si>
    <t>CFO/PAT</t>
  </si>
  <si>
    <t>Gross Margin =Gross Profit/Sales</t>
  </si>
  <si>
    <t>EBIT/Sales</t>
  </si>
  <si>
    <t>EBITDA/Sales</t>
  </si>
  <si>
    <t>Op Profit (Ex Other Income)/Sales</t>
  </si>
  <si>
    <t>Net Margin =PAT/Sales</t>
  </si>
  <si>
    <t>Op Cash Flow/Sales</t>
  </si>
  <si>
    <t>Free Cash Flow/Sales</t>
  </si>
  <si>
    <t>EPA/Sales</t>
  </si>
  <si>
    <t>Sales/Invested Capital =Capital Turns</t>
  </si>
  <si>
    <t>Sales/Fixed Assets= Fixed Asset Turns</t>
  </si>
  <si>
    <t>Sales/Total Assets= Asset Turns</t>
  </si>
  <si>
    <t>Net Margin*Asset Turns= RoA</t>
  </si>
  <si>
    <t>Check back what is really driving RoA (Net Margins or Asset Turns, or both)</t>
  </si>
  <si>
    <t>Net Margin*Asset Turn*Fin Leverage= RoE</t>
  </si>
  <si>
    <t>Check back what is really driving RoE (Net Margins, Asset Turns, or Financial Leverage)</t>
  </si>
  <si>
    <t>RoCE</t>
  </si>
  <si>
    <t>EBIT Margin*Cap Turns*(1-Tax rate)= RoIC</t>
  </si>
  <si>
    <t>Check back what is really driving RoIC (Op Margins or Capital Turns, or both)</t>
  </si>
  <si>
    <t>Cash/Assets</t>
  </si>
  <si>
    <t>EBIT/Invested Capital</t>
  </si>
  <si>
    <t xml:space="preserve">Check back the significant role of EBIT/Invested Capital </t>
  </si>
  <si>
    <t>EPA</t>
  </si>
  <si>
    <t>Check back what is really driving EPA (Invested Capital or RoIC, or both)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</si>
  <si>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</si>
  <si>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</si>
  <si>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</si>
  <si>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</si>
  <si>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</si>
  <si>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</si>
  <si>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</si>
  <si>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YOY</t>
  </si>
  <si>
    <t>ShareHolders Funds</t>
  </si>
  <si>
    <t>Total Debt</t>
  </si>
  <si>
    <t xml:space="preserve">Free Cash Flow </t>
  </si>
  <si>
    <t>EPS Valuation</t>
  </si>
  <si>
    <t>Book value</t>
  </si>
  <si>
    <t>Graham Number</t>
  </si>
  <si>
    <t>Average Fair Price</t>
  </si>
  <si>
    <t>Net Profit Margin</t>
  </si>
  <si>
    <t>Operating Profit Margin</t>
  </si>
  <si>
    <t>3-Year Avg. FCF</t>
  </si>
  <si>
    <t>Years:</t>
  </si>
  <si>
    <t>1-5</t>
  </si>
  <si>
    <t>6-10</t>
  </si>
  <si>
    <t>Growth Rate:</t>
  </si>
  <si>
    <t>Terminal Growth Rate:</t>
  </si>
  <si>
    <t>Discount Rate:</t>
  </si>
  <si>
    <t>Shares Outstanding (Nos.):</t>
  </si>
  <si>
    <t>Year</t>
  </si>
  <si>
    <t>FCF</t>
  </si>
  <si>
    <t>Growth</t>
  </si>
  <si>
    <t>Present Value (PV)</t>
  </si>
  <si>
    <t>Terminal Year CF:</t>
  </si>
  <si>
    <t>Terminal Value:</t>
  </si>
  <si>
    <t>Intrinsic Value per Share (IV):</t>
  </si>
  <si>
    <t>Present Value of Year 1-10 Cash Flows:</t>
  </si>
  <si>
    <t>Total Present Value  of Cash Flows:</t>
  </si>
  <si>
    <t xml:space="preserve">Valuation with 25% Margin of safety </t>
  </si>
  <si>
    <t>Interinsic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</si>
</sst>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rgb="FFC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143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1" xfId="0" applyFont="1" applyBorder="1"/>
    <xf numFmtId="2" fontId="10" fillId="0" borderId="1" xfId="0" applyNumberFormat="1" applyFont="1" applyBorder="1"/>
    <xf numFmtId="9" fontId="11" fillId="0" borderId="1" xfId="6" applyFont="1" applyBorder="1"/>
    <xf numFmtId="9" fontId="10" fillId="0" borderId="1" xfId="0" applyNumberFormat="1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10" fontId="10" fillId="0" borderId="5" xfId="0" applyNumberFormat="1" applyFont="1" applyBorder="1"/>
    <xf numFmtId="0" fontId="8" fillId="0" borderId="0" xfId="0" applyFont="1"/>
    <xf numFmtId="165" fontId="2" fillId="5" borderId="0" xfId="0" applyNumberFormat="1" applyFont="1" applyFill="1" applyBorder="1" applyAlignment="1">
      <alignment horizontal="center" wrapText="1"/>
    </xf>
    <xf numFmtId="1" fontId="13" fillId="6" borderId="5" xfId="0" applyNumberFormat="1" applyFont="1" applyFill="1" applyBorder="1"/>
    <xf numFmtId="2" fontId="13" fillId="6" borderId="5" xfId="0" applyNumberFormat="1" applyFont="1" applyFill="1" applyBorder="1"/>
    <xf numFmtId="0" fontId="9" fillId="0" borderId="5" xfId="0" applyFont="1" applyBorder="1"/>
    <xf numFmtId="0" fontId="13" fillId="6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9" fontId="13" fillId="6" borderId="5" xfId="0" applyNumberFormat="1" applyFont="1" applyFill="1" applyBorder="1" applyAlignment="1">
      <alignment horizontal="center"/>
    </xf>
    <xf numFmtId="0" fontId="8" fillId="0" borderId="5" xfId="0" applyFont="1" applyBorder="1"/>
    <xf numFmtId="2" fontId="13" fillId="6" borderId="5" xfId="0" applyNumberFormat="1" applyFont="1" applyFill="1" applyBorder="1" applyAlignment="1">
      <alignment horizontal="center"/>
    </xf>
    <xf numFmtId="10" fontId="13" fillId="6" borderId="5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5" xfId="0" applyFont="1" applyFill="1" applyBorder="1" applyAlignment="1">
      <alignment horizontal="left"/>
    </xf>
    <xf numFmtId="0" fontId="9" fillId="6" borderId="0" xfId="0" applyFont="1" applyFill="1"/>
    <xf numFmtId="2" fontId="9" fillId="0" borderId="5" xfId="0" applyNumberFormat="1" applyFont="1" applyBorder="1"/>
    <xf numFmtId="0" fontId="13" fillId="0" borderId="5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0" fontId="14" fillId="7" borderId="9" xfId="0" applyNumberFormat="1" applyFont="1" applyFill="1" applyBorder="1"/>
    <xf numFmtId="10" fontId="8" fillId="0" borderId="0" xfId="0" applyNumberFormat="1" applyFont="1" applyBorder="1"/>
    <xf numFmtId="2" fontId="14" fillId="6" borderId="9" xfId="0" applyNumberFormat="1" applyFont="1" applyFill="1" applyBorder="1"/>
    <xf numFmtId="2" fontId="9" fillId="0" borderId="0" xfId="0" applyNumberFormat="1" applyFont="1"/>
    <xf numFmtId="10" fontId="14" fillId="6" borderId="9" xfId="0" applyNumberFormat="1" applyFont="1" applyFill="1" applyBorder="1"/>
    <xf numFmtId="1" fontId="14" fillId="6" borderId="9" xfId="0" applyNumberFormat="1" applyFont="1" applyFill="1" applyBorder="1"/>
    <xf numFmtId="10" fontId="13" fillId="7" borderId="9" xfId="0" applyNumberFormat="1" applyFont="1" applyFill="1" applyBorder="1" applyAlignment="1">
      <alignment horizontal="right"/>
    </xf>
    <xf numFmtId="10" fontId="9" fillId="0" borderId="0" xfId="0" applyNumberFormat="1" applyFont="1"/>
    <xf numFmtId="2" fontId="9" fillId="0" borderId="9" xfId="0" applyNumberFormat="1" applyFont="1" applyFill="1" applyBorder="1" applyAlignment="1">
      <alignment horizontal="right"/>
    </xf>
    <xf numFmtId="10" fontId="9" fillId="0" borderId="9" xfId="0" applyNumberFormat="1" applyFont="1" applyBorder="1"/>
    <xf numFmtId="10" fontId="9" fillId="0" borderId="9" xfId="6" applyNumberFormat="1" applyFont="1" applyBorder="1"/>
    <xf numFmtId="2" fontId="9" fillId="0" borderId="9" xfId="0" applyNumberFormat="1" applyFont="1" applyBorder="1"/>
    <xf numFmtId="1" fontId="9" fillId="0" borderId="9" xfId="0" applyNumberFormat="1" applyFont="1" applyFill="1" applyBorder="1" applyAlignment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/>
    <xf numFmtId="2" fontId="9" fillId="0" borderId="0" xfId="0" applyNumberFormat="1" applyFont="1" applyBorder="1"/>
    <xf numFmtId="165" fontId="10" fillId="0" borderId="0" xfId="0" applyNumberFormat="1" applyFont="1"/>
    <xf numFmtId="0" fontId="10" fillId="10" borderId="0" xfId="0" applyFont="1" applyFill="1"/>
    <xf numFmtId="10" fontId="10" fillId="0" borderId="0" xfId="0" applyNumberFormat="1" applyFont="1"/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10" borderId="11" xfId="0" applyFont="1" applyFill="1" applyBorder="1"/>
    <xf numFmtId="10" fontId="10" fillId="10" borderId="11" xfId="6" applyNumberFormat="1" applyFont="1" applyFill="1" applyBorder="1"/>
    <xf numFmtId="0" fontId="10" fillId="0" borderId="12" xfId="0" applyFont="1" applyBorder="1"/>
    <xf numFmtId="0" fontId="10" fillId="0" borderId="10" xfId="0" applyFont="1" applyBorder="1" applyAlignment="1">
      <alignment wrapText="1"/>
    </xf>
    <xf numFmtId="43" fontId="9" fillId="0" borderId="0" xfId="0" applyNumberFormat="1" applyFont="1"/>
    <xf numFmtId="0" fontId="17" fillId="0" borderId="0" xfId="0" applyFont="1"/>
    <xf numFmtId="49" fontId="18" fillId="0" borderId="0" xfId="0" applyNumberFormat="1" applyFont="1" applyAlignment="1">
      <alignment horizontal="center"/>
    </xf>
    <xf numFmtId="0" fontId="1" fillId="0" borderId="10" xfId="0" applyFont="1" applyBorder="1"/>
    <xf numFmtId="0" fontId="9" fillId="0" borderId="10" xfId="0" applyFont="1" applyBorder="1"/>
    <xf numFmtId="166" fontId="19" fillId="0" borderId="10" xfId="1" applyNumberFormat="1" applyFont="1" applyBorder="1" applyAlignment="1">
      <alignment horizontal="center"/>
    </xf>
    <xf numFmtId="10" fontId="1" fillId="0" borderId="10" xfId="0" applyNumberFormat="1" applyFont="1" applyBorder="1"/>
    <xf numFmtId="10" fontId="20" fillId="0" borderId="10" xfId="0" applyNumberFormat="1" applyFont="1" applyBorder="1" applyAlignment="1">
      <alignment horizontal="center"/>
    </xf>
    <xf numFmtId="10" fontId="17" fillId="0" borderId="10" xfId="0" applyNumberFormat="1" applyFont="1" applyBorder="1"/>
    <xf numFmtId="9" fontId="9" fillId="0" borderId="10" xfId="6" applyFont="1" applyFill="1" applyBorder="1" applyAlignment="1"/>
    <xf numFmtId="43" fontId="9" fillId="0" borderId="10" xfId="0" applyNumberFormat="1" applyFont="1" applyBorder="1"/>
    <xf numFmtId="0" fontId="8" fillId="0" borderId="0" xfId="0" applyFont="1" applyAlignment="1">
      <alignment wrapText="1"/>
    </xf>
    <xf numFmtId="0" fontId="12" fillId="0" borderId="5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8" borderId="9" xfId="0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1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12" borderId="10" xfId="0" applyFont="1" applyFill="1" applyBorder="1" applyAlignment="1">
      <alignment wrapText="1"/>
    </xf>
    <xf numFmtId="0" fontId="9" fillId="12" borderId="0" xfId="0" applyFont="1" applyFill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9" borderId="15" xfId="0" applyFont="1" applyFill="1" applyBorder="1" applyAlignment="1">
      <alignment horizontal="right"/>
    </xf>
    <xf numFmtId="0" fontId="9" fillId="9" borderId="16" xfId="0" applyFont="1" applyFill="1" applyBorder="1" applyAlignment="1">
      <alignment horizontal="right"/>
    </xf>
    <xf numFmtId="0" fontId="9" fillId="9" borderId="17" xfId="0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center" wrapText="1"/>
    </xf>
    <xf numFmtId="165" fontId="2" fillId="5" borderId="7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Valuation</a:t>
            </a:r>
            <a:r>
              <a:rPr lang="en-IN" baseline="0"/>
              <a:t> 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777668416447947E-2"/>
                  <c:y val="-0.17129611402741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962004-2CA1-42BF-BD08-C0C4330D1CB0}" type="VALUE">
                      <a:rPr lang="en-US" u="sng" baseline="0">
                        <a:solidFill>
                          <a:schemeClr val="accent5"/>
                        </a:solidFill>
                      </a:rPr>
                      <a:pPr>
                        <a:defRPr u="sng"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888888888888859E-2"/>
                      <c:h val="7.863444152814230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9-43C8-AF0F-AED057EA4C17}"/>
                </c:ext>
              </c:extLst>
            </c:dLbl>
            <c:dLbl>
              <c:idx val="1"/>
              <c:layout>
                <c:manualLayout>
                  <c:x val="-7.7944444444444469E-2"/>
                  <c:y val="-0.35648148148148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F9-43C8-AF0F-AED057EA4C17}"/>
                </c:ext>
              </c:extLst>
            </c:dLbl>
            <c:dLbl>
              <c:idx val="2"/>
              <c:layout>
                <c:manualLayout>
                  <c:x val="-0.16806255468066497"/>
                  <c:y val="-0.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F9-43C8-AF0F-AED057EA4C17}"/>
                </c:ext>
              </c:extLst>
            </c:dLbl>
            <c:dLbl>
              <c:idx val="3"/>
              <c:layout>
                <c:manualLayout>
                  <c:x val="-0.13672922134733165"/>
                  <c:y val="-0.33333333333333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F9-43C8-AF0F-AED057EA4C17}"/>
                </c:ext>
              </c:extLst>
            </c:dLbl>
            <c:dLbl>
              <c:idx val="4"/>
              <c:layout>
                <c:manualLayout>
                  <c:x val="-0.11450699912510937"/>
                  <c:y val="-0.266203885972586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34711286089238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F9-43C8-AF0F-AED057EA4C17}"/>
                </c:ext>
              </c:extLst>
            </c:dLbl>
            <c:dLbl>
              <c:idx val="5"/>
              <c:layout>
                <c:manualLayout>
                  <c:x val="-9.7506999125109461E-2"/>
                  <c:y val="-0.199074074074074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F9-43C8-AF0F-AED057EA4C17}"/>
                </c:ext>
              </c:extLst>
            </c:dLbl>
            <c:dLbl>
              <c:idx val="6"/>
              <c:layout>
                <c:manualLayout>
                  <c:x val="-0.11583442694663178"/>
                  <c:y val="-0.134259259259259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F9-43C8-AF0F-AED057EA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Customization!$A$70:$A$76</c:f>
              <c:strCache>
                <c:ptCount val="7"/>
                <c:pt idx="0">
                  <c:v>EPS Valuation</c:v>
                </c:pt>
                <c:pt idx="1">
                  <c:v>Book value</c:v>
                </c:pt>
                <c:pt idx="2">
                  <c:v>Graham Number</c:v>
                </c:pt>
                <c:pt idx="3">
                  <c:v>Average Fair Price</c:v>
                </c:pt>
                <c:pt idx="4">
                  <c:v>Valuation with 25% Margin of safety </c:v>
                </c:pt>
                <c:pt idx="5">
                  <c:v>Current Price</c:v>
                </c:pt>
                <c:pt idx="6">
                  <c:v>Interinsic Value</c:v>
                </c:pt>
              </c:strCache>
            </c:strRef>
          </c:cat>
          <c:val>
            <c:numRef>
              <c:f>Customization!$B$70:$B$76</c:f>
              <c:numCache>
                <c:formatCode>General</c:formatCode>
                <c:ptCount val="7"/>
                <c:pt idx="0" formatCode="_(* #,##0.00_);_(* \(#,##0.00\);_(* &quot;-&quot;??_);_(@_)">
                  <c:v>76.332017272919032</c:v>
                </c:pt>
                <c:pt idx="1">
                  <c:v>20.83</c:v>
                </c:pt>
                <c:pt idx="2">
                  <c:v>60.5879482087201</c:v>
                </c:pt>
                <c:pt idx="3">
                  <c:v>68.459982740819569</c:v>
                </c:pt>
                <c:pt idx="4">
                  <c:v>51.344987055614681</c:v>
                </c:pt>
                <c:pt idx="5">
                  <c:v>59.45</c:v>
                </c:pt>
                <c:pt idx="6">
                  <c:v>89.288948900789393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9-43C8-AF0F-AED057EA4C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2666911"/>
        <c:axId val="1912656927"/>
      </c:lineChart>
      <c:catAx>
        <c:axId val="191266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656927"/>
        <c:crosses val="autoZero"/>
        <c:auto val="1"/>
        <c:lblAlgn val="ctr"/>
        <c:lblOffset val="100"/>
        <c:noMultiLvlLbl val="0"/>
      </c:catAx>
      <c:valAx>
        <c:axId val="1912656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91266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46303740004528E-2"/>
          <c:y val="3.090023770435886E-2"/>
          <c:w val="0.93639875435151021"/>
          <c:h val="0.9381995245912823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Data'!$M$4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Data'!$N$4:$V$4</c:f>
              <c:numCache>
                <c:formatCode>0.00%</c:formatCode>
                <c:ptCount val="9"/>
                <c:pt idx="0">
                  <c:v>0.6145251396648056</c:v>
                </c:pt>
                <c:pt idx="1">
                  <c:v>0.60899653979238677</c:v>
                </c:pt>
                <c:pt idx="2">
                  <c:v>3.6559139784946612E-2</c:v>
                </c:pt>
                <c:pt idx="3">
                  <c:v>1.4066390041493777</c:v>
                </c:pt>
                <c:pt idx="4">
                  <c:v>-0.21120689655172406</c:v>
                </c:pt>
                <c:pt idx="5">
                  <c:v>0.19562841530054592</c:v>
                </c:pt>
                <c:pt idx="6">
                  <c:v>5.3930530164534141E-2</c:v>
                </c:pt>
                <c:pt idx="7">
                  <c:v>0.33477883781439716</c:v>
                </c:pt>
                <c:pt idx="8">
                  <c:v>4.8732943469785343E-2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1-478F-81E6-706CC668A097}"/>
            </c:ext>
          </c:extLst>
        </c:ser>
        <c:ser>
          <c:idx val="1"/>
          <c:order val="1"/>
          <c:tx>
            <c:strRef>
              <c:f>'Calculated Data'!$M$5</c:f>
              <c:strCache>
                <c:ptCount val="1"/>
                <c:pt idx="0">
                  <c:v>EBIT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Data'!$N$5:$V$5</c:f>
              <c:numCache>
                <c:formatCode>0.00%</c:formatCode>
                <c:ptCount val="9"/>
                <c:pt idx="0">
                  <c:v>6.3829787234042618E-2</c:v>
                </c:pt>
                <c:pt idx="1">
                  <c:v>1.6600000000000001</c:v>
                </c:pt>
                <c:pt idx="2">
                  <c:v>0.27067669172932318</c:v>
                </c:pt>
                <c:pt idx="3">
                  <c:v>0.5443786982248523</c:v>
                </c:pt>
                <c:pt idx="4">
                  <c:v>-0.19157088122605379</c:v>
                </c:pt>
                <c:pt idx="5">
                  <c:v>0.16587677725118488</c:v>
                </c:pt>
                <c:pt idx="6">
                  <c:v>3.2520325203252064E-2</c:v>
                </c:pt>
                <c:pt idx="7">
                  <c:v>0.61811023622047256</c:v>
                </c:pt>
                <c:pt idx="8">
                  <c:v>0.4452554744525547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1-478F-81E6-706CC668A097}"/>
            </c:ext>
          </c:extLst>
        </c:ser>
        <c:ser>
          <c:idx val="2"/>
          <c:order val="2"/>
          <c:tx>
            <c:strRef>
              <c:f>'Calculated Data'!$M$6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Data'!$N$6:$V$6</c:f>
              <c:numCache>
                <c:formatCode>0.00%</c:formatCode>
                <c:ptCount val="9"/>
                <c:pt idx="0">
                  <c:v>0.15068493150684945</c:v>
                </c:pt>
                <c:pt idx="1">
                  <c:v>1.107142857142857</c:v>
                </c:pt>
                <c:pt idx="2">
                  <c:v>0.22033898305084754</c:v>
                </c:pt>
                <c:pt idx="3">
                  <c:v>0.54166666666666663</c:v>
                </c:pt>
                <c:pt idx="4">
                  <c:v>-0.14414414414414428</c:v>
                </c:pt>
                <c:pt idx="5">
                  <c:v>0.11578947368421057</c:v>
                </c:pt>
                <c:pt idx="6">
                  <c:v>1.2578616352201409E-2</c:v>
                </c:pt>
                <c:pt idx="7">
                  <c:v>0.5434782608695653</c:v>
                </c:pt>
                <c:pt idx="8">
                  <c:v>0.38229376257545256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1-478F-81E6-706CC668A097}"/>
            </c:ext>
          </c:extLst>
        </c:ser>
        <c:ser>
          <c:idx val="3"/>
          <c:order val="3"/>
          <c:tx>
            <c:strRef>
              <c:f>'Calculated Data'!$M$7</c:f>
              <c:strCache>
                <c:ptCount val="1"/>
                <c:pt idx="0">
                  <c:v>Operating Profit (excl Other Income)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Data'!$N$7:$V$7</c:f>
              <c:numCache>
                <c:formatCode>0.00%</c:formatCode>
                <c:ptCount val="9"/>
                <c:pt idx="0">
                  <c:v>1.1714285714285719</c:v>
                </c:pt>
                <c:pt idx="1">
                  <c:v>1.2894736842105259</c:v>
                </c:pt>
                <c:pt idx="2">
                  <c:v>0.21264367816091972</c:v>
                </c:pt>
                <c:pt idx="3">
                  <c:v>0.54976303317535524</c:v>
                </c:pt>
                <c:pt idx="4">
                  <c:v>-0.14678899082568819</c:v>
                </c:pt>
                <c:pt idx="5">
                  <c:v>5.3763440860215027E-2</c:v>
                </c:pt>
                <c:pt idx="6">
                  <c:v>-4.7619047619047367E-2</c:v>
                </c:pt>
                <c:pt idx="7">
                  <c:v>0.58571428571428574</c:v>
                </c:pt>
                <c:pt idx="8">
                  <c:v>0.4324324324324324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1-478F-81E6-706CC668A097}"/>
            </c:ext>
          </c:extLst>
        </c:ser>
        <c:ser>
          <c:idx val="4"/>
          <c:order val="4"/>
          <c:tx>
            <c:strRef>
              <c:f>'Calculated Data'!$M$8</c:f>
              <c:strCache>
                <c:ptCount val="1"/>
                <c:pt idx="0">
                  <c:v>PAT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Data'!$N$8:$V$8</c:f>
              <c:numCache>
                <c:formatCode>0.00%</c:formatCode>
                <c:ptCount val="9"/>
                <c:pt idx="0">
                  <c:v>0</c:v>
                </c:pt>
                <c:pt idx="1">
                  <c:v>1.625</c:v>
                </c:pt>
                <c:pt idx="2">
                  <c:v>0.23809523809523819</c:v>
                </c:pt>
                <c:pt idx="3">
                  <c:v>1.9615384615384615</c:v>
                </c:pt>
                <c:pt idx="4">
                  <c:v>-0.24675324675324684</c:v>
                </c:pt>
                <c:pt idx="5">
                  <c:v>0.37931034482758635</c:v>
                </c:pt>
                <c:pt idx="6">
                  <c:v>9.999999999999995E-2</c:v>
                </c:pt>
                <c:pt idx="7">
                  <c:v>-6.8181818181818246E-2</c:v>
                </c:pt>
                <c:pt idx="8">
                  <c:v>3.3048780487804881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1-478F-81E6-706CC668A097}"/>
            </c:ext>
          </c:extLst>
        </c:ser>
        <c:ser>
          <c:idx val="5"/>
          <c:order val="5"/>
          <c:tx>
            <c:strRef>
              <c:f>'Calculated Data'!$M$9</c:f>
              <c:strCache>
                <c:ptCount val="1"/>
                <c:pt idx="0">
                  <c:v>Dividend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Data'!$N$9:$V$9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1-478F-81E6-706CC668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01023"/>
        <c:axId val="1688306847"/>
      </c:lineChart>
      <c:dateAx>
        <c:axId val="1688301023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6847"/>
        <c:crosses val="autoZero"/>
        <c:auto val="1"/>
        <c:lblOffset val="100"/>
        <c:baseTimeUnit val="years"/>
      </c:dateAx>
      <c:valAx>
        <c:axId val="168830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57059044090071E-2"/>
          <c:y val="6.6981937279664672E-2"/>
          <c:w val="0.85846269188011493"/>
          <c:h val="0.2775443747497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27997840532516"/>
          <c:y val="0.17983030303030303"/>
          <c:w val="0.83629697272523651"/>
          <c:h val="0.76077461226437615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Data'!$M$11</c:f>
              <c:strCache>
                <c:ptCount val="1"/>
                <c:pt idx="0">
                  <c:v>Networth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Data'!$N$11:$V$11</c:f>
              <c:numCache>
                <c:formatCode>0.00%</c:formatCode>
                <c:ptCount val="9"/>
                <c:pt idx="0">
                  <c:v>1.5968063872255502E-2</c:v>
                </c:pt>
                <c:pt idx="1">
                  <c:v>3.929273084479374E-2</c:v>
                </c:pt>
                <c:pt idx="2">
                  <c:v>4.9149338374291064E-2</c:v>
                </c:pt>
                <c:pt idx="3">
                  <c:v>0.13873873873873865</c:v>
                </c:pt>
                <c:pt idx="4">
                  <c:v>9.1772151898734181E-2</c:v>
                </c:pt>
                <c:pt idx="5">
                  <c:v>0.11594202898550722</c:v>
                </c:pt>
                <c:pt idx="6">
                  <c:v>0.11428571428571427</c:v>
                </c:pt>
                <c:pt idx="7">
                  <c:v>9.673659673659675E-2</c:v>
                </c:pt>
                <c:pt idx="8">
                  <c:v>0.3793836344314559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1-44FB-AC4D-49FE77B91D5D}"/>
            </c:ext>
          </c:extLst>
        </c:ser>
        <c:ser>
          <c:idx val="1"/>
          <c:order val="1"/>
          <c:tx>
            <c:strRef>
              <c:f>'Calculated Data'!$M$12</c:f>
              <c:strCache>
                <c:ptCount val="1"/>
                <c:pt idx="0">
                  <c:v>Working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Data'!$N$12:$V$12</c:f>
              <c:numCache>
                <c:formatCode>0.00%</c:formatCode>
                <c:ptCount val="9"/>
                <c:pt idx="0">
                  <c:v>0.18488529014844793</c:v>
                </c:pt>
                <c:pt idx="1">
                  <c:v>0.21184510250569491</c:v>
                </c:pt>
                <c:pt idx="2">
                  <c:v>-9.3984962406029723E-4</c:v>
                </c:pt>
                <c:pt idx="3">
                  <c:v>0.16086547507055513</c:v>
                </c:pt>
                <c:pt idx="4">
                  <c:v>-0.10210696920583481</c:v>
                </c:pt>
                <c:pt idx="5">
                  <c:v>0.21299638989169689</c:v>
                </c:pt>
                <c:pt idx="6">
                  <c:v>-0.35342261904761907</c:v>
                </c:pt>
                <c:pt idx="7">
                  <c:v>-0.87571921749136938</c:v>
                </c:pt>
                <c:pt idx="8">
                  <c:v>3.6481481481481475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1-44FB-AC4D-49FE77B91D5D}"/>
            </c:ext>
          </c:extLst>
        </c:ser>
        <c:ser>
          <c:idx val="2"/>
          <c:order val="2"/>
          <c:tx>
            <c:strRef>
              <c:f>'Calculated Data'!$M$13</c:f>
              <c:strCache>
                <c:ptCount val="1"/>
                <c:pt idx="0">
                  <c:v>Invested Capital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Data'!$N$13:$V$13</c:f>
              <c:numCache>
                <c:formatCode>0.00%</c:formatCode>
                <c:ptCount val="9"/>
                <c:pt idx="0">
                  <c:v>0.2221368178324365</c:v>
                </c:pt>
                <c:pt idx="1">
                  <c:v>0.14088050314465422</c:v>
                </c:pt>
                <c:pt idx="2">
                  <c:v>0.18191841234840117</c:v>
                </c:pt>
                <c:pt idx="3">
                  <c:v>7.3694029850746356E-2</c:v>
                </c:pt>
                <c:pt idx="4">
                  <c:v>-5.9513466550825414E-2</c:v>
                </c:pt>
                <c:pt idx="5">
                  <c:v>0.11131639722863759</c:v>
                </c:pt>
                <c:pt idx="6">
                  <c:v>-0.12094763092269341</c:v>
                </c:pt>
                <c:pt idx="7">
                  <c:v>-0.32340425531914885</c:v>
                </c:pt>
                <c:pt idx="8">
                  <c:v>0.33542976939203345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1-44FB-AC4D-49FE77B91D5D}"/>
            </c:ext>
          </c:extLst>
        </c:ser>
        <c:ser>
          <c:idx val="3"/>
          <c:order val="3"/>
          <c:tx>
            <c:strRef>
              <c:f>'Calculated Data'!$M$14</c:f>
              <c:strCache>
                <c:ptCount val="1"/>
                <c:pt idx="0">
                  <c:v>Capital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Data'!$N$14:$V$14</c:f>
              <c:numCache>
                <c:formatCode>0.00%</c:formatCode>
                <c:ptCount val="9"/>
                <c:pt idx="0">
                  <c:v>0.22128637059724324</c:v>
                </c:pt>
                <c:pt idx="1">
                  <c:v>0.14043887147335438</c:v>
                </c:pt>
                <c:pt idx="2">
                  <c:v>0.18141836173721829</c:v>
                </c:pt>
                <c:pt idx="3">
                  <c:v>7.3522568636575067E-2</c:v>
                </c:pt>
                <c:pt idx="4">
                  <c:v>-5.9384482011269939E-2</c:v>
                </c:pt>
                <c:pt idx="5">
                  <c:v>0.1110599078341012</c:v>
                </c:pt>
                <c:pt idx="6">
                  <c:v>-0.12069680630443801</c:v>
                </c:pt>
                <c:pt idx="7">
                  <c:v>-0.32264150943396225</c:v>
                </c:pt>
                <c:pt idx="8">
                  <c:v>0.33426183844011148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1-44FB-AC4D-49FE77B91D5D}"/>
            </c:ext>
          </c:extLst>
        </c:ser>
        <c:ser>
          <c:idx val="4"/>
          <c:order val="4"/>
          <c:tx>
            <c:strRef>
              <c:f>'Calculated Data'!$M$15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Data'!$N$15:$V$15</c:f>
              <c:numCache>
                <c:formatCode>0.00%</c:formatCode>
                <c:ptCount val="9"/>
                <c:pt idx="0">
                  <c:v>0.1709021601016518</c:v>
                </c:pt>
                <c:pt idx="1">
                  <c:v>0.20889853499728711</c:v>
                </c:pt>
                <c:pt idx="2">
                  <c:v>0.19883303411131056</c:v>
                </c:pt>
                <c:pt idx="3">
                  <c:v>0.1164357918382628</c:v>
                </c:pt>
                <c:pt idx="4">
                  <c:v>-9.9932930918846419E-2</c:v>
                </c:pt>
                <c:pt idx="5">
                  <c:v>7.2280178837555928E-2</c:v>
                </c:pt>
                <c:pt idx="6">
                  <c:v>-0.10736622654621264</c:v>
                </c:pt>
                <c:pt idx="7">
                  <c:v>4.3596730245231509E-2</c:v>
                </c:pt>
                <c:pt idx="8">
                  <c:v>0.13427825438269309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1-44FB-AC4D-49FE77B9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999503"/>
        <c:axId val="1628001583"/>
      </c:lineChart>
      <c:catAx>
        <c:axId val="1627999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001583"/>
        <c:crosses val="autoZero"/>
        <c:auto val="1"/>
        <c:lblAlgn val="ctr"/>
        <c:lblOffset val="100"/>
        <c:noMultiLvlLbl val="0"/>
      </c:catAx>
      <c:valAx>
        <c:axId val="162800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99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757806532389142E-2"/>
          <c:y val="4.8473395371033661E-3"/>
          <c:w val="0.76796774582608252"/>
          <c:h val="0.18942861265687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08114610673665"/>
          <c:y val="0.17171296296296296"/>
          <c:w val="0.82036329833770782"/>
          <c:h val="0.7264329979585885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Data'!$N$17:$V$17</c:f>
              <c:numCache>
                <c:formatCode>0.00%</c:formatCode>
                <c:ptCount val="9"/>
                <c:pt idx="0">
                  <c:v>-0.98529411764705876</c:v>
                </c:pt>
                <c:pt idx="1">
                  <c:v>45.999999999999993</c:v>
                </c:pt>
                <c:pt idx="2">
                  <c:v>-6.3191489361702127</c:v>
                </c:pt>
                <c:pt idx="3">
                  <c:v>-0.41600000000000004</c:v>
                </c:pt>
                <c:pt idx="4">
                  <c:v>2.0684931506849318</c:v>
                </c:pt>
                <c:pt idx="5">
                  <c:v>-1.1741071428571428</c:v>
                </c:pt>
                <c:pt idx="6">
                  <c:v>-11.102564102564102</c:v>
                </c:pt>
                <c:pt idx="7">
                  <c:v>-0.17639593908629439</c:v>
                </c:pt>
                <c:pt idx="8">
                  <c:v>-6.7796610169491581E-2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0-443E-80E0-9034E4DCF642}"/>
            </c:ext>
          </c:extLst>
        </c:ser>
        <c:ser>
          <c:idx val="1"/>
          <c:order val="1"/>
          <c:tx>
            <c:strRef>
              <c:f>'Calculated Data'!$M$18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Data'!$N$18:$V$18</c:f>
              <c:numCache>
                <c:formatCode>0.00%</c:formatCode>
                <c:ptCount val="9"/>
                <c:pt idx="0">
                  <c:v>0</c:v>
                </c:pt>
                <c:pt idx="1">
                  <c:v>-0.55913978494623695</c:v>
                </c:pt>
                <c:pt idx="2">
                  <c:v>3.6097560975609793</c:v>
                </c:pt>
                <c:pt idx="3">
                  <c:v>-0.84391534391534395</c:v>
                </c:pt>
                <c:pt idx="4">
                  <c:v>6.7796610169491581E-2</c:v>
                </c:pt>
                <c:pt idx="5">
                  <c:v>0.22222222222222343</c:v>
                </c:pt>
                <c:pt idx="6">
                  <c:v>2.2727272727272694</c:v>
                </c:pt>
                <c:pt idx="7">
                  <c:v>-0.3531746031746037</c:v>
                </c:pt>
                <c:pt idx="8">
                  <c:v>9.8159509202454406E-2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0-443E-80E0-9034E4DCF642}"/>
            </c:ext>
          </c:extLst>
        </c:ser>
        <c:ser>
          <c:idx val="2"/>
          <c:order val="2"/>
          <c:tx>
            <c:strRef>
              <c:f>'Calculated Data'!$M$19</c:f>
              <c:strCache>
                <c:ptCount val="1"/>
                <c:pt idx="0">
                  <c:v>Free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Data'!$N$19:$V$19</c:f>
              <c:numCache>
                <c:formatCode>0.00%</c:formatCode>
                <c:ptCount val="9"/>
                <c:pt idx="0">
                  <c:v>0</c:v>
                </c:pt>
                <c:pt idx="1">
                  <c:v>-0.31016042780748698</c:v>
                </c:pt>
                <c:pt idx="2">
                  <c:v>-7.7519379844954465E-3</c:v>
                </c:pt>
                <c:pt idx="3">
                  <c:v>-1.6796875</c:v>
                </c:pt>
                <c:pt idx="4">
                  <c:v>3.42528735632184</c:v>
                </c:pt>
                <c:pt idx="5">
                  <c:v>-1.4025974025974026</c:v>
                </c:pt>
                <c:pt idx="6">
                  <c:v>-4.4580645161290295</c:v>
                </c:pt>
                <c:pt idx="7">
                  <c:v>-9.3283582089551911E-2</c:v>
                </c:pt>
                <c:pt idx="8">
                  <c:v>-0.12345679012345705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0-443E-80E0-9034E4DCF642}"/>
            </c:ext>
          </c:extLst>
        </c:ser>
        <c:ser>
          <c:idx val="3"/>
          <c:order val="3"/>
          <c:tx>
            <c:strRef>
              <c:f>'Calculated Data'!$M$20</c:f>
              <c:strCache>
                <c:ptCount val="1"/>
                <c:pt idx="0">
                  <c:v>Tax Rate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Data'!$N$20:$V$20</c:f>
              <c:numCache>
                <c:formatCode>0.00%</c:formatCode>
                <c:ptCount val="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-0.65064176427562304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0-443E-80E0-9034E4DCF642}"/>
            </c:ext>
          </c:extLst>
        </c:ser>
        <c:ser>
          <c:idx val="4"/>
          <c:order val="4"/>
          <c:tx>
            <c:strRef>
              <c:f>'Calculated Data'!$M$21</c:f>
              <c:strCache>
                <c:ptCount val="1"/>
                <c:pt idx="0">
                  <c:v>NOPLAT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Data'!$N$21:$V$21</c:f>
              <c:numCache>
                <c:formatCode>0.00%</c:formatCode>
                <c:ptCount val="9"/>
                <c:pt idx="0">
                  <c:v>0.19680851063829796</c:v>
                </c:pt>
                <c:pt idx="1">
                  <c:v>1.6600000000000001</c:v>
                </c:pt>
                <c:pt idx="2">
                  <c:v>0.27067669172932318</c:v>
                </c:pt>
                <c:pt idx="3">
                  <c:v>0.5443786982248523</c:v>
                </c:pt>
                <c:pt idx="4">
                  <c:v>-0.19157088122605379</c:v>
                </c:pt>
                <c:pt idx="5">
                  <c:v>0.16587677725118488</c:v>
                </c:pt>
                <c:pt idx="6">
                  <c:v>3.2520325203252064E-2</c:v>
                </c:pt>
                <c:pt idx="7">
                  <c:v>-0.54715003627959469</c:v>
                </c:pt>
                <c:pt idx="8">
                  <c:v>2.8649200309691092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70-443E-80E0-9034E4DCF642}"/>
            </c:ext>
          </c:extLst>
        </c:ser>
        <c:ser>
          <c:idx val="5"/>
          <c:order val="5"/>
          <c:tx>
            <c:strRef>
              <c:f>'Calculated Data'!$M$22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Data'!$N$22:$V$22</c:f>
              <c:numCache>
                <c:formatCode>0.00%</c:formatCode>
                <c:ptCount val="9"/>
                <c:pt idx="0">
                  <c:v>-2.0724608590927326E-2</c:v>
                </c:pt>
                <c:pt idx="1">
                  <c:v>1.3315325248070562</c:v>
                </c:pt>
                <c:pt idx="2">
                  <c:v>7.5096790483672043E-2</c:v>
                </c:pt>
                <c:pt idx="3">
                  <c:v>0.43837877019725568</c:v>
                </c:pt>
                <c:pt idx="4">
                  <c:v>-0.14041393468008112</c:v>
                </c:pt>
                <c:pt idx="5">
                  <c:v>4.9095271300421808E-2</c:v>
                </c:pt>
                <c:pt idx="6">
                  <c:v>0.17458340540852238</c:v>
                </c:pt>
                <c:pt idx="7">
                  <c:v>-0.33069344984719962</c:v>
                </c:pt>
                <c:pt idx="8">
                  <c:v>1.8941394894384067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70-443E-80E0-9034E4DCF642}"/>
            </c:ext>
          </c:extLst>
        </c:ser>
        <c:ser>
          <c:idx val="6"/>
          <c:order val="6"/>
          <c:tx>
            <c:strRef>
              <c:f>'Calculated Data'!$M$23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Data'!$N$23:$V$23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70-443E-80E0-9034E4DCF642}"/>
            </c:ext>
          </c:extLst>
        </c:ser>
        <c:ser>
          <c:idx val="7"/>
          <c:order val="7"/>
          <c:tx>
            <c:strRef>
              <c:f>'Calculated Data'!$M$24</c:f>
              <c:strCache>
                <c:ptCount val="1"/>
                <c:pt idx="0">
                  <c:v>EPA (Economic Profit Added)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Data'!$N$24:$V$24</c:f>
              <c:numCache>
                <c:formatCode>0.00%</c:formatCode>
                <c:ptCount val="9"/>
                <c:pt idx="0">
                  <c:v>0.23139114548917483</c:v>
                </c:pt>
                <c:pt idx="1">
                  <c:v>-0.39857954545454544</c:v>
                </c:pt>
                <c:pt idx="2">
                  <c:v>4.2512990080301828E-2</c:v>
                </c:pt>
                <c:pt idx="3">
                  <c:v>-0.82736746714997766</c:v>
                </c:pt>
                <c:pt idx="4">
                  <c:v>2.2020997375328148</c:v>
                </c:pt>
                <c:pt idx="5">
                  <c:v>-0.12459016393442551</c:v>
                </c:pt>
                <c:pt idx="6">
                  <c:v>-1.0046816479400755</c:v>
                </c:pt>
                <c:pt idx="7">
                  <c:v>-284.48054607505145</c:v>
                </c:pt>
                <c:pt idx="8">
                  <c:v>-4.7963476244658061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70-443E-80E0-9034E4DC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481423"/>
        <c:axId val="1632479759"/>
      </c:lineChart>
      <c:catAx>
        <c:axId val="1632481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79759"/>
        <c:crosses val="autoZero"/>
        <c:auto val="1"/>
        <c:lblAlgn val="ctr"/>
        <c:lblOffset val="100"/>
        <c:noMultiLvlLbl val="0"/>
      </c:catAx>
      <c:valAx>
        <c:axId val="163247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7624671916012"/>
          <c:y val="8.7960775736366251E-2"/>
          <c:w val="0.75588943067018155"/>
          <c:h val="0.30450044955453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'Calculated Data'!$M$26</c:f>
              <c:strCache>
                <c:ptCount val="1"/>
                <c:pt idx="0">
                  <c:v>MktCap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'Calculated Data'!$N$26:$V$26</c:f>
              <c:numCache>
                <c:formatCode>0.00%</c:formatCode>
                <c:ptCount val="9"/>
                <c:pt idx="0">
                  <c:v>0.56434856523097288</c:v>
                </c:pt>
                <c:pt idx="1">
                  <c:v>0.77777069049516878</c:v>
                </c:pt>
                <c:pt idx="2">
                  <c:v>-0.2491763777866198</c:v>
                </c:pt>
                <c:pt idx="3">
                  <c:v>0.44526486497088674</c:v>
                </c:pt>
                <c:pt idx="4">
                  <c:v>-0.24379495853682465</c:v>
                </c:pt>
                <c:pt idx="5">
                  <c:v>0.25778971382367388</c:v>
                </c:pt>
                <c:pt idx="6">
                  <c:v>2.0273241331504921</c:v>
                </c:pt>
                <c:pt idx="7">
                  <c:v>0.79370826092021751</c:v>
                </c:pt>
                <c:pt idx="8">
                  <c:v>1.1860339824339101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D60-96AB-CFDE31C14D54}"/>
            </c:ext>
          </c:extLst>
        </c:ser>
        <c:ser>
          <c:idx val="1"/>
          <c:order val="1"/>
          <c:tx>
            <c:strRef>
              <c:f>'Calculated Data'!$M$27</c:f>
              <c:strCache>
                <c:ptCount val="1"/>
                <c:pt idx="0">
                  <c:v>MktCap+Dividend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'Calculated Data'!$N$27:$V$27</c:f>
              <c:numCache>
                <c:formatCode>0.00%</c:formatCode>
                <c:ptCount val="9"/>
                <c:pt idx="0">
                  <c:v>0.56434856523097288</c:v>
                </c:pt>
                <c:pt idx="1">
                  <c:v>0.77777069049516878</c:v>
                </c:pt>
                <c:pt idx="2">
                  <c:v>-0.2491763777866198</c:v>
                </c:pt>
                <c:pt idx="3">
                  <c:v>0.44526486497088674</c:v>
                </c:pt>
                <c:pt idx="4">
                  <c:v>-0.24379495853682465</c:v>
                </c:pt>
                <c:pt idx="5">
                  <c:v>0.25778971382367388</c:v>
                </c:pt>
                <c:pt idx="6">
                  <c:v>2.0273241331504921</c:v>
                </c:pt>
                <c:pt idx="7">
                  <c:v>0.79370826092021751</c:v>
                </c:pt>
                <c:pt idx="8">
                  <c:v>1.1860339824339101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3-4D60-96AB-CFDE31C14D54}"/>
            </c:ext>
          </c:extLst>
        </c:ser>
        <c:ser>
          <c:idx val="2"/>
          <c:order val="2"/>
          <c:tx>
            <c:strRef>
              <c:f>'Calculated Data'!$M$28</c:f>
              <c:strCache>
                <c:ptCount val="1"/>
                <c:pt idx="0">
                  <c:v>Retained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'Calculated Data'!$N$28:$V$28</c:f>
              <c:numCache>
                <c:formatCode>0.00%</c:formatCode>
                <c:ptCount val="9"/>
                <c:pt idx="0">
                  <c:v>0</c:v>
                </c:pt>
                <c:pt idx="1">
                  <c:v>1.625</c:v>
                </c:pt>
                <c:pt idx="2">
                  <c:v>0.23809523809523819</c:v>
                </c:pt>
                <c:pt idx="3">
                  <c:v>1.9615384615384615</c:v>
                </c:pt>
                <c:pt idx="4">
                  <c:v>-0.24675324675324684</c:v>
                </c:pt>
                <c:pt idx="5">
                  <c:v>0.37931034482758635</c:v>
                </c:pt>
                <c:pt idx="6">
                  <c:v>9.999999999999995E-2</c:v>
                </c:pt>
                <c:pt idx="7">
                  <c:v>-6.8181818181818246E-2</c:v>
                </c:pt>
                <c:pt idx="8">
                  <c:v>3.3048780487804881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3-4D60-96AB-CFDE31C14D54}"/>
            </c:ext>
          </c:extLst>
        </c:ser>
        <c:ser>
          <c:idx val="3"/>
          <c:order val="3"/>
          <c:tx>
            <c:strRef>
              <c:f>'Calculated Data'!$M$29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'Calculated Data'!$N$29:$V$29</c:f>
              <c:numCache>
                <c:formatCode>0.00%</c:formatCode>
                <c:ptCount val="9"/>
                <c:pt idx="0">
                  <c:v>0.33090543633820158</c:v>
                </c:pt>
                <c:pt idx="1">
                  <c:v>0.32867234071560564</c:v>
                </c:pt>
                <c:pt idx="2">
                  <c:v>0.12496080943684157</c:v>
                </c:pt>
                <c:pt idx="3">
                  <c:v>0.11665234240632946</c:v>
                </c:pt>
                <c:pt idx="4">
                  <c:v>-0.19292585930568656</c:v>
                </c:pt>
                <c:pt idx="5">
                  <c:v>0.20783500241758521</c:v>
                </c:pt>
                <c:pt idx="6">
                  <c:v>0.2821228535961241</c:v>
                </c:pt>
                <c:pt idx="7">
                  <c:v>0.12746866742370561</c:v>
                </c:pt>
                <c:pt idx="8">
                  <c:v>1.0300970958373645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E3-4D60-96AB-CFDE31C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792271"/>
        <c:axId val="1633792687"/>
      </c:barChart>
      <c:catAx>
        <c:axId val="1633792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687"/>
        <c:crosses val="autoZero"/>
        <c:auto val="1"/>
        <c:lblAlgn val="ctr"/>
        <c:lblOffset val="100"/>
        <c:noMultiLvlLbl val="0"/>
      </c:catAx>
      <c:valAx>
        <c:axId val="163379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Data'!$M$31</c:f>
              <c:strCache>
                <c:ptCount val="1"/>
                <c:pt idx="0">
                  <c:v>Price/Earnings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Data'!$N$31:$V$31</c:f>
              <c:numCache>
                <c:formatCode>0.00%</c:formatCode>
                <c:ptCount val="9"/>
                <c:pt idx="0">
                  <c:v>0.56434856523097288</c:v>
                </c:pt>
                <c:pt idx="1">
                  <c:v>-0.32275402266850711</c:v>
                </c:pt>
                <c:pt idx="2">
                  <c:v>-0.3935655359045776</c:v>
                </c:pt>
                <c:pt idx="3">
                  <c:v>-0.51198848715268752</c:v>
                </c:pt>
                <c:pt idx="4">
                  <c:v>3.927382632146724E-3</c:v>
                </c:pt>
                <c:pt idx="5">
                  <c:v>-8.8102457477836502E-2</c:v>
                </c:pt>
                <c:pt idx="6">
                  <c:v>1.7521128483186288</c:v>
                </c:pt>
                <c:pt idx="7">
                  <c:v>0.92495520684120924</c:v>
                </c:pt>
                <c:pt idx="8">
                  <c:v>-0.49219607206917665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F-4BC1-89C8-25F554B58933}"/>
            </c:ext>
          </c:extLst>
        </c:ser>
        <c:ser>
          <c:idx val="1"/>
          <c:order val="1"/>
          <c:tx>
            <c:strRef>
              <c:f>'Calculated Data'!$M$32</c:f>
              <c:strCache>
                <c:ptCount val="1"/>
                <c:pt idx="0">
                  <c:v>Price/Book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Data'!$N$32:$V$32</c:f>
              <c:numCache>
                <c:formatCode>0.00%</c:formatCode>
                <c:ptCount val="9"/>
                <c:pt idx="0">
                  <c:v>0.53976155438254891</c:v>
                </c:pt>
                <c:pt idx="1">
                  <c:v>0.71055818801898096</c:v>
                </c:pt>
                <c:pt idx="2">
                  <c:v>-0.28435009702544478</c:v>
                </c:pt>
                <c:pt idx="3">
                  <c:v>0.26918037983994014</c:v>
                </c:pt>
                <c:pt idx="4">
                  <c:v>-0.30736001999314955</c:v>
                </c:pt>
                <c:pt idx="5">
                  <c:v>0.12711026303679873</c:v>
                </c:pt>
                <c:pt idx="6">
                  <c:v>1.7168293502632621</c:v>
                </c:pt>
                <c:pt idx="7">
                  <c:v>0.63549594885180305</c:v>
                </c:pt>
                <c:pt idx="8">
                  <c:v>0.58479042948405946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F-4BC1-89C8-25F554B58933}"/>
            </c:ext>
          </c:extLst>
        </c:ser>
        <c:ser>
          <c:idx val="2"/>
          <c:order val="2"/>
          <c:tx>
            <c:strRef>
              <c:f>'Calculated Data'!$M$33</c:f>
              <c:strCache>
                <c:ptCount val="1"/>
                <c:pt idx="0">
                  <c:v>Price/CashFlow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Data'!$N$33:$V$33</c:f>
              <c:numCache>
                <c:formatCode>0.00%</c:formatCode>
                <c:ptCount val="9"/>
                <c:pt idx="0">
                  <c:v>105.37570243570616</c:v>
                </c:pt>
                <c:pt idx="1">
                  <c:v>-0.96217509169159221</c:v>
                </c:pt>
                <c:pt idx="2">
                  <c:v>-1.1411548409761154</c:v>
                </c:pt>
                <c:pt idx="3">
                  <c:v>1.4747686044022035</c:v>
                </c:pt>
                <c:pt idx="4">
                  <c:v>-0.75355817845173312</c:v>
                </c:pt>
                <c:pt idx="5">
                  <c:v>-8.2242280999103325</c:v>
                </c:pt>
                <c:pt idx="6">
                  <c:v>-1.2996589877991602</c:v>
                </c:pt>
                <c:pt idx="7">
                  <c:v>1.1778769023191544</c:v>
                </c:pt>
                <c:pt idx="8">
                  <c:v>1.3450182720654673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F-4BC1-89C8-25F554B58933}"/>
            </c:ext>
          </c:extLst>
        </c:ser>
        <c:ser>
          <c:idx val="3"/>
          <c:order val="3"/>
          <c:tx>
            <c:strRef>
              <c:f>'Calculated Data'!$M$34</c:f>
              <c:strCache>
                <c:ptCount val="1"/>
                <c:pt idx="0">
                  <c:v>Price/Sales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Data'!$N$34:$V$34</c:f>
              <c:numCache>
                <c:formatCode>0.00%</c:formatCode>
                <c:ptCount val="9"/>
                <c:pt idx="0">
                  <c:v>0.2665007423807047</c:v>
                </c:pt>
                <c:pt idx="1">
                  <c:v>3.0987515179147468E-2</c:v>
                </c:pt>
                <c:pt idx="2">
                  <c:v>-0.38523364580563246</c:v>
                </c:pt>
                <c:pt idx="3">
                  <c:v>-0.16965812635818972</c:v>
                </c:pt>
                <c:pt idx="4">
                  <c:v>-7.564930764985143E-3</c:v>
                </c:pt>
                <c:pt idx="5">
                  <c:v>0.29978024332039088</c:v>
                </c:pt>
                <c:pt idx="6">
                  <c:v>2.5414594391746168</c:v>
                </c:pt>
                <c:pt idx="7">
                  <c:v>0.41140111537308349</c:v>
                </c:pt>
                <c:pt idx="8">
                  <c:v>0.90045650384634313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F-4BC1-89C8-25F554B58933}"/>
            </c:ext>
          </c:extLst>
        </c:ser>
        <c:ser>
          <c:idx val="4"/>
          <c:order val="4"/>
          <c:tx>
            <c:strRef>
              <c:f>'Calculated Data'!$M$35</c:f>
              <c:strCache>
                <c:ptCount val="1"/>
                <c:pt idx="0">
                  <c:v>EV/EBITDA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Data'!$N$35:$V$35</c:f>
              <c:numCache>
                <c:formatCode>0.00%</c:formatCode>
                <c:ptCount val="9"/>
                <c:pt idx="0">
                  <c:v>0.15662020062724649</c:v>
                </c:pt>
                <c:pt idx="1">
                  <c:v>-0.36944363491462778</c:v>
                </c:pt>
                <c:pt idx="2">
                  <c:v>-7.8157114489254886E-2</c:v>
                </c:pt>
                <c:pt idx="3">
                  <c:v>-0.27568496708778634</c:v>
                </c:pt>
                <c:pt idx="4">
                  <c:v>-5.6997582978223042E-2</c:v>
                </c:pt>
                <c:pt idx="5">
                  <c:v>8.2493634242175304E-2</c:v>
                </c:pt>
                <c:pt idx="6">
                  <c:v>0.2661958616259858</c:v>
                </c:pt>
                <c:pt idx="7">
                  <c:v>-0.26952734223252883</c:v>
                </c:pt>
                <c:pt idx="8">
                  <c:v>0.46864375055483287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F-4BC1-89C8-25F554B58933}"/>
            </c:ext>
          </c:extLst>
        </c:ser>
        <c:ser>
          <c:idx val="5"/>
          <c:order val="5"/>
          <c:tx>
            <c:strRef>
              <c:f>'Calculated Data'!$M$36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Data'!$N$36:$V$36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F-4BC1-89C8-25F554B5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277631"/>
        <c:axId val="1632274303"/>
      </c:lineChart>
      <c:catAx>
        <c:axId val="1632277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4303"/>
        <c:crosses val="autoZero"/>
        <c:auto val="1"/>
        <c:lblAlgn val="ctr"/>
        <c:lblOffset val="100"/>
        <c:noMultiLvlLbl val="0"/>
      </c:catAx>
      <c:valAx>
        <c:axId val="163227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41414</xdr:colOff>
      <xdr:row>81</xdr:row>
      <xdr:rowOff>110987</xdr:rowOff>
    </xdr:from>
    <xdr:to>
      <xdr:col>11</xdr:col>
      <xdr:colOff>389283</xdr:colOff>
      <xdr:row>95</xdr:row>
      <xdr:rowOff>162339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123824</xdr:colOff>
      <xdr:row>0</xdr:row>
      <xdr:rowOff>85725</xdr:rowOff>
    </xdr:from>
    <xdr:to>
      <xdr:col>30</xdr:col>
      <xdr:colOff>57150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219075</xdr:colOff>
      <xdr:row>12</xdr:row>
      <xdr:rowOff>28574</xdr:rowOff>
    </xdr:from>
    <xdr:to>
      <xdr:col>29</xdr:col>
      <xdr:colOff>438150</xdr:colOff>
      <xdr:row>23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342900</xdr:colOff>
      <xdr:row>24</xdr:row>
      <xdr:rowOff>76200</xdr:rowOff>
    </xdr:from>
    <xdr:to>
      <xdr:col>29</xdr:col>
      <xdr:colOff>561975</xdr:colOff>
      <xdr:row>40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304800</xdr:colOff>
      <xdr:row>43</xdr:row>
      <xdr:rowOff>38099</xdr:rowOff>
    </xdr:from>
    <xdr:to>
      <xdr:col>29</xdr:col>
      <xdr:colOff>171450</xdr:colOff>
      <xdr:row>56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43</xdr:row>
      <xdr:rowOff>114300</xdr:rowOff>
    </xdr:from>
    <xdr:to>
      <xdr:col>21</xdr:col>
      <xdr:colOff>400050</xdr:colOff>
      <xdr:row>58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screener.in/excel/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="120" zoomScaleNormal="120" zoomScaleSheetLayoutView="100" zoomScalePageLayoutView="120" workbookViewId="0">
      <pane xSplit="1" ySplit="4" topLeftCell="C5" activePane="bottomRight" state="frozen"/>
      <selection activeCell="I2" sqref="I2"/>
      <selection pane="topRight" activeCell="I2" sqref="I2"/>
      <selection pane="bottomLeft" activeCell="I2" sqref="I2"/>
      <selection pane="bottomRight" activeCell="C6" sqref="C6"/>
    </sheetView>
  </sheetViews>
  <sheetFormatPr defaultColWidth="8.85546875" defaultRowHeight="15" x14ac:dyDescent="0.25"/>
  <cols>
    <col min="1" max="1" width="20.7109375" style="6" customWidth="1"/>
    <col min="2" max="6" width="13.42578125" style="6" customWidth="1"/>
    <col min="7" max="7" width="14.85546875" style="6" bestFit="1" customWidth="1"/>
    <col min="8" max="11" width="13.42578125" style="6" customWidth="1"/>
    <col min="12" max="12" width="13.28515625" style="6" customWidth="1"/>
    <col min="13" max="14" width="12.140625" style="6" customWidth="1"/>
    <col min="15" max="16384" width="8.85546875" style="6"/>
  </cols>
  <sheetData>
    <row r="1" spans="1:14" s="8" customFormat="1" x14ac:dyDescent="0.25">
      <c r="A1" s="8" t="str">
        <f>'Data Sheet'!B1</f>
        <v>AURO LABORATORIES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9.7799999999999994</v>
      </c>
      <c r="C4" s="1">
        <f>'Data Sheet'!C17</f>
        <v>12.08</v>
      </c>
      <c r="D4" s="1">
        <f>'Data Sheet'!D17</f>
        <v>20.83</v>
      </c>
      <c r="E4" s="1">
        <f>'Data Sheet'!E17</f>
        <v>25.44</v>
      </c>
      <c r="F4" s="1">
        <f>'Data Sheet'!F17</f>
        <v>44.28</v>
      </c>
      <c r="G4" s="1">
        <f>'Data Sheet'!G17</f>
        <v>33.74</v>
      </c>
      <c r="H4" s="1">
        <f>'Data Sheet'!H17</f>
        <v>32.65</v>
      </c>
      <c r="I4" s="1">
        <f>'Data Sheet'!I17</f>
        <v>27.91</v>
      </c>
      <c r="J4" s="1">
        <f>'Data Sheet'!J17</f>
        <v>35.47</v>
      </c>
      <c r="K4" s="1">
        <f>'Data Sheet'!K17</f>
        <v>40.799999999999997</v>
      </c>
      <c r="L4" s="1">
        <f>SUM(Quarters!H4:K4)</f>
        <v>46.58</v>
      </c>
      <c r="M4" s="1">
        <f>$K4+M23*K4</f>
        <v>46.930927544403716</v>
      </c>
      <c r="N4" s="1">
        <f>$K4+N23*L4</f>
        <v>40.043683257905982</v>
      </c>
    </row>
    <row r="5" spans="1:14" x14ac:dyDescent="0.25">
      <c r="A5" s="6" t="s">
        <v>7</v>
      </c>
      <c r="B5" s="9">
        <f>SUM('Data Sheet'!B18,'Data Sheet'!B20:B24, -1*'Data Sheet'!B19)</f>
        <v>9.4300000000000015</v>
      </c>
      <c r="C5" s="9">
        <f>SUM('Data Sheet'!C18,'Data Sheet'!C20:C24, -1*'Data Sheet'!C19)</f>
        <v>11.32</v>
      </c>
      <c r="D5" s="9">
        <f>SUM('Data Sheet'!D18,'Data Sheet'!D20:D24, -1*'Data Sheet'!D19)</f>
        <v>19.090000000000003</v>
      </c>
      <c r="E5" s="9">
        <f>SUM('Data Sheet'!E18,'Data Sheet'!E20:E24, -1*'Data Sheet'!E19)</f>
        <v>23.33</v>
      </c>
      <c r="F5" s="9">
        <f>SUM('Data Sheet'!F18,'Data Sheet'!F20:F24, -1*'Data Sheet'!F19)</f>
        <v>41.009999999999991</v>
      </c>
      <c r="G5" s="9">
        <f>SUM('Data Sheet'!G18,'Data Sheet'!G20:G24, -1*'Data Sheet'!G19)</f>
        <v>30.97</v>
      </c>
      <c r="H5" s="9">
        <f>SUM('Data Sheet'!H18,'Data Sheet'!H20:H24, -1*'Data Sheet'!H19)</f>
        <v>29.709999999999997</v>
      </c>
      <c r="I5" s="9">
        <f>SUM('Data Sheet'!I18,'Data Sheet'!I20:I24, -1*'Data Sheet'!I19)</f>
        <v>25.110000000000003</v>
      </c>
      <c r="J5" s="9">
        <f>SUM('Data Sheet'!J18,'Data Sheet'!J20:J24, -1*'Data Sheet'!J19)</f>
        <v>31.039999999999996</v>
      </c>
      <c r="K5" s="9">
        <f>SUM('Data Sheet'!K18,'Data Sheet'!K20:K24, -1*'Data Sheet'!K19)</f>
        <v>34.440000000000005</v>
      </c>
      <c r="L5" s="9">
        <f>SUM(Quarters!H5:K5)</f>
        <v>39.72</v>
      </c>
      <c r="M5" s="9">
        <f t="shared" ref="M5:N5" si="0">M4-M6</f>
        <v>40.019245213905442</v>
      </c>
      <c r="N5" s="9">
        <f t="shared" si="0"/>
        <v>36.147992396042419</v>
      </c>
    </row>
    <row r="6" spans="1:14" s="8" customFormat="1" x14ac:dyDescent="0.25">
      <c r="A6" s="8" t="s">
        <v>8</v>
      </c>
      <c r="B6" s="1">
        <f>B4-B5</f>
        <v>0.34999999999999787</v>
      </c>
      <c r="C6" s="1">
        <f t="shared" ref="C6:K6" si="1">C4-C5</f>
        <v>0.75999999999999979</v>
      </c>
      <c r="D6" s="1">
        <f t="shared" si="1"/>
        <v>1.7399999999999949</v>
      </c>
      <c r="E6" s="1">
        <f t="shared" si="1"/>
        <v>2.110000000000003</v>
      </c>
      <c r="F6" s="1">
        <f t="shared" si="1"/>
        <v>3.2700000000000102</v>
      </c>
      <c r="G6" s="1">
        <f t="shared" si="1"/>
        <v>2.7700000000000031</v>
      </c>
      <c r="H6" s="1">
        <f t="shared" si="1"/>
        <v>2.9400000000000013</v>
      </c>
      <c r="I6" s="1">
        <f t="shared" si="1"/>
        <v>2.7999999999999972</v>
      </c>
      <c r="J6" s="1">
        <f t="shared" si="1"/>
        <v>4.4300000000000033</v>
      </c>
      <c r="K6" s="1">
        <f t="shared" si="1"/>
        <v>6.3599999999999923</v>
      </c>
      <c r="L6" s="1">
        <f>SUM(Quarters!H6:K6)</f>
        <v>6.86</v>
      </c>
      <c r="M6" s="1">
        <f>M4*M24</f>
        <v>6.9116823304982722</v>
      </c>
      <c r="N6" s="1">
        <f>N4*N24</f>
        <v>3.8956908618635659</v>
      </c>
    </row>
    <row r="7" spans="1:14" x14ac:dyDescent="0.25">
      <c r="A7" s="6" t="s">
        <v>9</v>
      </c>
      <c r="B7" s="9">
        <f>'Data Sheet'!B25</f>
        <v>0.38</v>
      </c>
      <c r="C7" s="9">
        <f>'Data Sheet'!C25</f>
        <v>0.08</v>
      </c>
      <c r="D7" s="9">
        <f>'Data Sheet'!D25</f>
        <v>0.03</v>
      </c>
      <c r="E7" s="9">
        <f>'Data Sheet'!E25</f>
        <v>0.05</v>
      </c>
      <c r="F7" s="9">
        <f>'Data Sheet'!F25</f>
        <v>0.06</v>
      </c>
      <c r="G7" s="9">
        <f>'Data Sheet'!G25</f>
        <v>0.06</v>
      </c>
      <c r="H7" s="9">
        <f>'Data Sheet'!H25</f>
        <v>0.24</v>
      </c>
      <c r="I7" s="9">
        <f>'Data Sheet'!I25</f>
        <v>0.42</v>
      </c>
      <c r="J7" s="9">
        <f>'Data Sheet'!J25</f>
        <v>0.53</v>
      </c>
      <c r="K7" s="9">
        <f>'Data Sheet'!K25</f>
        <v>0.51</v>
      </c>
      <c r="L7" s="9">
        <f>SUM(Quarters!H7:K7)</f>
        <v>0.59000000000000008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0.26</v>
      </c>
      <c r="C8" s="9">
        <f>'Data Sheet'!C26</f>
        <v>0.34</v>
      </c>
      <c r="D8" s="9">
        <f>'Data Sheet'!D26</f>
        <v>0.44</v>
      </c>
      <c r="E8" s="9">
        <f>'Data Sheet'!E26</f>
        <v>0.47</v>
      </c>
      <c r="F8" s="9">
        <f>'Data Sheet'!F26</f>
        <v>0.72</v>
      </c>
      <c r="G8" s="9">
        <f>'Data Sheet'!G26</f>
        <v>0.74</v>
      </c>
      <c r="H8" s="9">
        <f>'Data Sheet'!H26</f>
        <v>0.72</v>
      </c>
      <c r="I8" s="9">
        <f>'Data Sheet'!I26</f>
        <v>0.68</v>
      </c>
      <c r="J8" s="9">
        <f>'Data Sheet'!J26</f>
        <v>0.86</v>
      </c>
      <c r="K8" s="9">
        <f>'Data Sheet'!K26</f>
        <v>0.93</v>
      </c>
      <c r="L8" s="9">
        <f>SUM(Quarters!H8:K8)</f>
        <v>0.99</v>
      </c>
      <c r="M8" s="9">
        <f>+$L8</f>
        <v>0.99</v>
      </c>
      <c r="N8" s="9">
        <f>+$L8</f>
        <v>0.99</v>
      </c>
    </row>
    <row r="9" spans="1:14" x14ac:dyDescent="0.25">
      <c r="A9" s="6" t="s">
        <v>11</v>
      </c>
      <c r="B9" s="9">
        <f>'Data Sheet'!B27</f>
        <v>0.38</v>
      </c>
      <c r="C9" s="9">
        <f>'Data Sheet'!C27</f>
        <v>0.42</v>
      </c>
      <c r="D9" s="9">
        <f>'Data Sheet'!D27</f>
        <v>1.1200000000000001</v>
      </c>
      <c r="E9" s="9">
        <f>'Data Sheet'!E27</f>
        <v>1.43</v>
      </c>
      <c r="F9" s="9">
        <f>'Data Sheet'!F27</f>
        <v>1.85</v>
      </c>
      <c r="G9" s="9">
        <f>'Data Sheet'!G27</f>
        <v>1.53</v>
      </c>
      <c r="H9" s="9">
        <f>'Data Sheet'!H27</f>
        <v>1.66</v>
      </c>
      <c r="I9" s="9">
        <f>'Data Sheet'!I27</f>
        <v>1.66</v>
      </c>
      <c r="J9" s="9">
        <f>'Data Sheet'!J27</f>
        <v>1.18</v>
      </c>
      <c r="K9" s="9">
        <f>'Data Sheet'!K27</f>
        <v>1.21</v>
      </c>
      <c r="L9" s="9">
        <f>SUM(Quarters!H9:K9)</f>
        <v>0.65</v>
      </c>
      <c r="M9" s="9">
        <f>+$L9</f>
        <v>0.65</v>
      </c>
      <c r="N9" s="9">
        <f>+$L9</f>
        <v>0.65</v>
      </c>
    </row>
    <row r="10" spans="1:14" x14ac:dyDescent="0.25">
      <c r="A10" s="6" t="s">
        <v>12</v>
      </c>
      <c r="B10" s="9">
        <f>'Data Sheet'!B28</f>
        <v>0.09</v>
      </c>
      <c r="C10" s="9">
        <f>'Data Sheet'!C28</f>
        <v>0.08</v>
      </c>
      <c r="D10" s="9">
        <f>'Data Sheet'!D28</f>
        <v>0.21</v>
      </c>
      <c r="E10" s="9">
        <f>'Data Sheet'!E28</f>
        <v>0.26</v>
      </c>
      <c r="F10" s="9">
        <f>'Data Sheet'!F28</f>
        <v>0.76</v>
      </c>
      <c r="G10" s="9">
        <f>'Data Sheet'!G28</f>
        <v>0.57999999999999996</v>
      </c>
      <c r="H10" s="9">
        <f>'Data Sheet'!H28</f>
        <v>0.8</v>
      </c>
      <c r="I10" s="9">
        <f>'Data Sheet'!I28</f>
        <v>0.88</v>
      </c>
      <c r="J10" s="9">
        <f>'Data Sheet'!J28</f>
        <v>2.93</v>
      </c>
      <c r="K10" s="9">
        <f>'Data Sheet'!K28</f>
        <v>4.7300000000000004</v>
      </c>
      <c r="L10" s="9">
        <f>SUM(Quarters!H10:K10)</f>
        <v>5.8100000000000005</v>
      </c>
      <c r="M10" s="9">
        <f>M6+M7-SUM(M8:M9)</f>
        <v>5.2716823304982725</v>
      </c>
      <c r="N10" s="9">
        <f>N6+N7-SUM(N8:N9)</f>
        <v>2.2556908618635658</v>
      </c>
    </row>
    <row r="11" spans="1:14" x14ac:dyDescent="0.25">
      <c r="A11" s="6" t="s">
        <v>13</v>
      </c>
      <c r="B11" s="9">
        <f>'Data Sheet'!B29</f>
        <v>0.01</v>
      </c>
      <c r="C11" s="9">
        <f>'Data Sheet'!C29</f>
        <v>0</v>
      </c>
      <c r="D11" s="9">
        <f>'Data Sheet'!D29</f>
        <v>0</v>
      </c>
      <c r="E11" s="9">
        <f>'Data Sheet'!E29</f>
        <v>0</v>
      </c>
      <c r="F11" s="9">
        <f>'Data Sheet'!F29</f>
        <v>0</v>
      </c>
      <c r="G11" s="9">
        <f>'Data Sheet'!G29</f>
        <v>0</v>
      </c>
      <c r="H11" s="9">
        <f>'Data Sheet'!H29</f>
        <v>0</v>
      </c>
      <c r="I11" s="9">
        <f>'Data Sheet'!I29</f>
        <v>0</v>
      </c>
      <c r="J11" s="9">
        <f>'Data Sheet'!J29</f>
        <v>2.11</v>
      </c>
      <c r="K11" s="9">
        <f>'Data Sheet'!K29</f>
        <v>1.19</v>
      </c>
      <c r="L11" s="9">
        <f>SUM(Quarters!H11:K11)</f>
        <v>0.94</v>
      </c>
      <c r="M11" s="10">
        <f>IF($L10&gt;0,$L11/$L10,0)</f>
        <v>0.16179001721170394</v>
      </c>
      <c r="N11" s="10">
        <f>IF($L10&gt;0,$L11/$L10,0)</f>
        <v>0.16179001721170394</v>
      </c>
    </row>
    <row r="12" spans="1:14" s="8" customFormat="1" x14ac:dyDescent="0.25">
      <c r="A12" s="8" t="s">
        <v>14</v>
      </c>
      <c r="B12" s="1">
        <f>'Data Sheet'!B30</f>
        <v>0.08</v>
      </c>
      <c r="C12" s="1">
        <f>'Data Sheet'!C30</f>
        <v>0.08</v>
      </c>
      <c r="D12" s="1">
        <f>'Data Sheet'!D30</f>
        <v>0.21</v>
      </c>
      <c r="E12" s="1">
        <f>'Data Sheet'!E30</f>
        <v>0.26</v>
      </c>
      <c r="F12" s="1">
        <f>'Data Sheet'!F30</f>
        <v>0.77</v>
      </c>
      <c r="G12" s="1">
        <f>'Data Sheet'!G30</f>
        <v>0.57999999999999996</v>
      </c>
      <c r="H12" s="1">
        <f>'Data Sheet'!H30</f>
        <v>0.8</v>
      </c>
      <c r="I12" s="1">
        <f>'Data Sheet'!I30</f>
        <v>0.88</v>
      </c>
      <c r="J12" s="1">
        <f>'Data Sheet'!J30</f>
        <v>0.82</v>
      </c>
      <c r="K12" s="1">
        <f>'Data Sheet'!K30</f>
        <v>3.53</v>
      </c>
      <c r="L12" s="1">
        <f>SUM(Quarters!H12:K12)</f>
        <v>4.88</v>
      </c>
      <c r="M12" s="1">
        <f>M10-M11*M10</f>
        <v>4.4187767555123214</v>
      </c>
      <c r="N12" s="1">
        <f>N10-N11*N10</f>
        <v>1.8907425984983761</v>
      </c>
    </row>
    <row r="13" spans="1:14" x14ac:dyDescent="0.25">
      <c r="A13" s="11" t="s">
        <v>48</v>
      </c>
      <c r="B13" s="9">
        <f>IF('Data Sheet'!B93&gt;0,B12/'Data Sheet'!B93,0)</f>
        <v>0.1283594063377457</v>
      </c>
      <c r="C13" s="9">
        <f>IF('Data Sheet'!C93&gt;0,C12/'Data Sheet'!C93,0)</f>
        <v>0.1283594063377457</v>
      </c>
      <c r="D13" s="9">
        <f>IF('Data Sheet'!D93&gt;0,D12/'Data Sheet'!D93,0)</f>
        <v>0.33694344163658241</v>
      </c>
      <c r="E13" s="9">
        <f>IF('Data Sheet'!E93&gt;0,E12/'Data Sheet'!E93,0)</f>
        <v>0.41716807059767352</v>
      </c>
      <c r="F13" s="9">
        <f>IF('Data Sheet'!F93&gt;0,F12/'Data Sheet'!F93,0)</f>
        <v>1.2354592860008022</v>
      </c>
      <c r="G13" s="9">
        <f>IF('Data Sheet'!G93&gt;0,G12/'Data Sheet'!G93,0)</f>
        <v>0.93060569594865616</v>
      </c>
      <c r="H13" s="9">
        <f>IF('Data Sheet'!H93&gt;0,H12/'Data Sheet'!H93,0)</f>
        <v>1.283594063377457</v>
      </c>
      <c r="I13" s="9">
        <f>IF('Data Sheet'!I93&gt;0,I12/'Data Sheet'!I93,0)</f>
        <v>1.4119534697152027</v>
      </c>
      <c r="J13" s="9">
        <f>IF('Data Sheet'!J93&gt;0,J12/'Data Sheet'!J93,0)</f>
        <v>1.3156839149618933</v>
      </c>
      <c r="K13" s="9">
        <f>IF('Data Sheet'!K93&gt;0,K12/'Data Sheet'!K93,0)</f>
        <v>5.663858804653028</v>
      </c>
      <c r="L13" s="9">
        <f>IF('Data Sheet'!$B6&gt;0,'Profit &amp; Loss'!L12/'Data Sheet'!$B6,0)</f>
        <v>7.8325053995680349</v>
      </c>
      <c r="M13" s="9">
        <f>IF('Data Sheet'!$B6&gt;0,'Profit &amp; Loss'!M12/'Data Sheet'!$B6,0)</f>
        <v>7.0922321305401601</v>
      </c>
      <c r="N13" s="9">
        <f>IF('Data Sheet'!$B6&gt;0,'Profit &amp; Loss'!N12/'Data Sheet'!$B6,0)</f>
        <v>3.0346827073630798</v>
      </c>
    </row>
    <row r="14" spans="1:14" x14ac:dyDescent="0.25">
      <c r="A14" s="6" t="s">
        <v>16</v>
      </c>
      <c r="B14" s="9">
        <f>IF(B15&gt;0,B15/B13,"")</f>
        <v>20.924317715624998</v>
      </c>
      <c r="C14" s="9">
        <f t="shared" ref="C14:K14" si="2">IF(C15&gt;0,C15/C13,"")</f>
        <v>32.732926396874994</v>
      </c>
      <c r="D14" s="9">
        <f t="shared" si="2"/>
        <v>22.168242728571432</v>
      </c>
      <c r="E14" s="9">
        <f t="shared" si="2"/>
        <v>13.443586399038459</v>
      </c>
      <c r="F14" s="9">
        <f t="shared" si="2"/>
        <v>6.5606249366883116</v>
      </c>
      <c r="G14" s="9">
        <f t="shared" si="2"/>
        <v>6.58639102112069</v>
      </c>
      <c r="H14" s="9">
        <f t="shared" si="2"/>
        <v>6.0061137862500003</v>
      </c>
      <c r="I14" s="9">
        <f t="shared" si="2"/>
        <v>16.529502919602272</v>
      </c>
      <c r="J14" s="9">
        <f t="shared" si="2"/>
        <v>31.818552711585365</v>
      </c>
      <c r="K14" s="9">
        <f t="shared" si="2"/>
        <v>16.157586048016999</v>
      </c>
      <c r="L14" s="9">
        <f t="shared" ref="L14" si="3">IF(L13&gt;0,L15/L13,0)</f>
        <v>7.5901639344262293</v>
      </c>
      <c r="M14" s="9">
        <f>M25</f>
        <v>18.023951403407715</v>
      </c>
      <c r="N14" s="9">
        <f>N25</f>
        <v>7.5901639344262293</v>
      </c>
    </row>
    <row r="15" spans="1:14" s="8" customFormat="1" x14ac:dyDescent="0.25">
      <c r="A15" s="8" t="s">
        <v>49</v>
      </c>
      <c r="B15" s="1">
        <f>'Data Sheet'!B90</f>
        <v>2.6858330000000001</v>
      </c>
      <c r="C15" s="1">
        <f>'Data Sheet'!C90</f>
        <v>4.2015789999999997</v>
      </c>
      <c r="D15" s="1">
        <f>'Data Sheet'!D90</f>
        <v>7.4694440000000002</v>
      </c>
      <c r="E15" s="1">
        <f>'Data Sheet'!E90</f>
        <v>5.6082349999999996</v>
      </c>
      <c r="F15" s="1">
        <f>'Data Sheet'!F90</f>
        <v>8.1053850000000001</v>
      </c>
      <c r="G15" s="1">
        <f>'Data Sheet'!G90</f>
        <v>6.1293329999999999</v>
      </c>
      <c r="H15" s="1">
        <f>'Data Sheet'!H90</f>
        <v>7.7094120000000004</v>
      </c>
      <c r="I15" s="1">
        <f>'Data Sheet'!I90</f>
        <v>23.338889000000002</v>
      </c>
      <c r="J15" s="1">
        <f>'Data Sheet'!J90</f>
        <v>41.863157999999999</v>
      </c>
      <c r="K15" s="1">
        <f>'Data Sheet'!K90</f>
        <v>91.514285999999998</v>
      </c>
      <c r="L15" s="1">
        <f>'Data Sheet'!B8</f>
        <v>59.45</v>
      </c>
      <c r="M15" s="12">
        <f>M13*M14</f>
        <v>127.83004726254261</v>
      </c>
      <c r="N15" s="13">
        <f>N13*N14</f>
        <v>23.033739237854196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0</v>
      </c>
      <c r="C18" s="7">
        <f>IF('Data Sheet'!C30&gt;0, 'Data Sheet'!C31/'Data Sheet'!C30, 0)</f>
        <v>0</v>
      </c>
      <c r="D18" s="7">
        <f>IF('Data Sheet'!D30&gt;0, 'Data Sheet'!D31/'Data Sheet'!D30, 0)</f>
        <v>0</v>
      </c>
      <c r="E18" s="7">
        <f>IF('Data Sheet'!E30&gt;0, 'Data Sheet'!E31/'Data Sheet'!E30, 0)</f>
        <v>0</v>
      </c>
      <c r="F18" s="7">
        <f>IF('Data Sheet'!F30&gt;0, 'Data Sheet'!F31/'Data Sheet'!F30, 0)</f>
        <v>0</v>
      </c>
      <c r="G18" s="7">
        <f>IF('Data Sheet'!G30&gt;0, 'Data Sheet'!G31/'Data Sheet'!G30, 0)</f>
        <v>0</v>
      </c>
      <c r="H18" s="7">
        <f>IF('Data Sheet'!H30&gt;0, 'Data Sheet'!H31/'Data Sheet'!H30, 0)</f>
        <v>0</v>
      </c>
      <c r="I18" s="7">
        <f>IF('Data Sheet'!I30&gt;0, 'Data Sheet'!I31/'Data Sheet'!I30, 0)</f>
        <v>0</v>
      </c>
      <c r="J18" s="7">
        <f>IF('Data Sheet'!J30&gt;0, 'Data Sheet'!J31/'Data Sheet'!J30, 0)</f>
        <v>0</v>
      </c>
      <c r="K18" s="7">
        <f>IF('Data Sheet'!K30&gt;0, 'Data Sheet'!K31/'Data Sheet'!K30, 0)</f>
        <v>0</v>
      </c>
    </row>
    <row r="19" spans="1:14" x14ac:dyDescent="0.25">
      <c r="A19" s="6" t="s">
        <v>18</v>
      </c>
      <c r="B19" s="7">
        <f t="shared" ref="B19:L19" si="4">IF(B6&gt;0,B6/B4,0)</f>
        <v>3.5787321063394467E-2</v>
      </c>
      <c r="C19" s="7">
        <f t="shared" ref="C19:K19" si="5">IF(C6&gt;0,C6/C4,0)</f>
        <v>6.29139072847682E-2</v>
      </c>
      <c r="D19" s="7">
        <f t="shared" si="5"/>
        <v>8.3533365338453916E-2</v>
      </c>
      <c r="E19" s="7">
        <f t="shared" si="5"/>
        <v>8.2940251572327151E-2</v>
      </c>
      <c r="F19" s="7">
        <f t="shared" si="5"/>
        <v>7.3848238482385059E-2</v>
      </c>
      <c r="G19" s="7">
        <f t="shared" si="5"/>
        <v>8.2098399525785501E-2</v>
      </c>
      <c r="H19" s="7">
        <f t="shared" si="5"/>
        <v>9.004594180704445E-2</v>
      </c>
      <c r="I19" s="7">
        <f t="shared" si="5"/>
        <v>0.10032246506628438</v>
      </c>
      <c r="J19" s="7">
        <f t="shared" si="5"/>
        <v>0.12489427685367926</v>
      </c>
      <c r="K19" s="7">
        <f t="shared" si="5"/>
        <v>0.15588235294117631</v>
      </c>
      <c r="L19" s="7">
        <f t="shared" si="4"/>
        <v>0.14727350794332333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0.17199184511824273</v>
      </c>
      <c r="I23" s="7">
        <f>IF(D4=0,"",POWER($K4/D4,1/7)-1)</f>
        <v>0.1008043259572875</v>
      </c>
      <c r="J23" s="7">
        <f>IF(F4=0,"",POWER($K4/F4,1/5)-1)</f>
        <v>-1.623694165079459E-2</v>
      </c>
      <c r="K23" s="7">
        <f>IF(H4=0,"",POWER($K4/H4, 1/3)-1)</f>
        <v>7.7107357538659604E-2</v>
      </c>
      <c r="L23" s="7">
        <f>IF(ISERROR(MAX(IF(J4=0,"",(K4-J4)/J4),IF(K4=0,"",(L4-K4)/K4))),"",MAX(IF(J4=0,"",(K4-J4)/J4),IF(K4=0,"",(L4-K4)/K4)))</f>
        <v>0.15026783197067942</v>
      </c>
      <c r="M23" s="22">
        <f>MAX(K23:L23)</f>
        <v>0.15026783197067942</v>
      </c>
      <c r="N23" s="22">
        <f>MIN(H23:L23)</f>
        <v>-1.623694165079459E-2</v>
      </c>
    </row>
    <row r="24" spans="1:14" x14ac:dyDescent="0.25">
      <c r="G24" s="6" t="s">
        <v>18</v>
      </c>
      <c r="H24" s="7">
        <f>IF(SUM(B4:$K$4)=0,"",SUMPRODUCT(B19:$K$19,B4:$K$4)/SUM(B4:$K$4))</f>
        <v>9.7286027281079948E-2</v>
      </c>
      <c r="I24" s="7">
        <f>IF(SUM(E4:$K$4)=0,"",SUMPRODUCT(E19:$K$19,E4:$K$4)/SUM(E4:$K$4))</f>
        <v>0.10270922635149198</v>
      </c>
      <c r="J24" s="7">
        <f>IF(SUM(G4:$K$4)=0,"",SUMPRODUCT(G19:$K$19,G4:$K$4)/SUM(G4:$K$4))</f>
        <v>0.11315002638213049</v>
      </c>
      <c r="K24" s="7">
        <f>IF(SUM(I4:$K$4)=0, "", SUMPRODUCT(I19:$K$19,I4:$K$4)/SUM(I4:$K$4))</f>
        <v>0.13044730274524854</v>
      </c>
      <c r="L24" s="7">
        <f>L19</f>
        <v>0.14727350794332333</v>
      </c>
      <c r="M24" s="22">
        <f>MAX(K24:L24)</f>
        <v>0.14727350794332333</v>
      </c>
      <c r="N24" s="22">
        <f>MIN(H24:L24)</f>
        <v>9.7286027281079948E-2</v>
      </c>
    </row>
    <row r="25" spans="1:14" x14ac:dyDescent="0.25">
      <c r="G25" s="6" t="s">
        <v>23</v>
      </c>
      <c r="H25" s="9">
        <f>IF(ISERROR(AVERAGEIF(B14:$L14,"&gt;0")),"",AVERAGEIF(B14:$L14,"&gt;0"))</f>
        <v>16.410728054345437</v>
      </c>
      <c r="I25" s="9">
        <f>IF(ISERROR(AVERAGEIF(E14:$L14,"&gt;0")),"",AVERAGEIF(E14:$L14,"&gt;0"))</f>
        <v>13.086565219591041</v>
      </c>
      <c r="J25" s="9">
        <f>IF(ISERROR(AVERAGEIF(G14:$L14,"&gt;0")),"",AVERAGEIF(G14:$L14,"&gt;0"))</f>
        <v>14.114718403500261</v>
      </c>
      <c r="K25" s="9">
        <f>IF(ISERROR(AVERAGEIF(I14:$L14,"&gt;0")),"",AVERAGEIF(I14:$L14,"&gt;0"))</f>
        <v>18.023951403407715</v>
      </c>
      <c r="L25" s="9">
        <f>L14</f>
        <v>7.5901639344262293</v>
      </c>
      <c r="M25" s="1">
        <f>MAX(K25:L25)</f>
        <v>18.023951403407715</v>
      </c>
      <c r="N25" s="1">
        <f>MIN(H25:L25)</f>
        <v>7.5901639344262293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0.7109375" style="6" customWidth="1"/>
    <col min="2" max="11" width="13.42578125" style="6" bestFit="1" customWidth="1"/>
    <col min="12" max="16384" width="8.85546875" style="6"/>
  </cols>
  <sheetData>
    <row r="1" spans="1:11" s="8" customFormat="1" x14ac:dyDescent="0.25">
      <c r="A1" s="8" t="str">
        <f>'Profit &amp; Loss'!A1</f>
        <v>AURO LABORATORIES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Sheet'!B41</f>
        <v>42643</v>
      </c>
      <c r="C3" s="16">
        <f>'Data Sheet'!C41</f>
        <v>42735</v>
      </c>
      <c r="D3" s="16">
        <f>'Data Sheet'!D41</f>
        <v>42825</v>
      </c>
      <c r="E3" s="16">
        <f>'Data Sheet'!E41</f>
        <v>42916</v>
      </c>
      <c r="F3" s="16">
        <f>'Data Sheet'!F41</f>
        <v>43008</v>
      </c>
      <c r="G3" s="16">
        <f>'Data Sheet'!G41</f>
        <v>43100</v>
      </c>
      <c r="H3" s="16">
        <f>'Data Sheet'!H41</f>
        <v>43190</v>
      </c>
      <c r="I3" s="16">
        <f>'Data Sheet'!I41</f>
        <v>43281</v>
      </c>
      <c r="J3" s="16">
        <f>'Data Sheet'!J41</f>
        <v>43373</v>
      </c>
      <c r="K3" s="16">
        <f>'Data Sheet'!K41</f>
        <v>43465</v>
      </c>
    </row>
    <row r="4" spans="1:11" s="8" customFormat="1" x14ac:dyDescent="0.25">
      <c r="A4" s="8" t="s">
        <v>6</v>
      </c>
      <c r="B4" s="1">
        <f>'Data Sheet'!B42</f>
        <v>8.15</v>
      </c>
      <c r="C4" s="1">
        <f>'Data Sheet'!C42</f>
        <v>7.25</v>
      </c>
      <c r="D4" s="1">
        <f>'Data Sheet'!D42</f>
        <v>10.07</v>
      </c>
      <c r="E4" s="1">
        <f>'Data Sheet'!E42</f>
        <v>7.52</v>
      </c>
      <c r="F4" s="1">
        <f>'Data Sheet'!F42</f>
        <v>9.7200000000000006</v>
      </c>
      <c r="G4" s="1">
        <f>'Data Sheet'!G42</f>
        <v>12.27</v>
      </c>
      <c r="H4" s="1">
        <f>'Data Sheet'!H42</f>
        <v>11.28</v>
      </c>
      <c r="I4" s="1">
        <f>'Data Sheet'!I42</f>
        <v>10.47</v>
      </c>
      <c r="J4" s="1">
        <f>'Data Sheet'!J42</f>
        <v>12.55</v>
      </c>
      <c r="K4" s="1">
        <f>'Data Sheet'!K42</f>
        <v>12.28</v>
      </c>
    </row>
    <row r="5" spans="1:11" x14ac:dyDescent="0.25">
      <c r="A5" s="6" t="s">
        <v>7</v>
      </c>
      <c r="B5" s="9">
        <f>'Data Sheet'!B43</f>
        <v>7.54</v>
      </c>
      <c r="C5" s="9">
        <f>'Data Sheet'!C43</f>
        <v>6.47</v>
      </c>
      <c r="D5" s="9">
        <f>'Data Sheet'!D43</f>
        <v>8.17</v>
      </c>
      <c r="E5" s="9">
        <f>'Data Sheet'!E43</f>
        <v>6.59</v>
      </c>
      <c r="F5" s="9">
        <f>'Data Sheet'!F43</f>
        <v>8.42</v>
      </c>
      <c r="G5" s="9">
        <f>'Data Sheet'!G43</f>
        <v>10.36</v>
      </c>
      <c r="H5" s="9">
        <f>'Data Sheet'!H43</f>
        <v>9.1999999999999993</v>
      </c>
      <c r="I5" s="9">
        <f>'Data Sheet'!I43</f>
        <v>9.18</v>
      </c>
      <c r="J5" s="9">
        <f>'Data Sheet'!J43</f>
        <v>11.3</v>
      </c>
      <c r="K5" s="9">
        <f>'Data Sheet'!K43</f>
        <v>10.039999999999999</v>
      </c>
    </row>
    <row r="6" spans="1:11" s="8" customFormat="1" x14ac:dyDescent="0.25">
      <c r="A6" s="8" t="s">
        <v>8</v>
      </c>
      <c r="B6" s="1">
        <f>'Data Sheet'!B50</f>
        <v>0.61</v>
      </c>
      <c r="C6" s="1">
        <f>'Data Sheet'!C50</f>
        <v>0.78</v>
      </c>
      <c r="D6" s="1">
        <f>'Data Sheet'!D50</f>
        <v>1.9</v>
      </c>
      <c r="E6" s="1">
        <f>'Data Sheet'!E50</f>
        <v>0.93</v>
      </c>
      <c r="F6" s="1">
        <f>'Data Sheet'!F50</f>
        <v>1.3</v>
      </c>
      <c r="G6" s="1">
        <f>'Data Sheet'!G50</f>
        <v>1.91</v>
      </c>
      <c r="H6" s="1">
        <f>'Data Sheet'!H50</f>
        <v>2.08</v>
      </c>
      <c r="I6" s="1">
        <f>'Data Sheet'!I50</f>
        <v>1.29</v>
      </c>
      <c r="J6" s="1">
        <f>'Data Sheet'!J50</f>
        <v>1.25</v>
      </c>
      <c r="K6" s="1">
        <f>'Data Sheet'!K50</f>
        <v>2.2400000000000002</v>
      </c>
    </row>
    <row r="7" spans="1:11" x14ac:dyDescent="0.25">
      <c r="A7" s="6" t="s">
        <v>9</v>
      </c>
      <c r="B7" s="9">
        <f>'Data Sheet'!B44</f>
        <v>0.21</v>
      </c>
      <c r="C7" s="9">
        <f>'Data Sheet'!C44</f>
        <v>0.1</v>
      </c>
      <c r="D7" s="9">
        <f>'Data Sheet'!D44</f>
        <v>0.2</v>
      </c>
      <c r="E7" s="9">
        <f>'Data Sheet'!E44</f>
        <v>0.03</v>
      </c>
      <c r="F7" s="9">
        <f>'Data Sheet'!F44</f>
        <v>0.14000000000000001</v>
      </c>
      <c r="G7" s="9">
        <f>'Data Sheet'!G44</f>
        <v>0.12</v>
      </c>
      <c r="H7" s="9">
        <f>'Data Sheet'!H44</f>
        <v>0.23</v>
      </c>
      <c r="I7" s="9">
        <f>'Data Sheet'!I44</f>
        <v>0.03</v>
      </c>
      <c r="J7" s="9">
        <f>'Data Sheet'!J44</f>
        <v>0.26</v>
      </c>
      <c r="K7" s="9">
        <f>'Data Sheet'!K44</f>
        <v>7.0000000000000007E-2</v>
      </c>
    </row>
    <row r="8" spans="1:11" x14ac:dyDescent="0.25">
      <c r="A8" s="6" t="s">
        <v>10</v>
      </c>
      <c r="B8" s="9">
        <f>'Data Sheet'!B45</f>
        <v>0.2</v>
      </c>
      <c r="C8" s="9">
        <f>'Data Sheet'!C45</f>
        <v>0.2</v>
      </c>
      <c r="D8" s="9">
        <f>'Data Sheet'!D45</f>
        <v>0.26</v>
      </c>
      <c r="E8" s="9">
        <f>'Data Sheet'!E45</f>
        <v>0.22</v>
      </c>
      <c r="F8" s="9">
        <f>'Data Sheet'!F45</f>
        <v>0.23</v>
      </c>
      <c r="G8" s="9">
        <f>'Data Sheet'!G45</f>
        <v>0.28000000000000003</v>
      </c>
      <c r="H8" s="9">
        <f>'Data Sheet'!H45</f>
        <v>0.2</v>
      </c>
      <c r="I8" s="9">
        <f>'Data Sheet'!I45</f>
        <v>0.25</v>
      </c>
      <c r="J8" s="9">
        <f>'Data Sheet'!J45</f>
        <v>0.26</v>
      </c>
      <c r="K8" s="9">
        <f>'Data Sheet'!K45</f>
        <v>0.28000000000000003</v>
      </c>
    </row>
    <row r="9" spans="1:11" x14ac:dyDescent="0.25">
      <c r="A9" s="6" t="s">
        <v>11</v>
      </c>
      <c r="B9" s="9">
        <f>'Data Sheet'!B46</f>
        <v>0.4</v>
      </c>
      <c r="C9" s="9">
        <f>'Data Sheet'!C46</f>
        <v>0.47</v>
      </c>
      <c r="D9" s="9">
        <f>'Data Sheet'!D46</f>
        <v>-0.16</v>
      </c>
      <c r="E9" s="9">
        <f>'Data Sheet'!E46</f>
        <v>0.3</v>
      </c>
      <c r="F9" s="9">
        <f>'Data Sheet'!F46</f>
        <v>0.33</v>
      </c>
      <c r="G9" s="9">
        <f>'Data Sheet'!G46</f>
        <v>0.41</v>
      </c>
      <c r="H9" s="9">
        <f>'Data Sheet'!H46</f>
        <v>0.05</v>
      </c>
      <c r="I9" s="9">
        <f>'Data Sheet'!I46</f>
        <v>0.23</v>
      </c>
      <c r="J9" s="9">
        <f>'Data Sheet'!J46</f>
        <v>0.19</v>
      </c>
      <c r="K9" s="9">
        <f>'Data Sheet'!K46</f>
        <v>0.18</v>
      </c>
    </row>
    <row r="10" spans="1:11" x14ac:dyDescent="0.25">
      <c r="A10" s="6" t="s">
        <v>12</v>
      </c>
      <c r="B10" s="9">
        <f>'Data Sheet'!B47</f>
        <v>0.22</v>
      </c>
      <c r="C10" s="9">
        <f>'Data Sheet'!C47</f>
        <v>0.21</v>
      </c>
      <c r="D10" s="9">
        <f>'Data Sheet'!D47</f>
        <v>2</v>
      </c>
      <c r="E10" s="9">
        <f>'Data Sheet'!E47</f>
        <v>0.44</v>
      </c>
      <c r="F10" s="9">
        <f>'Data Sheet'!F47</f>
        <v>0.88</v>
      </c>
      <c r="G10" s="9">
        <f>'Data Sheet'!G47</f>
        <v>1.34</v>
      </c>
      <c r="H10" s="9">
        <f>'Data Sheet'!H47</f>
        <v>2.06</v>
      </c>
      <c r="I10" s="9">
        <f>'Data Sheet'!I47</f>
        <v>0.84</v>
      </c>
      <c r="J10" s="9">
        <f>'Data Sheet'!J47</f>
        <v>1.06</v>
      </c>
      <c r="K10" s="9">
        <f>'Data Sheet'!K47</f>
        <v>1.85</v>
      </c>
    </row>
    <row r="11" spans="1:11" x14ac:dyDescent="0.25">
      <c r="A11" s="6" t="s">
        <v>13</v>
      </c>
      <c r="B11" s="9">
        <f>'Data Sheet'!B48</f>
        <v>0</v>
      </c>
      <c r="C11" s="9">
        <f>'Data Sheet'!C48</f>
        <v>0</v>
      </c>
      <c r="D11" s="9">
        <f>'Data Sheet'!D48</f>
        <v>0</v>
      </c>
      <c r="E11" s="9">
        <f>'Data Sheet'!E48</f>
        <v>0</v>
      </c>
      <c r="F11" s="9">
        <f>'Data Sheet'!F48</f>
        <v>0</v>
      </c>
      <c r="G11" s="9">
        <f>'Data Sheet'!G48</f>
        <v>0</v>
      </c>
      <c r="H11" s="9">
        <f>'Data Sheet'!H48</f>
        <v>0</v>
      </c>
      <c r="I11" s="9">
        <f>'Data Sheet'!I48</f>
        <v>0.21</v>
      </c>
      <c r="J11" s="9">
        <f>'Data Sheet'!J48</f>
        <v>0.27</v>
      </c>
      <c r="K11" s="9">
        <f>'Data Sheet'!K48</f>
        <v>0.46</v>
      </c>
    </row>
    <row r="12" spans="1:11" s="8" customFormat="1" x14ac:dyDescent="0.25">
      <c r="A12" s="8" t="s">
        <v>14</v>
      </c>
      <c r="B12" s="1">
        <f>'Data Sheet'!B49</f>
        <v>0.22</v>
      </c>
      <c r="C12" s="1">
        <f>'Data Sheet'!C49</f>
        <v>0.21</v>
      </c>
      <c r="D12" s="1">
        <f>'Data Sheet'!D49</f>
        <v>2</v>
      </c>
      <c r="E12" s="1">
        <f>'Data Sheet'!E49</f>
        <v>0.44</v>
      </c>
      <c r="F12" s="1">
        <f>'Data Sheet'!F49</f>
        <v>0.88</v>
      </c>
      <c r="G12" s="1">
        <f>'Data Sheet'!G49</f>
        <v>1.34</v>
      </c>
      <c r="H12" s="1">
        <f>'Data Sheet'!H49</f>
        <v>2.06</v>
      </c>
      <c r="I12" s="1">
        <f>'Data Sheet'!I49</f>
        <v>0.64</v>
      </c>
      <c r="J12" s="1">
        <f>'Data Sheet'!J49</f>
        <v>0.8</v>
      </c>
      <c r="K12" s="1">
        <f>'Data Sheet'!K49</f>
        <v>1.38</v>
      </c>
    </row>
    <row r="14" spans="1:11" s="8" customFormat="1" x14ac:dyDescent="0.25">
      <c r="A14" s="2" t="s">
        <v>18</v>
      </c>
      <c r="B14" s="14">
        <f>IF(B4&gt;0,B6/B4,"")</f>
        <v>7.4846625766871164E-2</v>
      </c>
      <c r="C14" s="14">
        <f t="shared" ref="C14:K14" si="0">IF(C4&gt;0,C6/C4,"")</f>
        <v>0.10758620689655173</v>
      </c>
      <c r="D14" s="14">
        <f t="shared" si="0"/>
        <v>0.18867924528301885</v>
      </c>
      <c r="E14" s="14">
        <f t="shared" si="0"/>
        <v>0.12367021276595747</v>
      </c>
      <c r="F14" s="14">
        <f t="shared" si="0"/>
        <v>0.13374485596707819</v>
      </c>
      <c r="G14" s="14">
        <f t="shared" si="0"/>
        <v>0.1556642216788916</v>
      </c>
      <c r="H14" s="14">
        <f t="shared" si="0"/>
        <v>0.18439716312056739</v>
      </c>
      <c r="I14" s="14">
        <f t="shared" si="0"/>
        <v>0.12320916905444125</v>
      </c>
      <c r="J14" s="14">
        <f t="shared" si="0"/>
        <v>9.9601593625498003E-2</v>
      </c>
      <c r="K14" s="14">
        <f t="shared" si="0"/>
        <v>0.18241042345276876</v>
      </c>
    </row>
    <row r="22" s="26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5"/>
  <sheetViews>
    <sheetView zoomScaleNormal="10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K24" sqref="K24"/>
    </sheetView>
  </sheetViews>
  <sheetFormatPr defaultColWidth="8.85546875" defaultRowHeight="15" x14ac:dyDescent="0.25"/>
  <cols>
    <col min="1" max="1" width="22.85546875" style="11" bestFit="1" customWidth="1"/>
    <col min="2" max="2" width="13.42578125" style="11" customWidth="1"/>
    <col min="3" max="11" width="15.42578125" style="11" customWidth="1"/>
    <col min="12" max="16384" width="8.85546875" style="11"/>
  </cols>
  <sheetData>
    <row r="1" spans="1:11" s="8" customFormat="1" x14ac:dyDescent="0.25">
      <c r="A1" s="8" t="str">
        <f>'Profit &amp; Loss'!A1</f>
        <v>AURO LABORATORIES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39903</v>
      </c>
      <c r="C3" s="16">
        <f>'Data Sheet'!C56</f>
        <v>40268</v>
      </c>
      <c r="D3" s="16">
        <f>'Data Sheet'!D56</f>
        <v>40633</v>
      </c>
      <c r="E3" s="16">
        <f>'Data Sheet'!E56</f>
        <v>40999</v>
      </c>
      <c r="F3" s="16">
        <f>'Data Sheet'!F56</f>
        <v>41364</v>
      </c>
      <c r="G3" s="16">
        <f>'Data Sheet'!G56</f>
        <v>41729</v>
      </c>
      <c r="H3" s="16">
        <f>'Data Sheet'!H56</f>
        <v>42094</v>
      </c>
      <c r="I3" s="16">
        <f>'Data Sheet'!I56</f>
        <v>42460</v>
      </c>
      <c r="J3" s="16">
        <f>'Data Sheet'!J56</f>
        <v>42825</v>
      </c>
      <c r="K3" s="16">
        <f>'Data Sheet'!K56</f>
        <v>43190</v>
      </c>
    </row>
    <row r="4" spans="1:11" x14ac:dyDescent="0.25">
      <c r="A4" s="6" t="s">
        <v>24</v>
      </c>
      <c r="B4" s="19">
        <f>'Data Sheet'!B57</f>
        <v>6.23</v>
      </c>
      <c r="C4" s="19">
        <f>'Data Sheet'!C57</f>
        <v>6.23</v>
      </c>
      <c r="D4" s="19">
        <f>'Data Sheet'!D57</f>
        <v>6.23</v>
      </c>
      <c r="E4" s="19">
        <f>'Data Sheet'!E57</f>
        <v>6.23</v>
      </c>
      <c r="F4" s="19">
        <f>'Data Sheet'!F57</f>
        <v>6.23</v>
      </c>
      <c r="G4" s="19">
        <f>'Data Sheet'!G57</f>
        <v>6.23</v>
      </c>
      <c r="H4" s="19">
        <f>'Data Sheet'!H57</f>
        <v>6.23</v>
      </c>
      <c r="I4" s="19">
        <f>'Data Sheet'!I57</f>
        <v>6.23</v>
      </c>
      <c r="J4" s="19">
        <f>'Data Sheet'!J57</f>
        <v>6.23</v>
      </c>
      <c r="K4" s="19">
        <f>'Data Sheet'!K57</f>
        <v>6.23</v>
      </c>
    </row>
    <row r="5" spans="1:11" s="6" customFormat="1" x14ac:dyDescent="0.25">
      <c r="A5" s="6" t="s">
        <v>25</v>
      </c>
      <c r="B5" s="19">
        <f>'Data Sheet'!B58</f>
        <v>-1.22</v>
      </c>
      <c r="C5" s="19">
        <f>'Data Sheet'!C58</f>
        <v>-1.1399999999999999</v>
      </c>
      <c r="D5" s="19">
        <f>'Data Sheet'!D58</f>
        <v>-0.94</v>
      </c>
      <c r="E5" s="19">
        <f>'Data Sheet'!E58</f>
        <v>-0.68</v>
      </c>
      <c r="F5" s="19">
        <f>'Data Sheet'!F58</f>
        <v>0.09</v>
      </c>
      <c r="G5" s="19">
        <f>'Data Sheet'!G58</f>
        <v>0.67</v>
      </c>
      <c r="H5" s="19">
        <f>'Data Sheet'!H58</f>
        <v>1.47</v>
      </c>
      <c r="I5" s="19">
        <f>'Data Sheet'!I58</f>
        <v>2.35</v>
      </c>
      <c r="J5" s="19">
        <f>'Data Sheet'!J58</f>
        <v>3.18</v>
      </c>
      <c r="K5" s="19">
        <f>'Data Sheet'!K58</f>
        <v>6.75</v>
      </c>
    </row>
    <row r="6" spans="1:11" x14ac:dyDescent="0.25">
      <c r="A6" s="11" t="s">
        <v>62</v>
      </c>
      <c r="B6" s="19">
        <f>'Data Sheet'!B59</f>
        <v>8.0500000000000007</v>
      </c>
      <c r="C6" s="19">
        <f>'Data Sheet'!C59</f>
        <v>10.86</v>
      </c>
      <c r="D6" s="19">
        <f>'Data Sheet'!D59</f>
        <v>12.9</v>
      </c>
      <c r="E6" s="19">
        <f>'Data Sheet'!E59</f>
        <v>15.94</v>
      </c>
      <c r="F6" s="19">
        <f>'Data Sheet'!F59</f>
        <v>16.75</v>
      </c>
      <c r="G6" s="19">
        <f>'Data Sheet'!G59</f>
        <v>14.8</v>
      </c>
      <c r="H6" s="19">
        <f>'Data Sheet'!H59</f>
        <v>16.41</v>
      </c>
      <c r="I6" s="19">
        <f>'Data Sheet'!I59</f>
        <v>12.62</v>
      </c>
      <c r="J6" s="19">
        <f>'Data Sheet'!J59</f>
        <v>4.95</v>
      </c>
      <c r="K6" s="19">
        <f>'Data Sheet'!K59</f>
        <v>6.18</v>
      </c>
    </row>
    <row r="7" spans="1:11" s="6" customFormat="1" x14ac:dyDescent="0.25">
      <c r="A7" s="11" t="s">
        <v>63</v>
      </c>
      <c r="B7" s="19">
        <f>'Data Sheet'!B60</f>
        <v>2.68</v>
      </c>
      <c r="C7" s="19">
        <f>'Data Sheet'!C60</f>
        <v>2.48</v>
      </c>
      <c r="D7" s="19">
        <f>'Data Sheet'!D60</f>
        <v>4.09</v>
      </c>
      <c r="E7" s="19">
        <f>'Data Sheet'!E60</f>
        <v>5.22</v>
      </c>
      <c r="F7" s="19">
        <f>'Data Sheet'!F60</f>
        <v>6.75</v>
      </c>
      <c r="G7" s="19">
        <f>'Data Sheet'!G60</f>
        <v>5.14</v>
      </c>
      <c r="H7" s="19">
        <f>'Data Sheet'!H60</f>
        <v>4.67</v>
      </c>
      <c r="I7" s="19">
        <f>'Data Sheet'!I60</f>
        <v>4.49</v>
      </c>
      <c r="J7" s="19">
        <f>'Data Sheet'!J60</f>
        <v>12.45</v>
      </c>
      <c r="K7" s="19">
        <f>'Data Sheet'!K60</f>
        <v>11.25</v>
      </c>
    </row>
    <row r="8" spans="1:11" s="8" customFormat="1" x14ac:dyDescent="0.25">
      <c r="A8" s="8" t="s">
        <v>26</v>
      </c>
      <c r="B8" s="20">
        <f>'Data Sheet'!B61</f>
        <v>15.74</v>
      </c>
      <c r="C8" s="20">
        <f>'Data Sheet'!C61</f>
        <v>18.43</v>
      </c>
      <c r="D8" s="20">
        <f>'Data Sheet'!D61</f>
        <v>22.28</v>
      </c>
      <c r="E8" s="20">
        <f>'Data Sheet'!E61</f>
        <v>26.71</v>
      </c>
      <c r="F8" s="20">
        <f>'Data Sheet'!F61</f>
        <v>29.82</v>
      </c>
      <c r="G8" s="20">
        <f>'Data Sheet'!G61</f>
        <v>26.84</v>
      </c>
      <c r="H8" s="20">
        <f>'Data Sheet'!H61</f>
        <v>28.78</v>
      </c>
      <c r="I8" s="20">
        <f>'Data Sheet'!I61</f>
        <v>25.69</v>
      </c>
      <c r="J8" s="20">
        <f>'Data Sheet'!J61</f>
        <v>26.81</v>
      </c>
      <c r="K8" s="20">
        <f>'Data Sheet'!K61</f>
        <v>30.41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3.5</v>
      </c>
      <c r="C10" s="19">
        <f>'Data Sheet'!C62</f>
        <v>5.25</v>
      </c>
      <c r="D10" s="19">
        <f>'Data Sheet'!D62</f>
        <v>6.85</v>
      </c>
      <c r="E10" s="19">
        <f>'Data Sheet'!E62</f>
        <v>6.38</v>
      </c>
      <c r="F10" s="19">
        <f>'Data Sheet'!F62</f>
        <v>10.68</v>
      </c>
      <c r="G10" s="19">
        <f>'Data Sheet'!G62</f>
        <v>10.51</v>
      </c>
      <c r="H10" s="19">
        <f>'Data Sheet'!H62</f>
        <v>9.8000000000000007</v>
      </c>
      <c r="I10" s="19">
        <f>'Data Sheet'!I62</f>
        <v>9.1300000000000008</v>
      </c>
      <c r="J10" s="19">
        <f>'Data Sheet'!J62</f>
        <v>13</v>
      </c>
      <c r="K10" s="19">
        <f>'Data Sheet'!K62</f>
        <v>13.02</v>
      </c>
    </row>
    <row r="11" spans="1:11" x14ac:dyDescent="0.25">
      <c r="A11" s="6" t="s">
        <v>28</v>
      </c>
      <c r="B11" s="19">
        <f>'Data Sheet'!B63</f>
        <v>2.1</v>
      </c>
      <c r="C11" s="19">
        <f>'Data Sheet'!C63</f>
        <v>1.87</v>
      </c>
      <c r="D11" s="19">
        <f>'Data Sheet'!D63</f>
        <v>0.65</v>
      </c>
      <c r="E11" s="19">
        <f>'Data Sheet'!E63</f>
        <v>4.43</v>
      </c>
      <c r="F11" s="19">
        <f>'Data Sheet'!F63</f>
        <v>0</v>
      </c>
      <c r="G11" s="19">
        <f>'Data Sheet'!G63</f>
        <v>0.06</v>
      </c>
      <c r="H11" s="19">
        <f>'Data Sheet'!H63</f>
        <v>0.82</v>
      </c>
      <c r="I11" s="19">
        <f>'Data Sheet'!I63</f>
        <v>3.33</v>
      </c>
      <c r="J11" s="19">
        <f>'Data Sheet'!J63</f>
        <v>0.23</v>
      </c>
      <c r="K11" s="19">
        <f>'Data Sheet'!K63</f>
        <v>1.07</v>
      </c>
    </row>
    <row r="12" spans="1:11" x14ac:dyDescent="0.25">
      <c r="A12" s="6" t="s">
        <v>29</v>
      </c>
      <c r="B12" s="19">
        <f>'Data Sheet'!B64</f>
        <v>0.05</v>
      </c>
      <c r="C12" s="19">
        <f>'Data Sheet'!C64</f>
        <v>0.05</v>
      </c>
      <c r="D12" s="19">
        <f>'Data Sheet'!D64</f>
        <v>0.05</v>
      </c>
      <c r="E12" s="19">
        <f>'Data Sheet'!E64</f>
        <v>0.05</v>
      </c>
      <c r="F12" s="19">
        <f>'Data Sheet'!F64</f>
        <v>0.05</v>
      </c>
      <c r="G12" s="19">
        <f>'Data Sheet'!G64</f>
        <v>0.05</v>
      </c>
      <c r="H12" s="19">
        <f>'Data Sheet'!H64</f>
        <v>0.05</v>
      </c>
      <c r="I12" s="19">
        <f>'Data Sheet'!I64</f>
        <v>0.05</v>
      </c>
      <c r="J12" s="19">
        <f>'Data Sheet'!J64</f>
        <v>0.05</v>
      </c>
      <c r="K12" s="19">
        <f>'Data Sheet'!K64</f>
        <v>0.05</v>
      </c>
    </row>
    <row r="13" spans="1:11" x14ac:dyDescent="0.25">
      <c r="A13" s="11" t="s">
        <v>64</v>
      </c>
      <c r="B13" s="19">
        <f>'Data Sheet'!B65</f>
        <v>10.09</v>
      </c>
      <c r="C13" s="19">
        <f>'Data Sheet'!C65</f>
        <v>11.26</v>
      </c>
      <c r="D13" s="19">
        <f>'Data Sheet'!D65</f>
        <v>14.73</v>
      </c>
      <c r="E13" s="19">
        <f>'Data Sheet'!E65</f>
        <v>15.85</v>
      </c>
      <c r="F13" s="19">
        <f>'Data Sheet'!F65</f>
        <v>19.09</v>
      </c>
      <c r="G13" s="19">
        <f>'Data Sheet'!G65</f>
        <v>16.22</v>
      </c>
      <c r="H13" s="19">
        <f>'Data Sheet'!H65</f>
        <v>18.11</v>
      </c>
      <c r="I13" s="19">
        <f>'Data Sheet'!I65</f>
        <v>13.18</v>
      </c>
      <c r="J13" s="19">
        <f>'Data Sheet'!J65</f>
        <v>13.53</v>
      </c>
      <c r="K13" s="19">
        <f>'Data Sheet'!K65</f>
        <v>16.27</v>
      </c>
    </row>
    <row r="14" spans="1:11" s="8" customFormat="1" x14ac:dyDescent="0.25">
      <c r="A14" s="8" t="s">
        <v>26</v>
      </c>
      <c r="B14" s="19">
        <f>'Data Sheet'!B66</f>
        <v>15.74</v>
      </c>
      <c r="C14" s="19">
        <f>'Data Sheet'!C66</f>
        <v>18.43</v>
      </c>
      <c r="D14" s="19">
        <f>'Data Sheet'!D66</f>
        <v>22.28</v>
      </c>
      <c r="E14" s="19">
        <f>'Data Sheet'!E66</f>
        <v>26.71</v>
      </c>
      <c r="F14" s="19">
        <f>'Data Sheet'!F66</f>
        <v>29.82</v>
      </c>
      <c r="G14" s="19">
        <f>'Data Sheet'!G66</f>
        <v>26.84</v>
      </c>
      <c r="H14" s="19">
        <f>'Data Sheet'!H66</f>
        <v>28.78</v>
      </c>
      <c r="I14" s="19">
        <f>'Data Sheet'!I66</f>
        <v>25.69</v>
      </c>
      <c r="J14" s="19">
        <f>'Data Sheet'!J66</f>
        <v>26.81</v>
      </c>
      <c r="K14" s="19">
        <f>'Data Sheet'!K66</f>
        <v>30.41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5" t="s">
        <v>30</v>
      </c>
      <c r="B16" s="21">
        <f>B13-B7</f>
        <v>7.41</v>
      </c>
      <c r="C16" s="21">
        <f t="shared" ref="C16:K16" si="0">C13-C7</f>
        <v>8.7799999999999994</v>
      </c>
      <c r="D16" s="21">
        <f t="shared" si="0"/>
        <v>10.64</v>
      </c>
      <c r="E16" s="21">
        <f t="shared" si="0"/>
        <v>10.629999999999999</v>
      </c>
      <c r="F16" s="21">
        <f t="shared" si="0"/>
        <v>12.34</v>
      </c>
      <c r="G16" s="21">
        <f t="shared" si="0"/>
        <v>11.079999999999998</v>
      </c>
      <c r="H16" s="21">
        <f t="shared" si="0"/>
        <v>13.44</v>
      </c>
      <c r="I16" s="21">
        <f t="shared" si="0"/>
        <v>8.69</v>
      </c>
      <c r="J16" s="21">
        <f t="shared" si="0"/>
        <v>1.08</v>
      </c>
      <c r="K16" s="21">
        <f t="shared" si="0"/>
        <v>5.0199999999999996</v>
      </c>
    </row>
    <row r="17" spans="1:11" x14ac:dyDescent="0.25">
      <c r="A17" s="11" t="s">
        <v>44</v>
      </c>
      <c r="B17" s="21">
        <f>'Data Sheet'!B67</f>
        <v>3.22</v>
      </c>
      <c r="C17" s="21">
        <f>'Data Sheet'!C67</f>
        <v>2.65</v>
      </c>
      <c r="D17" s="21">
        <f>'Data Sheet'!D67</f>
        <v>4.5</v>
      </c>
      <c r="E17" s="21">
        <f>'Data Sheet'!E67</f>
        <v>2.96</v>
      </c>
      <c r="F17" s="21">
        <f>'Data Sheet'!F67</f>
        <v>8.07</v>
      </c>
      <c r="G17" s="21">
        <f>'Data Sheet'!G67</f>
        <v>4.34</v>
      </c>
      <c r="H17" s="21">
        <f>'Data Sheet'!H67</f>
        <v>8.48</v>
      </c>
      <c r="I17" s="21">
        <f>'Data Sheet'!I67</f>
        <v>5.05</v>
      </c>
      <c r="J17" s="21">
        <f>'Data Sheet'!J67</f>
        <v>7.69</v>
      </c>
      <c r="K17" s="21">
        <f>'Data Sheet'!K67</f>
        <v>8.3699999999999992</v>
      </c>
    </row>
    <row r="18" spans="1:11" x14ac:dyDescent="0.25">
      <c r="A18" s="11" t="s">
        <v>45</v>
      </c>
      <c r="B18" s="21">
        <f>'Data Sheet'!B68</f>
        <v>5.03</v>
      </c>
      <c r="C18" s="21">
        <f>'Data Sheet'!C68</f>
        <v>5.93</v>
      </c>
      <c r="D18" s="21">
        <f>'Data Sheet'!D68</f>
        <v>7</v>
      </c>
      <c r="E18" s="21">
        <f>'Data Sheet'!E68</f>
        <v>9.16</v>
      </c>
      <c r="F18" s="21">
        <f>'Data Sheet'!F68</f>
        <v>6.91</v>
      </c>
      <c r="G18" s="21">
        <f>'Data Sheet'!G68</f>
        <v>7.82</v>
      </c>
      <c r="H18" s="21">
        <f>'Data Sheet'!H68</f>
        <v>5.59</v>
      </c>
      <c r="I18" s="21">
        <f>'Data Sheet'!I68</f>
        <v>4.3099999999999996</v>
      </c>
      <c r="J18" s="21">
        <f>'Data Sheet'!J68</f>
        <v>1.33</v>
      </c>
      <c r="K18" s="21">
        <f>'Data Sheet'!K68</f>
        <v>1.49</v>
      </c>
    </row>
    <row r="20" spans="1:11" x14ac:dyDescent="0.25">
      <c r="A20" s="11" t="s">
        <v>46</v>
      </c>
      <c r="B20" s="5">
        <f>IF('Profit &amp; Loss'!B4&gt;0,'Balance Sheet'!B17/('Profit &amp; Loss'!B4/365),0)</f>
        <v>120.17382413087935</v>
      </c>
      <c r="C20" s="5">
        <f>IF('Profit &amp; Loss'!C4&gt;0,'Balance Sheet'!C17/('Profit &amp; Loss'!C4/365),0)</f>
        <v>80.070364238410605</v>
      </c>
      <c r="D20" s="5">
        <f>IF('Profit &amp; Loss'!D4&gt;0,'Balance Sheet'!D17/('Profit &amp; Loss'!D4/365),0)</f>
        <v>78.85261641862698</v>
      </c>
      <c r="E20" s="5">
        <f>IF('Profit &amp; Loss'!E4&gt;0,'Balance Sheet'!E17/('Profit &amp; Loss'!E4/365),0)</f>
        <v>42.468553459119491</v>
      </c>
      <c r="F20" s="5">
        <f>IF('Profit &amp; Loss'!F4&gt;0,'Balance Sheet'!F17/('Profit &amp; Loss'!F4/365),0)</f>
        <v>66.521002710027105</v>
      </c>
      <c r="G20" s="5">
        <f>IF('Profit &amp; Loss'!G4&gt;0,'Balance Sheet'!G17/('Profit &amp; Loss'!G4/365),0)</f>
        <v>46.950207468879668</v>
      </c>
      <c r="H20" s="5">
        <f>IF('Profit &amp; Loss'!H4&gt;0,'Balance Sheet'!H17/('Profit &amp; Loss'!H4/365),0)</f>
        <v>94.799387442572751</v>
      </c>
      <c r="I20" s="5">
        <f>IF('Profit &amp; Loss'!I4&gt;0,'Balance Sheet'!I17/('Profit &amp; Loss'!I4/365),0)</f>
        <v>66.042637047653173</v>
      </c>
      <c r="J20" s="5">
        <f>IF('Profit &amp; Loss'!J4&gt;0,'Balance Sheet'!J17/('Profit &amp; Loss'!J4/365),0)</f>
        <v>79.133070200169172</v>
      </c>
      <c r="K20" s="5">
        <f>IF('Profit &amp; Loss'!K4&gt;0,'Balance Sheet'!K17/('Profit &amp; Loss'!K4/365),0)</f>
        <v>74.878676470588232</v>
      </c>
    </row>
    <row r="21" spans="1:11" x14ac:dyDescent="0.25">
      <c r="A21" s="11" t="s">
        <v>47</v>
      </c>
      <c r="B21" s="5">
        <f>IF('Balance Sheet'!B18&gt;0,'Profit &amp; Loss'!B4/'Balance Sheet'!B18,0)</f>
        <v>1.9443339960238566</v>
      </c>
      <c r="C21" s="5">
        <f>IF('Balance Sheet'!C18&gt;0,'Profit &amp; Loss'!C4/'Balance Sheet'!C18,0)</f>
        <v>2.037099494097808</v>
      </c>
      <c r="D21" s="5">
        <f>IF('Balance Sheet'!D18&gt;0,'Profit &amp; Loss'!D4/'Balance Sheet'!D18,0)</f>
        <v>2.9757142857142855</v>
      </c>
      <c r="E21" s="5">
        <f>IF('Balance Sheet'!E18&gt;0,'Profit &amp; Loss'!E4/'Balance Sheet'!E18,0)</f>
        <v>2.7772925764192142</v>
      </c>
      <c r="F21" s="5">
        <f>IF('Balance Sheet'!F18&gt;0,'Profit &amp; Loss'!F4/'Balance Sheet'!F18,0)</f>
        <v>6.4081041968162085</v>
      </c>
      <c r="G21" s="5">
        <f>IF('Balance Sheet'!G18&gt;0,'Profit &amp; Loss'!G4/'Balance Sheet'!G18,0)</f>
        <v>4.3145780051150897</v>
      </c>
      <c r="H21" s="5">
        <f>IF('Balance Sheet'!H18&gt;0,'Profit &amp; Loss'!H4/'Balance Sheet'!H18,0)</f>
        <v>5.8407871198568868</v>
      </c>
      <c r="I21" s="5">
        <f>IF('Balance Sheet'!I18&gt;0,'Profit &amp; Loss'!I4/'Balance Sheet'!I18,0)</f>
        <v>6.4756380510440845</v>
      </c>
      <c r="J21" s="5">
        <f>IF('Balance Sheet'!J18&gt;0,'Profit &amp; Loss'!J4/'Balance Sheet'!J18,0)</f>
        <v>26.669172932330824</v>
      </c>
      <c r="K21" s="5">
        <f>IF('Balance Sheet'!K18&gt;0,'Profit &amp; Loss'!K4/'Balance Sheet'!K18,0)</f>
        <v>27.382550335570468</v>
      </c>
    </row>
    <row r="23" spans="1:11" s="8" customFormat="1" x14ac:dyDescent="0.25">
      <c r="A23" s="8" t="s">
        <v>50</v>
      </c>
      <c r="B23" s="14">
        <f>IF(SUM('Balance Sheet'!B4:B5)&gt;0,'Profit &amp; Loss'!B12/SUM('Balance Sheet'!B4:B5),"")</f>
        <v>1.5968063872255488E-2</v>
      </c>
      <c r="C23" s="14">
        <f>IF(SUM('Balance Sheet'!C4:C5)&gt;0,'Profit &amp; Loss'!C12/SUM('Balance Sheet'!C4:C5),"")</f>
        <v>1.5717092337917484E-2</v>
      </c>
      <c r="D23" s="14">
        <f>IF(SUM('Balance Sheet'!D4:D5)&gt;0,'Profit &amp; Loss'!D12/SUM('Balance Sheet'!D4:D5),"")</f>
        <v>3.9697542533081276E-2</v>
      </c>
      <c r="E23" s="14">
        <f>IF(SUM('Balance Sheet'!E4:E5)&gt;0,'Profit &amp; Loss'!E12/SUM('Balance Sheet'!E4:E5),"")</f>
        <v>4.684684684684684E-2</v>
      </c>
      <c r="F23" s="14">
        <f>IF(SUM('Balance Sheet'!F4:F5)&gt;0,'Profit &amp; Loss'!F12/SUM('Balance Sheet'!F4:F5),"")</f>
        <v>0.12183544303797468</v>
      </c>
      <c r="G23" s="14">
        <f>IF(SUM('Balance Sheet'!G4:G5)&gt;0,'Profit &amp; Loss'!G12/SUM('Balance Sheet'!G4:G5),"")</f>
        <v>8.4057971014492749E-2</v>
      </c>
      <c r="H23" s="14">
        <f>IF(SUM('Balance Sheet'!H4:H5)&gt;0,'Profit &amp; Loss'!H12/SUM('Balance Sheet'!H4:H5),"")</f>
        <v>0.1038961038961039</v>
      </c>
      <c r="I23" s="14">
        <f>IF(SUM('Balance Sheet'!I4:I5)&gt;0,'Profit &amp; Loss'!I12/SUM('Balance Sheet'!I4:I5),"")</f>
        <v>0.10256410256410256</v>
      </c>
      <c r="J23" s="14">
        <f>IF(SUM('Balance Sheet'!J4:J5)&gt;0,'Profit &amp; Loss'!J12/SUM('Balance Sheet'!J4:J5),"")</f>
        <v>8.714133900106269E-2</v>
      </c>
      <c r="K23" s="14">
        <f>IF(SUM('Balance Sheet'!K4:K5)&gt;0,'Profit &amp; Loss'!K12/SUM('Balance Sheet'!K4:K5),"")</f>
        <v>0.27195685670261938</v>
      </c>
    </row>
    <row r="24" spans="1:11" s="8" customFormat="1" x14ac:dyDescent="0.25">
      <c r="A24" s="8" t="s">
        <v>51</v>
      </c>
      <c r="B24" s="14"/>
      <c r="C24" s="14">
        <f>IF((B4+B5+B6+C4+C5+C6)&gt;0,('Profit &amp; Loss'!C10+'Profit &amp; Loss'!C9)*2/(B4+B5+B6+C4+C5+C6),"")</f>
        <v>3.447087211306446E-2</v>
      </c>
      <c r="D24" s="14">
        <f>IF((C4+C5+C6+D4+D5+D6)&gt;0,('Profit &amp; Loss'!D10+'Profit &amp; Loss'!D9)*2/(C4+C5+C6+D4+D5+D6),"")</f>
        <v>7.7914469830111313E-2</v>
      </c>
      <c r="E24" s="14">
        <f>IF((D4+D5+D6+E4+E5+E6)&gt;0,('Profit &amp; Loss'!E10+'Profit &amp; Loss'!E9)*2/(D4+D5+D6+E4+E5+E6),"")</f>
        <v>8.518145161290322E-2</v>
      </c>
      <c r="F24" s="14">
        <f>IF((E4+E5+E6+F4+F5+F6)&gt;0,('Profit &amp; Loss'!F10+'Profit &amp; Loss'!F9)*2/(E4+E5+E6+F4+F5+F6),"")</f>
        <v>0.11714542190305208</v>
      </c>
      <c r="G24" s="14">
        <f>IF((F4+F5+F6+G4+G5+G6)&gt;0,('Profit &amp; Loss'!G10+'Profit &amp; Loss'!G9)*2/(F4+F5+F6+G4+G5+G6),"")</f>
        <v>9.425954880500334E-2</v>
      </c>
      <c r="H24" s="14">
        <f>IF((G4+G5+G6+H4+H5+H6)&gt;0,('Profit &amp; Loss'!H10+'Profit &amp; Loss'!H9)*2/(G4+G5+G6+H4+H5+H6),"")</f>
        <v>0.10740013097576948</v>
      </c>
      <c r="I24" s="14">
        <f>IF((H4+H5+H6+I4+I5+I6)&gt;0,('Profit &amp; Loss'!I10+'Profit &amp; Loss'!I9)*2/(H4+H5+H6+I4+I5+I6),"")</f>
        <v>0.11211653056720372</v>
      </c>
      <c r="J24" s="14">
        <f>IF((I4+I5+I6+J4+J5+J6)&gt;0,('Profit &amp; Loss'!J10+'Profit &amp; Loss'!J9)*2/(I4+I5+I6+J4+J5+J6),"")</f>
        <v>0.23115860517435322</v>
      </c>
      <c r="K24" s="14">
        <f>IF((J4+J5+J6+K4+K5+K6)&gt;0,('Profit &amp; Loss'!K10+'Profit &amp; Loss'!K9)*2/(J4+J5+J6+K4+K5+K6),"")</f>
        <v>0.35441527446300725</v>
      </c>
    </row>
    <row r="25" spans="1:11" s="18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4"/>
  <sheetViews>
    <sheetView zoomScale="115" zoomScaleNormal="115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6.85546875" style="6" bestFit="1" customWidth="1"/>
    <col min="2" max="6" width="13.42578125" style="6" customWidth="1"/>
    <col min="7" max="11" width="13.42578125" style="6" bestFit="1" customWidth="1"/>
    <col min="12" max="16384" width="8.85546875" style="6"/>
  </cols>
  <sheetData>
    <row r="1" spans="1:11" s="8" customFormat="1" x14ac:dyDescent="0.25">
      <c r="A1" s="8" t="str">
        <f>'Balance Sheet'!A1</f>
        <v>AURO LABORATORIES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39903</v>
      </c>
      <c r="C3" s="16">
        <f>'Data Sheet'!C81</f>
        <v>40268</v>
      </c>
      <c r="D3" s="16">
        <f>'Data Sheet'!D81</f>
        <v>40633</v>
      </c>
      <c r="E3" s="16">
        <f>'Data Sheet'!E81</f>
        <v>40999</v>
      </c>
      <c r="F3" s="16">
        <f>'Data Sheet'!F81</f>
        <v>41364</v>
      </c>
      <c r="G3" s="16">
        <f>'Data Sheet'!G81</f>
        <v>41729</v>
      </c>
      <c r="H3" s="16">
        <f>'Data Sheet'!H81</f>
        <v>42094</v>
      </c>
      <c r="I3" s="16">
        <f>'Data Sheet'!I81</f>
        <v>42460</v>
      </c>
      <c r="J3" s="16">
        <f>'Data Sheet'!J81</f>
        <v>42825</v>
      </c>
      <c r="K3" s="16">
        <f>'Data Sheet'!K81</f>
        <v>43190</v>
      </c>
    </row>
    <row r="4" spans="1:11" s="8" customFormat="1" x14ac:dyDescent="0.25">
      <c r="A4" s="8" t="s">
        <v>32</v>
      </c>
      <c r="B4" s="1">
        <f>'Data Sheet'!B82</f>
        <v>-0.68</v>
      </c>
      <c r="C4" s="1">
        <f>'Data Sheet'!C82</f>
        <v>-0.01</v>
      </c>
      <c r="D4" s="1">
        <f>'Data Sheet'!D82</f>
        <v>-0.47</v>
      </c>
      <c r="E4" s="1">
        <f>'Data Sheet'!E82</f>
        <v>2.5</v>
      </c>
      <c r="F4" s="1">
        <f>'Data Sheet'!F82</f>
        <v>1.46</v>
      </c>
      <c r="G4" s="1">
        <f>'Data Sheet'!G82</f>
        <v>4.4800000000000004</v>
      </c>
      <c r="H4" s="1">
        <f>'Data Sheet'!H82</f>
        <v>-0.78</v>
      </c>
      <c r="I4" s="1">
        <f>'Data Sheet'!I82</f>
        <v>7.88</v>
      </c>
      <c r="J4" s="1">
        <f>'Data Sheet'!J82</f>
        <v>6.49</v>
      </c>
      <c r="K4" s="1">
        <f>'Data Sheet'!K82</f>
        <v>6.05</v>
      </c>
    </row>
    <row r="5" spans="1:11" x14ac:dyDescent="0.25">
      <c r="A5" s="6" t="s">
        <v>33</v>
      </c>
      <c r="B5" s="9">
        <f>'Data Sheet'!B83</f>
        <v>-0.95</v>
      </c>
      <c r="C5" s="9">
        <f>'Data Sheet'!C83</f>
        <v>-1.85</v>
      </c>
      <c r="D5" s="9">
        <f>'Data Sheet'!D83</f>
        <v>-0.82</v>
      </c>
      <c r="E5" s="9">
        <f>'Data Sheet'!E83</f>
        <v>-3.75</v>
      </c>
      <c r="F5" s="9">
        <f>'Data Sheet'!F83</f>
        <v>-0.52</v>
      </c>
      <c r="G5" s="9">
        <f>'Data Sheet'!G83</f>
        <v>-0.56000000000000005</v>
      </c>
      <c r="H5" s="9">
        <f>'Data Sheet'!H83</f>
        <v>-0.73</v>
      </c>
      <c r="I5" s="9">
        <f>'Data Sheet'!I83</f>
        <v>-2.44</v>
      </c>
      <c r="J5" s="9">
        <f>'Data Sheet'!J83</f>
        <v>-2.2000000000000002</v>
      </c>
      <c r="K5" s="9">
        <f>'Data Sheet'!K83</f>
        <v>-3.04</v>
      </c>
    </row>
    <row r="6" spans="1:11" x14ac:dyDescent="0.25">
      <c r="A6" s="6" t="s">
        <v>34</v>
      </c>
      <c r="B6" s="9">
        <f>'Data Sheet'!B84</f>
        <v>1.63</v>
      </c>
      <c r="C6" s="9">
        <f>'Data Sheet'!C84</f>
        <v>2.48</v>
      </c>
      <c r="D6" s="9">
        <f>'Data Sheet'!D84</f>
        <v>1.17</v>
      </c>
      <c r="E6" s="9">
        <f>'Data Sheet'!E84</f>
        <v>1.01</v>
      </c>
      <c r="F6" s="9">
        <f>'Data Sheet'!F84</f>
        <v>-0.79</v>
      </c>
      <c r="G6" s="9">
        <f>'Data Sheet'!G84</f>
        <v>-2.99</v>
      </c>
      <c r="H6" s="9">
        <f>'Data Sheet'!H84</f>
        <v>0.53</v>
      </c>
      <c r="I6" s="9">
        <f>'Data Sheet'!I84</f>
        <v>-5.34</v>
      </c>
      <c r="J6" s="9">
        <f>'Data Sheet'!J84</f>
        <v>-3.81</v>
      </c>
      <c r="K6" s="9">
        <f>'Data Sheet'!K84</f>
        <v>-1.77</v>
      </c>
    </row>
    <row r="7" spans="1:11" s="8" customFormat="1" x14ac:dyDescent="0.25">
      <c r="A7" s="8" t="s">
        <v>35</v>
      </c>
      <c r="B7" s="1">
        <f>'Data Sheet'!B85</f>
        <v>0</v>
      </c>
      <c r="C7" s="1">
        <f>'Data Sheet'!C85</f>
        <v>0.62</v>
      </c>
      <c r="D7" s="1">
        <f>'Data Sheet'!D85</f>
        <v>-0.12</v>
      </c>
      <c r="E7" s="1">
        <f>'Data Sheet'!E85</f>
        <v>-0.24</v>
      </c>
      <c r="F7" s="1">
        <f>'Data Sheet'!F85</f>
        <v>0.15</v>
      </c>
      <c r="G7" s="1">
        <f>'Data Sheet'!G85</f>
        <v>0.93</v>
      </c>
      <c r="H7" s="1">
        <f>'Data Sheet'!H85</f>
        <v>-0.98</v>
      </c>
      <c r="I7" s="1">
        <f>'Data Sheet'!I85</f>
        <v>0.09</v>
      </c>
      <c r="J7" s="1">
        <f>'Data Sheet'!J85</f>
        <v>0.47</v>
      </c>
      <c r="K7" s="1">
        <f>'Data Sheet'!K85</f>
        <v>1.24</v>
      </c>
    </row>
    <row r="8" spans="1:11" x14ac:dyDescent="0.25">
      <c r="A8" s="25"/>
      <c r="B8" s="9"/>
      <c r="C8" s="9"/>
      <c r="D8" s="9"/>
      <c r="E8" s="9"/>
      <c r="F8" s="9"/>
      <c r="G8" s="9"/>
      <c r="H8" s="9"/>
      <c r="I8" s="9"/>
      <c r="J8" s="9"/>
      <c r="K8" s="9"/>
    </row>
    <row r="24" s="25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02"/>
  <sheetViews>
    <sheetView tabSelected="1" topLeftCell="A77" zoomScale="115" zoomScaleNormal="115" zoomScalePageLayoutView="150" workbookViewId="0">
      <selection activeCell="B72" sqref="B72"/>
    </sheetView>
  </sheetViews>
  <sheetFormatPr defaultColWidth="8.7109375" defaultRowHeight="15" x14ac:dyDescent="0.25"/>
  <cols>
    <col min="1" max="1" width="33.7109375" style="91" customWidth="1"/>
    <col min="2" max="2" width="14.7109375" style="29" customWidth="1"/>
    <col min="3" max="3" width="14.85546875" style="29" customWidth="1"/>
    <col min="4" max="4" width="18" style="29" customWidth="1"/>
    <col min="5" max="8" width="10.42578125" style="29" customWidth="1"/>
    <col min="9" max="9" width="10.140625" style="29" customWidth="1"/>
    <col min="10" max="10" width="10.7109375" style="29" customWidth="1"/>
    <col min="11" max="11" width="11.140625" style="29" customWidth="1"/>
    <col min="12" max="12" width="14.7109375" style="29" customWidth="1"/>
    <col min="13" max="13" width="23.28515625" style="29" customWidth="1"/>
    <col min="14" max="20" width="11.140625" style="29" customWidth="1"/>
    <col min="21" max="16384" width="8.7109375" style="29"/>
  </cols>
  <sheetData>
    <row r="1" spans="1:14" x14ac:dyDescent="0.25">
      <c r="A1" s="81" t="str">
        <f>'Data Sheet'!B1</f>
        <v>AURO LABORATORIES LTD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M2" s="29" t="s">
        <v>121</v>
      </c>
    </row>
    <row r="3" spans="1:14" ht="15" customHeight="1" x14ac:dyDescent="0.25">
      <c r="A3" s="107"/>
      <c r="M3" s="29" t="s">
        <v>121</v>
      </c>
    </row>
    <row r="4" spans="1:14" ht="30" customHeight="1" x14ac:dyDescent="0.25">
      <c r="A4" s="45"/>
      <c r="B4" s="45" t="s">
        <v>122</v>
      </c>
      <c r="C4" s="45" t="s">
        <v>123</v>
      </c>
      <c r="D4" s="45" t="s">
        <v>124</v>
      </c>
      <c r="F4" s="138" t="s">
        <v>125</v>
      </c>
      <c r="G4" s="138"/>
      <c r="H4" s="138"/>
      <c r="I4" s="138"/>
      <c r="J4" s="138"/>
      <c r="K4" s="138"/>
      <c r="M4" s="138" t="s">
        <v>126</v>
      </c>
      <c r="N4" s="139"/>
    </row>
    <row r="5" spans="1:14" ht="15" customHeight="1" x14ac:dyDescent="0.25">
      <c r="A5" s="108" t="s">
        <v>127</v>
      </c>
      <c r="B5" s="46">
        <f>'Calculated Data'!K11-'Calculated Data'!B11</f>
        <v>7.97</v>
      </c>
      <c r="C5" s="46">
        <f>'Calculated Data'!K26-'Calculated Data'!B26</f>
        <v>55.362333332249996</v>
      </c>
      <c r="D5" s="47">
        <f>C5/B5</f>
        <v>6.9463404431932245</v>
      </c>
      <c r="F5" s="48"/>
      <c r="G5" s="49" t="s">
        <v>128</v>
      </c>
      <c r="H5" s="49" t="s">
        <v>129</v>
      </c>
      <c r="I5" s="50" t="s">
        <v>109</v>
      </c>
      <c r="J5" s="50" t="s">
        <v>130</v>
      </c>
      <c r="K5" s="50" t="s">
        <v>131</v>
      </c>
      <c r="M5" s="51" t="s">
        <v>132</v>
      </c>
      <c r="N5" s="52">
        <v>0.09</v>
      </c>
    </row>
    <row r="6" spans="1:14" ht="15" customHeight="1" x14ac:dyDescent="0.25">
      <c r="A6" s="108" t="s">
        <v>133</v>
      </c>
      <c r="B6" s="46">
        <f>'Calculated Data'!K11-'Calculated Data'!E11</f>
        <v>7.43</v>
      </c>
      <c r="C6" s="46">
        <f>'Calculated Data'!K26-'Calculated Data'!E26</f>
        <v>53.540946285749996</v>
      </c>
      <c r="D6" s="47">
        <f>C6/B6</f>
        <v>7.2060492982166888</v>
      </c>
      <c r="F6" s="53" t="s">
        <v>134</v>
      </c>
      <c r="G6" s="54">
        <f>MIN('Calculated Data'!B31:K31)</f>
        <v>6.0061137862500003</v>
      </c>
      <c r="H6" s="54">
        <f>MIN('Calculated Data'!B32:K32)</f>
        <v>0.334120841766467</v>
      </c>
      <c r="I6" s="54">
        <f>MIN('Calculated Data'!B35:K35)</f>
        <v>6.035125190263158</v>
      </c>
      <c r="J6" s="54">
        <f>MIN('Calculated Data'!B34:K34)</f>
        <v>0.11322189662863069</v>
      </c>
      <c r="K6" s="55">
        <f>MAX('Calculated Data'!B36:K36)</f>
        <v>0</v>
      </c>
      <c r="M6" s="56" t="s">
        <v>135</v>
      </c>
      <c r="N6" s="54">
        <f>('Profit &amp; Loss'!$L$10/'Data Sheet'!$B$61)/N5</f>
        <v>4.1013694762106452</v>
      </c>
    </row>
    <row r="7" spans="1:14" ht="15" customHeight="1" x14ac:dyDescent="0.25">
      <c r="A7" s="108" t="s">
        <v>136</v>
      </c>
      <c r="B7" s="46">
        <f>'Calculated Data'!K11-'Calculated Data'!G11</f>
        <v>6.08</v>
      </c>
      <c r="C7" s="46">
        <f>'Calculated Data'!K26-'Calculated Data'!G26</f>
        <v>53.216171957249998</v>
      </c>
      <c r="D7" s="47">
        <f>C7/B7</f>
        <v>8.7526598613898017</v>
      </c>
      <c r="F7" s="53" t="s">
        <v>137</v>
      </c>
      <c r="G7" s="54">
        <f>MAX('Calculated Data'!B31:K31)</f>
        <v>32.732926396874994</v>
      </c>
      <c r="H7" s="54">
        <f>MAX('Calculated Data'!B32:K32)</f>
        <v>4.3941663135208007</v>
      </c>
      <c r="I7" s="54">
        <f>MAX('Calculated Data'!B35:K35)</f>
        <v>15.200754894940475</v>
      </c>
      <c r="J7" s="54">
        <f>MAX('Calculated Data'!B34:K34)</f>
        <v>1.3979480085661766</v>
      </c>
      <c r="K7" s="55">
        <f>MIN('Calculated Data'!B36:K36)</f>
        <v>0</v>
      </c>
      <c r="M7" s="57" t="s">
        <v>138</v>
      </c>
      <c r="N7" s="55">
        <f>('Profit &amp; Loss'!$L$6/'Data Sheet'!$B$6)/'Data Sheet'!$B$8</f>
        <v>0.18520518358531318</v>
      </c>
    </row>
    <row r="8" spans="1:14" ht="15" customHeight="1" x14ac:dyDescent="0.25">
      <c r="A8" s="108" t="s">
        <v>139</v>
      </c>
      <c r="B8" s="46">
        <f>'Calculated Data'!K11-'Calculated Data'!I11</f>
        <v>4.4000000000000004</v>
      </c>
      <c r="C8" s="46">
        <f>'Calculated Data'!K26-'Calculated Data'!I26</f>
        <v>42.490316180249998</v>
      </c>
      <c r="D8" s="47">
        <f>C8/B8</f>
        <v>9.6568900409659086</v>
      </c>
      <c r="F8" s="53" t="s">
        <v>140</v>
      </c>
      <c r="G8" s="54">
        <f>'Data Sheet'!B8/'Profit &amp; Loss'!L13</f>
        <v>7.5901639344262293</v>
      </c>
      <c r="H8" s="54">
        <f>'Calculated Data'!L26/'Calculated Data'!K11</f>
        <v>2.8536209553158702</v>
      </c>
      <c r="I8" s="54">
        <f>'Calculated Data'!K35</f>
        <v>8.8742763827510913</v>
      </c>
      <c r="J8" s="54">
        <f>'Calculated Data'!L26/'Data Sheet'!K17</f>
        <v>0.90784313725490196</v>
      </c>
      <c r="K8" s="55">
        <f>'Data Sheet'!K31/'Calculated Data'!L26</f>
        <v>0</v>
      </c>
      <c r="M8" s="50"/>
      <c r="N8" s="58"/>
    </row>
    <row r="9" spans="1:14" ht="15" customHeight="1" x14ac:dyDescent="0.25">
      <c r="A9" s="108" t="s">
        <v>141</v>
      </c>
      <c r="B9" s="46">
        <f>'Calculated Data'!K11-'Calculated Data'!J11</f>
        <v>3.5700000000000003</v>
      </c>
      <c r="C9" s="46">
        <f>'Calculated Data'!K26-'Calculated Data'!J26</f>
        <v>30.945065526</v>
      </c>
      <c r="D9" s="47">
        <f>C9/B9</f>
        <v>8.6680855815126048</v>
      </c>
      <c r="F9" s="48"/>
      <c r="G9" s="59"/>
      <c r="H9" s="48"/>
      <c r="I9" s="48"/>
      <c r="J9" s="48"/>
      <c r="K9" s="48"/>
      <c r="M9" s="60" t="s">
        <v>121</v>
      </c>
      <c r="N9" s="48"/>
    </row>
    <row r="10" spans="1:14" ht="15" customHeight="1" x14ac:dyDescent="0.25">
      <c r="A10" s="140" t="s">
        <v>142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4" ht="15" customHeight="1" x14ac:dyDescent="0.25">
      <c r="A11" s="109"/>
      <c r="B11" s="61"/>
      <c r="C11" s="61"/>
      <c r="D11" s="61"/>
      <c r="E11" s="61"/>
      <c r="F11" s="61"/>
      <c r="G11" s="61"/>
      <c r="H11" s="61"/>
      <c r="I11" s="61"/>
      <c r="J11" s="61"/>
    </row>
    <row r="12" spans="1:14" x14ac:dyDescent="0.25">
      <c r="A12" s="45" t="str">
        <f>A1</f>
        <v>AURO LABORATORIES LTD</v>
      </c>
      <c r="B12" s="16" t="s">
        <v>143</v>
      </c>
      <c r="C12" s="16" t="s">
        <v>144</v>
      </c>
      <c r="D12" s="16" t="s">
        <v>82</v>
      </c>
      <c r="E12" s="16" t="s">
        <v>85</v>
      </c>
      <c r="F12" s="16" t="s">
        <v>145</v>
      </c>
      <c r="G12" s="16" t="s">
        <v>146</v>
      </c>
      <c r="H12" s="16" t="s">
        <v>147</v>
      </c>
      <c r="I12" s="16" t="s">
        <v>148</v>
      </c>
      <c r="J12" s="16" t="s">
        <v>149</v>
      </c>
      <c r="K12" s="16" t="s">
        <v>150</v>
      </c>
      <c r="L12" s="16" t="s">
        <v>151</v>
      </c>
    </row>
    <row r="13" spans="1:14" x14ac:dyDescent="0.25">
      <c r="A13" s="110" t="s">
        <v>152</v>
      </c>
      <c r="B13" s="62">
        <f>POWER('Data Sheet'!$K17/'Data Sheet'!$B17, 1/9)-1</f>
        <v>0.17199184511824273</v>
      </c>
      <c r="C13" s="62">
        <f>POWER('Calculated Data'!$K4/'Calculated Data'!$B4, 1/9)-1</f>
        <v>0.27678191405300967</v>
      </c>
      <c r="D13" s="62">
        <f>POWER('Calculated Data'!$K5/'Calculated Data'!$B5, 1/9)-1</f>
        <v>0.32559190406715999</v>
      </c>
      <c r="E13" s="62">
        <f>POWER('Calculated Data'!$K8/'Calculated Data'!$B8, 1/9)-1</f>
        <v>0.52315025136715931</v>
      </c>
      <c r="F13" s="62" t="e">
        <f>POWER('Calculated Data'!$K9/'Calculated Data'!$B9, 1/9)-1</f>
        <v>#DIV/0!</v>
      </c>
      <c r="G13" s="62">
        <f>POWER('Calculated Data'!$K24/'Calculated Data'!$B24, 1/9)-1</f>
        <v>-2.0728119991180201</v>
      </c>
      <c r="H13" s="62">
        <f>POWER('Calculated Data'!$K26/'Calculated Data'!$B26, 1/9)-1</f>
        <v>0.48002061807726348</v>
      </c>
      <c r="I13" s="62">
        <f>POWER('Calculated Data'!$K17/'Calculated Data'!$B17, 1/9)-1</f>
        <v>-2.2748874005651465</v>
      </c>
      <c r="J13" s="62" t="e">
        <f>POWER('Calculated Data'!$K19/'Calculated Data'!$C19, 1/8)-1</f>
        <v>#NUM!</v>
      </c>
      <c r="K13" s="62">
        <f>POWER('Calculated Data'!$K11/'Calculated Data'!$B11, 1/9)-1</f>
        <v>0.11157159604373867</v>
      </c>
      <c r="L13" s="62">
        <f>POWER('Calculated Data'!$K27/'Calculated Data'!$B27, 1/9)-1</f>
        <v>0.48002061807726348</v>
      </c>
    </row>
    <row r="14" spans="1:14" x14ac:dyDescent="0.25">
      <c r="A14" s="110" t="s">
        <v>153</v>
      </c>
      <c r="B14" s="62">
        <f>POWER('Data Sheet'!$K17/'Data Sheet'!$G17, 1/4)-1</f>
        <v>4.8645677923589536E-2</v>
      </c>
      <c r="C14" s="62">
        <f>POWER('Calculated Data'!$K4/'Calculated Data'!$G4, 1/4)-1</f>
        <v>0.15244606426202134</v>
      </c>
      <c r="D14" s="62">
        <f>POWER('Calculated Data'!$K5/'Calculated Data'!$G5, 1/4)-1</f>
        <v>0.29531679745254391</v>
      </c>
      <c r="E14" s="62">
        <f>POWER('Calculated Data'!$K8/'Calculated Data'!$G8, 1/4)-1</f>
        <v>0.57067625391260668</v>
      </c>
      <c r="F14" s="62" t="e">
        <f>POWER('Calculated Data'!$K9/'Calculated Data'!$G9, 1/4)-1</f>
        <v>#DIV/0!</v>
      </c>
      <c r="G14" s="62" t="e">
        <f>POWER('Calculated Data'!$K24/'Calculated Data'!$G24, 1/4)-1</f>
        <v>#NUM!</v>
      </c>
      <c r="H14" s="62">
        <f>POWER('Calculated Data'!$K26/'Calculated Data'!$G26, 1/4)-1</f>
        <v>0.96570761337860689</v>
      </c>
      <c r="I14" s="62">
        <f>POWER('Calculated Data'!$K17/'Calculated Data'!$G17, 1/4)-1</f>
        <v>7.8001437963655995E-2</v>
      </c>
      <c r="J14" s="62">
        <f>POWER('Calculated Data'!$K19/'Calculated Data'!$G19, 1/4)-1</f>
        <v>2.5621738654276305E-2</v>
      </c>
      <c r="K14" s="62">
        <f>POWER('Calculated Data'!$K11/'Calculated Data'!$G11, 1/4)-1</f>
        <v>0.17113349025249991</v>
      </c>
      <c r="L14" s="62">
        <f>POWER('Calculated Data'!$K27/'Calculated Data'!$G27, 1/4)-1</f>
        <v>0.96570761337860689</v>
      </c>
    </row>
    <row r="15" spans="1:14" x14ac:dyDescent="0.25">
      <c r="A15" s="110" t="s">
        <v>154</v>
      </c>
      <c r="B15" s="62">
        <f>POWER('Data Sheet'!$K17/'Data Sheet'!$I17, 1/2)-1</f>
        <v>0.20906643069063935</v>
      </c>
      <c r="C15" s="62">
        <f>POWER('Calculated Data'!$K4/'Calculated Data'!$I4, 1/2)-1</f>
        <v>0.18314265389354967</v>
      </c>
      <c r="D15" s="62">
        <f>POWER('Calculated Data'!$K5/'Calculated Data'!$I5, 1/2)-1</f>
        <v>0.52924251744625339</v>
      </c>
      <c r="E15" s="62">
        <f>POWER('Calculated Data'!$K8/'Calculated Data'!$I8, 1/2)-1</f>
        <v>1.0028388942607531</v>
      </c>
      <c r="F15" s="62" t="e">
        <f>POWER('Calculated Data'!$K9/'Calculated Data'!$I9, 1/2)-1</f>
        <v>#DIV/0!</v>
      </c>
      <c r="G15" s="62">
        <f>POWER('Calculated Data'!$K24/'Calculated Data'!$I24, 1/2)-1</f>
        <v>31.805345565536896</v>
      </c>
      <c r="H15" s="62">
        <f>POWER('Calculated Data'!$K26/'Calculated Data'!$I26, 1/2)-1</f>
        <v>0.98017858107394606</v>
      </c>
      <c r="I15" s="62">
        <f>POWER('Calculated Data'!$K17/'Calculated Data'!$I17, 1/2)-1</f>
        <v>-0.12377714166889653</v>
      </c>
      <c r="J15" s="62">
        <f>POWER('Calculated Data'!$K19/'Calculated Data'!$I19, 1/2)-1</f>
        <v>-0.10849782983832001</v>
      </c>
      <c r="K15" s="62">
        <f>POWER('Calculated Data'!$K11/'Calculated Data'!$I11, 1/2)-1</f>
        <v>0.22996768771399556</v>
      </c>
      <c r="L15" s="62">
        <f>POWER('Calculated Data'!$K27/'Calculated Data'!$I27, 1/2)-1</f>
        <v>0.98017858107394606</v>
      </c>
    </row>
    <row r="16" spans="1:14" x14ac:dyDescent="0.25">
      <c r="A16" s="110" t="s">
        <v>155</v>
      </c>
      <c r="B16" s="62">
        <f>('Data Sheet'!$K17-'Data Sheet'!$J17)/'Data Sheet'!$J17</f>
        <v>0.15026783197067942</v>
      </c>
      <c r="C16" s="62">
        <f>('Calculated Data'!$K4-'Calculated Data'!$J4)/'Calculated Data'!$J4</f>
        <v>4.8732943469785343E-2</v>
      </c>
      <c r="D16" s="62">
        <f>('Calculated Data'!$K5-'Calculated Data'!$J5)/'Calculated Data'!$J5</f>
        <v>0.4452554744525547</v>
      </c>
      <c r="E16" s="62">
        <f>('Calculated Data'!$K8-'Calculated Data'!$J8)/'Calculated Data'!$J8</f>
        <v>3.3048780487804881</v>
      </c>
      <c r="F16" s="62" t="e">
        <f>('Calculated Data'!$K9-'Calculated Data'!$J9)/'Calculated Data'!$J9</f>
        <v>#DIV/0!</v>
      </c>
      <c r="G16" s="62">
        <f>('Calculated Data'!$K24-'Calculated Data'!$J24)/'Calculated Data'!$J24</f>
        <v>-4.7963476244658061</v>
      </c>
      <c r="H16" s="62">
        <f>('Calculated Data'!$K26-'Calculated Data'!$J26)/'Calculated Data'!$J26</f>
        <v>1.1860339824339101</v>
      </c>
      <c r="I16" s="62">
        <f>('Calculated Data'!$K17-'Calculated Data'!$J17)/'Calculated Data'!$J17</f>
        <v>-6.7796610169491581E-2</v>
      </c>
      <c r="J16" s="62">
        <f>('Calculated Data'!$K19-'Calculated Data'!$J19)/'Calculated Data'!$J19</f>
        <v>-0.12345679012345705</v>
      </c>
      <c r="K16" s="62">
        <f>('Calculated Data'!$K11-'Calculated Data'!$J11)/'Calculated Data'!$J11</f>
        <v>0.3793836344314559</v>
      </c>
      <c r="L16" s="62">
        <f>('Calculated Data'!$K27-'Calculated Data'!$J27)/'Calculated Data'!$J27</f>
        <v>1.1860339824339101</v>
      </c>
    </row>
    <row r="17" spans="1:13" x14ac:dyDescent="0.25">
      <c r="A17" s="89" t="s">
        <v>156</v>
      </c>
      <c r="B17" s="63"/>
    </row>
    <row r="18" spans="1:13" x14ac:dyDescent="0.25">
      <c r="A18" s="45" t="str">
        <f>A1</f>
        <v>AURO LABORATORIES LTD</v>
      </c>
      <c r="B18" s="16">
        <f>'Data Sheet'!B16</f>
        <v>39903</v>
      </c>
      <c r="C18" s="16">
        <f>'Data Sheet'!C16</f>
        <v>40268</v>
      </c>
      <c r="D18" s="16">
        <f>'Data Sheet'!D16</f>
        <v>40633</v>
      </c>
      <c r="E18" s="16">
        <f>'Data Sheet'!E16</f>
        <v>40999</v>
      </c>
      <c r="F18" s="16">
        <f>'Data Sheet'!F16</f>
        <v>41364</v>
      </c>
      <c r="G18" s="16">
        <f>'Data Sheet'!G16</f>
        <v>41729</v>
      </c>
      <c r="H18" s="16">
        <f>'Data Sheet'!H16</f>
        <v>42094</v>
      </c>
      <c r="I18" s="16">
        <f>'Data Sheet'!I16</f>
        <v>42460</v>
      </c>
      <c r="J18" s="16">
        <f>'Data Sheet'!J16</f>
        <v>42825</v>
      </c>
      <c r="K18" s="16">
        <f>'Data Sheet'!K16</f>
        <v>43190</v>
      </c>
      <c r="L18" s="16"/>
      <c r="M18" s="29" t="s">
        <v>157</v>
      </c>
    </row>
    <row r="19" spans="1:13" ht="30" x14ac:dyDescent="0.25">
      <c r="A19" s="110" t="s">
        <v>158</v>
      </c>
      <c r="B19" s="64">
        <f>'Calculated Data'!B15/'Calculated Data'!B11</f>
        <v>3.141716566866267</v>
      </c>
      <c r="C19" s="64">
        <f>'Calculated Data'!C15/'Calculated Data'!C11</f>
        <v>3.6208251473477402</v>
      </c>
      <c r="D19" s="64">
        <f>'Calculated Data'!D15/'Calculated Data'!D11</f>
        <v>4.2117202268430995</v>
      </c>
      <c r="E19" s="64">
        <f>'Calculated Data'!E15/'Calculated Data'!E11</f>
        <v>4.8126126126126119</v>
      </c>
      <c r="F19" s="64">
        <f>'Calculated Data'!F15/'Calculated Data'!F11</f>
        <v>4.7183544303797467</v>
      </c>
      <c r="G19" s="64">
        <f>'Calculated Data'!G15/'Calculated Data'!G11</f>
        <v>3.8898550724637677</v>
      </c>
      <c r="H19" s="64">
        <f>'Calculated Data'!H15/'Calculated Data'!H11</f>
        <v>3.7376623376623379</v>
      </c>
      <c r="I19" s="64">
        <f>'Calculated Data'!I15/'Calculated Data'!I11</f>
        <v>2.9941724941724943</v>
      </c>
      <c r="J19" s="64">
        <f>'Calculated Data'!J15/'Calculated Data'!J11</f>
        <v>2.8490967056323058</v>
      </c>
      <c r="K19" s="64">
        <f>'Calculated Data'!K15/'Calculated Data'!K11</f>
        <v>2.342835130970724</v>
      </c>
      <c r="L19" s="29" t="s">
        <v>121</v>
      </c>
    </row>
    <row r="20" spans="1:13" x14ac:dyDescent="0.25">
      <c r="A20" s="110" t="s">
        <v>159</v>
      </c>
      <c r="B20" s="64">
        <f>'Data Sheet'!B59/'Data Sheet'!B30</f>
        <v>100.625</v>
      </c>
      <c r="C20" s="64">
        <f>'Data Sheet'!C59/'Data Sheet'!C30</f>
        <v>135.75</v>
      </c>
      <c r="D20" s="64">
        <f>'Data Sheet'!D59/'Data Sheet'!D30</f>
        <v>61.428571428571431</v>
      </c>
      <c r="E20" s="64">
        <f>'Data Sheet'!E59/'Data Sheet'!E30</f>
        <v>61.307692307692307</v>
      </c>
      <c r="F20" s="64">
        <f>'Data Sheet'!F59/'Data Sheet'!F30</f>
        <v>21.753246753246753</v>
      </c>
      <c r="G20" s="64">
        <f>'Data Sheet'!G59/'Data Sheet'!G30</f>
        <v>25.517241379310349</v>
      </c>
      <c r="H20" s="64">
        <f>'Data Sheet'!H59/'Data Sheet'!H30</f>
        <v>20.512499999999999</v>
      </c>
      <c r="I20" s="64">
        <f>'Data Sheet'!I59/'Data Sheet'!I30</f>
        <v>14.34090909090909</v>
      </c>
      <c r="J20" s="64">
        <f>'Data Sheet'!J59/'Data Sheet'!J30</f>
        <v>6.036585365853659</v>
      </c>
      <c r="K20" s="64">
        <f>'Data Sheet'!K59/'Data Sheet'!K30</f>
        <v>1.7507082152974505</v>
      </c>
    </row>
    <row r="21" spans="1:13" x14ac:dyDescent="0.25">
      <c r="A21" s="110" t="s">
        <v>160</v>
      </c>
      <c r="B21" s="64">
        <f>'Data Sheet'!B60/'Data Sheet'!B30</f>
        <v>33.5</v>
      </c>
      <c r="C21" s="64">
        <f>'Data Sheet'!C60/'Data Sheet'!C30</f>
        <v>31</v>
      </c>
      <c r="D21" s="64">
        <f>'Data Sheet'!D60/'Data Sheet'!D30</f>
        <v>19.476190476190474</v>
      </c>
      <c r="E21" s="64">
        <f>'Data Sheet'!E60/'Data Sheet'!E30</f>
        <v>20.076923076923077</v>
      </c>
      <c r="F21" s="64">
        <f>'Data Sheet'!F60/'Data Sheet'!F30</f>
        <v>8.7662337662337659</v>
      </c>
      <c r="G21" s="64">
        <f>'Data Sheet'!G60/'Data Sheet'!G30</f>
        <v>8.862068965517242</v>
      </c>
      <c r="H21" s="64">
        <f>'Data Sheet'!H60/'Data Sheet'!H30</f>
        <v>5.8374999999999995</v>
      </c>
      <c r="I21" s="64">
        <f>'Data Sheet'!I60/'Data Sheet'!I30</f>
        <v>5.1022727272727275</v>
      </c>
      <c r="J21" s="64">
        <f>'Data Sheet'!J60/'Data Sheet'!J30</f>
        <v>15.182926829268293</v>
      </c>
      <c r="K21" s="64">
        <f>'Data Sheet'!K60/'Data Sheet'!K30</f>
        <v>3.1869688385269122</v>
      </c>
    </row>
    <row r="22" spans="1:13" x14ac:dyDescent="0.25">
      <c r="A22" s="110" t="s">
        <v>161</v>
      </c>
      <c r="B22" s="64">
        <f>('Data Sheet'!B59+'Data Sheet'!B60)/'Data Sheet'!B30</f>
        <v>134.125</v>
      </c>
      <c r="C22" s="64">
        <f>('Data Sheet'!C59+'Data Sheet'!C60)/'Data Sheet'!C30</f>
        <v>166.75</v>
      </c>
      <c r="D22" s="64">
        <f>('Data Sheet'!D59+'Data Sheet'!D60)/'Data Sheet'!D30</f>
        <v>80.904761904761912</v>
      </c>
      <c r="E22" s="64">
        <f>('Data Sheet'!E59+'Data Sheet'!E60)/'Data Sheet'!E30</f>
        <v>81.384615384615387</v>
      </c>
      <c r="F22" s="64">
        <f>('Data Sheet'!F59+'Data Sheet'!F60)/'Data Sheet'!F30</f>
        <v>30.519480519480521</v>
      </c>
      <c r="G22" s="64">
        <f>('Data Sheet'!G59+'Data Sheet'!G60)/'Data Sheet'!G30</f>
        <v>34.379310344827594</v>
      </c>
      <c r="H22" s="64">
        <f>('Data Sheet'!H59+'Data Sheet'!H60)/'Data Sheet'!H30</f>
        <v>26.349999999999998</v>
      </c>
      <c r="I22" s="64">
        <f>('Data Sheet'!I59+'Data Sheet'!I60)/'Data Sheet'!I30</f>
        <v>19.443181818181817</v>
      </c>
      <c r="J22" s="64">
        <f>('Data Sheet'!J59+'Data Sheet'!J60)/'Data Sheet'!J30</f>
        <v>21.219512195121951</v>
      </c>
      <c r="K22" s="64">
        <f>('Data Sheet'!K59+'Data Sheet'!K60)/'Data Sheet'!K30</f>
        <v>4.9376770538243626</v>
      </c>
      <c r="L22" s="65"/>
    </row>
    <row r="23" spans="1:13" x14ac:dyDescent="0.25">
      <c r="A23" s="111" t="s">
        <v>162</v>
      </c>
      <c r="B23" s="64">
        <f>'Data Sheet'!B59/'Calculated Data'!B11</f>
        <v>1.6067864271457084</v>
      </c>
      <c r="C23" s="64">
        <f>'Data Sheet'!C59/'Calculated Data'!C11</f>
        <v>2.1335952848722983</v>
      </c>
      <c r="D23" s="64">
        <f>'Data Sheet'!D59/'Calculated Data'!D11</f>
        <v>2.4385633270321359</v>
      </c>
      <c r="E23" s="64">
        <f>'Data Sheet'!E59/'Calculated Data'!E11</f>
        <v>2.8720720720720716</v>
      </c>
      <c r="F23" s="64">
        <f>'Data Sheet'!F59/'Calculated Data'!F11</f>
        <v>2.6503164556962022</v>
      </c>
      <c r="G23" s="64">
        <f>'Data Sheet'!G59/'Calculated Data'!G11</f>
        <v>2.1449275362318843</v>
      </c>
      <c r="H23" s="64">
        <f>'Data Sheet'!H59/'Calculated Data'!H11</f>
        <v>2.1311688311688313</v>
      </c>
      <c r="I23" s="64">
        <f>'Data Sheet'!I59/'Calculated Data'!I11</f>
        <v>1.4708624708624707</v>
      </c>
      <c r="J23" s="64">
        <f>'Data Sheet'!J59/'Calculated Data'!J11</f>
        <v>0.52603613177470776</v>
      </c>
      <c r="K23" s="64">
        <f>'Data Sheet'!K59/'Calculated Data'!K11</f>
        <v>0.47611710323574724</v>
      </c>
    </row>
    <row r="24" spans="1:13" x14ac:dyDescent="0.25">
      <c r="A24" s="111" t="s">
        <v>163</v>
      </c>
      <c r="B24" s="64">
        <f>'Calculated Data'!B5/'Data Sheet'!B27</f>
        <v>1.2368421052631577</v>
      </c>
      <c r="C24" s="64">
        <f>'Calculated Data'!C5/'Data Sheet'!C27</f>
        <v>1.1904761904761905</v>
      </c>
      <c r="D24" s="64">
        <f>'Calculated Data'!D5/'Data Sheet'!D27</f>
        <v>1.1875</v>
      </c>
      <c r="E24" s="64">
        <f>'Calculated Data'!E5/'Data Sheet'!E27</f>
        <v>1.1818181818181819</v>
      </c>
      <c r="F24" s="64">
        <f>'Calculated Data'!F5/'Data Sheet'!F27</f>
        <v>1.4108108108108108</v>
      </c>
      <c r="G24" s="64">
        <f>'Calculated Data'!G5/'Data Sheet'!G27</f>
        <v>1.3790849673202614</v>
      </c>
      <c r="H24" s="64">
        <f>'Calculated Data'!H5/'Data Sheet'!H27</f>
        <v>1.4819277108433735</v>
      </c>
      <c r="I24" s="64">
        <f>'Calculated Data'!I5/'Data Sheet'!I27</f>
        <v>1.530120481927711</v>
      </c>
      <c r="J24" s="64">
        <f>'Calculated Data'!J5/'Data Sheet'!J27</f>
        <v>3.4830508474576276</v>
      </c>
      <c r="K24" s="64">
        <f>'Calculated Data'!K5/'Data Sheet'!K27</f>
        <v>4.9090909090909092</v>
      </c>
    </row>
    <row r="25" spans="1:13" s="44" customFormat="1" x14ac:dyDescent="0.25">
      <c r="A25" s="110" t="s">
        <v>164</v>
      </c>
      <c r="B25" s="66">
        <f>'Calculated Data'!B12/'Data Sheet'!B17</f>
        <v>0.75766871165644178</v>
      </c>
      <c r="C25" s="66">
        <f>'Calculated Data'!C12/'Data Sheet'!C17</f>
        <v>0.72682119205298013</v>
      </c>
      <c r="D25" s="66">
        <f>'Calculated Data'!D12/'Data Sheet'!D17</f>
        <v>0.51080172827652426</v>
      </c>
      <c r="E25" s="66">
        <f>'Calculated Data'!E12/'Data Sheet'!E17</f>
        <v>0.41784591194968546</v>
      </c>
      <c r="F25" s="66">
        <f>'Calculated Data'!F12/'Data Sheet'!F17</f>
        <v>0.27868112014453478</v>
      </c>
      <c r="G25" s="66">
        <f>'Calculated Data'!G12/'Data Sheet'!G17</f>
        <v>0.32839359810314162</v>
      </c>
      <c r="H25" s="66">
        <f>'Calculated Data'!H12/'Data Sheet'!H17</f>
        <v>0.41163859111791729</v>
      </c>
      <c r="I25" s="66">
        <f>'Calculated Data'!I12/'Data Sheet'!I17</f>
        <v>0.31135793622357577</v>
      </c>
      <c r="J25" s="66">
        <f>'Calculated Data'!J12/'Data Sheet'!J17</f>
        <v>3.0448266140400342E-2</v>
      </c>
      <c r="K25" s="66">
        <f>'Calculated Data'!K12/'Data Sheet'!K17</f>
        <v>0.1230392156862745</v>
      </c>
      <c r="L25" s="29" t="s">
        <v>165</v>
      </c>
    </row>
    <row r="26" spans="1:13" s="44" customFormat="1" x14ac:dyDescent="0.25">
      <c r="A26" s="110" t="s">
        <v>166</v>
      </c>
      <c r="B26" s="64">
        <f t="shared" ref="B26:K26" si="0">365/B27</f>
        <v>187.72494887525565</v>
      </c>
      <c r="C26" s="64">
        <f t="shared" si="0"/>
        <v>179.17632450331124</v>
      </c>
      <c r="D26" s="64">
        <f t="shared" si="0"/>
        <v>122.65962554008642</v>
      </c>
      <c r="E26" s="64">
        <f t="shared" si="0"/>
        <v>131.42295597484275</v>
      </c>
      <c r="F26" s="64">
        <f t="shared" si="0"/>
        <v>56.959123757904244</v>
      </c>
      <c r="G26" s="64">
        <f t="shared" si="0"/>
        <v>84.596917605216362</v>
      </c>
      <c r="H26" s="64">
        <f t="shared" si="0"/>
        <v>62.491577335375197</v>
      </c>
      <c r="I26" s="64">
        <f t="shared" si="0"/>
        <v>56.365102113937645</v>
      </c>
      <c r="J26" s="64">
        <f t="shared" si="0"/>
        <v>13.686213701719765</v>
      </c>
      <c r="K26" s="64">
        <f t="shared" si="0"/>
        <v>13.329656862745098</v>
      </c>
    </row>
    <row r="27" spans="1:13" s="44" customFormat="1" x14ac:dyDescent="0.25">
      <c r="A27" s="110" t="s">
        <v>167</v>
      </c>
      <c r="B27" s="67">
        <f>'Balance Sheet'!B21</f>
        <v>1.9443339960238566</v>
      </c>
      <c r="C27" s="67">
        <f>'Balance Sheet'!C21</f>
        <v>2.037099494097808</v>
      </c>
      <c r="D27" s="67">
        <f>'Balance Sheet'!D21</f>
        <v>2.9757142857142855</v>
      </c>
      <c r="E27" s="67">
        <f>'Balance Sheet'!E21</f>
        <v>2.7772925764192142</v>
      </c>
      <c r="F27" s="67">
        <f>'Balance Sheet'!F21</f>
        <v>6.4081041968162085</v>
      </c>
      <c r="G27" s="67">
        <f>'Balance Sheet'!G21</f>
        <v>4.3145780051150897</v>
      </c>
      <c r="H27" s="67">
        <f>'Balance Sheet'!H21</f>
        <v>5.8407871198568868</v>
      </c>
      <c r="I27" s="67">
        <f>'Balance Sheet'!I21</f>
        <v>6.4756380510440845</v>
      </c>
      <c r="J27" s="67">
        <f>'Balance Sheet'!J21</f>
        <v>26.669172932330824</v>
      </c>
      <c r="K27" s="67">
        <f>'Balance Sheet'!K21</f>
        <v>27.382550335570468</v>
      </c>
    </row>
    <row r="28" spans="1:13" s="44" customFormat="1" x14ac:dyDescent="0.25">
      <c r="A28" s="110" t="s">
        <v>46</v>
      </c>
      <c r="B28" s="67">
        <f>'Balance Sheet'!B20</f>
        <v>120.17382413087935</v>
      </c>
      <c r="C28" s="67">
        <f>'Balance Sheet'!C20</f>
        <v>80.070364238410605</v>
      </c>
      <c r="D28" s="67">
        <f>'Balance Sheet'!D20</f>
        <v>78.85261641862698</v>
      </c>
      <c r="E28" s="67">
        <f>'Balance Sheet'!E20</f>
        <v>42.468553459119491</v>
      </c>
      <c r="F28" s="67">
        <f>'Balance Sheet'!F20</f>
        <v>66.521002710027105</v>
      </c>
      <c r="G28" s="67">
        <f>'Balance Sheet'!G20</f>
        <v>46.950207468879668</v>
      </c>
      <c r="H28" s="67">
        <f>'Balance Sheet'!H20</f>
        <v>94.799387442572751</v>
      </c>
      <c r="I28" s="67">
        <f>'Balance Sheet'!I20</f>
        <v>66.042637047653173</v>
      </c>
      <c r="J28" s="67">
        <f>'Balance Sheet'!J20</f>
        <v>79.133070200169172</v>
      </c>
      <c r="K28" s="67">
        <f>'Balance Sheet'!K20</f>
        <v>74.878676470588232</v>
      </c>
    </row>
    <row r="29" spans="1:13" s="44" customFormat="1" x14ac:dyDescent="0.25">
      <c r="A29" s="110" t="s">
        <v>168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9" t="s">
        <v>169</v>
      </c>
    </row>
    <row r="30" spans="1:13" s="44" customFormat="1" x14ac:dyDescent="0.25">
      <c r="A30" s="110" t="s">
        <v>170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3" s="44" customFormat="1" x14ac:dyDescent="0.25">
      <c r="A31" s="110" t="s">
        <v>171</v>
      </c>
      <c r="B31" s="64">
        <f>('Data Sheet'!B67+'Data Sheet'!B69)/'Data Sheet'!B60</f>
        <v>1.25</v>
      </c>
      <c r="C31" s="64">
        <f>('Data Sheet'!C67+'Data Sheet'!C69)/'Data Sheet'!C60</f>
        <v>1.3548387096774193</v>
      </c>
      <c r="D31" s="64">
        <f>('Data Sheet'!D67+'Data Sheet'!D69)/'Data Sheet'!D60</f>
        <v>1.2444987775061125</v>
      </c>
      <c r="E31" s="64">
        <f>('Data Sheet'!E67+'Data Sheet'!E69)/'Data Sheet'!E60</f>
        <v>0.63409961685823757</v>
      </c>
      <c r="F31" s="64">
        <f>('Data Sheet'!F67+'Data Sheet'!F69)/'Data Sheet'!F60</f>
        <v>1.2681481481481482</v>
      </c>
      <c r="G31" s="64">
        <f>('Data Sheet'!G67+'Data Sheet'!G69)/'Data Sheet'!G60</f>
        <v>1.1206225680933852</v>
      </c>
      <c r="H31" s="64">
        <f>('Data Sheet'!H67+'Data Sheet'!H69)/'Data Sheet'!H60</f>
        <v>1.9100642398286938</v>
      </c>
      <c r="I31" s="64">
        <f>('Data Sheet'!I67+'Data Sheet'!I69)/'Data Sheet'!I60</f>
        <v>1.242761692650334</v>
      </c>
      <c r="J31" s="64">
        <f>('Data Sheet'!J67+'Data Sheet'!J69)/'Data Sheet'!J60</f>
        <v>0.69879518072289171</v>
      </c>
      <c r="K31" s="64">
        <f>('Data Sheet'!K67+'Data Sheet'!K69)/'Data Sheet'!K60</f>
        <v>0.94399999999999995</v>
      </c>
      <c r="M31" s="44" t="s">
        <v>172</v>
      </c>
    </row>
    <row r="32" spans="1:13" s="44" customFormat="1" x14ac:dyDescent="0.25">
      <c r="A32" s="110" t="s">
        <v>173</v>
      </c>
      <c r="B32" s="64">
        <f>'Data Sheet'!B65/'Data Sheet'!B60</f>
        <v>3.7649253731343282</v>
      </c>
      <c r="C32" s="64">
        <f>'Data Sheet'!C65/'Data Sheet'!C60</f>
        <v>4.540322580645161</v>
      </c>
      <c r="D32" s="64">
        <f>'Data Sheet'!D65/'Data Sheet'!D60</f>
        <v>3.6014669926650371</v>
      </c>
      <c r="E32" s="64">
        <f>'Data Sheet'!E65/'Data Sheet'!E60</f>
        <v>3.0363984674329503</v>
      </c>
      <c r="F32" s="64">
        <f>'Data Sheet'!F65/'Data Sheet'!F60</f>
        <v>2.8281481481481481</v>
      </c>
      <c r="G32" s="64">
        <f>'Data Sheet'!G65/'Data Sheet'!G60</f>
        <v>3.1556420233463034</v>
      </c>
      <c r="H32" s="64">
        <f>'Data Sheet'!H65/'Data Sheet'!H60</f>
        <v>3.8779443254817987</v>
      </c>
      <c r="I32" s="64">
        <f>'Data Sheet'!I65/'Data Sheet'!I60</f>
        <v>2.9354120267260577</v>
      </c>
      <c r="J32" s="64">
        <f>'Data Sheet'!J65/'Data Sheet'!J60</f>
        <v>1.0867469879518072</v>
      </c>
      <c r="K32" s="64">
        <f>'Data Sheet'!K65/'Data Sheet'!K60</f>
        <v>1.4462222222222221</v>
      </c>
      <c r="L32" s="44" t="s">
        <v>121</v>
      </c>
    </row>
    <row r="33" spans="1:14" s="44" customFormat="1" x14ac:dyDescent="0.25">
      <c r="A33" s="112" t="s">
        <v>174</v>
      </c>
      <c r="B33" s="64">
        <f>'Calculated Data'!B17/'Calculated Data'!B8</f>
        <v>-8.5</v>
      </c>
      <c r="C33" s="64">
        <f>'Calculated Data'!C17/'Calculated Data'!C8</f>
        <v>-0.125</v>
      </c>
      <c r="D33" s="64">
        <f>'Calculated Data'!D17/'Calculated Data'!D8</f>
        <v>-2.2380952380952381</v>
      </c>
      <c r="E33" s="64">
        <f>'Calculated Data'!E17/'Calculated Data'!E8</f>
        <v>9.615384615384615</v>
      </c>
      <c r="F33" s="64">
        <f>'Calculated Data'!F17/'Calculated Data'!F8</f>
        <v>1.8961038961038961</v>
      </c>
      <c r="G33" s="64">
        <f>'Calculated Data'!G17/'Calculated Data'!G8</f>
        <v>7.724137931034484</v>
      </c>
      <c r="H33" s="64">
        <f>'Calculated Data'!H17/'Calculated Data'!H8</f>
        <v>-0.97499999999999998</v>
      </c>
      <c r="I33" s="64">
        <f>'Calculated Data'!I17/'Calculated Data'!I8</f>
        <v>8.954545454545455</v>
      </c>
      <c r="J33" s="64">
        <f>'Calculated Data'!J17/'Calculated Data'!J8</f>
        <v>7.9146341463414638</v>
      </c>
      <c r="K33" s="64">
        <f>'Calculated Data'!K17/'Calculated Data'!K8</f>
        <v>1.7138810198300283</v>
      </c>
    </row>
    <row r="34" spans="1:14" x14ac:dyDescent="0.2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7"/>
      <c r="L34" s="29" t="s">
        <v>121</v>
      </c>
    </row>
    <row r="35" spans="1:14" x14ac:dyDescent="0.25">
      <c r="A35" s="113" t="s">
        <v>175</v>
      </c>
      <c r="B35" s="68">
        <f>'Calculated Data'!B4/'Data Sheet'!B17</f>
        <v>0.1830265848670756</v>
      </c>
      <c r="C35" s="68">
        <f>'Calculated Data'!C4/'Data Sheet'!C17</f>
        <v>0.23923841059602655</v>
      </c>
      <c r="D35" s="68">
        <f>'Calculated Data'!D4/'Data Sheet'!D17</f>
        <v>0.22323571771483433</v>
      </c>
      <c r="E35" s="68">
        <f>'Calculated Data'!E4/'Data Sheet'!E17</f>
        <v>0.18946540880503146</v>
      </c>
      <c r="F35" s="68">
        <f>'Calculated Data'!F4/'Data Sheet'!F17</f>
        <v>0.26196928635953026</v>
      </c>
      <c r="G35" s="68">
        <f>'Calculated Data'!G4/'Data Sheet'!G17</f>
        <v>0.27119146413752226</v>
      </c>
      <c r="H35" s="68">
        <f>'Calculated Data'!H4/'Data Sheet'!H17</f>
        <v>0.33506891271056655</v>
      </c>
      <c r="I35" s="68">
        <f>'Calculated Data'!I4/'Data Sheet'!I17</f>
        <v>0.41311357936223581</v>
      </c>
      <c r="J35" s="68">
        <f>'Calculated Data'!J4/'Data Sheet'!J17</f>
        <v>0.43388779250070486</v>
      </c>
      <c r="K35" s="68">
        <f>'Calculated Data'!K4/'Data Sheet'!K17</f>
        <v>0.39558823529411757</v>
      </c>
      <c r="L35" s="69"/>
      <c r="M35" s="69"/>
      <c r="N35" s="69"/>
    </row>
    <row r="36" spans="1:14" x14ac:dyDescent="0.25">
      <c r="A36" s="113" t="s">
        <v>176</v>
      </c>
      <c r="B36" s="68">
        <f>'Calculated Data'!B5/'Data Sheet'!B17</f>
        <v>4.8057259713701429E-2</v>
      </c>
      <c r="C36" s="68">
        <f>'Calculated Data'!C5/'Data Sheet'!C17</f>
        <v>4.1390728476821195E-2</v>
      </c>
      <c r="D36" s="68">
        <f>'Calculated Data'!D5/'Data Sheet'!D17</f>
        <v>6.3850216034565532E-2</v>
      </c>
      <c r="E36" s="68">
        <f>'Calculated Data'!E5/'Data Sheet'!E17</f>
        <v>6.6430817610062892E-2</v>
      </c>
      <c r="F36" s="68">
        <f>'Calculated Data'!F5/'Data Sheet'!F17</f>
        <v>5.8943089430894317E-2</v>
      </c>
      <c r="G36" s="68">
        <f>'Calculated Data'!G5/'Data Sheet'!G17</f>
        <v>6.2537048014226423E-2</v>
      </c>
      <c r="H36" s="68">
        <f>'Calculated Data'!H5/'Data Sheet'!H17</f>
        <v>7.5344563552833074E-2</v>
      </c>
      <c r="I36" s="68">
        <f>'Calculated Data'!I5/'Data Sheet'!I17</f>
        <v>9.1006807595843786E-2</v>
      </c>
      <c r="J36" s="68">
        <f>'Calculated Data'!J5/'Data Sheet'!J17</f>
        <v>0.11587256836763464</v>
      </c>
      <c r="K36" s="68">
        <f>'Calculated Data'!K5/'Data Sheet'!K17</f>
        <v>0.14558823529411766</v>
      </c>
      <c r="L36" s="69"/>
      <c r="M36" s="69"/>
      <c r="N36" s="69"/>
    </row>
    <row r="37" spans="1:14" x14ac:dyDescent="0.25">
      <c r="A37" s="110" t="s">
        <v>177</v>
      </c>
      <c r="B37" s="62">
        <f>'Calculated Data'!B6/'Data Sheet'!B17</f>
        <v>7.4642126789366062E-2</v>
      </c>
      <c r="C37" s="62">
        <f>'Calculated Data'!C6/'Data Sheet'!C17</f>
        <v>6.9536423841059611E-2</v>
      </c>
      <c r="D37" s="62">
        <f>'Calculated Data'!D6/'Data Sheet'!D17</f>
        <v>8.4973595775324054E-2</v>
      </c>
      <c r="E37" s="62">
        <f>'Calculated Data'!E6/'Data Sheet'!E17</f>
        <v>8.4905660377358486E-2</v>
      </c>
      <c r="F37" s="62">
        <f>'Calculated Data'!F6/'Data Sheet'!F17</f>
        <v>7.5203252032520318E-2</v>
      </c>
      <c r="G37" s="62">
        <f>'Calculated Data'!G6/'Data Sheet'!G17</f>
        <v>8.4469472436277407E-2</v>
      </c>
      <c r="H37" s="62">
        <f>'Calculated Data'!H6/'Data Sheet'!H17</f>
        <v>9.7396630934150075E-2</v>
      </c>
      <c r="I37" s="62">
        <f>'Calculated Data'!I6/'Data Sheet'!I17</f>
        <v>0.11537083482622716</v>
      </c>
      <c r="J37" s="62">
        <f>'Calculated Data'!J6/'Data Sheet'!J17</f>
        <v>0.14011840992387936</v>
      </c>
      <c r="K37" s="62">
        <f>'Calculated Data'!K6/'Data Sheet'!K17</f>
        <v>0.16838235294117648</v>
      </c>
      <c r="L37" s="69"/>
      <c r="M37" s="69"/>
      <c r="N37" s="69"/>
    </row>
    <row r="38" spans="1:14" x14ac:dyDescent="0.25">
      <c r="A38" s="110" t="s">
        <v>178</v>
      </c>
      <c r="B38" s="62">
        <f>'Calculated Data'!B7/'Data Sheet'!B17</f>
        <v>3.5787321063394682E-2</v>
      </c>
      <c r="C38" s="62">
        <f>'Calculated Data'!C7/'Data Sheet'!C17</f>
        <v>6.2913907284768228E-2</v>
      </c>
      <c r="D38" s="62">
        <f>'Calculated Data'!D7/'Data Sheet'!D17</f>
        <v>8.3533365338454166E-2</v>
      </c>
      <c r="E38" s="62">
        <f>'Calculated Data'!E7/'Data Sheet'!E17</f>
        <v>8.2940251572327053E-2</v>
      </c>
      <c r="F38" s="62">
        <f>'Calculated Data'!F7/'Data Sheet'!F17</f>
        <v>7.3848238482384823E-2</v>
      </c>
      <c r="G38" s="62">
        <f>'Calculated Data'!G7/'Data Sheet'!G17</f>
        <v>8.2691167753408401E-2</v>
      </c>
      <c r="H38" s="62">
        <f>'Calculated Data'!H7/'Data Sheet'!H17</f>
        <v>9.0045941807044394E-2</v>
      </c>
      <c r="I38" s="62">
        <f>'Calculated Data'!I7/'Data Sheet'!I17</f>
        <v>0.10032246506628449</v>
      </c>
      <c r="J38" s="62">
        <f>'Calculated Data'!J7/'Data Sheet'!J17</f>
        <v>0.12517620524386808</v>
      </c>
      <c r="K38" s="62">
        <f>'Calculated Data'!K7/'Data Sheet'!K17</f>
        <v>0.1558823529411765</v>
      </c>
      <c r="L38" s="69"/>
      <c r="M38" s="69"/>
      <c r="N38" s="69"/>
    </row>
    <row r="39" spans="1:14" x14ac:dyDescent="0.25">
      <c r="A39" s="110" t="s">
        <v>179</v>
      </c>
      <c r="B39" s="62">
        <f>'Calculated Data'!B8/'Data Sheet'!B17</f>
        <v>8.1799591002044997E-3</v>
      </c>
      <c r="C39" s="62">
        <f>'Calculated Data'!C8/'Data Sheet'!C17</f>
        <v>6.6225165562913907E-3</v>
      </c>
      <c r="D39" s="62">
        <f>'Calculated Data'!D8/'Data Sheet'!D17</f>
        <v>1.0081613058089295E-2</v>
      </c>
      <c r="E39" s="62">
        <f>'Calculated Data'!E8/'Data Sheet'!E17</f>
        <v>1.0220125786163521E-2</v>
      </c>
      <c r="F39" s="62">
        <f>'Calculated Data'!F8/'Data Sheet'!F17</f>
        <v>1.7389340560072266E-2</v>
      </c>
      <c r="G39" s="62">
        <f>'Calculated Data'!G8/'Data Sheet'!G17</f>
        <v>1.7190278601066981E-2</v>
      </c>
      <c r="H39" s="62">
        <f>'Calculated Data'!H8/'Data Sheet'!H17</f>
        <v>2.4502297090352222E-2</v>
      </c>
      <c r="I39" s="62">
        <f>'Calculated Data'!I8/'Data Sheet'!I17</f>
        <v>3.1529917592260835E-2</v>
      </c>
      <c r="J39" s="62">
        <f>'Calculated Data'!J8/'Data Sheet'!J17</f>
        <v>2.3118127995489145E-2</v>
      </c>
      <c r="K39" s="62">
        <f>'Calculated Data'!K8/'Data Sheet'!K17</f>
        <v>8.6519607843137253E-2</v>
      </c>
      <c r="L39" s="69"/>
      <c r="M39" s="69"/>
      <c r="N39" s="69"/>
    </row>
    <row r="40" spans="1:14" x14ac:dyDescent="0.25">
      <c r="A40" s="110" t="s">
        <v>180</v>
      </c>
      <c r="B40" s="62">
        <f>'Calculated Data'!B17/'Data Sheet'!B17</f>
        <v>-6.9529652351738247E-2</v>
      </c>
      <c r="C40" s="62">
        <f>'Calculated Data'!C17/'Data Sheet'!C17</f>
        <v>-8.2781456953642384E-4</v>
      </c>
      <c r="D40" s="62">
        <f>'Calculated Data'!D17/'Data Sheet'!D17</f>
        <v>-2.256361017762842E-2</v>
      </c>
      <c r="E40" s="62">
        <f>'Calculated Data'!E17/'Data Sheet'!E17</f>
        <v>9.8270440251572319E-2</v>
      </c>
      <c r="F40" s="62">
        <f>'Calculated Data'!F17/'Data Sheet'!F17</f>
        <v>3.297199638663053E-2</v>
      </c>
      <c r="G40" s="62">
        <f>'Calculated Data'!G17/'Data Sheet'!G17</f>
        <v>0.13278008298755187</v>
      </c>
      <c r="H40" s="62">
        <f>'Calculated Data'!H17/'Data Sheet'!H17</f>
        <v>-2.3889739663093417E-2</v>
      </c>
      <c r="I40" s="62">
        <f>'Calculated Data'!I17/'Data Sheet'!I17</f>
        <v>0.28233608025797202</v>
      </c>
      <c r="J40" s="62">
        <f>'Calculated Data'!J17/'Data Sheet'!J17</f>
        <v>0.18297152523259094</v>
      </c>
      <c r="K40" s="62">
        <f>'Calculated Data'!K17/'Data Sheet'!K17</f>
        <v>0.1482843137254902</v>
      </c>
      <c r="L40" s="69"/>
      <c r="M40" s="69"/>
      <c r="N40" s="69"/>
    </row>
    <row r="41" spans="1:14" x14ac:dyDescent="0.25">
      <c r="A41" s="110" t="s">
        <v>181</v>
      </c>
      <c r="B41" s="62">
        <f>'Calculated Data'!B19/'Data Sheet'!B17</f>
        <v>0</v>
      </c>
      <c r="C41" s="62">
        <f>'Calculated Data'!C19/'Data Sheet'!C17</f>
        <v>-0.15480132450331127</v>
      </c>
      <c r="D41" s="62">
        <f>'Calculated Data'!D19/'Data Sheet'!D17</f>
        <v>-6.1929908785405642E-2</v>
      </c>
      <c r="E41" s="62">
        <f>'Calculated Data'!E19/'Data Sheet'!E17</f>
        <v>-5.0314465408805041E-2</v>
      </c>
      <c r="F41" s="62">
        <f>'Calculated Data'!F19/'Data Sheet'!F17</f>
        <v>1.9647696476964766E-2</v>
      </c>
      <c r="G41" s="62">
        <f>'Calculated Data'!G19/'Data Sheet'!G17</f>
        <v>0.1141078838174274</v>
      </c>
      <c r="H41" s="62">
        <f>'Calculated Data'!H19/'Data Sheet'!H17</f>
        <v>-4.7473200612557456E-2</v>
      </c>
      <c r="I41" s="62">
        <f>'Calculated Data'!I19/'Data Sheet'!I17</f>
        <v>0.192045861698316</v>
      </c>
      <c r="J41" s="62">
        <f>'Calculated Data'!J19/'Data Sheet'!J17</f>
        <v>0.13701719763180156</v>
      </c>
      <c r="K41" s="62">
        <f>'Calculated Data'!K19/'Data Sheet'!K17</f>
        <v>0.10441176470588236</v>
      </c>
      <c r="L41" s="69"/>
      <c r="M41" s="69"/>
      <c r="N41" s="69"/>
    </row>
    <row r="42" spans="1:14" x14ac:dyDescent="0.25">
      <c r="A42" s="110" t="s">
        <v>182</v>
      </c>
      <c r="B42" s="62">
        <f>'Calculated Data'!B24/'Data Sheet'!B17</f>
        <v>-0.11691433765053397</v>
      </c>
      <c r="C42" s="62">
        <f>'Calculated Data'!C24/'Data Sheet'!C17</f>
        <v>-0.11655629139072847</v>
      </c>
      <c r="D42" s="62">
        <f>'Calculated Data'!D24/'Data Sheet'!D17</f>
        <v>-4.0652904464714361E-2</v>
      </c>
      <c r="E42" s="62">
        <f>'Calculated Data'!E24/'Data Sheet'!E17</f>
        <v>-3.47012578616352E-2</v>
      </c>
      <c r="F42" s="62">
        <f>'Calculated Data'!F24/'Data Sheet'!F17</f>
        <v>-3.4417344173441654E-3</v>
      </c>
      <c r="G42" s="62">
        <f>'Calculated Data'!G24/'Data Sheet'!G17</f>
        <v>-1.4463544754001181E-2</v>
      </c>
      <c r="H42" s="62">
        <f>'Calculated Data'!H24/'Data Sheet'!H17</f>
        <v>-1.3084226646248094E-2</v>
      </c>
      <c r="I42" s="62">
        <f>'Calculated Data'!I24/'Data Sheet'!I17</f>
        <v>7.1658903618783149E-5</v>
      </c>
      <c r="J42" s="62">
        <f>'Calculated Data'!J24/'Data Sheet'!J17</f>
        <v>-1.5984242800963357E-2</v>
      </c>
      <c r="K42" s="62">
        <f>'Calculated Data'!K24/'Data Sheet'!K17</f>
        <v>5.2754445964432316E-2</v>
      </c>
      <c r="L42" s="69"/>
      <c r="M42" s="69"/>
      <c r="N42" s="69"/>
    </row>
    <row r="43" spans="1:14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</row>
    <row r="44" spans="1:14" ht="30" x14ac:dyDescent="0.25">
      <c r="A44" s="110" t="s">
        <v>183</v>
      </c>
      <c r="B44" s="64">
        <f>'Data Sheet'!B17/'Calculated Data'!B13</f>
        <v>0.75172943889315902</v>
      </c>
      <c r="C44" s="64">
        <f>'Data Sheet'!C17/'Calculated Data'!C13</f>
        <v>0.75974842767295603</v>
      </c>
      <c r="D44" s="64">
        <f>'Data Sheet'!D17/'Calculated Data'!D13</f>
        <v>1.1482910694597572</v>
      </c>
      <c r="E44" s="64">
        <f>'Data Sheet'!E17/'Calculated Data'!E13</f>
        <v>1.1865671641791047</v>
      </c>
      <c r="F44" s="64">
        <f>'Data Sheet'!F17/'Calculated Data'!F13</f>
        <v>1.9235447437011295</v>
      </c>
      <c r="G44" s="64">
        <f>'Data Sheet'!G17/'Calculated Data'!G13</f>
        <v>1.558429561200924</v>
      </c>
      <c r="H44" s="64">
        <f>'Data Sheet'!H17/'Calculated Data'!H13</f>
        <v>1.3570241064006647</v>
      </c>
      <c r="I44" s="64">
        <f>'Data Sheet'!I17/'Calculated Data'!I13</f>
        <v>1.3196217494089835</v>
      </c>
      <c r="J44" s="64">
        <f>'Data Sheet'!J17/'Calculated Data'!J13</f>
        <v>2.4786862334032143</v>
      </c>
      <c r="K44" s="64">
        <f>'Data Sheet'!K17/'Calculated Data'!K13</f>
        <v>2.1350078492935634</v>
      </c>
    </row>
    <row r="45" spans="1:14" s="44" customFormat="1" ht="30" x14ac:dyDescent="0.25">
      <c r="A45" s="110" t="s">
        <v>184</v>
      </c>
      <c r="B45" s="64">
        <f>'Data Sheet'!B17/'Data Sheet'!B62</f>
        <v>2.794285714285714</v>
      </c>
      <c r="C45" s="64">
        <f>'Data Sheet'!C17/'Data Sheet'!C62</f>
        <v>2.3009523809523809</v>
      </c>
      <c r="D45" s="64">
        <f>'Data Sheet'!D17/'Data Sheet'!D62</f>
        <v>3.040875912408759</v>
      </c>
      <c r="E45" s="64">
        <f>'Data Sheet'!E17/'Data Sheet'!E62</f>
        <v>3.9874608150470223</v>
      </c>
      <c r="F45" s="64">
        <f>'Data Sheet'!F17/'Data Sheet'!F62</f>
        <v>4.1460674157303377</v>
      </c>
      <c r="G45" s="64">
        <f>'Data Sheet'!G17/'Data Sheet'!G62</f>
        <v>3.2102759276879165</v>
      </c>
      <c r="H45" s="64">
        <f>'Data Sheet'!H17/'Data Sheet'!H62</f>
        <v>3.3316326530612241</v>
      </c>
      <c r="I45" s="64">
        <f>'Data Sheet'!I17/'Data Sheet'!I62</f>
        <v>3.056955093099671</v>
      </c>
      <c r="J45" s="64">
        <f>'Data Sheet'!J17/'Data Sheet'!J62</f>
        <v>2.7284615384615383</v>
      </c>
      <c r="K45" s="64">
        <f>'Data Sheet'!K17/'Data Sheet'!K62</f>
        <v>3.1336405529953915</v>
      </c>
    </row>
    <row r="46" spans="1:14" x14ac:dyDescent="0.25">
      <c r="A46" s="110" t="s">
        <v>185</v>
      </c>
      <c r="B46" s="64">
        <f>'Data Sheet'!B17/'Calculated Data'!B15</f>
        <v>0.6213468869123252</v>
      </c>
      <c r="C46" s="64">
        <f>'Data Sheet'!C17/'Calculated Data'!C15</f>
        <v>0.65545306565382533</v>
      </c>
      <c r="D46" s="64">
        <f>'Data Sheet'!D17/'Calculated Data'!D15</f>
        <v>0.93491921005385981</v>
      </c>
      <c r="E46" s="64">
        <f>'Data Sheet'!E17/'Calculated Data'!E15</f>
        <v>0.9524522650692625</v>
      </c>
      <c r="F46" s="64">
        <f>'Data Sheet'!F17/'Calculated Data'!F15</f>
        <v>1.4849094567404426</v>
      </c>
      <c r="G46" s="64">
        <f>'Data Sheet'!G17/'Calculated Data'!G15</f>
        <v>1.2570789865871834</v>
      </c>
      <c r="H46" s="64">
        <f>'Data Sheet'!H17/'Calculated Data'!H15</f>
        <v>1.1344683808200138</v>
      </c>
      <c r="I46" s="64">
        <f>'Data Sheet'!I17/'Calculated Data'!I15</f>
        <v>1.0864149474503697</v>
      </c>
      <c r="J46" s="64">
        <f>'Data Sheet'!J17/'Calculated Data'!J15</f>
        <v>1.3230138008205894</v>
      </c>
      <c r="K46" s="64">
        <f>'Data Sheet'!K17/'Calculated Data'!K15</f>
        <v>1.3416639263400196</v>
      </c>
    </row>
    <row r="47" spans="1:14" x14ac:dyDescent="0.25">
      <c r="A47" s="110" t="s">
        <v>186</v>
      </c>
      <c r="B47" s="62">
        <f>B39*B46</f>
        <v>5.0825921219822112E-3</v>
      </c>
      <c r="C47" s="62">
        <f t="shared" ref="C47:K47" si="1">C39*C46</f>
        <v>4.3407487791644059E-3</v>
      </c>
      <c r="D47" s="62">
        <f t="shared" si="1"/>
        <v>9.4254937163375224E-3</v>
      </c>
      <c r="E47" s="62">
        <f t="shared" si="1"/>
        <v>9.7341819543242235E-3</v>
      </c>
      <c r="F47" s="62">
        <f t="shared" si="1"/>
        <v>2.5821596244131453E-2</v>
      </c>
      <c r="G47" s="62">
        <f t="shared" si="1"/>
        <v>2.1609538002980624E-2</v>
      </c>
      <c r="H47" s="62">
        <f t="shared" si="1"/>
        <v>2.7797081306462818E-2</v>
      </c>
      <c r="I47" s="62">
        <f t="shared" si="1"/>
        <v>3.4254573764110542E-2</v>
      </c>
      <c r="J47" s="62">
        <f t="shared" si="1"/>
        <v>3.0585602387168967E-2</v>
      </c>
      <c r="K47" s="62">
        <f t="shared" si="1"/>
        <v>0.11608023676422229</v>
      </c>
      <c r="L47" s="29" t="s">
        <v>187</v>
      </c>
    </row>
    <row r="48" spans="1:14" ht="30" x14ac:dyDescent="0.25">
      <c r="A48" s="110" t="s">
        <v>188</v>
      </c>
      <c r="B48" s="62">
        <f t="shared" ref="B48:K48" si="2">B39*B46*B19</f>
        <v>1.5968063872255488E-2</v>
      </c>
      <c r="C48" s="62">
        <f t="shared" si="2"/>
        <v>1.5717092337917484E-2</v>
      </c>
      <c r="D48" s="62">
        <f t="shared" si="2"/>
        <v>3.9697542533081276E-2</v>
      </c>
      <c r="E48" s="62">
        <f t="shared" si="2"/>
        <v>4.684684684684684E-2</v>
      </c>
      <c r="F48" s="62">
        <f t="shared" si="2"/>
        <v>0.12183544303797467</v>
      </c>
      <c r="G48" s="62">
        <f t="shared" si="2"/>
        <v>8.4057971014492736E-2</v>
      </c>
      <c r="H48" s="62">
        <f t="shared" si="2"/>
        <v>0.10389610389610389</v>
      </c>
      <c r="I48" s="62">
        <f t="shared" si="2"/>
        <v>0.10256410256410255</v>
      </c>
      <c r="J48" s="62">
        <f t="shared" si="2"/>
        <v>8.714133900106269E-2</v>
      </c>
      <c r="K48" s="62">
        <f t="shared" si="2"/>
        <v>0.27195685670261938</v>
      </c>
      <c r="L48" s="29" t="s">
        <v>189</v>
      </c>
    </row>
    <row r="49" spans="1:12" x14ac:dyDescent="0.25">
      <c r="A49" s="110" t="s">
        <v>190</v>
      </c>
      <c r="B49" s="62">
        <f>'Calculated Data'!B5/'Calculated Data'!B14</f>
        <v>3.5987748851454816E-2</v>
      </c>
      <c r="C49" s="62">
        <f>'Calculated Data'!C5/'Calculated Data'!C14</f>
        <v>3.1347962382445145E-2</v>
      </c>
      <c r="D49" s="62">
        <f>'Calculated Data'!D5/'Calculated Data'!D14</f>
        <v>7.31170973062122E-2</v>
      </c>
      <c r="E49" s="62">
        <f>'Calculated Data'!E5/'Calculated Data'!E14</f>
        <v>7.8641228478362024E-2</v>
      </c>
      <c r="F49" s="62">
        <f>'Calculated Data'!F5/'Calculated Data'!F14</f>
        <v>0.11313394018205462</v>
      </c>
      <c r="G49" s="62">
        <f>'Calculated Data'!G5/'Calculated Data'!G14</f>
        <v>9.7235023041474633E-2</v>
      </c>
      <c r="H49" s="62">
        <f>'Calculated Data'!H5/'Calculated Data'!H14</f>
        <v>0.10203235172127748</v>
      </c>
      <c r="I49" s="62">
        <f>'Calculated Data'!I5/'Calculated Data'!I14</f>
        <v>0.11981132075471698</v>
      </c>
      <c r="J49" s="62">
        <f>'Calculated Data'!J5/'Calculated Data'!J14</f>
        <v>0.28621169916434541</v>
      </c>
      <c r="K49" s="62">
        <f>'Calculated Data'!K5/'Calculated Data'!K14</f>
        <v>0.31002087682672236</v>
      </c>
    </row>
    <row r="50" spans="1:12" ht="30" x14ac:dyDescent="0.25">
      <c r="A50" s="110" t="s">
        <v>191</v>
      </c>
      <c r="B50" s="62">
        <f>B36*B44*(1-'Calculated Data'!B20)</f>
        <v>3.2112050559398746E-2</v>
      </c>
      <c r="C50" s="62">
        <f>C36*C44*(1-'Calculated Data'!C20)</f>
        <v>3.1446540880503152E-2</v>
      </c>
      <c r="D50" s="62">
        <f>D36*D44*(1-'Calculated Data'!D20)</f>
        <v>7.3318632855567792E-2</v>
      </c>
      <c r="E50" s="62">
        <f>E36*E44*(1-'Calculated Data'!E20)</f>
        <v>7.8824626865671654E-2</v>
      </c>
      <c r="F50" s="62">
        <f>F36*F44*(1-'Calculated Data'!F20)</f>
        <v>0.11337966985230237</v>
      </c>
      <c r="G50" s="62">
        <f>G36*G44*(1-'Calculated Data'!G20)</f>
        <v>9.7459584295611995E-2</v>
      </c>
      <c r="H50" s="62">
        <f>H36*H44*(1-'Calculated Data'!H20)</f>
        <v>0.1022443890274314</v>
      </c>
      <c r="I50" s="62">
        <f>I36*I44*(1-'Calculated Data'!I20)</f>
        <v>0.12009456264775414</v>
      </c>
      <c r="J50" s="62">
        <f>J36*J44*(1-'Calculated Data'!J20)</f>
        <v>8.0380077417877685E-2</v>
      </c>
      <c r="K50" s="62">
        <f>K36*K44*(1-'Calculated Data'!K20)</f>
        <v>0.23263115621919608</v>
      </c>
      <c r="L50" s="29" t="s">
        <v>192</v>
      </c>
    </row>
    <row r="51" spans="1:12" x14ac:dyDescent="0.2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7"/>
    </row>
    <row r="52" spans="1:12" x14ac:dyDescent="0.25">
      <c r="A52" s="114" t="s">
        <v>117</v>
      </c>
      <c r="B52" s="70">
        <f>'Calculated Data'!B43</f>
        <v>1.3557412484339264</v>
      </c>
      <c r="C52" s="70">
        <f>'Calculated Data'!C43</f>
        <v>1.4079859179083016</v>
      </c>
      <c r="D52" s="70">
        <f>'Calculated Data'!D43</f>
        <v>1.8435457174057448</v>
      </c>
      <c r="E52" s="70">
        <f>'Calculated Data'!E43</f>
        <v>1.7309696547454139</v>
      </c>
      <c r="F52" s="70">
        <f>'Calculated Data'!F43</f>
        <v>2.4081156512659287</v>
      </c>
      <c r="G52" s="70">
        <f>'Calculated Data'!G43</f>
        <v>2.1275359193498509</v>
      </c>
      <c r="H52" s="70">
        <f>'Calculated Data'!H43</f>
        <v>2.1160157962960389</v>
      </c>
      <c r="I52" s="70">
        <f>'Calculated Data'!I43</f>
        <v>2.2062895111541456</v>
      </c>
      <c r="J52" s="70">
        <f>'Calculated Data'!J43</f>
        <v>2.5039809001902276</v>
      </c>
      <c r="K52" s="70">
        <f>'Calculated Data'!K43</f>
        <v>3.4722054340578756</v>
      </c>
    </row>
    <row r="53" spans="1:12" x14ac:dyDescent="0.25">
      <c r="A53" s="115" t="s">
        <v>17</v>
      </c>
      <c r="B53" s="71">
        <f>'Data Sheet'!B31/'Data Sheet'!B30</f>
        <v>0</v>
      </c>
      <c r="C53" s="71">
        <f>'Data Sheet'!C31/'Data Sheet'!C30</f>
        <v>0</v>
      </c>
      <c r="D53" s="71">
        <f>'Data Sheet'!D31/'Data Sheet'!D30</f>
        <v>0</v>
      </c>
      <c r="E53" s="71">
        <f>'Data Sheet'!E31/'Data Sheet'!E30</f>
        <v>0</v>
      </c>
      <c r="F53" s="71">
        <f>'Data Sheet'!F31/'Data Sheet'!F30</f>
        <v>0</v>
      </c>
      <c r="G53" s="71">
        <f>'Data Sheet'!G31/'Data Sheet'!G30</f>
        <v>0</v>
      </c>
      <c r="H53" s="71">
        <f>'Data Sheet'!H31/'Data Sheet'!H30</f>
        <v>0</v>
      </c>
      <c r="I53" s="71">
        <f>'Data Sheet'!I31/'Data Sheet'!I30</f>
        <v>0</v>
      </c>
      <c r="J53" s="71">
        <f>'Data Sheet'!J31/'Data Sheet'!J30</f>
        <v>0</v>
      </c>
      <c r="K53" s="71">
        <f>'Data Sheet'!K31/'Data Sheet'!K30</f>
        <v>0</v>
      </c>
    </row>
    <row r="54" spans="1:12" x14ac:dyDescent="0.25">
      <c r="A54" s="115" t="s">
        <v>193</v>
      </c>
      <c r="B54" s="72">
        <f>'Data Sheet'!B69/'Data Sheet'!B61</f>
        <v>8.2592121982210925E-3</v>
      </c>
      <c r="C54" s="72">
        <f>'Data Sheet'!C69/'Data Sheet'!C61</f>
        <v>3.8524145415084102E-2</v>
      </c>
      <c r="D54" s="72">
        <f>'Data Sheet'!D69/'Data Sheet'!D61</f>
        <v>2.6481149012567321E-2</v>
      </c>
      <c r="E54" s="72">
        <f>'Data Sheet'!E69/'Data Sheet'!E61</f>
        <v>1.3103706476974914E-2</v>
      </c>
      <c r="F54" s="72">
        <f>'Data Sheet'!F69/'Data Sheet'!F61</f>
        <v>1.6431924882629109E-2</v>
      </c>
      <c r="G54" s="72">
        <f>'Data Sheet'!G69/'Data Sheet'!G61</f>
        <v>5.290611028315946E-2</v>
      </c>
      <c r="H54" s="72">
        <f>'Data Sheet'!H69/'Data Sheet'!H61</f>
        <v>1.5288394718554551E-2</v>
      </c>
      <c r="I54" s="72">
        <f>'Data Sheet'!I69/'Data Sheet'!I61</f>
        <v>2.0630595562475672E-2</v>
      </c>
      <c r="J54" s="72">
        <f>'Data Sheet'!J69/'Data Sheet'!J61</f>
        <v>3.7672510257366655E-2</v>
      </c>
      <c r="K54" s="72">
        <f>'Data Sheet'!K69/'Data Sheet'!K61</f>
        <v>7.3988819467280503E-2</v>
      </c>
    </row>
    <row r="55" spans="1:12" x14ac:dyDescent="0.25">
      <c r="A55" s="115" t="s">
        <v>194</v>
      </c>
      <c r="B55" s="71">
        <f>'Calculated Data'!B5/'Calculated Data'!B13</f>
        <v>3.6126056879323597E-2</v>
      </c>
      <c r="C55" s="71">
        <f>'Calculated Data'!C5/'Calculated Data'!C13</f>
        <v>3.1446540880503145E-2</v>
      </c>
      <c r="D55" s="71">
        <f>'Calculated Data'!D5/'Calculated Data'!D13</f>
        <v>7.3318632855567806E-2</v>
      </c>
      <c r="E55" s="71">
        <f>'Calculated Data'!E5/'Calculated Data'!E13</f>
        <v>7.8824626865671654E-2</v>
      </c>
      <c r="F55" s="71">
        <f>'Calculated Data'!F5/'Calculated Data'!F13</f>
        <v>0.11337966985230236</v>
      </c>
      <c r="G55" s="71">
        <f>'Calculated Data'!G5/'Calculated Data'!G13</f>
        <v>9.7459584295612009E-2</v>
      </c>
      <c r="H55" s="71">
        <f>'Calculated Data'!H5/'Calculated Data'!H13</f>
        <v>0.10224438902743141</v>
      </c>
      <c r="I55" s="71">
        <f>'Calculated Data'!I5/'Calculated Data'!I13</f>
        <v>0.12009456264775414</v>
      </c>
      <c r="J55" s="71">
        <f>'Calculated Data'!J5/'Calculated Data'!J13</f>
        <v>0.28721174004192873</v>
      </c>
      <c r="K55" s="71">
        <f>'Calculated Data'!K5/'Calculated Data'!K13</f>
        <v>0.31083202511773944</v>
      </c>
      <c r="L55" s="29" t="s">
        <v>195</v>
      </c>
    </row>
    <row r="56" spans="1:12" x14ac:dyDescent="0.25">
      <c r="A56" s="115" t="s">
        <v>196</v>
      </c>
      <c r="B56" s="73">
        <f>'Calculated Data'!B24</f>
        <v>-1.1434222222222221</v>
      </c>
      <c r="C56" s="73">
        <f>'Calculated Data'!C24</f>
        <v>-1.4079999999999999</v>
      </c>
      <c r="D56" s="73">
        <f>'Calculated Data'!D24</f>
        <v>-0.8468</v>
      </c>
      <c r="E56" s="73">
        <f>'Calculated Data'!E24</f>
        <v>-0.88279999999999959</v>
      </c>
      <c r="F56" s="73">
        <f>'Calculated Data'!F24</f>
        <v>-0.15239999999999965</v>
      </c>
      <c r="G56" s="73">
        <f>'Calculated Data'!G24</f>
        <v>-0.48799999999999988</v>
      </c>
      <c r="H56" s="73">
        <f>'Calculated Data'!H24</f>
        <v>-0.42720000000000025</v>
      </c>
      <c r="I56" s="73">
        <f>'Calculated Data'!I24</f>
        <v>2.0000000000002377E-3</v>
      </c>
      <c r="J56" s="73">
        <f>'Calculated Data'!J24</f>
        <v>-0.56696109215017032</v>
      </c>
      <c r="K56" s="73">
        <f>'Calculated Data'!K24</f>
        <v>2.1523813953488382</v>
      </c>
      <c r="L56" s="29" t="s">
        <v>197</v>
      </c>
    </row>
    <row r="57" spans="1:12" ht="15" customHeight="1" x14ac:dyDescent="0.25">
      <c r="A57" s="116" t="s">
        <v>101</v>
      </c>
      <c r="B57" s="74">
        <f>'Calculated Data'!B26</f>
        <v>1.6739454172499999</v>
      </c>
      <c r="C57" s="74">
        <f>'Calculated Data'!C26</f>
        <v>2.6186341117499996</v>
      </c>
      <c r="D57" s="74">
        <f>'Calculated Data'!D26</f>
        <v>4.6553309729999999</v>
      </c>
      <c r="E57" s="74">
        <f>'Calculated Data'!E26</f>
        <v>3.4953324637499996</v>
      </c>
      <c r="F57" s="74">
        <f>'Calculated Data'!F26</f>
        <v>5.0516812012500001</v>
      </c>
      <c r="G57" s="74">
        <f>'Calculated Data'!G26</f>
        <v>3.8201067922499998</v>
      </c>
      <c r="H57" s="74">
        <f>'Calculated Data'!H26</f>
        <v>4.8048910290000002</v>
      </c>
      <c r="I57" s="74">
        <f>'Calculated Data'!I26</f>
        <v>14.545962569250001</v>
      </c>
      <c r="J57" s="74">
        <f>'Calculated Data'!J26</f>
        <v>26.091213223499999</v>
      </c>
      <c r="K57" s="74">
        <f>'Calculated Data'!K26</f>
        <v>57.036278749499999</v>
      </c>
    </row>
    <row r="58" spans="1:12" ht="15" customHeight="1" x14ac:dyDescent="0.25">
      <c r="A58" s="117" t="s">
        <v>198</v>
      </c>
      <c r="B58" s="75"/>
      <c r="C58" s="76">
        <f>C57-B57</f>
        <v>0.9446886944999997</v>
      </c>
      <c r="D58" s="76">
        <f t="shared" ref="D58:K58" si="3">D57-C57</f>
        <v>2.0366968612500003</v>
      </c>
      <c r="E58" s="76">
        <f t="shared" si="3"/>
        <v>-1.1599985092500003</v>
      </c>
      <c r="F58" s="76">
        <f t="shared" si="3"/>
        <v>1.5563487375000005</v>
      </c>
      <c r="G58" s="76">
        <f t="shared" si="3"/>
        <v>-1.2315744090000003</v>
      </c>
      <c r="H58" s="76">
        <f t="shared" si="3"/>
        <v>0.98478423675000037</v>
      </c>
      <c r="I58" s="76">
        <f t="shared" si="3"/>
        <v>9.741071540250001</v>
      </c>
      <c r="J58" s="76">
        <f t="shared" si="3"/>
        <v>11.545250654249998</v>
      </c>
      <c r="K58" s="76">
        <f t="shared" si="3"/>
        <v>30.945065526</v>
      </c>
    </row>
    <row r="59" spans="1:12" x14ac:dyDescent="0.25">
      <c r="A59" s="118" t="s">
        <v>199</v>
      </c>
      <c r="B59" s="59"/>
      <c r="C59" s="59">
        <f t="shared" ref="C59:K59" si="4">C58-C56</f>
        <v>2.3526886944999994</v>
      </c>
      <c r="D59" s="59">
        <f t="shared" si="4"/>
        <v>2.8834968612500003</v>
      </c>
      <c r="E59" s="59">
        <f t="shared" si="4"/>
        <v>-0.27719850925000067</v>
      </c>
      <c r="F59" s="59">
        <f t="shared" si="4"/>
        <v>1.7087487375000001</v>
      </c>
      <c r="G59" s="59">
        <f t="shared" si="4"/>
        <v>-0.74357440900000038</v>
      </c>
      <c r="H59" s="59">
        <f t="shared" si="4"/>
        <v>1.4119842367500006</v>
      </c>
      <c r="I59" s="59">
        <f t="shared" si="4"/>
        <v>9.7390715402500003</v>
      </c>
      <c r="J59" s="59">
        <f t="shared" si="4"/>
        <v>12.112211746400169</v>
      </c>
      <c r="K59" s="59">
        <f t="shared" si="4"/>
        <v>28.792684130651161</v>
      </c>
    </row>
    <row r="60" spans="1:12" x14ac:dyDescent="0.25">
      <c r="A60" s="119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2" spans="1:12" x14ac:dyDescent="0.25">
      <c r="A62" s="120" t="s">
        <v>206</v>
      </c>
      <c r="B62" s="29">
        <f>'Data Sheet'!B57+'Data Sheet'!B58</f>
        <v>5.0100000000000007</v>
      </c>
      <c r="C62" s="29">
        <f>'Data Sheet'!C57+'Data Sheet'!C58</f>
        <v>5.0900000000000007</v>
      </c>
      <c r="D62" s="29">
        <f>'Data Sheet'!D57+'Data Sheet'!D58</f>
        <v>5.2900000000000009</v>
      </c>
      <c r="E62" s="29">
        <f>'Data Sheet'!E57+'Data Sheet'!E58</f>
        <v>5.5500000000000007</v>
      </c>
      <c r="F62" s="29">
        <f>'Data Sheet'!F57+'Data Sheet'!F58</f>
        <v>6.32</v>
      </c>
      <c r="G62" s="29">
        <f>'Data Sheet'!G57+'Data Sheet'!G58</f>
        <v>6.9</v>
      </c>
      <c r="H62" s="29">
        <f>'Data Sheet'!H57+'Data Sheet'!H58</f>
        <v>7.7</v>
      </c>
      <c r="I62" s="29">
        <f>'Data Sheet'!I57+'Data Sheet'!I58</f>
        <v>8.58</v>
      </c>
      <c r="J62" s="29">
        <f>'Data Sheet'!J57+'Data Sheet'!J58</f>
        <v>9.41</v>
      </c>
      <c r="K62" s="29">
        <f>'Data Sheet'!K57+'Data Sheet'!K58</f>
        <v>12.98</v>
      </c>
    </row>
    <row r="63" spans="1:12" x14ac:dyDescent="0.25">
      <c r="A63" s="120" t="s">
        <v>207</v>
      </c>
      <c r="B63" s="29">
        <f>'Data Sheet'!B59</f>
        <v>8.0500000000000007</v>
      </c>
      <c r="C63" s="29">
        <f>'Data Sheet'!C59</f>
        <v>10.86</v>
      </c>
      <c r="D63" s="29">
        <f>'Data Sheet'!D59</f>
        <v>12.9</v>
      </c>
      <c r="E63" s="29">
        <f>'Data Sheet'!E59</f>
        <v>15.94</v>
      </c>
      <c r="F63" s="29">
        <f>'Data Sheet'!F59</f>
        <v>16.75</v>
      </c>
      <c r="G63" s="29">
        <f>'Data Sheet'!G59</f>
        <v>14.8</v>
      </c>
      <c r="H63" s="29">
        <f>'Data Sheet'!H59</f>
        <v>16.41</v>
      </c>
      <c r="I63" s="29">
        <f>'Data Sheet'!I59</f>
        <v>12.62</v>
      </c>
      <c r="J63" s="29">
        <f>'Data Sheet'!J59</f>
        <v>4.95</v>
      </c>
      <c r="K63" s="29">
        <f>'Data Sheet'!K59</f>
        <v>6.18</v>
      </c>
    </row>
    <row r="64" spans="1:12" x14ac:dyDescent="0.25">
      <c r="A64" s="121" t="s">
        <v>208</v>
      </c>
      <c r="B64" s="65">
        <f>'Calculated Data'!B19</f>
        <v>0</v>
      </c>
      <c r="C64" s="65">
        <f>'Calculated Data'!C19</f>
        <v>-1.87</v>
      </c>
      <c r="D64" s="65">
        <f>'Calculated Data'!D19</f>
        <v>-1.2899999999999994</v>
      </c>
      <c r="E64" s="65">
        <f>'Calculated Data'!E19</f>
        <v>-1.2800000000000002</v>
      </c>
      <c r="F64" s="65">
        <f>'Calculated Data'!F19</f>
        <v>0.86999999999999988</v>
      </c>
      <c r="G64" s="65">
        <f>'Calculated Data'!G19</f>
        <v>3.8500000000000005</v>
      </c>
      <c r="H64" s="65">
        <f>'Calculated Data'!H19</f>
        <v>-1.5500000000000009</v>
      </c>
      <c r="I64" s="65">
        <f>'Calculated Data'!I19</f>
        <v>5.3599999999999994</v>
      </c>
      <c r="J64" s="65">
        <f>'Calculated Data'!J19</f>
        <v>4.8600000000000012</v>
      </c>
      <c r="K64" s="65">
        <f>'Calculated Data'!K19</f>
        <v>4.26</v>
      </c>
    </row>
    <row r="66" spans="1:13" x14ac:dyDescent="0.25">
      <c r="A66" s="120" t="s">
        <v>213</v>
      </c>
      <c r="B66" s="69">
        <f>'Data Sheet'!B30/'Data Sheet'!B17</f>
        <v>8.1799591002044997E-3</v>
      </c>
      <c r="C66" s="69">
        <f>'Data Sheet'!C30/'Data Sheet'!C17</f>
        <v>6.6225165562913907E-3</v>
      </c>
      <c r="D66" s="69">
        <f>'Data Sheet'!D30/'Data Sheet'!D17</f>
        <v>1.0081613058089295E-2</v>
      </c>
      <c r="E66" s="69">
        <f>'Data Sheet'!E30/'Data Sheet'!E17</f>
        <v>1.0220125786163521E-2</v>
      </c>
      <c r="F66" s="69">
        <f>'Data Sheet'!F30/'Data Sheet'!F17</f>
        <v>1.7389340560072266E-2</v>
      </c>
      <c r="G66" s="69">
        <f>'Data Sheet'!G30/'Data Sheet'!G17</f>
        <v>1.7190278601066981E-2</v>
      </c>
      <c r="H66" s="69">
        <f>'Data Sheet'!H30/'Data Sheet'!H17</f>
        <v>2.4502297090352222E-2</v>
      </c>
      <c r="I66" s="69">
        <f>'Data Sheet'!I30/'Data Sheet'!I17</f>
        <v>3.1529917592260835E-2</v>
      </c>
      <c r="J66" s="69">
        <f>'Data Sheet'!J30/'Data Sheet'!J17</f>
        <v>2.3118127995489145E-2</v>
      </c>
      <c r="K66" s="69">
        <f>'Data Sheet'!K30/'Data Sheet'!K17</f>
        <v>8.6519607843137253E-2</v>
      </c>
    </row>
    <row r="67" spans="1:13" x14ac:dyDescent="0.25">
      <c r="A67" s="120" t="s">
        <v>8</v>
      </c>
      <c r="B67" s="96">
        <f>'Profit &amp; Loss'!C6</f>
        <v>0.75999999999999979</v>
      </c>
      <c r="C67" s="96">
        <f>'Profit &amp; Loss'!D6</f>
        <v>1.7399999999999949</v>
      </c>
      <c r="D67" s="96">
        <f>'Profit &amp; Loss'!E6</f>
        <v>2.110000000000003</v>
      </c>
      <c r="E67" s="96">
        <f>'Profit &amp; Loss'!F6</f>
        <v>3.2700000000000102</v>
      </c>
      <c r="F67" s="96">
        <f>'Profit &amp; Loss'!G6</f>
        <v>2.7700000000000031</v>
      </c>
      <c r="G67" s="96">
        <f>'Profit &amp; Loss'!H6</f>
        <v>2.9400000000000013</v>
      </c>
      <c r="H67" s="96">
        <f>'Profit &amp; Loss'!I6</f>
        <v>2.7999999999999972</v>
      </c>
      <c r="I67" s="96">
        <f>'Profit &amp; Loss'!J6</f>
        <v>4.4300000000000033</v>
      </c>
      <c r="J67" s="96">
        <f>'Profit &amp; Loss'!K6</f>
        <v>6.3599999999999923</v>
      </c>
      <c r="K67" s="96">
        <f>'Profit &amp; Loss'!L6</f>
        <v>6.86</v>
      </c>
    </row>
    <row r="68" spans="1:13" x14ac:dyDescent="0.25">
      <c r="A68" s="120" t="s">
        <v>214</v>
      </c>
      <c r="B68" s="69">
        <f>B67/'Data Sheet'!B17</f>
        <v>7.7709611451942717E-2</v>
      </c>
      <c r="C68" s="69">
        <f>C67/'Data Sheet'!C17</f>
        <v>0.14403973509933732</v>
      </c>
      <c r="D68" s="69">
        <f>D67/'Data Sheet'!D17</f>
        <v>0.10129620739318305</v>
      </c>
      <c r="E68" s="69">
        <f>E67/'Data Sheet'!E17</f>
        <v>0.12853773584905701</v>
      </c>
      <c r="F68" s="69">
        <f>F67/'Data Sheet'!F17</f>
        <v>6.2556458897922385E-2</v>
      </c>
      <c r="G68" s="69">
        <f>G67/'Data Sheet'!G17</f>
        <v>8.713692946058095E-2</v>
      </c>
      <c r="H68" s="69">
        <f>H67/'Data Sheet'!H17</f>
        <v>8.5758039816232687E-2</v>
      </c>
      <c r="I68" s="69">
        <f>I67/'Data Sheet'!I17</f>
        <v>0.15872447151558594</v>
      </c>
      <c r="J68" s="69">
        <f>J67/'Data Sheet'!J17</f>
        <v>0.1793064561601351</v>
      </c>
      <c r="K68" s="69">
        <f>K67/'Data Sheet'!K17</f>
        <v>0.1681372549019608</v>
      </c>
    </row>
    <row r="70" spans="1:13" x14ac:dyDescent="0.25">
      <c r="A70" s="126" t="s">
        <v>209</v>
      </c>
      <c r="B70" s="106">
        <f>SUM('Profit &amp; Loss'!I25:K25)/3 * SUM('Profit &amp; Loss'!M13:N13)/2</f>
        <v>76.332017272919032</v>
      </c>
      <c r="D70" s="131" t="s">
        <v>200</v>
      </c>
      <c r="E70" s="132"/>
      <c r="F70" s="105">
        <f>SUM('Calculated Data'!B$18:K$18)/SUM('Calculated Data'!B$8:K$8)</f>
        <v>1.7965043695380776</v>
      </c>
    </row>
    <row r="71" spans="1:13" x14ac:dyDescent="0.25">
      <c r="A71" s="123" t="s">
        <v>210</v>
      </c>
      <c r="B71" s="100">
        <v>20.83</v>
      </c>
      <c r="D71" s="131" t="s">
        <v>201</v>
      </c>
      <c r="E71" s="132"/>
      <c r="F71" s="105">
        <f>SUM('Calculated Data'!E$18:K$18)/SUM('Calculated Data'!E$8:K$8)</f>
        <v>1.5327225130890052</v>
      </c>
    </row>
    <row r="72" spans="1:13" x14ac:dyDescent="0.25">
      <c r="A72" s="126" t="s">
        <v>211</v>
      </c>
      <c r="B72" s="100">
        <f>SQRT(22.5*'Profit &amp; Loss'!L13*Customization!B71)</f>
        <v>60.5879482087201</v>
      </c>
      <c r="D72" s="131" t="s">
        <v>202</v>
      </c>
      <c r="E72" s="132"/>
      <c r="F72" s="105">
        <f>SUM('Calculated Data'!G$18:K$18)/SUM('Calculated Data'!G$8:K$8)</f>
        <v>1.1104387291981845</v>
      </c>
    </row>
    <row r="73" spans="1:13" x14ac:dyDescent="0.25">
      <c r="A73" s="126" t="s">
        <v>212</v>
      </c>
      <c r="B73" s="100">
        <f>(B70+B72)/2</f>
        <v>68.459982740819569</v>
      </c>
      <c r="D73" s="131" t="s">
        <v>203</v>
      </c>
      <c r="E73" s="132"/>
      <c r="F73" s="105">
        <f>SUM('Calculated Data'!I$18:K$18)/SUM('Calculated Data'!I$8:K$8)</f>
        <v>1.1357552581261949</v>
      </c>
    </row>
    <row r="74" spans="1:13" x14ac:dyDescent="0.25">
      <c r="A74" s="126" t="s">
        <v>232</v>
      </c>
      <c r="B74" s="100">
        <f>B73*0.75</f>
        <v>51.344987055614681</v>
      </c>
      <c r="D74" s="133" t="s">
        <v>204</v>
      </c>
      <c r="E74" s="134"/>
      <c r="F74" s="105">
        <f>SUM('Calculated Data'!B$18:K$18)/SUM('Data Sheet'!B26:K26)</f>
        <v>2.3360389610389616</v>
      </c>
      <c r="M74"/>
    </row>
    <row r="75" spans="1:13" x14ac:dyDescent="0.25">
      <c r="A75" s="126" t="s">
        <v>43</v>
      </c>
      <c r="B75" s="100">
        <f>'Data Sheet'!B8</f>
        <v>59.45</v>
      </c>
      <c r="M75"/>
    </row>
    <row r="76" spans="1:13" x14ac:dyDescent="0.25">
      <c r="A76" s="127" t="s">
        <v>233</v>
      </c>
      <c r="B76" s="29">
        <f>B99</f>
        <v>89.288948900789393</v>
      </c>
      <c r="M76"/>
    </row>
    <row r="77" spans="1:13" ht="17.25" x14ac:dyDescent="0.3">
      <c r="D77" s="130" t="s">
        <v>216</v>
      </c>
      <c r="E77" s="130"/>
      <c r="F77" s="98" t="s">
        <v>217</v>
      </c>
      <c r="G77" s="98" t="s">
        <v>218</v>
      </c>
      <c r="M77"/>
    </row>
    <row r="78" spans="1:13" x14ac:dyDescent="0.25">
      <c r="A78" s="122" t="s">
        <v>215</v>
      </c>
      <c r="B78" s="101">
        <f>(I64+J64+K64)/3*10^6</f>
        <v>4826666.666666667</v>
      </c>
      <c r="D78" s="128" t="s">
        <v>219</v>
      </c>
      <c r="E78" s="129"/>
      <c r="F78" s="103">
        <f>'Profit &amp; Loss'!J23</f>
        <v>-1.623694165079459E-2</v>
      </c>
      <c r="G78" s="103">
        <f>'Profit &amp; Loss'!H23</f>
        <v>0.17199184511824273</v>
      </c>
      <c r="M78"/>
    </row>
    <row r="79" spans="1:13" ht="17.25" x14ac:dyDescent="0.3">
      <c r="A79" s="122" t="s">
        <v>222</v>
      </c>
      <c r="B79" s="101">
        <f>'Data Sheet'!B6*10^6</f>
        <v>623044.57527333894</v>
      </c>
      <c r="D79" s="128" t="s">
        <v>220</v>
      </c>
      <c r="E79" s="129"/>
      <c r="F79" s="103">
        <f>'Profit &amp; Loss'!N23/2</f>
        <v>-8.1184708253972948E-3</v>
      </c>
      <c r="G79" s="104"/>
      <c r="M79"/>
    </row>
    <row r="80" spans="1:13" ht="17.25" x14ac:dyDescent="0.3">
      <c r="A80" s="124"/>
      <c r="B80" s="100"/>
      <c r="C80" s="100"/>
      <c r="D80" s="128" t="s">
        <v>221</v>
      </c>
      <c r="E80" s="129"/>
      <c r="F80" s="103">
        <v>0.12</v>
      </c>
      <c r="G80" s="104"/>
      <c r="M80"/>
    </row>
    <row r="81" spans="1:5" ht="17.25" x14ac:dyDescent="0.3">
      <c r="A81" s="125"/>
      <c r="B81" s="97"/>
      <c r="C81" s="97"/>
      <c r="D81" s="97"/>
    </row>
    <row r="82" spans="1:5" ht="17.25" x14ac:dyDescent="0.3">
      <c r="A82" s="125"/>
      <c r="B82" s="97"/>
      <c r="C82" s="97"/>
      <c r="D82" s="97"/>
    </row>
    <row r="83" spans="1:5" x14ac:dyDescent="0.25">
      <c r="A83" s="122" t="s">
        <v>223</v>
      </c>
      <c r="B83" s="99" t="s">
        <v>224</v>
      </c>
      <c r="C83" s="99" t="s">
        <v>225</v>
      </c>
      <c r="D83" s="99" t="s">
        <v>226</v>
      </c>
    </row>
    <row r="84" spans="1:5" x14ac:dyDescent="0.25">
      <c r="A84" s="122">
        <v>1</v>
      </c>
      <c r="B84" s="99">
        <f>(B78*C84)+B78</f>
        <v>4748296.3616321655</v>
      </c>
      <c r="C84" s="102">
        <f>F78</f>
        <v>-1.623694165079459E-2</v>
      </c>
      <c r="D84" s="99">
        <f>B84/((1+F80)^A84)</f>
        <v>4239550.3228858616</v>
      </c>
    </row>
    <row r="85" spans="1:5" x14ac:dyDescent="0.25">
      <c r="A85" s="122">
        <v>2</v>
      </c>
      <c r="B85" s="99">
        <f t="shared" ref="B85:B93" si="5">(B84*C85)+B84</f>
        <v>4671198.550667664</v>
      </c>
      <c r="C85" s="102">
        <f>F78</f>
        <v>-1.623694165079459E-2</v>
      </c>
      <c r="D85" s="99">
        <f>B85/((1+F80)^A85)</f>
        <v>3723850.8854174614</v>
      </c>
    </row>
    <row r="86" spans="1:5" x14ac:dyDescent="0.25">
      <c r="A86" s="122">
        <v>3</v>
      </c>
      <c r="B86" s="99">
        <f t="shared" si="5"/>
        <v>4595352.5723611973</v>
      </c>
      <c r="C86" s="102">
        <f>F78</f>
        <v>-1.623694165079459E-2</v>
      </c>
      <c r="D86" s="99">
        <f>B86/((1+F80)^A86)</f>
        <v>3270881.1927452483</v>
      </c>
    </row>
    <row r="87" spans="1:5" x14ac:dyDescent="0.25">
      <c r="A87" s="122">
        <v>4</v>
      </c>
      <c r="B87" s="99">
        <f t="shared" si="5"/>
        <v>4520738.1007789401</v>
      </c>
      <c r="C87" s="102">
        <f>F78</f>
        <v>-1.623694165079459E-2</v>
      </c>
      <c r="D87" s="99">
        <f>B87/((1+F80)^A87)</f>
        <v>2873010.7907785382</v>
      </c>
    </row>
    <row r="88" spans="1:5" x14ac:dyDescent="0.25">
      <c r="A88" s="122">
        <v>5</v>
      </c>
      <c r="B88" s="99">
        <f t="shared" si="5"/>
        <v>4447335.1400180683</v>
      </c>
      <c r="C88" s="102">
        <f>F78</f>
        <v>-1.623694165079459E-2</v>
      </c>
      <c r="D88" s="99">
        <f>B88/((1+F80)^A88)</f>
        <v>2523537.3948272886</v>
      </c>
    </row>
    <row r="89" spans="1:5" x14ac:dyDescent="0.25">
      <c r="A89" s="122">
        <v>6</v>
      </c>
      <c r="B89" s="99">
        <f t="shared" si="5"/>
        <v>5212240.516608974</v>
      </c>
      <c r="C89" s="102">
        <f>G78</f>
        <v>0.17199184511824273</v>
      </c>
      <c r="D89" s="99">
        <f>B89/((1+F80)^A89)</f>
        <v>2640683.2567754616</v>
      </c>
    </row>
    <row r="90" spans="1:5" x14ac:dyDescent="0.25">
      <c r="A90" s="122">
        <v>7</v>
      </c>
      <c r="B90" s="99">
        <f t="shared" si="5"/>
        <v>6108703.3802606137</v>
      </c>
      <c r="C90" s="102">
        <f>G78</f>
        <v>0.17199184511824273</v>
      </c>
      <c r="D90" s="99">
        <f>B90/((1+F80)^A90)</f>
        <v>2763267.1807867172</v>
      </c>
      <c r="E90" s="91"/>
    </row>
    <row r="91" spans="1:5" x14ac:dyDescent="0.25">
      <c r="A91" s="122">
        <v>8</v>
      </c>
      <c r="B91" s="99">
        <f t="shared" si="5"/>
        <v>7159350.5459116828</v>
      </c>
      <c r="C91" s="102">
        <f>G78</f>
        <v>0.17199184511824273</v>
      </c>
      <c r="D91" s="99">
        <f>B91/((1+F80)^A91)</f>
        <v>2891541.608718669</v>
      </c>
    </row>
    <row r="92" spans="1:5" x14ac:dyDescent="0.25">
      <c r="A92" s="122">
        <v>9</v>
      </c>
      <c r="B92" s="99">
        <f t="shared" si="5"/>
        <v>8390700.4561513308</v>
      </c>
      <c r="C92" s="102">
        <f>G78</f>
        <v>0.17199184511824273</v>
      </c>
      <c r="D92" s="99">
        <f>B92/((1+F80)^A92)</f>
        <v>3025770.7011056826</v>
      </c>
    </row>
    <row r="93" spans="1:5" x14ac:dyDescent="0.25">
      <c r="A93" s="122">
        <v>10</v>
      </c>
      <c r="B93" s="99">
        <f t="shared" si="5"/>
        <v>9833832.5094392784</v>
      </c>
      <c r="C93" s="102">
        <f>G78</f>
        <v>0.17199184511824273</v>
      </c>
      <c r="D93" s="99">
        <f>B93/((1+F80)^A93)</f>
        <v>3166230.8811549707</v>
      </c>
    </row>
    <row r="94" spans="1:5" x14ac:dyDescent="0.25">
      <c r="A94" s="122"/>
      <c r="B94" s="99"/>
      <c r="C94" s="99"/>
      <c r="D94" s="99"/>
    </row>
    <row r="95" spans="1:5" x14ac:dyDescent="0.25">
      <c r="A95" s="122" t="s">
        <v>227</v>
      </c>
      <c r="B95" s="99">
        <f>(B93*F79)+B93</f>
        <v>9753996.8271095529</v>
      </c>
      <c r="C95" s="99"/>
      <c r="D95" s="99"/>
    </row>
    <row r="96" spans="1:5" ht="30" x14ac:dyDescent="0.25">
      <c r="A96" s="122" t="s">
        <v>230</v>
      </c>
      <c r="B96" s="99">
        <f>SUM(D84:D93)</f>
        <v>31118324.215195902</v>
      </c>
      <c r="C96" s="99"/>
      <c r="D96" s="99"/>
    </row>
    <row r="97" spans="1:4" x14ac:dyDescent="0.25">
      <c r="A97" s="122" t="s">
        <v>228</v>
      </c>
      <c r="B97" s="99">
        <f>((B95)/(F80-F79))/(1+F80)^A93</f>
        <v>24512671.029299289</v>
      </c>
      <c r="C97" s="99"/>
      <c r="D97" s="99"/>
    </row>
    <row r="98" spans="1:4" x14ac:dyDescent="0.25">
      <c r="A98" s="122" t="s">
        <v>231</v>
      </c>
      <c r="B98" s="99">
        <f>B96+B97</f>
        <v>55630995.244495191</v>
      </c>
      <c r="C98" s="99"/>
      <c r="D98" s="99"/>
    </row>
    <row r="99" spans="1:4" x14ac:dyDescent="0.25">
      <c r="A99" s="122" t="s">
        <v>229</v>
      </c>
      <c r="B99" s="99">
        <f>B98/B79</f>
        <v>89.288948900789393</v>
      </c>
      <c r="C99" s="99"/>
      <c r="D99" s="99"/>
    </row>
    <row r="100" spans="1:4" x14ac:dyDescent="0.25">
      <c r="A100" s="122"/>
      <c r="B100" s="99"/>
      <c r="C100" s="99"/>
      <c r="D100" s="99"/>
    </row>
    <row r="101" spans="1:4" x14ac:dyDescent="0.25">
      <c r="A101" s="122"/>
      <c r="B101" s="99"/>
      <c r="C101" s="99"/>
      <c r="D101" s="99"/>
    </row>
    <row r="102" spans="1:4" x14ac:dyDescent="0.25">
      <c r="A102" s="122"/>
      <c r="B102" s="99"/>
      <c r="C102" s="99"/>
      <c r="D102" s="99"/>
    </row>
  </sheetData>
  <mergeCells count="15">
    <mergeCell ref="A51:K51"/>
    <mergeCell ref="F4:K4"/>
    <mergeCell ref="M4:N4"/>
    <mergeCell ref="A10:J10"/>
    <mergeCell ref="A34:K34"/>
    <mergeCell ref="A43:K43"/>
    <mergeCell ref="D78:E78"/>
    <mergeCell ref="D79:E79"/>
    <mergeCell ref="D80:E80"/>
    <mergeCell ref="D77:E77"/>
    <mergeCell ref="D70:E70"/>
    <mergeCell ref="D71:E71"/>
    <mergeCell ref="D72:E72"/>
    <mergeCell ref="D73:E73"/>
    <mergeCell ref="D74:E74"/>
  </mergeCells>
  <hyperlinks>
    <hyperlink ref="C8" r:id="rId1" display=" http://www.screener.in/excel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120" zoomScaleNormal="120" zoomScalePageLayoutView="12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57" sqref="B57"/>
    </sheetView>
  </sheetViews>
  <sheetFormatPr defaultColWidth="8.85546875" defaultRowHeight="15" x14ac:dyDescent="0.25"/>
  <cols>
    <col min="1" max="1" width="27.7109375" style="5" bestFit="1" customWidth="1"/>
    <col min="2" max="11" width="13.42578125" style="5" bestFit="1" customWidth="1"/>
    <col min="12" max="16384" width="8.85546875" style="5"/>
  </cols>
  <sheetData>
    <row r="1" spans="1:11" s="1" customFormat="1" x14ac:dyDescent="0.25">
      <c r="A1" s="1" t="s">
        <v>0</v>
      </c>
      <c r="B1" s="1" t="s">
        <v>54</v>
      </c>
      <c r="E1" s="141" t="str">
        <f>IF(B2&lt;&gt;B3, "A NEW VERSION OF THE WORKSHEET IS AVAILABLE", "")</f>
        <v/>
      </c>
      <c r="F1" s="141"/>
      <c r="G1" s="141"/>
      <c r="H1" s="141"/>
      <c r="I1" s="141"/>
      <c r="J1" s="141"/>
      <c r="K1" s="141"/>
    </row>
    <row r="2" spans="1:11" x14ac:dyDescent="0.25">
      <c r="A2" s="1" t="s">
        <v>52</v>
      </c>
      <c r="B2" s="5">
        <v>2.1</v>
      </c>
      <c r="E2" s="142" t="s">
        <v>36</v>
      </c>
      <c r="F2" s="142"/>
      <c r="G2" s="142"/>
      <c r="H2" s="142"/>
      <c r="I2" s="142"/>
      <c r="J2" s="142"/>
      <c r="K2" s="142"/>
    </row>
    <row r="3" spans="1:11" x14ac:dyDescent="0.25">
      <c r="A3" s="1" t="s">
        <v>53</v>
      </c>
      <c r="B3" s="5">
        <v>2.1</v>
      </c>
    </row>
    <row r="4" spans="1:11" x14ac:dyDescent="0.25">
      <c r="A4" s="1"/>
    </row>
    <row r="5" spans="1:11" x14ac:dyDescent="0.25">
      <c r="A5" s="1" t="s">
        <v>55</v>
      </c>
    </row>
    <row r="6" spans="1:11" x14ac:dyDescent="0.25">
      <c r="A6" s="5" t="s">
        <v>42</v>
      </c>
      <c r="B6" s="5">
        <f>IF(B9&gt;0, B9/B8, 0)</f>
        <v>0.6230445752733389</v>
      </c>
    </row>
    <row r="7" spans="1:11" x14ac:dyDescent="0.25">
      <c r="A7" s="5" t="s">
        <v>31</v>
      </c>
      <c r="B7">
        <v>10</v>
      </c>
    </row>
    <row r="8" spans="1:11" x14ac:dyDescent="0.25">
      <c r="A8" s="5" t="s">
        <v>43</v>
      </c>
      <c r="B8">
        <v>59.45</v>
      </c>
    </row>
    <row r="9" spans="1:11" x14ac:dyDescent="0.25">
      <c r="A9" s="5" t="s">
        <v>70</v>
      </c>
      <c r="B9">
        <v>37.04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39903</v>
      </c>
      <c r="C16" s="16">
        <v>40268</v>
      </c>
      <c r="D16" s="16">
        <v>40633</v>
      </c>
      <c r="E16" s="16">
        <v>40999</v>
      </c>
      <c r="F16" s="16">
        <v>41364</v>
      </c>
      <c r="G16" s="16">
        <v>41729</v>
      </c>
      <c r="H16" s="16">
        <v>42094</v>
      </c>
      <c r="I16" s="16">
        <v>42460</v>
      </c>
      <c r="J16" s="16">
        <v>42825</v>
      </c>
      <c r="K16" s="16">
        <v>43190</v>
      </c>
    </row>
    <row r="17" spans="1:11" s="9" customFormat="1" x14ac:dyDescent="0.25">
      <c r="A17" s="9" t="s">
        <v>6</v>
      </c>
      <c r="B17">
        <v>9.7799999999999994</v>
      </c>
      <c r="C17">
        <v>12.08</v>
      </c>
      <c r="D17">
        <v>20.83</v>
      </c>
      <c r="E17">
        <v>25.44</v>
      </c>
      <c r="F17">
        <v>44.28</v>
      </c>
      <c r="G17">
        <v>33.74</v>
      </c>
      <c r="H17">
        <v>32.65</v>
      </c>
      <c r="I17">
        <v>27.91</v>
      </c>
      <c r="J17">
        <v>35.47</v>
      </c>
      <c r="K17">
        <v>40.799999999999997</v>
      </c>
    </row>
    <row r="18" spans="1:11" s="9" customFormat="1" x14ac:dyDescent="0.25">
      <c r="A18" s="5" t="s">
        <v>71</v>
      </c>
      <c r="B18">
        <v>7.99</v>
      </c>
      <c r="C18">
        <v>9.19</v>
      </c>
      <c r="D18">
        <v>16.18</v>
      </c>
      <c r="E18">
        <v>20.62</v>
      </c>
      <c r="F18">
        <v>32.68</v>
      </c>
      <c r="G18">
        <v>24.59</v>
      </c>
      <c r="H18">
        <v>21.71</v>
      </c>
      <c r="I18">
        <v>16.38</v>
      </c>
      <c r="J18">
        <v>20.079999999999998</v>
      </c>
      <c r="K18">
        <v>24.66</v>
      </c>
    </row>
    <row r="19" spans="1:11" s="9" customFormat="1" x14ac:dyDescent="0.25">
      <c r="A19" s="5" t="s">
        <v>72</v>
      </c>
      <c r="B19">
        <v>0.75</v>
      </c>
      <c r="C19">
        <v>1.03</v>
      </c>
      <c r="D19">
        <v>0.63</v>
      </c>
      <c r="E19">
        <v>1.46</v>
      </c>
      <c r="F19">
        <v>-2.17</v>
      </c>
      <c r="G19">
        <v>-0.16</v>
      </c>
      <c r="H19">
        <v>-1.1200000000000001</v>
      </c>
      <c r="I19">
        <v>-1.76</v>
      </c>
      <c r="J19">
        <v>-2.34</v>
      </c>
      <c r="K19">
        <v>-0.06</v>
      </c>
    </row>
    <row r="20" spans="1:11" s="9" customFormat="1" x14ac:dyDescent="0.25">
      <c r="A20" s="5" t="s">
        <v>73</v>
      </c>
      <c r="B20">
        <v>0.39</v>
      </c>
      <c r="C20">
        <v>0.53</v>
      </c>
      <c r="D20">
        <v>0.82</v>
      </c>
      <c r="E20">
        <v>0.55000000000000004</v>
      </c>
      <c r="F20">
        <v>1.48</v>
      </c>
      <c r="G20">
        <v>1.31</v>
      </c>
      <c r="H20">
        <v>1.4</v>
      </c>
      <c r="I20">
        <v>1.02</v>
      </c>
      <c r="J20">
        <v>1.29</v>
      </c>
      <c r="K20">
        <v>1.48</v>
      </c>
    </row>
    <row r="21" spans="1:11" s="9" customFormat="1" x14ac:dyDescent="0.25">
      <c r="A21" s="5" t="s">
        <v>74</v>
      </c>
      <c r="B21">
        <v>0.38</v>
      </c>
      <c r="C21">
        <v>0.96</v>
      </c>
      <c r="D21">
        <v>0.32</v>
      </c>
      <c r="E21">
        <v>0.28999999999999998</v>
      </c>
      <c r="F21">
        <v>0.37</v>
      </c>
      <c r="G21">
        <v>0.56999999999999995</v>
      </c>
      <c r="H21">
        <v>0.59</v>
      </c>
      <c r="I21">
        <v>0.47</v>
      </c>
      <c r="J21">
        <v>1.1499999999999999</v>
      </c>
      <c r="K21">
        <v>1.21</v>
      </c>
    </row>
    <row r="22" spans="1:11" s="9" customFormat="1" x14ac:dyDescent="0.25">
      <c r="A22" s="5" t="s">
        <v>75</v>
      </c>
      <c r="B22">
        <v>0.75</v>
      </c>
      <c r="C22">
        <v>0.95</v>
      </c>
      <c r="D22">
        <v>1.41</v>
      </c>
      <c r="E22">
        <v>1.54</v>
      </c>
      <c r="F22">
        <v>1.93</v>
      </c>
      <c r="G22">
        <v>2.0099999999999998</v>
      </c>
      <c r="H22">
        <v>2.17</v>
      </c>
      <c r="I22">
        <v>2.37</v>
      </c>
      <c r="J22">
        <v>2.72</v>
      </c>
      <c r="K22">
        <v>2.8</v>
      </c>
    </row>
    <row r="23" spans="1:11" s="9" customFormat="1" x14ac:dyDescent="0.25">
      <c r="A23" s="5" t="s">
        <v>76</v>
      </c>
      <c r="B23">
        <v>0.65</v>
      </c>
      <c r="C23">
        <v>0.65</v>
      </c>
      <c r="D23">
        <v>0.94</v>
      </c>
      <c r="E23">
        <v>1.41</v>
      </c>
      <c r="F23">
        <v>2.08</v>
      </c>
      <c r="G23">
        <v>1.85</v>
      </c>
      <c r="H23">
        <v>2.5</v>
      </c>
      <c r="I23">
        <v>2.58</v>
      </c>
      <c r="J23">
        <v>2.52</v>
      </c>
      <c r="K23">
        <v>3.27</v>
      </c>
    </row>
    <row r="24" spans="1:11" s="9" customFormat="1" x14ac:dyDescent="0.25">
      <c r="A24" s="5" t="s">
        <v>77</v>
      </c>
      <c r="B24">
        <v>0.02</v>
      </c>
      <c r="C24">
        <v>7.0000000000000007E-2</v>
      </c>
      <c r="D24">
        <v>0.05</v>
      </c>
      <c r="E24">
        <v>0.38</v>
      </c>
      <c r="F24">
        <v>0.3</v>
      </c>
      <c r="G24">
        <v>0.48</v>
      </c>
      <c r="H24">
        <v>0.22</v>
      </c>
      <c r="I24">
        <v>0.53</v>
      </c>
      <c r="J24">
        <v>0.94</v>
      </c>
      <c r="K24">
        <v>0.96</v>
      </c>
    </row>
    <row r="25" spans="1:11" s="9" customFormat="1" x14ac:dyDescent="0.25">
      <c r="A25" s="9" t="s">
        <v>9</v>
      </c>
      <c r="B25">
        <v>0.38</v>
      </c>
      <c r="C25">
        <v>0.08</v>
      </c>
      <c r="D25">
        <v>0.03</v>
      </c>
      <c r="E25">
        <v>0.05</v>
      </c>
      <c r="F25">
        <v>0.06</v>
      </c>
      <c r="G25">
        <v>0.06</v>
      </c>
      <c r="H25">
        <v>0.24</v>
      </c>
      <c r="I25">
        <v>0.42</v>
      </c>
      <c r="J25">
        <v>0.53</v>
      </c>
      <c r="K25">
        <v>0.51</v>
      </c>
    </row>
    <row r="26" spans="1:11" s="9" customFormat="1" x14ac:dyDescent="0.25">
      <c r="A26" s="9" t="s">
        <v>10</v>
      </c>
      <c r="B26">
        <v>0.26</v>
      </c>
      <c r="C26">
        <v>0.34</v>
      </c>
      <c r="D26">
        <v>0.44</v>
      </c>
      <c r="E26">
        <v>0.47</v>
      </c>
      <c r="F26">
        <v>0.72</v>
      </c>
      <c r="G26">
        <v>0.74</v>
      </c>
      <c r="H26">
        <v>0.72</v>
      </c>
      <c r="I26">
        <v>0.68</v>
      </c>
      <c r="J26">
        <v>0.86</v>
      </c>
      <c r="K26">
        <v>0.93</v>
      </c>
    </row>
    <row r="27" spans="1:11" s="9" customFormat="1" x14ac:dyDescent="0.25">
      <c r="A27" s="9" t="s">
        <v>11</v>
      </c>
      <c r="B27">
        <v>0.38</v>
      </c>
      <c r="C27">
        <v>0.42</v>
      </c>
      <c r="D27">
        <v>1.1200000000000001</v>
      </c>
      <c r="E27">
        <v>1.43</v>
      </c>
      <c r="F27">
        <v>1.85</v>
      </c>
      <c r="G27">
        <v>1.53</v>
      </c>
      <c r="H27">
        <v>1.66</v>
      </c>
      <c r="I27">
        <v>1.66</v>
      </c>
      <c r="J27">
        <v>1.18</v>
      </c>
      <c r="K27">
        <v>1.21</v>
      </c>
    </row>
    <row r="28" spans="1:11" s="9" customFormat="1" x14ac:dyDescent="0.25">
      <c r="A28" s="9" t="s">
        <v>12</v>
      </c>
      <c r="B28">
        <v>0.09</v>
      </c>
      <c r="C28">
        <v>0.08</v>
      </c>
      <c r="D28">
        <v>0.21</v>
      </c>
      <c r="E28">
        <v>0.26</v>
      </c>
      <c r="F28">
        <v>0.76</v>
      </c>
      <c r="G28">
        <v>0.57999999999999996</v>
      </c>
      <c r="H28">
        <v>0.8</v>
      </c>
      <c r="I28">
        <v>0.88</v>
      </c>
      <c r="J28">
        <v>2.93</v>
      </c>
      <c r="K28">
        <v>4.7300000000000004</v>
      </c>
    </row>
    <row r="29" spans="1:11" s="9" customFormat="1" x14ac:dyDescent="0.25">
      <c r="A29" s="9" t="s">
        <v>13</v>
      </c>
      <c r="B29">
        <v>0.01</v>
      </c>
      <c r="C29"/>
      <c r="D29"/>
      <c r="E29"/>
      <c r="F29"/>
      <c r="G29"/>
      <c r="H29"/>
      <c r="I29"/>
      <c r="J29">
        <v>2.11</v>
      </c>
      <c r="K29">
        <v>1.19</v>
      </c>
    </row>
    <row r="30" spans="1:11" s="9" customFormat="1" x14ac:dyDescent="0.25">
      <c r="A30" s="9" t="s">
        <v>14</v>
      </c>
      <c r="B30">
        <v>0.08</v>
      </c>
      <c r="C30">
        <v>0.08</v>
      </c>
      <c r="D30">
        <v>0.21</v>
      </c>
      <c r="E30">
        <v>0.26</v>
      </c>
      <c r="F30">
        <v>0.77</v>
      </c>
      <c r="G30">
        <v>0.57999999999999996</v>
      </c>
      <c r="H30">
        <v>0.8</v>
      </c>
      <c r="I30">
        <v>0.88</v>
      </c>
      <c r="J30">
        <v>0.82</v>
      </c>
      <c r="K30">
        <v>3.53</v>
      </c>
    </row>
    <row r="31" spans="1:11" s="9" customFormat="1" x14ac:dyDescent="0.25">
      <c r="A31" s="9" t="s">
        <v>61</v>
      </c>
      <c r="B31"/>
      <c r="C31"/>
      <c r="D31"/>
      <c r="E31"/>
      <c r="F31"/>
      <c r="G31"/>
      <c r="H31"/>
      <c r="I31"/>
      <c r="J31"/>
      <c r="K31"/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42643</v>
      </c>
      <c r="C41" s="16">
        <v>42735</v>
      </c>
      <c r="D41" s="16">
        <v>42825</v>
      </c>
      <c r="E41" s="16">
        <v>42916</v>
      </c>
      <c r="F41" s="16">
        <v>43008</v>
      </c>
      <c r="G41" s="16">
        <v>43100</v>
      </c>
      <c r="H41" s="16">
        <v>43190</v>
      </c>
      <c r="I41" s="16">
        <v>43281</v>
      </c>
      <c r="J41" s="16">
        <v>43373</v>
      </c>
      <c r="K41" s="16">
        <v>43465</v>
      </c>
    </row>
    <row r="42" spans="1:11" s="9" customFormat="1" x14ac:dyDescent="0.25">
      <c r="A42" s="9" t="s">
        <v>6</v>
      </c>
      <c r="B42">
        <v>8.15</v>
      </c>
      <c r="C42">
        <v>7.25</v>
      </c>
      <c r="D42">
        <v>10.07</v>
      </c>
      <c r="E42">
        <v>7.52</v>
      </c>
      <c r="F42">
        <v>9.7200000000000006</v>
      </c>
      <c r="G42">
        <v>12.27</v>
      </c>
      <c r="H42">
        <v>11.28</v>
      </c>
      <c r="I42">
        <v>10.47</v>
      </c>
      <c r="J42">
        <v>12.55</v>
      </c>
      <c r="K42">
        <v>12.28</v>
      </c>
    </row>
    <row r="43" spans="1:11" s="9" customFormat="1" x14ac:dyDescent="0.25">
      <c r="A43" s="9" t="s">
        <v>7</v>
      </c>
      <c r="B43">
        <v>7.54</v>
      </c>
      <c r="C43">
        <v>6.47</v>
      </c>
      <c r="D43">
        <v>8.17</v>
      </c>
      <c r="E43">
        <v>6.59</v>
      </c>
      <c r="F43">
        <v>8.42</v>
      </c>
      <c r="G43">
        <v>10.36</v>
      </c>
      <c r="H43">
        <v>9.1999999999999993</v>
      </c>
      <c r="I43">
        <v>9.18</v>
      </c>
      <c r="J43">
        <v>11.3</v>
      </c>
      <c r="K43">
        <v>10.039999999999999</v>
      </c>
    </row>
    <row r="44" spans="1:11" s="9" customFormat="1" x14ac:dyDescent="0.25">
      <c r="A44" s="9" t="s">
        <v>9</v>
      </c>
      <c r="B44">
        <v>0.21</v>
      </c>
      <c r="C44">
        <v>0.1</v>
      </c>
      <c r="D44">
        <v>0.2</v>
      </c>
      <c r="E44">
        <v>0.03</v>
      </c>
      <c r="F44">
        <v>0.14000000000000001</v>
      </c>
      <c r="G44">
        <v>0.12</v>
      </c>
      <c r="H44">
        <v>0.23</v>
      </c>
      <c r="I44">
        <v>0.03</v>
      </c>
      <c r="J44">
        <v>0.26</v>
      </c>
      <c r="K44">
        <v>7.0000000000000007E-2</v>
      </c>
    </row>
    <row r="45" spans="1:11" s="9" customFormat="1" x14ac:dyDescent="0.25">
      <c r="A45" s="9" t="s">
        <v>10</v>
      </c>
      <c r="B45">
        <v>0.2</v>
      </c>
      <c r="C45">
        <v>0.2</v>
      </c>
      <c r="D45">
        <v>0.26</v>
      </c>
      <c r="E45">
        <v>0.22</v>
      </c>
      <c r="F45">
        <v>0.23</v>
      </c>
      <c r="G45">
        <v>0.28000000000000003</v>
      </c>
      <c r="H45">
        <v>0.2</v>
      </c>
      <c r="I45">
        <v>0.25</v>
      </c>
      <c r="J45">
        <v>0.26</v>
      </c>
      <c r="K45">
        <v>0.28000000000000003</v>
      </c>
    </row>
    <row r="46" spans="1:11" s="9" customFormat="1" x14ac:dyDescent="0.25">
      <c r="A46" s="9" t="s">
        <v>11</v>
      </c>
      <c r="B46">
        <v>0.4</v>
      </c>
      <c r="C46">
        <v>0.47</v>
      </c>
      <c r="D46">
        <v>-0.16</v>
      </c>
      <c r="E46">
        <v>0.3</v>
      </c>
      <c r="F46">
        <v>0.33</v>
      </c>
      <c r="G46">
        <v>0.41</v>
      </c>
      <c r="H46">
        <v>0.05</v>
      </c>
      <c r="I46">
        <v>0.23</v>
      </c>
      <c r="J46">
        <v>0.19</v>
      </c>
      <c r="K46">
        <v>0.18</v>
      </c>
    </row>
    <row r="47" spans="1:11" s="9" customFormat="1" x14ac:dyDescent="0.25">
      <c r="A47" s="9" t="s">
        <v>12</v>
      </c>
      <c r="B47">
        <v>0.22</v>
      </c>
      <c r="C47">
        <v>0.21</v>
      </c>
      <c r="D47">
        <v>2</v>
      </c>
      <c r="E47">
        <v>0.44</v>
      </c>
      <c r="F47">
        <v>0.88</v>
      </c>
      <c r="G47">
        <v>1.34</v>
      </c>
      <c r="H47">
        <v>2.06</v>
      </c>
      <c r="I47">
        <v>0.84</v>
      </c>
      <c r="J47">
        <v>1.06</v>
      </c>
      <c r="K47">
        <v>1.85</v>
      </c>
    </row>
    <row r="48" spans="1:11" s="9" customFormat="1" x14ac:dyDescent="0.25">
      <c r="A48" s="9" t="s">
        <v>13</v>
      </c>
      <c r="B48"/>
      <c r="C48"/>
      <c r="D48"/>
      <c r="E48"/>
      <c r="F48"/>
      <c r="G48"/>
      <c r="H48"/>
      <c r="I48">
        <v>0.21</v>
      </c>
      <c r="J48">
        <v>0.27</v>
      </c>
      <c r="K48">
        <v>0.46</v>
      </c>
    </row>
    <row r="49" spans="1:11" s="9" customFormat="1" x14ac:dyDescent="0.25">
      <c r="A49" s="9" t="s">
        <v>14</v>
      </c>
      <c r="B49">
        <v>0.22</v>
      </c>
      <c r="C49">
        <v>0.21</v>
      </c>
      <c r="D49">
        <v>2</v>
      </c>
      <c r="E49">
        <v>0.44</v>
      </c>
      <c r="F49">
        <v>0.88</v>
      </c>
      <c r="G49">
        <v>1.34</v>
      </c>
      <c r="H49">
        <v>2.06</v>
      </c>
      <c r="I49">
        <v>0.64</v>
      </c>
      <c r="J49">
        <v>0.8</v>
      </c>
      <c r="K49">
        <v>1.38</v>
      </c>
    </row>
    <row r="50" spans="1:11" x14ac:dyDescent="0.25">
      <c r="A50" s="9" t="s">
        <v>8</v>
      </c>
      <c r="B50">
        <v>0.61</v>
      </c>
      <c r="C50">
        <v>0.78</v>
      </c>
      <c r="D50">
        <v>1.9</v>
      </c>
      <c r="E50">
        <v>0.93</v>
      </c>
      <c r="F50">
        <v>1.3</v>
      </c>
      <c r="G50">
        <v>1.91</v>
      </c>
      <c r="H50">
        <v>2.08</v>
      </c>
      <c r="I50">
        <v>1.29</v>
      </c>
      <c r="J50">
        <v>1.25</v>
      </c>
      <c r="K50">
        <v>2.2400000000000002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39903</v>
      </c>
      <c r="C56" s="16">
        <v>40268</v>
      </c>
      <c r="D56" s="16">
        <v>40633</v>
      </c>
      <c r="E56" s="16">
        <v>40999</v>
      </c>
      <c r="F56" s="16">
        <v>41364</v>
      </c>
      <c r="G56" s="16">
        <v>41729</v>
      </c>
      <c r="H56" s="16">
        <v>42094</v>
      </c>
      <c r="I56" s="16">
        <v>42460</v>
      </c>
      <c r="J56" s="16">
        <v>42825</v>
      </c>
      <c r="K56" s="16">
        <v>43190</v>
      </c>
    </row>
    <row r="57" spans="1:11" x14ac:dyDescent="0.25">
      <c r="A57" s="9" t="s">
        <v>24</v>
      </c>
      <c r="B57">
        <v>6.23</v>
      </c>
      <c r="C57">
        <v>6.23</v>
      </c>
      <c r="D57">
        <v>6.23</v>
      </c>
      <c r="E57">
        <v>6.23</v>
      </c>
      <c r="F57">
        <v>6.23</v>
      </c>
      <c r="G57">
        <v>6.23</v>
      </c>
      <c r="H57">
        <v>6.23</v>
      </c>
      <c r="I57">
        <v>6.23</v>
      </c>
      <c r="J57">
        <v>6.23</v>
      </c>
      <c r="K57">
        <v>6.23</v>
      </c>
    </row>
    <row r="58" spans="1:11" x14ac:dyDescent="0.25">
      <c r="A58" s="9" t="s">
        <v>25</v>
      </c>
      <c r="B58">
        <v>-1.22</v>
      </c>
      <c r="C58">
        <v>-1.1399999999999999</v>
      </c>
      <c r="D58">
        <v>-0.94</v>
      </c>
      <c r="E58">
        <v>-0.68</v>
      </c>
      <c r="F58">
        <v>0.09</v>
      </c>
      <c r="G58">
        <v>0.67</v>
      </c>
      <c r="H58">
        <v>1.47</v>
      </c>
      <c r="I58">
        <v>2.35</v>
      </c>
      <c r="J58">
        <v>3.18</v>
      </c>
      <c r="K58">
        <v>6.75</v>
      </c>
    </row>
    <row r="59" spans="1:11" x14ac:dyDescent="0.25">
      <c r="A59" s="9" t="s">
        <v>62</v>
      </c>
      <c r="B59">
        <v>8.0500000000000007</v>
      </c>
      <c r="C59">
        <v>10.86</v>
      </c>
      <c r="D59">
        <v>12.9</v>
      </c>
      <c r="E59">
        <v>15.94</v>
      </c>
      <c r="F59">
        <v>16.75</v>
      </c>
      <c r="G59">
        <v>14.8</v>
      </c>
      <c r="H59">
        <v>16.41</v>
      </c>
      <c r="I59">
        <v>12.62</v>
      </c>
      <c r="J59">
        <v>4.95</v>
      </c>
      <c r="K59">
        <v>6.18</v>
      </c>
    </row>
    <row r="60" spans="1:11" x14ac:dyDescent="0.25">
      <c r="A60" s="9" t="s">
        <v>63</v>
      </c>
      <c r="B60">
        <v>2.68</v>
      </c>
      <c r="C60">
        <v>2.48</v>
      </c>
      <c r="D60">
        <v>4.09</v>
      </c>
      <c r="E60">
        <v>5.22</v>
      </c>
      <c r="F60">
        <v>6.75</v>
      </c>
      <c r="G60">
        <v>5.14</v>
      </c>
      <c r="H60">
        <v>4.67</v>
      </c>
      <c r="I60">
        <v>4.49</v>
      </c>
      <c r="J60">
        <v>12.45</v>
      </c>
      <c r="K60">
        <v>11.25</v>
      </c>
    </row>
    <row r="61" spans="1:11" s="1" customFormat="1" x14ac:dyDescent="0.25">
      <c r="A61" s="1" t="s">
        <v>26</v>
      </c>
      <c r="B61">
        <v>15.74</v>
      </c>
      <c r="C61">
        <v>18.43</v>
      </c>
      <c r="D61">
        <v>22.28</v>
      </c>
      <c r="E61">
        <v>26.71</v>
      </c>
      <c r="F61">
        <v>29.82</v>
      </c>
      <c r="G61">
        <v>26.84</v>
      </c>
      <c r="H61">
        <v>28.78</v>
      </c>
      <c r="I61">
        <v>25.69</v>
      </c>
      <c r="J61">
        <v>26.81</v>
      </c>
      <c r="K61">
        <v>30.41</v>
      </c>
    </row>
    <row r="62" spans="1:11" x14ac:dyDescent="0.25">
      <c r="A62" s="9" t="s">
        <v>27</v>
      </c>
      <c r="B62">
        <v>3.5</v>
      </c>
      <c r="C62">
        <v>5.25</v>
      </c>
      <c r="D62">
        <v>6.85</v>
      </c>
      <c r="E62">
        <v>6.38</v>
      </c>
      <c r="F62">
        <v>10.68</v>
      </c>
      <c r="G62">
        <v>10.51</v>
      </c>
      <c r="H62">
        <v>9.8000000000000007</v>
      </c>
      <c r="I62">
        <v>9.1300000000000008</v>
      </c>
      <c r="J62">
        <v>13</v>
      </c>
      <c r="K62">
        <v>13.02</v>
      </c>
    </row>
    <row r="63" spans="1:11" x14ac:dyDescent="0.25">
      <c r="A63" s="9" t="s">
        <v>28</v>
      </c>
      <c r="B63">
        <v>2.1</v>
      </c>
      <c r="C63">
        <v>1.87</v>
      </c>
      <c r="D63">
        <v>0.65</v>
      </c>
      <c r="E63">
        <v>4.43</v>
      </c>
      <c r="F63"/>
      <c r="G63">
        <v>0.06</v>
      </c>
      <c r="H63">
        <v>0.82</v>
      </c>
      <c r="I63">
        <v>3.33</v>
      </c>
      <c r="J63">
        <v>0.23</v>
      </c>
      <c r="K63">
        <v>1.07</v>
      </c>
    </row>
    <row r="64" spans="1:11" x14ac:dyDescent="0.25">
      <c r="A64" s="9" t="s">
        <v>29</v>
      </c>
      <c r="B64">
        <v>0.05</v>
      </c>
      <c r="C64">
        <v>0.05</v>
      </c>
      <c r="D64">
        <v>0.05</v>
      </c>
      <c r="E64">
        <v>0.05</v>
      </c>
      <c r="F64">
        <v>0.05</v>
      </c>
      <c r="G64">
        <v>0.05</v>
      </c>
      <c r="H64">
        <v>0.05</v>
      </c>
      <c r="I64">
        <v>0.05</v>
      </c>
      <c r="J64">
        <v>0.05</v>
      </c>
      <c r="K64">
        <v>0.05</v>
      </c>
    </row>
    <row r="65" spans="1:11" x14ac:dyDescent="0.25">
      <c r="A65" s="9" t="s">
        <v>64</v>
      </c>
      <c r="B65">
        <v>10.09</v>
      </c>
      <c r="C65">
        <v>11.26</v>
      </c>
      <c r="D65">
        <v>14.73</v>
      </c>
      <c r="E65">
        <v>15.85</v>
      </c>
      <c r="F65">
        <v>19.09</v>
      </c>
      <c r="G65">
        <v>16.22</v>
      </c>
      <c r="H65">
        <v>18.11</v>
      </c>
      <c r="I65">
        <v>13.18</v>
      </c>
      <c r="J65">
        <v>13.53</v>
      </c>
      <c r="K65">
        <v>16.27</v>
      </c>
    </row>
    <row r="66" spans="1:11" s="1" customFormat="1" x14ac:dyDescent="0.25">
      <c r="A66" s="1" t="s">
        <v>26</v>
      </c>
      <c r="B66">
        <v>15.74</v>
      </c>
      <c r="C66">
        <v>18.43</v>
      </c>
      <c r="D66">
        <v>22.28</v>
      </c>
      <c r="E66">
        <v>26.71</v>
      </c>
      <c r="F66">
        <v>29.82</v>
      </c>
      <c r="G66">
        <v>26.84</v>
      </c>
      <c r="H66">
        <v>28.78</v>
      </c>
      <c r="I66">
        <v>25.69</v>
      </c>
      <c r="J66">
        <v>26.81</v>
      </c>
      <c r="K66">
        <v>30.41</v>
      </c>
    </row>
    <row r="67" spans="1:11" s="9" customFormat="1" x14ac:dyDescent="0.25">
      <c r="A67" s="9" t="s">
        <v>69</v>
      </c>
      <c r="B67">
        <v>3.22</v>
      </c>
      <c r="C67">
        <v>2.65</v>
      </c>
      <c r="D67">
        <v>4.5</v>
      </c>
      <c r="E67">
        <v>2.96</v>
      </c>
      <c r="F67">
        <v>8.07</v>
      </c>
      <c r="G67">
        <v>4.34</v>
      </c>
      <c r="H67">
        <v>8.48</v>
      </c>
      <c r="I67">
        <v>5.05</v>
      </c>
      <c r="J67">
        <v>7.69</v>
      </c>
      <c r="K67">
        <v>8.3699999999999992</v>
      </c>
    </row>
    <row r="68" spans="1:11" x14ac:dyDescent="0.25">
      <c r="A68" s="9" t="s">
        <v>45</v>
      </c>
      <c r="B68">
        <v>5.03</v>
      </c>
      <c r="C68">
        <v>5.93</v>
      </c>
      <c r="D68">
        <v>7</v>
      </c>
      <c r="E68">
        <v>9.16</v>
      </c>
      <c r="F68">
        <v>6.91</v>
      </c>
      <c r="G68">
        <v>7.82</v>
      </c>
      <c r="H68">
        <v>5.59</v>
      </c>
      <c r="I68">
        <v>4.3099999999999996</v>
      </c>
      <c r="J68">
        <v>1.33</v>
      </c>
      <c r="K68">
        <v>1.49</v>
      </c>
    </row>
    <row r="69" spans="1:11" x14ac:dyDescent="0.25">
      <c r="A69" s="5" t="s">
        <v>78</v>
      </c>
      <c r="B69">
        <v>0.13</v>
      </c>
      <c r="C69">
        <v>0.71</v>
      </c>
      <c r="D69">
        <v>0.59</v>
      </c>
      <c r="E69">
        <v>0.35</v>
      </c>
      <c r="F69">
        <v>0.49</v>
      </c>
      <c r="G69">
        <v>1.42</v>
      </c>
      <c r="H69">
        <v>0.44</v>
      </c>
      <c r="I69">
        <v>0.53</v>
      </c>
      <c r="J69">
        <v>1.01</v>
      </c>
      <c r="K69">
        <v>2.25</v>
      </c>
    </row>
    <row r="70" spans="1:11" x14ac:dyDescent="0.25">
      <c r="A70" s="5" t="s">
        <v>65</v>
      </c>
      <c r="B70">
        <v>6232500</v>
      </c>
      <c r="C70">
        <v>6232500</v>
      </c>
      <c r="D70">
        <v>6232500</v>
      </c>
      <c r="E70">
        <v>6232500</v>
      </c>
      <c r="F70">
        <v>6232500</v>
      </c>
      <c r="G70">
        <v>6232500</v>
      </c>
      <c r="H70">
        <v>6232500</v>
      </c>
      <c r="I70">
        <v>6232500</v>
      </c>
      <c r="J70">
        <v>6232500</v>
      </c>
      <c r="K70">
        <v>6232500</v>
      </c>
    </row>
    <row r="71" spans="1:11" x14ac:dyDescent="0.25">
      <c r="A71" s="5" t="s">
        <v>66</v>
      </c>
    </row>
    <row r="72" spans="1:11" x14ac:dyDescent="0.25">
      <c r="A72" s="5" t="s">
        <v>79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39903</v>
      </c>
      <c r="C81" s="16">
        <v>40268</v>
      </c>
      <c r="D81" s="16">
        <v>40633</v>
      </c>
      <c r="E81" s="16">
        <v>40999</v>
      </c>
      <c r="F81" s="16">
        <v>41364</v>
      </c>
      <c r="G81" s="16">
        <v>41729</v>
      </c>
      <c r="H81" s="16">
        <v>42094</v>
      </c>
      <c r="I81" s="16">
        <v>42460</v>
      </c>
      <c r="J81" s="16">
        <v>42825</v>
      </c>
      <c r="K81" s="16">
        <v>43190</v>
      </c>
    </row>
    <row r="82" spans="1:11" s="1" customFormat="1" x14ac:dyDescent="0.25">
      <c r="A82" s="9" t="s">
        <v>32</v>
      </c>
      <c r="B82">
        <v>-0.68</v>
      </c>
      <c r="C82">
        <v>-0.01</v>
      </c>
      <c r="D82">
        <v>-0.47</v>
      </c>
      <c r="E82">
        <v>2.5</v>
      </c>
      <c r="F82">
        <v>1.46</v>
      </c>
      <c r="G82">
        <v>4.4800000000000004</v>
      </c>
      <c r="H82">
        <v>-0.78</v>
      </c>
      <c r="I82">
        <v>7.88</v>
      </c>
      <c r="J82">
        <v>6.49</v>
      </c>
      <c r="K82">
        <v>6.05</v>
      </c>
    </row>
    <row r="83" spans="1:11" s="9" customFormat="1" x14ac:dyDescent="0.25">
      <c r="A83" s="9" t="s">
        <v>33</v>
      </c>
      <c r="B83">
        <v>-0.95</v>
      </c>
      <c r="C83">
        <v>-1.85</v>
      </c>
      <c r="D83">
        <v>-0.82</v>
      </c>
      <c r="E83">
        <v>-3.75</v>
      </c>
      <c r="F83">
        <v>-0.52</v>
      </c>
      <c r="G83">
        <v>-0.56000000000000005</v>
      </c>
      <c r="H83">
        <v>-0.73</v>
      </c>
      <c r="I83">
        <v>-2.44</v>
      </c>
      <c r="J83">
        <v>-2.2000000000000002</v>
      </c>
      <c r="K83">
        <v>-3.04</v>
      </c>
    </row>
    <row r="84" spans="1:11" s="9" customFormat="1" x14ac:dyDescent="0.25">
      <c r="A84" s="9" t="s">
        <v>34</v>
      </c>
      <c r="B84">
        <v>1.63</v>
      </c>
      <c r="C84">
        <v>2.48</v>
      </c>
      <c r="D84">
        <v>1.17</v>
      </c>
      <c r="E84">
        <v>1.01</v>
      </c>
      <c r="F84">
        <v>-0.79</v>
      </c>
      <c r="G84">
        <v>-2.99</v>
      </c>
      <c r="H84">
        <v>0.53</v>
      </c>
      <c r="I84">
        <v>-5.34</v>
      </c>
      <c r="J84">
        <v>-3.81</v>
      </c>
      <c r="K84">
        <v>-1.77</v>
      </c>
    </row>
    <row r="85" spans="1:11" s="1" customFormat="1" x14ac:dyDescent="0.25">
      <c r="A85" s="9" t="s">
        <v>35</v>
      </c>
      <c r="B85"/>
      <c r="C85">
        <v>0.62</v>
      </c>
      <c r="D85">
        <v>-0.12</v>
      </c>
      <c r="E85">
        <v>-0.24</v>
      </c>
      <c r="F85">
        <v>0.15</v>
      </c>
      <c r="G85">
        <v>0.93</v>
      </c>
      <c r="H85">
        <v>-0.98</v>
      </c>
      <c r="I85">
        <v>0.09</v>
      </c>
      <c r="J85">
        <v>0.47</v>
      </c>
      <c r="K85">
        <v>1.24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68</v>
      </c>
      <c r="B90">
        <v>2.6858330000000001</v>
      </c>
      <c r="C90">
        <v>4.2015789999999997</v>
      </c>
      <c r="D90">
        <v>7.4694440000000002</v>
      </c>
      <c r="E90">
        <v>5.6082349999999996</v>
      </c>
      <c r="F90">
        <v>8.1053850000000001</v>
      </c>
      <c r="G90">
        <v>6.1293329999999999</v>
      </c>
      <c r="H90">
        <v>7.7094120000000004</v>
      </c>
      <c r="I90">
        <v>23.338889000000002</v>
      </c>
      <c r="J90">
        <v>41.863157999999999</v>
      </c>
      <c r="K90">
        <v>91.514285999999998</v>
      </c>
    </row>
    <row r="92" spans="1:11" s="1" customFormat="1" x14ac:dyDescent="0.25">
      <c r="A92" s="1" t="s">
        <v>67</v>
      </c>
    </row>
    <row r="93" spans="1:11" x14ac:dyDescent="0.25">
      <c r="A93" s="5" t="s">
        <v>80</v>
      </c>
      <c r="B93" s="27">
        <f>IF($B7&gt;0,(B70*B72/$B7)+SUM(C71:$K71),0)/10000000</f>
        <v>0.62324999999999997</v>
      </c>
      <c r="C93" s="27">
        <f>IF($B7&gt;0,(C70*C72/$B7)+SUM(D71:$K71),0)/10000000</f>
        <v>0.62324999999999997</v>
      </c>
      <c r="D93" s="27">
        <f>IF($B7&gt;0,(D70*D72/$B7)+SUM(E71:$K71),0)/10000000</f>
        <v>0.62324999999999997</v>
      </c>
      <c r="E93" s="27">
        <f>IF($B7&gt;0,(E70*E72/$B7)+SUM(F71:$K71),0)/10000000</f>
        <v>0.62324999999999997</v>
      </c>
      <c r="F93" s="27">
        <f>IF($B7&gt;0,(F70*F72/$B7)+SUM(G71:$K71),0)/10000000</f>
        <v>0.62324999999999997</v>
      </c>
      <c r="G93" s="27">
        <f>IF($B7&gt;0,(G70*G72/$B7)+SUM(H71:$K71),0)/10000000</f>
        <v>0.62324999999999997</v>
      </c>
      <c r="H93" s="27">
        <f>IF($B7&gt;0,(H70*H72/$B7)+SUM(I71:$K71),0)/10000000</f>
        <v>0.62324999999999997</v>
      </c>
      <c r="I93" s="27">
        <f>IF($B7&gt;0,(I70*I72/$B7)+SUM(J71:$K71),0)/10000000</f>
        <v>0.62324999999999997</v>
      </c>
      <c r="J93" s="27">
        <f>IF($B7&gt;0,(J70*J72/$B7)+SUM(K71:$K71),0)/10000000</f>
        <v>0.62324999999999997</v>
      </c>
      <c r="K93" s="27">
        <f>IF($B7&gt;0,(K70*K72/$B7),0)/10000000</f>
        <v>0.62324999999999997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5" workbookViewId="0">
      <selection activeCell="C19" sqref="C19"/>
    </sheetView>
  </sheetViews>
  <sheetFormatPr defaultColWidth="8.85546875" defaultRowHeight="12.75" x14ac:dyDescent="0.2"/>
  <cols>
    <col min="1" max="1" width="18.140625" style="89" customWidth="1"/>
    <col min="2" max="2" width="9.7109375" style="31" customWidth="1"/>
    <col min="3" max="3" width="10.28515625" style="31" customWidth="1"/>
    <col min="4" max="11" width="8.85546875" style="31"/>
    <col min="12" max="12" width="9.140625" style="31" customWidth="1"/>
    <col min="13" max="13" width="16" style="89" customWidth="1"/>
    <col min="14" max="15" width="8.85546875" style="31"/>
    <col min="16" max="16" width="9.7109375" style="31" customWidth="1"/>
    <col min="17" max="16384" width="8.85546875" style="31"/>
  </cols>
  <sheetData>
    <row r="1" spans="1:22" s="29" customFormat="1" ht="15" x14ac:dyDescent="0.25">
      <c r="A1" s="81" t="str">
        <f>'Data Sheet'!A1</f>
        <v>COMPANY NAME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1"/>
    </row>
    <row r="2" spans="1:22" s="29" customFormat="1" ht="15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1"/>
    </row>
    <row r="3" spans="1:22" ht="15" x14ac:dyDescent="0.25">
      <c r="A3" s="45" t="str">
        <f>A1</f>
        <v>COMPANY NAME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30"/>
      <c r="M3" s="95" t="s">
        <v>205</v>
      </c>
      <c r="N3" s="78">
        <f t="shared" ref="N3:U3" si="0">C3</f>
        <v>40268</v>
      </c>
      <c r="O3" s="78">
        <f t="shared" si="0"/>
        <v>40633</v>
      </c>
      <c r="P3" s="78">
        <f t="shared" si="0"/>
        <v>40999</v>
      </c>
      <c r="Q3" s="78">
        <f t="shared" si="0"/>
        <v>41364</v>
      </c>
      <c r="R3" s="78">
        <f t="shared" si="0"/>
        <v>41729</v>
      </c>
      <c r="S3" s="78">
        <f t="shared" si="0"/>
        <v>42094</v>
      </c>
      <c r="T3" s="78">
        <f t="shared" si="0"/>
        <v>42460</v>
      </c>
      <c r="U3" s="78">
        <f t="shared" si="0"/>
        <v>42825</v>
      </c>
      <c r="V3" s="78">
        <f>K3</f>
        <v>43190</v>
      </c>
    </row>
    <row r="4" spans="1:22" x14ac:dyDescent="0.2">
      <c r="A4" s="83" t="s">
        <v>81</v>
      </c>
      <c r="B4" s="32">
        <f>'Data Sheet'!B17-'Data Sheet'!B18</f>
        <v>1.7899999999999991</v>
      </c>
      <c r="C4" s="32">
        <f>'Data Sheet'!C17-'Data Sheet'!C18</f>
        <v>2.8900000000000006</v>
      </c>
      <c r="D4" s="32">
        <f>'Data Sheet'!D17-'Data Sheet'!D18</f>
        <v>4.6499999999999986</v>
      </c>
      <c r="E4" s="32">
        <f>'Data Sheet'!E17-'Data Sheet'!E18</f>
        <v>4.82</v>
      </c>
      <c r="F4" s="32">
        <f>'Data Sheet'!F17-'Data Sheet'!F18</f>
        <v>11.600000000000001</v>
      </c>
      <c r="G4" s="32">
        <f>'Data Sheet'!G17-'Data Sheet'!G18</f>
        <v>9.1500000000000021</v>
      </c>
      <c r="H4" s="32">
        <f>'Data Sheet'!H17-'Data Sheet'!H18</f>
        <v>10.939999999999998</v>
      </c>
      <c r="I4" s="32">
        <f>'Data Sheet'!I17-'Data Sheet'!I18</f>
        <v>11.530000000000001</v>
      </c>
      <c r="J4" s="32">
        <f>'Data Sheet'!J17-'Data Sheet'!J18</f>
        <v>15.39</v>
      </c>
      <c r="K4" s="32">
        <f>'Data Sheet'!K17-'Data Sheet'!K18</f>
        <v>16.139999999999997</v>
      </c>
      <c r="L4" s="92"/>
      <c r="M4" s="95" t="str">
        <f>A4</f>
        <v>Gross Profit</v>
      </c>
      <c r="N4" s="80">
        <f>(C4-B4)/B4</f>
        <v>0.6145251396648056</v>
      </c>
      <c r="O4" s="80">
        <f t="shared" ref="O4:V9" si="1">(D4-C4)/C4</f>
        <v>0.60899653979238677</v>
      </c>
      <c r="P4" s="80">
        <f t="shared" si="1"/>
        <v>3.6559139784946612E-2</v>
      </c>
      <c r="Q4" s="80">
        <f t="shared" si="1"/>
        <v>1.4066390041493777</v>
      </c>
      <c r="R4" s="80">
        <f t="shared" si="1"/>
        <v>-0.21120689655172406</v>
      </c>
      <c r="S4" s="80">
        <f t="shared" si="1"/>
        <v>0.19562841530054592</v>
      </c>
      <c r="T4" s="80">
        <f t="shared" si="1"/>
        <v>5.3930530164534141E-2</v>
      </c>
      <c r="U4" s="80">
        <f t="shared" si="1"/>
        <v>0.33477883781439716</v>
      </c>
      <c r="V4" s="80">
        <f t="shared" si="1"/>
        <v>4.8732943469785343E-2</v>
      </c>
    </row>
    <row r="5" spans="1:22" x14ac:dyDescent="0.2">
      <c r="A5" s="83" t="s">
        <v>82</v>
      </c>
      <c r="B5" s="32">
        <f>'Data Sheet'!B28+'Data Sheet'!B27</f>
        <v>0.47</v>
      </c>
      <c r="C5" s="32">
        <f>'Data Sheet'!C28+'Data Sheet'!C27</f>
        <v>0.5</v>
      </c>
      <c r="D5" s="32">
        <f>'Data Sheet'!D28+'Data Sheet'!D27</f>
        <v>1.33</v>
      </c>
      <c r="E5" s="32">
        <f>'Data Sheet'!E28+'Data Sheet'!E27</f>
        <v>1.69</v>
      </c>
      <c r="F5" s="32">
        <f>'Data Sheet'!F28+'Data Sheet'!F27</f>
        <v>2.6100000000000003</v>
      </c>
      <c r="G5" s="32">
        <f>'Data Sheet'!G28+'Data Sheet'!G27</f>
        <v>2.11</v>
      </c>
      <c r="H5" s="32">
        <f>'Data Sheet'!H28+'Data Sheet'!H27</f>
        <v>2.46</v>
      </c>
      <c r="I5" s="32">
        <f>'Data Sheet'!I28+'Data Sheet'!I27</f>
        <v>2.54</v>
      </c>
      <c r="J5" s="32">
        <f>'Data Sheet'!J28+'Data Sheet'!J27</f>
        <v>4.1100000000000003</v>
      </c>
      <c r="K5" s="32">
        <f>'Data Sheet'!K28+'Data Sheet'!K27</f>
        <v>5.94</v>
      </c>
      <c r="L5" s="93"/>
      <c r="M5" s="95" t="str">
        <f t="shared" ref="M5:M43" si="2">A5</f>
        <v>EBIT</v>
      </c>
      <c r="N5" s="80">
        <f t="shared" ref="N5:N9" si="3">(C5-B5)/B5</f>
        <v>6.3829787234042618E-2</v>
      </c>
      <c r="O5" s="80">
        <f t="shared" si="1"/>
        <v>1.6600000000000001</v>
      </c>
      <c r="P5" s="80">
        <f t="shared" si="1"/>
        <v>0.27067669172932318</v>
      </c>
      <c r="Q5" s="80">
        <f t="shared" si="1"/>
        <v>0.5443786982248523</v>
      </c>
      <c r="R5" s="80">
        <f t="shared" si="1"/>
        <v>-0.19157088122605379</v>
      </c>
      <c r="S5" s="80">
        <f t="shared" si="1"/>
        <v>0.16587677725118488</v>
      </c>
      <c r="T5" s="80">
        <f t="shared" si="1"/>
        <v>3.2520325203252064E-2</v>
      </c>
      <c r="U5" s="80">
        <f t="shared" si="1"/>
        <v>0.61811023622047256</v>
      </c>
      <c r="V5" s="80">
        <f t="shared" si="1"/>
        <v>0.4452554744525547</v>
      </c>
    </row>
    <row r="6" spans="1:22" x14ac:dyDescent="0.2">
      <c r="A6" s="83" t="s">
        <v>83</v>
      </c>
      <c r="B6" s="32">
        <f>'Calculated Data'!B5+'Data Sheet'!B26</f>
        <v>0.73</v>
      </c>
      <c r="C6" s="32">
        <f>'Calculated Data'!C5+'Data Sheet'!C26</f>
        <v>0.84000000000000008</v>
      </c>
      <c r="D6" s="32">
        <f>'Calculated Data'!D5+'Data Sheet'!D26</f>
        <v>1.77</v>
      </c>
      <c r="E6" s="32">
        <f>'Calculated Data'!E5+'Data Sheet'!E26</f>
        <v>2.16</v>
      </c>
      <c r="F6" s="32">
        <f>'Calculated Data'!F5+'Data Sheet'!F26</f>
        <v>3.33</v>
      </c>
      <c r="G6" s="32">
        <f>'Calculated Data'!G5+'Data Sheet'!G26</f>
        <v>2.8499999999999996</v>
      </c>
      <c r="H6" s="32">
        <f>'Calculated Data'!H5+'Data Sheet'!H26</f>
        <v>3.1799999999999997</v>
      </c>
      <c r="I6" s="32">
        <f>'Calculated Data'!I5+'Data Sheet'!I26</f>
        <v>3.22</v>
      </c>
      <c r="J6" s="32">
        <f>'Calculated Data'!J5+'Data Sheet'!J26</f>
        <v>4.9700000000000006</v>
      </c>
      <c r="K6" s="32">
        <f>'Calculated Data'!K5+'Data Sheet'!K26</f>
        <v>6.87</v>
      </c>
      <c r="L6" s="92"/>
      <c r="M6" s="95" t="str">
        <f t="shared" si="2"/>
        <v>EBITDA</v>
      </c>
      <c r="N6" s="80">
        <f t="shared" si="3"/>
        <v>0.15068493150684945</v>
      </c>
      <c r="O6" s="80">
        <f t="shared" si="1"/>
        <v>1.107142857142857</v>
      </c>
      <c r="P6" s="80">
        <f t="shared" si="1"/>
        <v>0.22033898305084754</v>
      </c>
      <c r="Q6" s="80">
        <f t="shared" si="1"/>
        <v>0.54166666666666663</v>
      </c>
      <c r="R6" s="80">
        <f t="shared" si="1"/>
        <v>-0.14414414414414428</v>
      </c>
      <c r="S6" s="80">
        <f t="shared" si="1"/>
        <v>0.11578947368421057</v>
      </c>
      <c r="T6" s="80">
        <f t="shared" si="1"/>
        <v>1.2578616352201409E-2</v>
      </c>
      <c r="U6" s="80">
        <f t="shared" si="1"/>
        <v>0.5434782608695653</v>
      </c>
      <c r="V6" s="80">
        <f t="shared" si="1"/>
        <v>0.38229376257545256</v>
      </c>
    </row>
    <row r="7" spans="1:22" ht="35.25" customHeight="1" x14ac:dyDescent="0.2">
      <c r="A7" s="83" t="s">
        <v>84</v>
      </c>
      <c r="B7" s="32">
        <f>B6-'Data Sheet'!B25</f>
        <v>0.35</v>
      </c>
      <c r="C7" s="32">
        <f>C6-'Data Sheet'!C25</f>
        <v>0.76000000000000012</v>
      </c>
      <c r="D7" s="32">
        <f>D6-'Data Sheet'!D25</f>
        <v>1.74</v>
      </c>
      <c r="E7" s="32">
        <f>E6-'Data Sheet'!E25</f>
        <v>2.1100000000000003</v>
      </c>
      <c r="F7" s="32">
        <f>F6-'Data Sheet'!F25</f>
        <v>3.27</v>
      </c>
      <c r="G7" s="32">
        <f>G6-'Data Sheet'!G25</f>
        <v>2.7899999999999996</v>
      </c>
      <c r="H7" s="32">
        <f>H6-'Data Sheet'!H25</f>
        <v>2.9399999999999995</v>
      </c>
      <c r="I7" s="32">
        <f>I6-'Data Sheet'!I25</f>
        <v>2.8000000000000003</v>
      </c>
      <c r="J7" s="32">
        <f>J6-'Data Sheet'!J25</f>
        <v>4.4400000000000004</v>
      </c>
      <c r="K7" s="32">
        <f>K6-'Data Sheet'!K25</f>
        <v>6.36</v>
      </c>
      <c r="L7" s="92"/>
      <c r="M7" s="95" t="str">
        <f t="shared" si="2"/>
        <v>Operating Profit (excl Other Income)</v>
      </c>
      <c r="N7" s="80">
        <f t="shared" si="3"/>
        <v>1.1714285714285719</v>
      </c>
      <c r="O7" s="80">
        <f t="shared" si="1"/>
        <v>1.2894736842105259</v>
      </c>
      <c r="P7" s="80">
        <f t="shared" si="1"/>
        <v>0.21264367816091972</v>
      </c>
      <c r="Q7" s="80">
        <f t="shared" si="1"/>
        <v>0.54976303317535524</v>
      </c>
      <c r="R7" s="80">
        <f t="shared" si="1"/>
        <v>-0.14678899082568819</v>
      </c>
      <c r="S7" s="80">
        <f t="shared" si="1"/>
        <v>5.3763440860215027E-2</v>
      </c>
      <c r="T7" s="80">
        <f t="shared" si="1"/>
        <v>-4.7619047619047367E-2</v>
      </c>
      <c r="U7" s="80">
        <f t="shared" si="1"/>
        <v>0.58571428571428574</v>
      </c>
      <c r="V7" s="80">
        <f t="shared" si="1"/>
        <v>0.4324324324324324</v>
      </c>
    </row>
    <row r="8" spans="1:22" x14ac:dyDescent="0.2">
      <c r="A8" s="84" t="s">
        <v>85</v>
      </c>
      <c r="B8" s="33">
        <f>'Data Sheet'!B30</f>
        <v>0.08</v>
      </c>
      <c r="C8" s="33">
        <f>'Data Sheet'!C30</f>
        <v>0.08</v>
      </c>
      <c r="D8" s="33">
        <f>'Data Sheet'!D30</f>
        <v>0.21</v>
      </c>
      <c r="E8" s="33">
        <f>'Data Sheet'!E30</f>
        <v>0.26</v>
      </c>
      <c r="F8" s="33">
        <f>'Data Sheet'!F30</f>
        <v>0.77</v>
      </c>
      <c r="G8" s="33">
        <f>'Data Sheet'!G30</f>
        <v>0.57999999999999996</v>
      </c>
      <c r="H8" s="33">
        <f>'Data Sheet'!H30</f>
        <v>0.8</v>
      </c>
      <c r="I8" s="33">
        <f>'Data Sheet'!I30</f>
        <v>0.88</v>
      </c>
      <c r="J8" s="33">
        <f>'Data Sheet'!J30</f>
        <v>0.82</v>
      </c>
      <c r="K8" s="33">
        <f>'Data Sheet'!K30</f>
        <v>3.53</v>
      </c>
      <c r="L8" s="79"/>
      <c r="M8" s="95" t="str">
        <f t="shared" si="2"/>
        <v>PAT</v>
      </c>
      <c r="N8" s="80">
        <f t="shared" si="3"/>
        <v>0</v>
      </c>
      <c r="O8" s="80">
        <f t="shared" si="1"/>
        <v>1.625</v>
      </c>
      <c r="P8" s="80">
        <f t="shared" si="1"/>
        <v>0.23809523809523819</v>
      </c>
      <c r="Q8" s="80">
        <f t="shared" si="1"/>
        <v>1.9615384615384615</v>
      </c>
      <c r="R8" s="80">
        <f t="shared" si="1"/>
        <v>-0.24675324675324684</v>
      </c>
      <c r="S8" s="80">
        <f t="shared" si="1"/>
        <v>0.37931034482758635</v>
      </c>
      <c r="T8" s="80">
        <f t="shared" si="1"/>
        <v>9.999999999999995E-2</v>
      </c>
      <c r="U8" s="80">
        <f t="shared" si="1"/>
        <v>-6.8181818181818246E-2</v>
      </c>
      <c r="V8" s="80">
        <f t="shared" si="1"/>
        <v>3.3048780487804881</v>
      </c>
    </row>
    <row r="9" spans="1:22" x14ac:dyDescent="0.2">
      <c r="A9" s="85" t="s">
        <v>86</v>
      </c>
      <c r="B9" s="34">
        <f>'Data Sheet'!B31</f>
        <v>0</v>
      </c>
      <c r="C9" s="34">
        <f>'Data Sheet'!C31</f>
        <v>0</v>
      </c>
      <c r="D9" s="34">
        <f>'Data Sheet'!D31</f>
        <v>0</v>
      </c>
      <c r="E9" s="34">
        <f>'Data Sheet'!E31</f>
        <v>0</v>
      </c>
      <c r="F9" s="34">
        <f>'Data Sheet'!F31</f>
        <v>0</v>
      </c>
      <c r="G9" s="34">
        <f>'Data Sheet'!G31</f>
        <v>0</v>
      </c>
      <c r="H9" s="34">
        <f>'Data Sheet'!H31</f>
        <v>0</v>
      </c>
      <c r="I9" s="34">
        <f>'Data Sheet'!I31</f>
        <v>0</v>
      </c>
      <c r="J9" s="34">
        <f>'Data Sheet'!J31</f>
        <v>0</v>
      </c>
      <c r="K9" s="34">
        <f>'Data Sheet'!K31</f>
        <v>0</v>
      </c>
      <c r="L9" s="79"/>
      <c r="M9" s="95" t="str">
        <f t="shared" si="2"/>
        <v>Dividend</v>
      </c>
      <c r="N9" s="80" t="e">
        <f t="shared" si="3"/>
        <v>#DIV/0!</v>
      </c>
      <c r="O9" s="80" t="e">
        <f t="shared" si="1"/>
        <v>#DIV/0!</v>
      </c>
      <c r="P9" s="80" t="e">
        <f t="shared" si="1"/>
        <v>#DIV/0!</v>
      </c>
      <c r="Q9" s="80" t="e">
        <f t="shared" si="1"/>
        <v>#DIV/0!</v>
      </c>
      <c r="R9" s="80" t="e">
        <f t="shared" si="1"/>
        <v>#DIV/0!</v>
      </c>
      <c r="S9" s="80" t="e">
        <f t="shared" si="1"/>
        <v>#DIV/0!</v>
      </c>
      <c r="T9" s="80" t="e">
        <f t="shared" si="1"/>
        <v>#DIV/0!</v>
      </c>
      <c r="U9" s="80" t="e">
        <f t="shared" si="1"/>
        <v>#DIV/0!</v>
      </c>
      <c r="V9" s="80" t="e">
        <f t="shared" si="1"/>
        <v>#DIV/0!</v>
      </c>
    </row>
    <row r="10" spans="1:22" ht="15" x14ac:dyDescent="0.25">
      <c r="A10" s="45"/>
      <c r="B10" s="16">
        <f>B3</f>
        <v>39903</v>
      </c>
      <c r="C10" s="16">
        <f t="shared" ref="C10:K10" si="4">C3</f>
        <v>40268</v>
      </c>
      <c r="D10" s="16">
        <f t="shared" si="4"/>
        <v>40633</v>
      </c>
      <c r="E10" s="16">
        <f t="shared" si="4"/>
        <v>40999</v>
      </c>
      <c r="F10" s="16">
        <f t="shared" si="4"/>
        <v>41364</v>
      </c>
      <c r="G10" s="16">
        <f t="shared" si="4"/>
        <v>41729</v>
      </c>
      <c r="H10" s="16">
        <f t="shared" si="4"/>
        <v>42094</v>
      </c>
      <c r="I10" s="16">
        <f t="shared" si="4"/>
        <v>42460</v>
      </c>
      <c r="J10" s="16">
        <f t="shared" si="4"/>
        <v>42825</v>
      </c>
      <c r="K10" s="16">
        <f t="shared" si="4"/>
        <v>43190</v>
      </c>
      <c r="L10" s="79"/>
      <c r="M10" s="95" t="s">
        <v>205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x14ac:dyDescent="0.2">
      <c r="A11" s="86" t="s">
        <v>87</v>
      </c>
      <c r="B11" s="32">
        <f>'Data Sheet'!B57+'Data Sheet'!B58</f>
        <v>5.0100000000000007</v>
      </c>
      <c r="C11" s="32">
        <f>'Data Sheet'!C57+'Data Sheet'!C58</f>
        <v>5.0900000000000007</v>
      </c>
      <c r="D11" s="32">
        <f>'Data Sheet'!D57+'Data Sheet'!D58</f>
        <v>5.2900000000000009</v>
      </c>
      <c r="E11" s="32">
        <f>'Data Sheet'!E57+'Data Sheet'!E58</f>
        <v>5.5500000000000007</v>
      </c>
      <c r="F11" s="32">
        <f>'Data Sheet'!F57+'Data Sheet'!F58</f>
        <v>6.32</v>
      </c>
      <c r="G11" s="32">
        <f>'Data Sheet'!G57+'Data Sheet'!G58</f>
        <v>6.9</v>
      </c>
      <c r="H11" s="32">
        <f>'Data Sheet'!H57+'Data Sheet'!H58</f>
        <v>7.7</v>
      </c>
      <c r="I11" s="32">
        <f>'Data Sheet'!I57+'Data Sheet'!I58</f>
        <v>8.58</v>
      </c>
      <c r="J11" s="32">
        <f>'Data Sheet'!J57+'Data Sheet'!J58</f>
        <v>9.41</v>
      </c>
      <c r="K11" s="32">
        <f>'Data Sheet'!K57+'Data Sheet'!K58</f>
        <v>12.98</v>
      </c>
      <c r="L11" s="79"/>
      <c r="M11" s="95" t="str">
        <f t="shared" si="2"/>
        <v>Networth</v>
      </c>
      <c r="N11" s="80">
        <f t="shared" ref="N11:V15" si="5">(C11-B11)/B11</f>
        <v>1.5968063872255502E-2</v>
      </c>
      <c r="O11" s="80">
        <f t="shared" si="5"/>
        <v>3.929273084479374E-2</v>
      </c>
      <c r="P11" s="80">
        <f t="shared" si="5"/>
        <v>4.9149338374291064E-2</v>
      </c>
      <c r="Q11" s="80">
        <f t="shared" si="5"/>
        <v>0.13873873873873865</v>
      </c>
      <c r="R11" s="80">
        <f t="shared" si="5"/>
        <v>9.1772151898734181E-2</v>
      </c>
      <c r="S11" s="80">
        <f t="shared" si="5"/>
        <v>0.11594202898550722</v>
      </c>
      <c r="T11" s="80">
        <f t="shared" si="5"/>
        <v>0.11428571428571427</v>
      </c>
      <c r="U11" s="80">
        <f t="shared" si="5"/>
        <v>9.673659673659675E-2</v>
      </c>
      <c r="V11" s="80">
        <f t="shared" si="5"/>
        <v>0.3793836344314559</v>
      </c>
    </row>
    <row r="12" spans="1:22" x14ac:dyDescent="0.2">
      <c r="A12" s="83" t="s">
        <v>30</v>
      </c>
      <c r="B12" s="32">
        <f>'Data Sheet'!B65-'Data Sheet'!B60</f>
        <v>7.41</v>
      </c>
      <c r="C12" s="32">
        <f>'Data Sheet'!C65-'Data Sheet'!C60</f>
        <v>8.7799999999999994</v>
      </c>
      <c r="D12" s="32">
        <f>'Data Sheet'!D65-'Data Sheet'!D60</f>
        <v>10.64</v>
      </c>
      <c r="E12" s="32">
        <f>'Data Sheet'!E65-'Data Sheet'!E60</f>
        <v>10.629999999999999</v>
      </c>
      <c r="F12" s="32">
        <f>'Data Sheet'!F65-'Data Sheet'!F60</f>
        <v>12.34</v>
      </c>
      <c r="G12" s="32">
        <f>'Data Sheet'!G65-'Data Sheet'!G60</f>
        <v>11.079999999999998</v>
      </c>
      <c r="H12" s="32">
        <f>'Data Sheet'!H65-'Data Sheet'!H60</f>
        <v>13.44</v>
      </c>
      <c r="I12" s="32">
        <f>'Data Sheet'!I65-'Data Sheet'!I60</f>
        <v>8.69</v>
      </c>
      <c r="J12" s="32">
        <f>'Data Sheet'!J65-'Data Sheet'!J60</f>
        <v>1.08</v>
      </c>
      <c r="K12" s="32">
        <f>'Data Sheet'!K65-'Data Sheet'!K60</f>
        <v>5.0199999999999996</v>
      </c>
      <c r="L12" s="79"/>
      <c r="M12" s="95" t="str">
        <f t="shared" si="2"/>
        <v>Working Capital</v>
      </c>
      <c r="N12" s="80">
        <f t="shared" si="5"/>
        <v>0.18488529014844793</v>
      </c>
      <c r="O12" s="80">
        <f t="shared" si="5"/>
        <v>0.21184510250569491</v>
      </c>
      <c r="P12" s="80">
        <f t="shared" si="5"/>
        <v>-9.3984962406029723E-4</v>
      </c>
      <c r="Q12" s="80">
        <f t="shared" si="5"/>
        <v>0.16086547507055513</v>
      </c>
      <c r="R12" s="80">
        <f t="shared" si="5"/>
        <v>-0.10210696920583481</v>
      </c>
      <c r="S12" s="80">
        <f t="shared" si="5"/>
        <v>0.21299638989169689</v>
      </c>
      <c r="T12" s="80">
        <f t="shared" si="5"/>
        <v>-0.35342261904761907</v>
      </c>
      <c r="U12" s="80">
        <f t="shared" si="5"/>
        <v>-0.87571921749136938</v>
      </c>
      <c r="V12" s="80">
        <f t="shared" si="5"/>
        <v>3.6481481481481475</v>
      </c>
    </row>
    <row r="13" spans="1:22" x14ac:dyDescent="0.2">
      <c r="A13" s="83" t="s">
        <v>88</v>
      </c>
      <c r="B13" s="32">
        <f>'Data Sheet'!B62+'Data Sheet'!B63+'Calculated Data'!B12</f>
        <v>13.01</v>
      </c>
      <c r="C13" s="32">
        <f>'Data Sheet'!C62+'Data Sheet'!C63+'Calculated Data'!C12</f>
        <v>15.899999999999999</v>
      </c>
      <c r="D13" s="32">
        <f>'Data Sheet'!D62+'Data Sheet'!D63+'Calculated Data'!D12</f>
        <v>18.14</v>
      </c>
      <c r="E13" s="32">
        <f>'Data Sheet'!E62+'Data Sheet'!E63+'Calculated Data'!E12</f>
        <v>21.439999999999998</v>
      </c>
      <c r="F13" s="32">
        <f>'Data Sheet'!F62+'Data Sheet'!F63+'Calculated Data'!F12</f>
        <v>23.02</v>
      </c>
      <c r="G13" s="32">
        <f>'Data Sheet'!G62+'Data Sheet'!G63+'Calculated Data'!G12</f>
        <v>21.65</v>
      </c>
      <c r="H13" s="32">
        <f>'Data Sheet'!H62+'Data Sheet'!H63+'Calculated Data'!H12</f>
        <v>24.060000000000002</v>
      </c>
      <c r="I13" s="32">
        <f>'Data Sheet'!I62+'Data Sheet'!I63+'Calculated Data'!I12</f>
        <v>21.15</v>
      </c>
      <c r="J13" s="32">
        <f>'Data Sheet'!J62+'Data Sheet'!J63+'Calculated Data'!J12</f>
        <v>14.31</v>
      </c>
      <c r="K13" s="32">
        <f>'Data Sheet'!K62+'Data Sheet'!K63+'Calculated Data'!K12</f>
        <v>19.11</v>
      </c>
      <c r="L13" s="79"/>
      <c r="M13" s="95" t="str">
        <f t="shared" si="2"/>
        <v>Invested Capital</v>
      </c>
      <c r="N13" s="80">
        <f t="shared" si="5"/>
        <v>0.2221368178324365</v>
      </c>
      <c r="O13" s="80">
        <f t="shared" si="5"/>
        <v>0.14088050314465422</v>
      </c>
      <c r="P13" s="80">
        <f t="shared" si="5"/>
        <v>0.18191841234840117</v>
      </c>
      <c r="Q13" s="80">
        <f t="shared" si="5"/>
        <v>7.3694029850746356E-2</v>
      </c>
      <c r="R13" s="80">
        <f t="shared" si="5"/>
        <v>-5.9513466550825414E-2</v>
      </c>
      <c r="S13" s="80">
        <f t="shared" si="5"/>
        <v>0.11131639722863759</v>
      </c>
      <c r="T13" s="80">
        <f t="shared" si="5"/>
        <v>-0.12094763092269341</v>
      </c>
      <c r="U13" s="80">
        <f t="shared" si="5"/>
        <v>-0.32340425531914885</v>
      </c>
      <c r="V13" s="80">
        <f t="shared" si="5"/>
        <v>0.33542976939203345</v>
      </c>
    </row>
    <row r="14" spans="1:22" x14ac:dyDescent="0.2">
      <c r="A14" s="83" t="s">
        <v>89</v>
      </c>
      <c r="B14" s="32">
        <f>B11+'Data Sheet'!B59</f>
        <v>13.060000000000002</v>
      </c>
      <c r="C14" s="32">
        <f>C11+'Data Sheet'!C59</f>
        <v>15.95</v>
      </c>
      <c r="D14" s="32">
        <f>D11+'Data Sheet'!D59</f>
        <v>18.190000000000001</v>
      </c>
      <c r="E14" s="32">
        <f>E11+'Data Sheet'!E59</f>
        <v>21.490000000000002</v>
      </c>
      <c r="F14" s="32">
        <f>F11+'Data Sheet'!F59</f>
        <v>23.07</v>
      </c>
      <c r="G14" s="32">
        <f>G11+'Data Sheet'!G59</f>
        <v>21.700000000000003</v>
      </c>
      <c r="H14" s="32">
        <f>H11+'Data Sheet'!H59</f>
        <v>24.11</v>
      </c>
      <c r="I14" s="32">
        <f>I11+'Data Sheet'!I59</f>
        <v>21.2</v>
      </c>
      <c r="J14" s="32">
        <f>J11+'Data Sheet'!J59</f>
        <v>14.36</v>
      </c>
      <c r="K14" s="32">
        <f>K11+'Data Sheet'!K59</f>
        <v>19.16</v>
      </c>
      <c r="L14" s="79"/>
      <c r="M14" s="95" t="str">
        <f t="shared" si="2"/>
        <v>Capital Employed</v>
      </c>
      <c r="N14" s="80">
        <f t="shared" si="5"/>
        <v>0.22128637059724324</v>
      </c>
      <c r="O14" s="80">
        <f t="shared" si="5"/>
        <v>0.14043887147335438</v>
      </c>
      <c r="P14" s="80">
        <f t="shared" si="5"/>
        <v>0.18141836173721829</v>
      </c>
      <c r="Q14" s="80">
        <f t="shared" si="5"/>
        <v>7.3522568636575067E-2</v>
      </c>
      <c r="R14" s="80">
        <f t="shared" si="5"/>
        <v>-5.9384482011269939E-2</v>
      </c>
      <c r="S14" s="80">
        <f t="shared" si="5"/>
        <v>0.1110599078341012</v>
      </c>
      <c r="T14" s="80">
        <f t="shared" si="5"/>
        <v>-0.12069680630443801</v>
      </c>
      <c r="U14" s="80">
        <f t="shared" si="5"/>
        <v>-0.32264150943396225</v>
      </c>
      <c r="V14" s="80">
        <f t="shared" si="5"/>
        <v>0.33426183844011148</v>
      </c>
    </row>
    <row r="15" spans="1:22" ht="15" x14ac:dyDescent="0.25">
      <c r="A15" s="83" t="s">
        <v>90</v>
      </c>
      <c r="B15" s="35">
        <f>'Data Sheet'!B61</f>
        <v>15.74</v>
      </c>
      <c r="C15" s="35">
        <f>'Data Sheet'!C61</f>
        <v>18.43</v>
      </c>
      <c r="D15" s="35">
        <f>'Data Sheet'!D61</f>
        <v>22.28</v>
      </c>
      <c r="E15" s="35">
        <f>'Data Sheet'!E61</f>
        <v>26.71</v>
      </c>
      <c r="F15" s="35">
        <f>'Data Sheet'!F61</f>
        <v>29.82</v>
      </c>
      <c r="G15" s="35">
        <f>'Data Sheet'!G61</f>
        <v>26.84</v>
      </c>
      <c r="H15" s="35">
        <f>'Data Sheet'!H61</f>
        <v>28.78</v>
      </c>
      <c r="I15" s="35">
        <f>'Data Sheet'!I61</f>
        <v>25.69</v>
      </c>
      <c r="J15" s="35">
        <f>'Data Sheet'!J61</f>
        <v>26.81</v>
      </c>
      <c r="K15" s="35">
        <f>'Data Sheet'!K61</f>
        <v>30.41</v>
      </c>
      <c r="L15" s="79"/>
      <c r="M15" s="95" t="str">
        <f t="shared" si="2"/>
        <v>Total Assets</v>
      </c>
      <c r="N15" s="80">
        <f t="shared" si="5"/>
        <v>0.1709021601016518</v>
      </c>
      <c r="O15" s="80">
        <f t="shared" si="5"/>
        <v>0.20889853499728711</v>
      </c>
      <c r="P15" s="80">
        <f t="shared" si="5"/>
        <v>0.19883303411131056</v>
      </c>
      <c r="Q15" s="80">
        <f t="shared" si="5"/>
        <v>0.1164357918382628</v>
      </c>
      <c r="R15" s="80">
        <f t="shared" si="5"/>
        <v>-9.9932930918846419E-2</v>
      </c>
      <c r="S15" s="80">
        <f t="shared" si="5"/>
        <v>7.2280178837555928E-2</v>
      </c>
      <c r="T15" s="80">
        <f t="shared" si="5"/>
        <v>-0.10736622654621264</v>
      </c>
      <c r="U15" s="80">
        <f t="shared" si="5"/>
        <v>4.3596730245231509E-2</v>
      </c>
      <c r="V15" s="80">
        <f t="shared" si="5"/>
        <v>0.13427825438269309</v>
      </c>
    </row>
    <row r="16" spans="1:22" ht="15" x14ac:dyDescent="0.25">
      <c r="A16" s="45"/>
      <c r="B16" s="16">
        <f>B3</f>
        <v>39903</v>
      </c>
      <c r="C16" s="16">
        <f t="shared" ref="C16:K16" si="6">C3</f>
        <v>40268</v>
      </c>
      <c r="D16" s="16">
        <f t="shared" si="6"/>
        <v>40633</v>
      </c>
      <c r="E16" s="16">
        <f t="shared" si="6"/>
        <v>40999</v>
      </c>
      <c r="F16" s="16">
        <f t="shared" si="6"/>
        <v>41364</v>
      </c>
      <c r="G16" s="16">
        <f t="shared" si="6"/>
        <v>41729</v>
      </c>
      <c r="H16" s="16">
        <f t="shared" si="6"/>
        <v>42094</v>
      </c>
      <c r="I16" s="16">
        <f t="shared" si="6"/>
        <v>42460</v>
      </c>
      <c r="J16" s="16">
        <f t="shared" si="6"/>
        <v>42825</v>
      </c>
      <c r="K16" s="16">
        <f t="shared" si="6"/>
        <v>43190</v>
      </c>
      <c r="L16" s="79"/>
      <c r="M16" s="95" t="s">
        <v>205</v>
      </c>
      <c r="N16" s="80"/>
      <c r="O16" s="80"/>
      <c r="P16" s="80"/>
      <c r="Q16" s="80"/>
      <c r="R16" s="80"/>
      <c r="S16" s="80"/>
      <c r="T16" s="80"/>
      <c r="U16" s="80"/>
      <c r="V16" s="80"/>
    </row>
    <row r="17" spans="1:22" x14ac:dyDescent="0.2">
      <c r="A17" s="86" t="s">
        <v>91</v>
      </c>
      <c r="B17" s="32">
        <f>'Data Sheet'!B82</f>
        <v>-0.68</v>
      </c>
      <c r="C17" s="32">
        <f>'Data Sheet'!C82</f>
        <v>-0.01</v>
      </c>
      <c r="D17" s="32">
        <f>'Data Sheet'!D82</f>
        <v>-0.47</v>
      </c>
      <c r="E17" s="32">
        <f>'Data Sheet'!E82</f>
        <v>2.5</v>
      </c>
      <c r="F17" s="32">
        <f>'Data Sheet'!F82</f>
        <v>1.46</v>
      </c>
      <c r="G17" s="32">
        <f>'Data Sheet'!G82</f>
        <v>4.4800000000000004</v>
      </c>
      <c r="H17" s="32">
        <f>'Data Sheet'!H82</f>
        <v>-0.78</v>
      </c>
      <c r="I17" s="32">
        <f>'Data Sheet'!I82</f>
        <v>7.88</v>
      </c>
      <c r="J17" s="32">
        <f>'Data Sheet'!J82</f>
        <v>6.49</v>
      </c>
      <c r="K17" s="32">
        <f>'Data Sheet'!K82</f>
        <v>6.05</v>
      </c>
      <c r="L17" s="79"/>
      <c r="M17" s="95" t="str">
        <f t="shared" si="2"/>
        <v>Operating Cash Flow</v>
      </c>
      <c r="N17" s="80">
        <f t="shared" ref="N17:V17" si="7">(C17-B17)/B17</f>
        <v>-0.98529411764705876</v>
      </c>
      <c r="O17" s="80">
        <f t="shared" si="7"/>
        <v>45.999999999999993</v>
      </c>
      <c r="P17" s="80">
        <f t="shared" si="7"/>
        <v>-6.3191489361702127</v>
      </c>
      <c r="Q17" s="80">
        <f t="shared" si="7"/>
        <v>-0.41600000000000004</v>
      </c>
      <c r="R17" s="80">
        <f t="shared" si="7"/>
        <v>2.0684931506849318</v>
      </c>
      <c r="S17" s="80">
        <f t="shared" si="7"/>
        <v>-1.1741071428571428</v>
      </c>
      <c r="T17" s="80">
        <f t="shared" si="7"/>
        <v>-11.102564102564102</v>
      </c>
      <c r="U17" s="80">
        <f t="shared" si="7"/>
        <v>-0.17639593908629439</v>
      </c>
      <c r="V17" s="80">
        <f t="shared" si="7"/>
        <v>-6.7796610169491581E-2</v>
      </c>
    </row>
    <row r="18" spans="1:22" x14ac:dyDescent="0.2">
      <c r="A18" s="86" t="s">
        <v>92</v>
      </c>
      <c r="B18" s="32">
        <v>0</v>
      </c>
      <c r="C18" s="32">
        <f>('Data Sheet'!C62-'Data Sheet'!B62)+('Data Sheet'!C63-'Data Sheet'!B63)+'Data Sheet'!C26</f>
        <v>1.86</v>
      </c>
      <c r="D18" s="32">
        <f>('Data Sheet'!D62-'Data Sheet'!C62)+('Data Sheet'!D63-'Data Sheet'!C63)+'Data Sheet'!D26</f>
        <v>0.8199999999999994</v>
      </c>
      <c r="E18" s="32">
        <f>('Data Sheet'!E62-'Data Sheet'!D62)+('Data Sheet'!E63-'Data Sheet'!D63)+'Data Sheet'!E26</f>
        <v>3.7800000000000002</v>
      </c>
      <c r="F18" s="32">
        <f>('Data Sheet'!F62-'Data Sheet'!E62)+('Data Sheet'!F63-'Data Sheet'!E63)+'Data Sheet'!F26</f>
        <v>0.59000000000000008</v>
      </c>
      <c r="G18" s="32">
        <f>('Data Sheet'!G62-'Data Sheet'!F62)+('Data Sheet'!G63-'Data Sheet'!F63)+'Data Sheet'!G26</f>
        <v>0.63000000000000012</v>
      </c>
      <c r="H18" s="32">
        <f>('Data Sheet'!H62-'Data Sheet'!G62)+('Data Sheet'!H63-'Data Sheet'!G63)+'Data Sheet'!H26</f>
        <v>0.77000000000000091</v>
      </c>
      <c r="I18" s="32">
        <f>('Data Sheet'!I62-'Data Sheet'!H62)+('Data Sheet'!I63-'Data Sheet'!H63)+'Data Sheet'!I26</f>
        <v>2.5200000000000005</v>
      </c>
      <c r="J18" s="32">
        <f>('Data Sheet'!J62-'Data Sheet'!I62)+('Data Sheet'!J63-'Data Sheet'!I63)+'Data Sheet'!J26</f>
        <v>1.629999999999999</v>
      </c>
      <c r="K18" s="32">
        <f>('Data Sheet'!K62-'Data Sheet'!J62)+('Data Sheet'!K63-'Data Sheet'!J63)+'Data Sheet'!K26</f>
        <v>1.7899999999999996</v>
      </c>
      <c r="L18" s="79" t="s">
        <v>93</v>
      </c>
      <c r="M18" s="95" t="str">
        <f t="shared" si="2"/>
        <v>Capex</v>
      </c>
      <c r="N18" s="80">
        <f>IF(B18=0,0,(C18-B18)/B18)</f>
        <v>0</v>
      </c>
      <c r="O18" s="80">
        <f t="shared" ref="O18:V24" si="8">(D18-C18)/C18</f>
        <v>-0.55913978494623695</v>
      </c>
      <c r="P18" s="80">
        <f t="shared" si="8"/>
        <v>3.6097560975609793</v>
      </c>
      <c r="Q18" s="80">
        <f t="shared" si="8"/>
        <v>-0.84391534391534395</v>
      </c>
      <c r="R18" s="80">
        <f t="shared" si="8"/>
        <v>6.7796610169491581E-2</v>
      </c>
      <c r="S18" s="80">
        <f t="shared" si="8"/>
        <v>0.22222222222222343</v>
      </c>
      <c r="T18" s="80">
        <f t="shared" si="8"/>
        <v>2.2727272727272694</v>
      </c>
      <c r="U18" s="80">
        <f t="shared" si="8"/>
        <v>-0.3531746031746037</v>
      </c>
      <c r="V18" s="80">
        <f t="shared" si="8"/>
        <v>9.8159509202454406E-2</v>
      </c>
    </row>
    <row r="19" spans="1:22" x14ac:dyDescent="0.2">
      <c r="A19" s="86" t="s">
        <v>94</v>
      </c>
      <c r="B19" s="36">
        <v>0</v>
      </c>
      <c r="C19" s="36">
        <f>C17-C18</f>
        <v>-1.87</v>
      </c>
      <c r="D19" s="36">
        <f t="shared" ref="D19:K19" si="9">D17-D18</f>
        <v>-1.2899999999999994</v>
      </c>
      <c r="E19" s="36">
        <f t="shared" si="9"/>
        <v>-1.2800000000000002</v>
      </c>
      <c r="F19" s="36">
        <f t="shared" si="9"/>
        <v>0.86999999999999988</v>
      </c>
      <c r="G19" s="36">
        <f t="shared" si="9"/>
        <v>3.8500000000000005</v>
      </c>
      <c r="H19" s="36">
        <f t="shared" si="9"/>
        <v>-1.5500000000000009</v>
      </c>
      <c r="I19" s="36">
        <f t="shared" si="9"/>
        <v>5.3599999999999994</v>
      </c>
      <c r="J19" s="36">
        <f t="shared" si="9"/>
        <v>4.8600000000000012</v>
      </c>
      <c r="K19" s="36">
        <f t="shared" si="9"/>
        <v>4.26</v>
      </c>
      <c r="L19" s="79"/>
      <c r="M19" s="95" t="str">
        <f t="shared" si="2"/>
        <v>Free Cash Flow</v>
      </c>
      <c r="N19" s="80">
        <f>IF(B19=0,0,(C19-B19)/B19)</f>
        <v>0</v>
      </c>
      <c r="O19" s="80">
        <f t="shared" si="8"/>
        <v>-0.31016042780748698</v>
      </c>
      <c r="P19" s="80">
        <f t="shared" si="8"/>
        <v>-7.7519379844954465E-3</v>
      </c>
      <c r="Q19" s="80">
        <f t="shared" si="8"/>
        <v>-1.6796875</v>
      </c>
      <c r="R19" s="80">
        <f t="shared" si="8"/>
        <v>3.42528735632184</v>
      </c>
      <c r="S19" s="80">
        <f t="shared" si="8"/>
        <v>-1.4025974025974026</v>
      </c>
      <c r="T19" s="80">
        <f t="shared" si="8"/>
        <v>-4.4580645161290295</v>
      </c>
      <c r="U19" s="80">
        <f t="shared" si="8"/>
        <v>-9.3283582089551911E-2</v>
      </c>
      <c r="V19" s="80">
        <f t="shared" si="8"/>
        <v>-0.12345679012345705</v>
      </c>
    </row>
    <row r="20" spans="1:22" x14ac:dyDescent="0.2">
      <c r="A20" s="86" t="s">
        <v>95</v>
      </c>
      <c r="B20" s="37">
        <f>'Data Sheet'!B29/'Data Sheet'!B28</f>
        <v>0.11111111111111112</v>
      </c>
      <c r="C20" s="37">
        <f>'Data Sheet'!C29/'Data Sheet'!C28</f>
        <v>0</v>
      </c>
      <c r="D20" s="37">
        <f>'Data Sheet'!D29/'Data Sheet'!D28</f>
        <v>0</v>
      </c>
      <c r="E20" s="37">
        <f>'Data Sheet'!E29/'Data Sheet'!E28</f>
        <v>0</v>
      </c>
      <c r="F20" s="37">
        <f>'Data Sheet'!F29/'Data Sheet'!F28</f>
        <v>0</v>
      </c>
      <c r="G20" s="37">
        <f>'Data Sheet'!G29/'Data Sheet'!G28</f>
        <v>0</v>
      </c>
      <c r="H20" s="37">
        <f>'Data Sheet'!H29/'Data Sheet'!H28</f>
        <v>0</v>
      </c>
      <c r="I20" s="37">
        <f>'Data Sheet'!I29/'Data Sheet'!I28</f>
        <v>0</v>
      </c>
      <c r="J20" s="37">
        <f>'Data Sheet'!J29/'Data Sheet'!J28</f>
        <v>0.720136518771331</v>
      </c>
      <c r="K20" s="37">
        <f>'Data Sheet'!K29/'Data Sheet'!K28</f>
        <v>0.2515856236786469</v>
      </c>
      <c r="L20" s="79"/>
      <c r="M20" s="95" t="str">
        <f t="shared" si="2"/>
        <v>Tax Rate</v>
      </c>
      <c r="N20" s="80">
        <f>(C20-B20)/B20</f>
        <v>-1</v>
      </c>
      <c r="O20" s="80" t="e">
        <f t="shared" si="8"/>
        <v>#DIV/0!</v>
      </c>
      <c r="P20" s="80" t="e">
        <f t="shared" si="8"/>
        <v>#DIV/0!</v>
      </c>
      <c r="Q20" s="80" t="e">
        <f t="shared" si="8"/>
        <v>#DIV/0!</v>
      </c>
      <c r="R20" s="80" t="e">
        <f t="shared" si="8"/>
        <v>#DIV/0!</v>
      </c>
      <c r="S20" s="80" t="e">
        <f t="shared" si="8"/>
        <v>#DIV/0!</v>
      </c>
      <c r="T20" s="80" t="e">
        <f t="shared" si="8"/>
        <v>#DIV/0!</v>
      </c>
      <c r="U20" s="80" t="e">
        <f t="shared" si="8"/>
        <v>#DIV/0!</v>
      </c>
      <c r="V20" s="80">
        <f t="shared" si="8"/>
        <v>-0.65064176427562304</v>
      </c>
    </row>
    <row r="21" spans="1:22" x14ac:dyDescent="0.2">
      <c r="A21" s="86" t="s">
        <v>96</v>
      </c>
      <c r="B21" s="36">
        <f t="shared" ref="B21:K21" si="10">B5*(1-B20)</f>
        <v>0.41777777777777775</v>
      </c>
      <c r="C21" s="36">
        <f t="shared" si="10"/>
        <v>0.5</v>
      </c>
      <c r="D21" s="36">
        <f t="shared" si="10"/>
        <v>1.33</v>
      </c>
      <c r="E21" s="36">
        <f t="shared" si="10"/>
        <v>1.69</v>
      </c>
      <c r="F21" s="36">
        <f t="shared" si="10"/>
        <v>2.6100000000000003</v>
      </c>
      <c r="G21" s="36">
        <f t="shared" si="10"/>
        <v>2.11</v>
      </c>
      <c r="H21" s="36">
        <f t="shared" si="10"/>
        <v>2.46</v>
      </c>
      <c r="I21" s="36">
        <f t="shared" si="10"/>
        <v>2.54</v>
      </c>
      <c r="J21" s="36">
        <f t="shared" si="10"/>
        <v>1.1502389078498296</v>
      </c>
      <c r="K21" s="36">
        <f t="shared" si="10"/>
        <v>4.4455813953488379</v>
      </c>
      <c r="L21" s="79"/>
      <c r="M21" s="95" t="str">
        <f t="shared" si="2"/>
        <v>NOPLAT</v>
      </c>
      <c r="N21" s="80">
        <f>(C21-B21)/B21</f>
        <v>0.19680851063829796</v>
      </c>
      <c r="O21" s="80">
        <f t="shared" si="8"/>
        <v>1.6600000000000001</v>
      </c>
      <c r="P21" s="80">
        <f t="shared" si="8"/>
        <v>0.27067669172932318</v>
      </c>
      <c r="Q21" s="80">
        <f t="shared" si="8"/>
        <v>0.5443786982248523</v>
      </c>
      <c r="R21" s="80">
        <f t="shared" si="8"/>
        <v>-0.19157088122605379</v>
      </c>
      <c r="S21" s="80">
        <f t="shared" si="8"/>
        <v>0.16587677725118488</v>
      </c>
      <c r="T21" s="80">
        <f t="shared" si="8"/>
        <v>3.2520325203252064E-2</v>
      </c>
      <c r="U21" s="80">
        <f t="shared" si="8"/>
        <v>-0.54715003627959469</v>
      </c>
      <c r="V21" s="80">
        <f t="shared" si="8"/>
        <v>2.8649200309691092</v>
      </c>
    </row>
    <row r="22" spans="1:22" x14ac:dyDescent="0.2">
      <c r="A22" s="86" t="s">
        <v>97</v>
      </c>
      <c r="B22" s="37">
        <f>(B5/B13)*(1-B20)</f>
        <v>3.2112050559398753E-2</v>
      </c>
      <c r="C22" s="37">
        <f t="shared" ref="C22:K22" si="11">(C5/C13)*(1-C20)</f>
        <v>3.1446540880503145E-2</v>
      </c>
      <c r="D22" s="37">
        <f t="shared" si="11"/>
        <v>7.3318632855567806E-2</v>
      </c>
      <c r="E22" s="37">
        <f t="shared" si="11"/>
        <v>7.8824626865671654E-2</v>
      </c>
      <c r="F22" s="37">
        <f t="shared" si="11"/>
        <v>0.11337966985230236</v>
      </c>
      <c r="G22" s="37">
        <f t="shared" si="11"/>
        <v>9.7459584295612009E-2</v>
      </c>
      <c r="H22" s="37">
        <f t="shared" si="11"/>
        <v>0.10224438902743141</v>
      </c>
      <c r="I22" s="37">
        <f t="shared" si="11"/>
        <v>0.12009456264775414</v>
      </c>
      <c r="J22" s="37">
        <f t="shared" si="11"/>
        <v>8.0380077417877685E-2</v>
      </c>
      <c r="K22" s="37">
        <f t="shared" si="11"/>
        <v>0.23263115621919614</v>
      </c>
      <c r="L22" s="79"/>
      <c r="M22" s="95" t="str">
        <f t="shared" si="2"/>
        <v>RoIC</v>
      </c>
      <c r="N22" s="80">
        <f>(C22-B22)/B22</f>
        <v>-2.0724608590927326E-2</v>
      </c>
      <c r="O22" s="80">
        <f t="shared" si="8"/>
        <v>1.3315325248070562</v>
      </c>
      <c r="P22" s="80">
        <f t="shared" si="8"/>
        <v>7.5096790483672043E-2</v>
      </c>
      <c r="Q22" s="80">
        <f t="shared" si="8"/>
        <v>0.43837877019725568</v>
      </c>
      <c r="R22" s="80">
        <f t="shared" si="8"/>
        <v>-0.14041393468008112</v>
      </c>
      <c r="S22" s="80">
        <f t="shared" si="8"/>
        <v>4.9095271300421808E-2</v>
      </c>
      <c r="T22" s="80">
        <f t="shared" si="8"/>
        <v>0.17458340540852238</v>
      </c>
      <c r="U22" s="80">
        <f t="shared" si="8"/>
        <v>-0.33069344984719962</v>
      </c>
      <c r="V22" s="80">
        <f t="shared" si="8"/>
        <v>1.8941394894384067</v>
      </c>
    </row>
    <row r="23" spans="1:22" x14ac:dyDescent="0.2">
      <c r="A23" s="83" t="s">
        <v>98</v>
      </c>
      <c r="B23" s="38">
        <v>0.12</v>
      </c>
      <c r="C23" s="38">
        <v>0.12</v>
      </c>
      <c r="D23" s="38">
        <v>0.12</v>
      </c>
      <c r="E23" s="38">
        <v>0.12</v>
      </c>
      <c r="F23" s="38">
        <v>0.12</v>
      </c>
      <c r="G23" s="38">
        <v>0.12</v>
      </c>
      <c r="H23" s="38">
        <v>0.12</v>
      </c>
      <c r="I23" s="38">
        <v>0.12</v>
      </c>
      <c r="J23" s="38">
        <v>0.12</v>
      </c>
      <c r="K23" s="38">
        <v>0.12</v>
      </c>
      <c r="L23" s="79"/>
      <c r="M23" s="95" t="str">
        <f t="shared" si="2"/>
        <v>WACC</v>
      </c>
      <c r="N23" s="80">
        <f>(C23-B23)/B23</f>
        <v>0</v>
      </c>
      <c r="O23" s="80">
        <f t="shared" si="8"/>
        <v>0</v>
      </c>
      <c r="P23" s="80">
        <f t="shared" si="8"/>
        <v>0</v>
      </c>
      <c r="Q23" s="80">
        <f t="shared" si="8"/>
        <v>0</v>
      </c>
      <c r="R23" s="80">
        <f t="shared" si="8"/>
        <v>0</v>
      </c>
      <c r="S23" s="80">
        <f t="shared" si="8"/>
        <v>0</v>
      </c>
      <c r="T23" s="80">
        <f t="shared" si="8"/>
        <v>0</v>
      </c>
      <c r="U23" s="80">
        <f t="shared" si="8"/>
        <v>0</v>
      </c>
      <c r="V23" s="80">
        <f t="shared" si="8"/>
        <v>0</v>
      </c>
    </row>
    <row r="24" spans="1:22" ht="25.5" x14ac:dyDescent="0.2">
      <c r="A24" s="83" t="s">
        <v>99</v>
      </c>
      <c r="B24" s="36">
        <f>B13*(B22-B23)</f>
        <v>-1.1434222222222221</v>
      </c>
      <c r="C24" s="36">
        <f t="shared" ref="C24:K24" si="12">C13*(C22-C23)</f>
        <v>-1.4079999999999999</v>
      </c>
      <c r="D24" s="36">
        <f t="shared" si="12"/>
        <v>-0.8468</v>
      </c>
      <c r="E24" s="36">
        <f t="shared" si="12"/>
        <v>-0.88279999999999959</v>
      </c>
      <c r="F24" s="36">
        <f t="shared" si="12"/>
        <v>-0.15239999999999965</v>
      </c>
      <c r="G24" s="36">
        <f t="shared" si="12"/>
        <v>-0.48799999999999988</v>
      </c>
      <c r="H24" s="36">
        <f t="shared" si="12"/>
        <v>-0.42720000000000025</v>
      </c>
      <c r="I24" s="36">
        <f t="shared" si="12"/>
        <v>2.0000000000002377E-3</v>
      </c>
      <c r="J24" s="36">
        <f t="shared" si="12"/>
        <v>-0.56696109215017032</v>
      </c>
      <c r="K24" s="36">
        <f t="shared" si="12"/>
        <v>2.1523813953488382</v>
      </c>
      <c r="L24" s="79"/>
      <c r="M24" s="95" t="str">
        <f t="shared" si="2"/>
        <v>EPA (Economic Profit Added)</v>
      </c>
      <c r="N24" s="80">
        <f>(C24-B24)/B24</f>
        <v>0.23139114548917483</v>
      </c>
      <c r="O24" s="80">
        <f t="shared" si="8"/>
        <v>-0.39857954545454544</v>
      </c>
      <c r="P24" s="80">
        <f t="shared" si="8"/>
        <v>4.2512990080301828E-2</v>
      </c>
      <c r="Q24" s="80">
        <f t="shared" si="8"/>
        <v>-0.82736746714997766</v>
      </c>
      <c r="R24" s="80">
        <f t="shared" si="8"/>
        <v>2.2020997375328148</v>
      </c>
      <c r="S24" s="80">
        <f t="shared" si="8"/>
        <v>-0.12459016393442551</v>
      </c>
      <c r="T24" s="80">
        <f t="shared" si="8"/>
        <v>-1.0046816479400755</v>
      </c>
      <c r="U24" s="80">
        <f t="shared" si="8"/>
        <v>-284.48054607505145</v>
      </c>
      <c r="V24" s="80">
        <f t="shared" si="8"/>
        <v>-4.7963476244658061</v>
      </c>
    </row>
    <row r="25" spans="1:22" ht="15" x14ac:dyDescent="0.25">
      <c r="A25" s="45"/>
      <c r="B25" s="16">
        <f>B3</f>
        <v>39903</v>
      </c>
      <c r="C25" s="16">
        <f t="shared" ref="C25:K25" si="13">C3</f>
        <v>40268</v>
      </c>
      <c r="D25" s="16">
        <f t="shared" si="13"/>
        <v>40633</v>
      </c>
      <c r="E25" s="16">
        <f t="shared" si="13"/>
        <v>40999</v>
      </c>
      <c r="F25" s="16">
        <f t="shared" si="13"/>
        <v>41364</v>
      </c>
      <c r="G25" s="16">
        <f t="shared" si="13"/>
        <v>41729</v>
      </c>
      <c r="H25" s="16">
        <f t="shared" si="13"/>
        <v>42094</v>
      </c>
      <c r="I25" s="16">
        <f t="shared" si="13"/>
        <v>42460</v>
      </c>
      <c r="J25" s="16">
        <f t="shared" si="13"/>
        <v>42825</v>
      </c>
      <c r="K25" s="16">
        <f t="shared" si="13"/>
        <v>43190</v>
      </c>
      <c r="L25" s="16" t="s">
        <v>100</v>
      </c>
      <c r="M25" s="95" t="s">
        <v>205</v>
      </c>
      <c r="N25" s="80"/>
      <c r="O25" s="80"/>
      <c r="P25" s="80"/>
      <c r="Q25" s="80"/>
      <c r="R25" s="80"/>
      <c r="S25" s="80"/>
      <c r="T25" s="80"/>
      <c r="U25" s="80"/>
      <c r="V25" s="80"/>
    </row>
    <row r="26" spans="1:22" x14ac:dyDescent="0.2">
      <c r="A26" s="85" t="s">
        <v>101</v>
      </c>
      <c r="B26" s="39">
        <f>'Data Sheet'!B90*'Data Sheet'!B93</f>
        <v>1.6739454172499999</v>
      </c>
      <c r="C26" s="39">
        <f>'Data Sheet'!C90*'Data Sheet'!C93</f>
        <v>2.6186341117499996</v>
      </c>
      <c r="D26" s="39">
        <f>'Data Sheet'!D90*'Data Sheet'!D93</f>
        <v>4.6553309729999999</v>
      </c>
      <c r="E26" s="39">
        <f>'Data Sheet'!E90*'Data Sheet'!E93</f>
        <v>3.4953324637499996</v>
      </c>
      <c r="F26" s="39">
        <f>'Data Sheet'!F90*'Data Sheet'!F93</f>
        <v>5.0516812012500001</v>
      </c>
      <c r="G26" s="39">
        <f>'Data Sheet'!G90*'Data Sheet'!G93</f>
        <v>3.8201067922499998</v>
      </c>
      <c r="H26" s="39">
        <f>'Data Sheet'!H90*'Data Sheet'!H93</f>
        <v>4.8048910290000002</v>
      </c>
      <c r="I26" s="39">
        <f>'Data Sheet'!I90*'Data Sheet'!I93</f>
        <v>14.545962569250001</v>
      </c>
      <c r="J26" s="39">
        <f>'Data Sheet'!J90*'Data Sheet'!J93</f>
        <v>26.091213223499999</v>
      </c>
      <c r="K26" s="39">
        <f>'Data Sheet'!K90*'Data Sheet'!K93</f>
        <v>57.036278749499999</v>
      </c>
      <c r="L26" s="94">
        <f>'Data Sheet'!B9</f>
        <v>37.04</v>
      </c>
      <c r="M26" s="95" t="str">
        <f t="shared" si="2"/>
        <v>MktCap</v>
      </c>
      <c r="N26" s="80">
        <f t="shared" ref="N26:V29" si="14">(C26-B26)/B26</f>
        <v>0.56434856523097288</v>
      </c>
      <c r="O26" s="80">
        <f t="shared" si="14"/>
        <v>0.77777069049516878</v>
      </c>
      <c r="P26" s="80">
        <f t="shared" si="14"/>
        <v>-0.2491763777866198</v>
      </c>
      <c r="Q26" s="80">
        <f t="shared" si="14"/>
        <v>0.44526486497088674</v>
      </c>
      <c r="R26" s="80">
        <f t="shared" si="14"/>
        <v>-0.24379495853682465</v>
      </c>
      <c r="S26" s="80">
        <f t="shared" si="14"/>
        <v>0.25778971382367388</v>
      </c>
      <c r="T26" s="80">
        <f t="shared" si="14"/>
        <v>2.0273241331504921</v>
      </c>
      <c r="U26" s="80">
        <f t="shared" si="14"/>
        <v>0.79370826092021751</v>
      </c>
      <c r="V26" s="80">
        <f t="shared" si="14"/>
        <v>1.1860339824339101</v>
      </c>
    </row>
    <row r="27" spans="1:22" x14ac:dyDescent="0.2">
      <c r="A27" s="87" t="s">
        <v>102</v>
      </c>
      <c r="B27" s="36">
        <f>B26+'Data Sheet'!B31</f>
        <v>1.6739454172499999</v>
      </c>
      <c r="C27" s="36">
        <f>C26+'Data Sheet'!C31</f>
        <v>2.6186341117499996</v>
      </c>
      <c r="D27" s="36">
        <f>D26+'Data Sheet'!D31</f>
        <v>4.6553309729999999</v>
      </c>
      <c r="E27" s="36">
        <f>E26+'Data Sheet'!E31</f>
        <v>3.4953324637499996</v>
      </c>
      <c r="F27" s="36">
        <f>F26+'Data Sheet'!F31</f>
        <v>5.0516812012500001</v>
      </c>
      <c r="G27" s="36">
        <f>G26+'Data Sheet'!G31</f>
        <v>3.8201067922499998</v>
      </c>
      <c r="H27" s="36">
        <f>H26+'Data Sheet'!H31</f>
        <v>4.8048910290000002</v>
      </c>
      <c r="I27" s="36">
        <f>I26+'Data Sheet'!I31</f>
        <v>14.545962569250001</v>
      </c>
      <c r="J27" s="36">
        <f>J26+'Data Sheet'!J31</f>
        <v>26.091213223499999</v>
      </c>
      <c r="K27" s="36">
        <f>K26+'Data Sheet'!K31</f>
        <v>57.036278749499999</v>
      </c>
      <c r="M27" s="95" t="str">
        <f t="shared" si="2"/>
        <v>MktCap+Dividend</v>
      </c>
      <c r="N27" s="80">
        <f t="shared" si="14"/>
        <v>0.56434856523097288</v>
      </c>
      <c r="O27" s="80">
        <f t="shared" si="14"/>
        <v>0.77777069049516878</v>
      </c>
      <c r="P27" s="80">
        <f t="shared" si="14"/>
        <v>-0.2491763777866198</v>
      </c>
      <c r="Q27" s="80">
        <f t="shared" si="14"/>
        <v>0.44526486497088674</v>
      </c>
      <c r="R27" s="80">
        <f t="shared" si="14"/>
        <v>-0.24379495853682465</v>
      </c>
      <c r="S27" s="80">
        <f t="shared" si="14"/>
        <v>0.25778971382367388</v>
      </c>
      <c r="T27" s="80">
        <f t="shared" si="14"/>
        <v>2.0273241331504921</v>
      </c>
      <c r="U27" s="80">
        <f t="shared" si="14"/>
        <v>0.79370826092021751</v>
      </c>
      <c r="V27" s="80">
        <f t="shared" si="14"/>
        <v>1.1860339824339101</v>
      </c>
    </row>
    <row r="28" spans="1:22" x14ac:dyDescent="0.2">
      <c r="A28" s="83" t="s">
        <v>103</v>
      </c>
      <c r="B28" s="32">
        <f>'Data Sheet'!B30-'Data Sheet'!B31</f>
        <v>0.08</v>
      </c>
      <c r="C28" s="32">
        <f>'Data Sheet'!C30-'Data Sheet'!C31</f>
        <v>0.08</v>
      </c>
      <c r="D28" s="32">
        <f>'Data Sheet'!D30-'Data Sheet'!D31</f>
        <v>0.21</v>
      </c>
      <c r="E28" s="32">
        <f>'Data Sheet'!E30-'Data Sheet'!E31</f>
        <v>0.26</v>
      </c>
      <c r="F28" s="32">
        <f>'Data Sheet'!F30-'Data Sheet'!F31</f>
        <v>0.77</v>
      </c>
      <c r="G28" s="32">
        <f>'Data Sheet'!G30-'Data Sheet'!G31</f>
        <v>0.57999999999999996</v>
      </c>
      <c r="H28" s="32">
        <f>'Data Sheet'!H30-'Data Sheet'!H31</f>
        <v>0.8</v>
      </c>
      <c r="I28" s="32">
        <f>'Data Sheet'!I30-'Data Sheet'!I31</f>
        <v>0.88</v>
      </c>
      <c r="J28" s="32">
        <f>'Data Sheet'!J30-'Data Sheet'!J31</f>
        <v>0.82</v>
      </c>
      <c r="K28" s="32">
        <f>'Data Sheet'!K30-'Data Sheet'!K31</f>
        <v>3.53</v>
      </c>
      <c r="M28" s="95" t="str">
        <f t="shared" si="2"/>
        <v>Retained Profit</v>
      </c>
      <c r="N28" s="80">
        <f t="shared" si="14"/>
        <v>0</v>
      </c>
      <c r="O28" s="80">
        <f t="shared" si="14"/>
        <v>1.625</v>
      </c>
      <c r="P28" s="80">
        <f t="shared" si="14"/>
        <v>0.23809523809523819</v>
      </c>
      <c r="Q28" s="80">
        <f t="shared" si="14"/>
        <v>1.9615384615384615</v>
      </c>
      <c r="R28" s="80">
        <f t="shared" si="14"/>
        <v>-0.24675324675324684</v>
      </c>
      <c r="S28" s="80">
        <f t="shared" si="14"/>
        <v>0.37931034482758635</v>
      </c>
      <c r="T28" s="80">
        <f t="shared" si="14"/>
        <v>9.999999999999995E-2</v>
      </c>
      <c r="U28" s="80">
        <f t="shared" si="14"/>
        <v>-6.8181818181818246E-2</v>
      </c>
      <c r="V28" s="80">
        <f t="shared" si="14"/>
        <v>3.3048780487804881</v>
      </c>
    </row>
    <row r="29" spans="1:22" x14ac:dyDescent="0.2">
      <c r="A29" s="88" t="s">
        <v>104</v>
      </c>
      <c r="B29" s="40">
        <f>B26+'Data Sheet'!B59-'Data Sheet'!B69</f>
        <v>9.5939454172499996</v>
      </c>
      <c r="C29" s="40">
        <f>C26+'Data Sheet'!C59-'Data Sheet'!C69</f>
        <v>12.76863411175</v>
      </c>
      <c r="D29" s="40">
        <f>D26+'Data Sheet'!D59-'Data Sheet'!D69</f>
        <v>16.965330973</v>
      </c>
      <c r="E29" s="40">
        <f>E26+'Data Sheet'!E59-'Data Sheet'!E69</f>
        <v>19.085332463749999</v>
      </c>
      <c r="F29" s="40">
        <f>F26+'Data Sheet'!F59-'Data Sheet'!F69</f>
        <v>21.31168120125</v>
      </c>
      <c r="G29" s="40">
        <f>G26+'Data Sheet'!G59-'Data Sheet'!G69</f>
        <v>17.200106792249997</v>
      </c>
      <c r="H29" s="40">
        <f>H26+'Data Sheet'!H59-'Data Sheet'!H69</f>
        <v>20.774891028999999</v>
      </c>
      <c r="I29" s="40">
        <f>I26+'Data Sheet'!I59-'Data Sheet'!I69</f>
        <v>26.635962569249998</v>
      </c>
      <c r="J29" s="40">
        <f>J26+'Data Sheet'!J59-'Data Sheet'!J69</f>
        <v>30.031213223499996</v>
      </c>
      <c r="K29" s="40">
        <f>K26+'Data Sheet'!K59-'Data Sheet'!K69</f>
        <v>60.966278749499999</v>
      </c>
      <c r="M29" s="95" t="str">
        <f t="shared" si="2"/>
        <v>EV</v>
      </c>
      <c r="N29" s="80">
        <f t="shared" si="14"/>
        <v>0.33090543633820158</v>
      </c>
      <c r="O29" s="80">
        <f t="shared" si="14"/>
        <v>0.32867234071560564</v>
      </c>
      <c r="P29" s="80">
        <f t="shared" si="14"/>
        <v>0.12496080943684157</v>
      </c>
      <c r="Q29" s="80">
        <f t="shared" si="14"/>
        <v>0.11665234240632946</v>
      </c>
      <c r="R29" s="80">
        <f t="shared" si="14"/>
        <v>-0.19292585930568656</v>
      </c>
      <c r="S29" s="80">
        <f t="shared" si="14"/>
        <v>0.20783500241758521</v>
      </c>
      <c r="T29" s="80">
        <f t="shared" si="14"/>
        <v>0.2821228535961241</v>
      </c>
      <c r="U29" s="80">
        <f t="shared" si="14"/>
        <v>0.12746866742370561</v>
      </c>
      <c r="V29" s="80">
        <f t="shared" si="14"/>
        <v>1.0300970958373645</v>
      </c>
    </row>
    <row r="30" spans="1:22" ht="15" x14ac:dyDescent="0.25">
      <c r="A30" s="45"/>
      <c r="B30" s="16">
        <f>B3</f>
        <v>39903</v>
      </c>
      <c r="C30" s="16">
        <f t="shared" ref="C30:K30" si="15">C3</f>
        <v>40268</v>
      </c>
      <c r="D30" s="16">
        <f t="shared" si="15"/>
        <v>40633</v>
      </c>
      <c r="E30" s="16">
        <f t="shared" si="15"/>
        <v>40999</v>
      </c>
      <c r="F30" s="16">
        <f t="shared" si="15"/>
        <v>41364</v>
      </c>
      <c r="G30" s="16">
        <f t="shared" si="15"/>
        <v>41729</v>
      </c>
      <c r="H30" s="16">
        <f t="shared" si="15"/>
        <v>42094</v>
      </c>
      <c r="I30" s="16">
        <f t="shared" si="15"/>
        <v>42460</v>
      </c>
      <c r="J30" s="16">
        <f t="shared" si="15"/>
        <v>42825</v>
      </c>
      <c r="K30" s="16">
        <f t="shared" si="15"/>
        <v>43190</v>
      </c>
      <c r="M30" s="95" t="s">
        <v>205</v>
      </c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2">
      <c r="A31" s="89" t="s">
        <v>105</v>
      </c>
      <c r="B31" s="41">
        <f>B26/'Data Sheet'!B30</f>
        <v>20.924317715624998</v>
      </c>
      <c r="C31" s="41">
        <f>C26/'Data Sheet'!C30</f>
        <v>32.732926396874994</v>
      </c>
      <c r="D31" s="41">
        <f>D26/'Data Sheet'!D30</f>
        <v>22.168242728571428</v>
      </c>
      <c r="E31" s="41">
        <f>E26/'Data Sheet'!E30</f>
        <v>13.443586399038459</v>
      </c>
      <c r="F31" s="41">
        <f>F26/'Data Sheet'!F30</f>
        <v>6.5606249366883116</v>
      </c>
      <c r="G31" s="41">
        <f>G26/'Data Sheet'!G30</f>
        <v>6.58639102112069</v>
      </c>
      <c r="H31" s="41">
        <f>H26/'Data Sheet'!H30</f>
        <v>6.0061137862500003</v>
      </c>
      <c r="I31" s="41">
        <f>I26/'Data Sheet'!I30</f>
        <v>16.529502919602272</v>
      </c>
      <c r="J31" s="41">
        <f>J26/'Data Sheet'!J30</f>
        <v>31.818552711585365</v>
      </c>
      <c r="K31" s="41">
        <f>K26/'Data Sheet'!K30</f>
        <v>16.157586048016999</v>
      </c>
      <c r="M31" s="95" t="str">
        <f t="shared" si="2"/>
        <v>Price/Earnings</v>
      </c>
      <c r="N31" s="80">
        <f t="shared" ref="N31:N43" si="16">(C31-B31)/B31</f>
        <v>0.56434856523097288</v>
      </c>
      <c r="O31" s="80">
        <f t="shared" ref="O31:O43" si="17">(D31-C31)/C31</f>
        <v>-0.32275402266850711</v>
      </c>
      <c r="P31" s="80">
        <f t="shared" ref="P31:P43" si="18">(E31-D31)/D31</f>
        <v>-0.3935655359045776</v>
      </c>
      <c r="Q31" s="80">
        <f t="shared" ref="Q31:Q43" si="19">(F31-E31)/E31</f>
        <v>-0.51198848715268752</v>
      </c>
      <c r="R31" s="80">
        <f t="shared" ref="R31:R43" si="20">(G31-F31)/F31</f>
        <v>3.927382632146724E-3</v>
      </c>
      <c r="S31" s="80">
        <f t="shared" ref="S31:S43" si="21">(H31-G31)/G31</f>
        <v>-8.8102457477836502E-2</v>
      </c>
      <c r="T31" s="80">
        <f t="shared" ref="T31:T43" si="22">(I31-H31)/H31</f>
        <v>1.7521128483186288</v>
      </c>
      <c r="U31" s="80">
        <f t="shared" ref="U31:U43" si="23">(J31-I31)/I31</f>
        <v>0.92495520684120924</v>
      </c>
      <c r="V31" s="80">
        <f t="shared" ref="V31:V43" si="24">(K31-J31)/J31</f>
        <v>-0.49219607206917665</v>
      </c>
    </row>
    <row r="32" spans="1:22" x14ac:dyDescent="0.2">
      <c r="A32" s="90" t="s">
        <v>106</v>
      </c>
      <c r="B32" s="42">
        <f t="shared" ref="B32:K32" si="25">B26/B11</f>
        <v>0.334120841766467</v>
      </c>
      <c r="C32" s="42">
        <f t="shared" si="25"/>
        <v>0.51446642666994091</v>
      </c>
      <c r="D32" s="42">
        <f t="shared" si="25"/>
        <v>0.88002475860113405</v>
      </c>
      <c r="E32" s="42">
        <f t="shared" si="25"/>
        <v>0.62978963310810798</v>
      </c>
      <c r="F32" s="42">
        <f t="shared" si="25"/>
        <v>0.79931664576740502</v>
      </c>
      <c r="G32" s="42">
        <f t="shared" si="25"/>
        <v>0.55363866554347818</v>
      </c>
      <c r="H32" s="42">
        <f t="shared" si="25"/>
        <v>0.62401182194805194</v>
      </c>
      <c r="I32" s="42">
        <f t="shared" si="25"/>
        <v>1.6953336327797204</v>
      </c>
      <c r="J32" s="42">
        <f t="shared" si="25"/>
        <v>2.772711288363443</v>
      </c>
      <c r="K32" s="42">
        <f t="shared" si="25"/>
        <v>4.3941663135208007</v>
      </c>
      <c r="M32" s="95" t="str">
        <f t="shared" si="2"/>
        <v>Price/Book</v>
      </c>
      <c r="N32" s="80">
        <f t="shared" si="16"/>
        <v>0.53976155438254891</v>
      </c>
      <c r="O32" s="80">
        <f t="shared" si="17"/>
        <v>0.71055818801898096</v>
      </c>
      <c r="P32" s="80">
        <f t="shared" si="18"/>
        <v>-0.28435009702544478</v>
      </c>
      <c r="Q32" s="80">
        <f t="shared" si="19"/>
        <v>0.26918037983994014</v>
      </c>
      <c r="R32" s="80">
        <f t="shared" si="20"/>
        <v>-0.30736001999314955</v>
      </c>
      <c r="S32" s="80">
        <f t="shared" si="21"/>
        <v>0.12711026303679873</v>
      </c>
      <c r="T32" s="80">
        <f t="shared" si="22"/>
        <v>1.7168293502632621</v>
      </c>
      <c r="U32" s="80">
        <f t="shared" si="23"/>
        <v>0.63549594885180305</v>
      </c>
      <c r="V32" s="80">
        <f t="shared" si="24"/>
        <v>0.58479042948405946</v>
      </c>
    </row>
    <row r="33" spans="1:22" x14ac:dyDescent="0.2">
      <c r="A33" s="90" t="s">
        <v>107</v>
      </c>
      <c r="B33" s="42">
        <f t="shared" ref="B33:K33" si="26">B26/B17</f>
        <v>-2.4616844371323525</v>
      </c>
      <c r="C33" s="42">
        <f t="shared" si="26"/>
        <v>-261.86341117499995</v>
      </c>
      <c r="D33" s="42">
        <f t="shared" si="26"/>
        <v>-9.9049595170212772</v>
      </c>
      <c r="E33" s="42">
        <f t="shared" si="26"/>
        <v>1.3981329854999998</v>
      </c>
      <c r="F33" s="42">
        <f t="shared" si="26"/>
        <v>3.4600556172945205</v>
      </c>
      <c r="G33" s="42">
        <f t="shared" si="26"/>
        <v>0.85270240898437488</v>
      </c>
      <c r="H33" s="42">
        <f t="shared" si="26"/>
        <v>-6.1601167038461542</v>
      </c>
      <c r="I33" s="42">
        <f t="shared" si="26"/>
        <v>1.8459343361992389</v>
      </c>
      <c r="J33" s="42">
        <f t="shared" si="26"/>
        <v>4.020217754006163</v>
      </c>
      <c r="K33" s="42">
        <f t="shared" si="26"/>
        <v>9.4274840908264466</v>
      </c>
      <c r="M33" s="95" t="str">
        <f t="shared" si="2"/>
        <v>Price/CashFlow</v>
      </c>
      <c r="N33" s="80">
        <f t="shared" si="16"/>
        <v>105.37570243570616</v>
      </c>
      <c r="O33" s="80">
        <f t="shared" si="17"/>
        <v>-0.96217509169159221</v>
      </c>
      <c r="P33" s="80">
        <f t="shared" si="18"/>
        <v>-1.1411548409761154</v>
      </c>
      <c r="Q33" s="80">
        <f t="shared" si="19"/>
        <v>1.4747686044022035</v>
      </c>
      <c r="R33" s="80">
        <f t="shared" si="20"/>
        <v>-0.75355817845173312</v>
      </c>
      <c r="S33" s="80">
        <f t="shared" si="21"/>
        <v>-8.2242280999103325</v>
      </c>
      <c r="T33" s="80">
        <f t="shared" si="22"/>
        <v>-1.2996589877991602</v>
      </c>
      <c r="U33" s="80">
        <f t="shared" si="23"/>
        <v>1.1778769023191544</v>
      </c>
      <c r="V33" s="80">
        <f t="shared" si="24"/>
        <v>1.3450182720654673</v>
      </c>
    </row>
    <row r="34" spans="1:22" x14ac:dyDescent="0.2">
      <c r="A34" s="90" t="s">
        <v>108</v>
      </c>
      <c r="B34" s="42">
        <f>B26/'Data Sheet'!B17</f>
        <v>0.17116006311349694</v>
      </c>
      <c r="C34" s="42">
        <f>C26/'Data Sheet'!C17</f>
        <v>0.21677434699917214</v>
      </c>
      <c r="D34" s="42">
        <f>D26/'Data Sheet'!D17</f>
        <v>0.22349164536725877</v>
      </c>
      <c r="E34" s="42">
        <f>E26/'Data Sheet'!E17</f>
        <v>0.13739514401533018</v>
      </c>
      <c r="F34" s="42">
        <f>F26/'Data Sheet'!F17</f>
        <v>0.11408494131097562</v>
      </c>
      <c r="G34" s="42">
        <f>G26/'Data Sheet'!G17</f>
        <v>0.11322189662863069</v>
      </c>
      <c r="H34" s="42">
        <f>H26/'Data Sheet'!H17</f>
        <v>0.14716358434915774</v>
      </c>
      <c r="I34" s="42">
        <f>I26/'Data Sheet'!I17</f>
        <v>0.52117386489609463</v>
      </c>
      <c r="J34" s="42">
        <f>J26/'Data Sheet'!J17</f>
        <v>0.73558537421764869</v>
      </c>
      <c r="K34" s="42">
        <f>K26/'Data Sheet'!K17</f>
        <v>1.3979480085661766</v>
      </c>
      <c r="M34" s="95" t="str">
        <f t="shared" si="2"/>
        <v>Price/Sales</v>
      </c>
      <c r="N34" s="80">
        <f t="shared" si="16"/>
        <v>0.2665007423807047</v>
      </c>
      <c r="O34" s="80">
        <f t="shared" si="17"/>
        <v>3.0987515179147468E-2</v>
      </c>
      <c r="P34" s="80">
        <f t="shared" si="18"/>
        <v>-0.38523364580563246</v>
      </c>
      <c r="Q34" s="80">
        <f t="shared" si="19"/>
        <v>-0.16965812635818972</v>
      </c>
      <c r="R34" s="80">
        <f t="shared" si="20"/>
        <v>-7.564930764985143E-3</v>
      </c>
      <c r="S34" s="80">
        <f t="shared" si="21"/>
        <v>0.29978024332039088</v>
      </c>
      <c r="T34" s="80">
        <f t="shared" si="22"/>
        <v>2.5414594391746168</v>
      </c>
      <c r="U34" s="80">
        <f t="shared" si="23"/>
        <v>0.41140111537308349</v>
      </c>
      <c r="V34" s="80">
        <f t="shared" si="24"/>
        <v>0.90045650384634313</v>
      </c>
    </row>
    <row r="35" spans="1:22" x14ac:dyDescent="0.2">
      <c r="A35" s="90" t="s">
        <v>109</v>
      </c>
      <c r="B35" s="42">
        <f t="shared" ref="B35:K35" si="27">B29/B6</f>
        <v>13.142390982534247</v>
      </c>
      <c r="C35" s="42">
        <f t="shared" si="27"/>
        <v>15.200754894940475</v>
      </c>
      <c r="D35" s="42">
        <f t="shared" si="27"/>
        <v>9.5849327531073456</v>
      </c>
      <c r="E35" s="42">
        <f t="shared" si="27"/>
        <v>8.8358020665509258</v>
      </c>
      <c r="F35" s="42">
        <f t="shared" si="27"/>
        <v>6.3999042646396394</v>
      </c>
      <c r="G35" s="42">
        <f t="shared" si="27"/>
        <v>6.035125190263158</v>
      </c>
      <c r="H35" s="42">
        <f t="shared" si="27"/>
        <v>6.5329846003144656</v>
      </c>
      <c r="I35" s="42">
        <f t="shared" si="27"/>
        <v>8.2720380649844714</v>
      </c>
      <c r="J35" s="42">
        <f t="shared" si="27"/>
        <v>6.0424976304828961</v>
      </c>
      <c r="K35" s="42">
        <f t="shared" si="27"/>
        <v>8.8742763827510913</v>
      </c>
      <c r="M35" s="95" t="str">
        <f t="shared" si="2"/>
        <v>EV/EBITDA</v>
      </c>
      <c r="N35" s="80">
        <f t="shared" si="16"/>
        <v>0.15662020062724649</v>
      </c>
      <c r="O35" s="80">
        <f t="shared" si="17"/>
        <v>-0.36944363491462778</v>
      </c>
      <c r="P35" s="80">
        <f t="shared" si="18"/>
        <v>-7.8157114489254886E-2</v>
      </c>
      <c r="Q35" s="80">
        <f t="shared" si="19"/>
        <v>-0.27568496708778634</v>
      </c>
      <c r="R35" s="80">
        <f t="shared" si="20"/>
        <v>-5.6997582978223042E-2</v>
      </c>
      <c r="S35" s="80">
        <f t="shared" si="21"/>
        <v>8.2493634242175304E-2</v>
      </c>
      <c r="T35" s="80">
        <f t="shared" si="22"/>
        <v>0.2661958616259858</v>
      </c>
      <c r="U35" s="80">
        <f t="shared" si="23"/>
        <v>-0.26952734223252883</v>
      </c>
      <c r="V35" s="80">
        <f t="shared" si="24"/>
        <v>0.46864375055483287</v>
      </c>
    </row>
    <row r="36" spans="1:22" x14ac:dyDescent="0.2">
      <c r="A36" s="90" t="s">
        <v>110</v>
      </c>
      <c r="B36" s="43">
        <f>'Data Sheet'!B31/'Calculated Data'!B26</f>
        <v>0</v>
      </c>
      <c r="C36" s="43">
        <f>'Data Sheet'!C31/'Calculated Data'!C26</f>
        <v>0</v>
      </c>
      <c r="D36" s="43">
        <f>'Data Sheet'!D31/'Calculated Data'!D26</f>
        <v>0</v>
      </c>
      <c r="E36" s="43">
        <f>'Data Sheet'!E31/'Calculated Data'!E26</f>
        <v>0</v>
      </c>
      <c r="F36" s="43">
        <f>'Data Sheet'!F31/'Calculated Data'!F26</f>
        <v>0</v>
      </c>
      <c r="G36" s="43">
        <f>'Data Sheet'!G31/'Calculated Data'!G26</f>
        <v>0</v>
      </c>
      <c r="H36" s="43">
        <f>'Data Sheet'!H31/'Calculated Data'!H26</f>
        <v>0</v>
      </c>
      <c r="I36" s="43">
        <f>'Data Sheet'!I31/'Calculated Data'!I26</f>
        <v>0</v>
      </c>
      <c r="J36" s="43">
        <f>'Data Sheet'!J31/'Calculated Data'!J26</f>
        <v>0</v>
      </c>
      <c r="K36" s="43">
        <f>'Data Sheet'!K31/'Calculated Data'!K26</f>
        <v>0</v>
      </c>
      <c r="M36" s="95" t="str">
        <f t="shared" si="2"/>
        <v>Dividend Yield</v>
      </c>
      <c r="N36" s="80" t="e">
        <f t="shared" si="16"/>
        <v>#DIV/0!</v>
      </c>
      <c r="O36" s="80" t="e">
        <f t="shared" si="17"/>
        <v>#DIV/0!</v>
      </c>
      <c r="P36" s="80" t="e">
        <f t="shared" si="18"/>
        <v>#DIV/0!</v>
      </c>
      <c r="Q36" s="80" t="e">
        <f t="shared" si="19"/>
        <v>#DIV/0!</v>
      </c>
      <c r="R36" s="80" t="e">
        <f t="shared" si="20"/>
        <v>#DIV/0!</v>
      </c>
      <c r="S36" s="80" t="e">
        <f t="shared" si="21"/>
        <v>#DIV/0!</v>
      </c>
      <c r="T36" s="80" t="e">
        <f t="shared" si="22"/>
        <v>#DIV/0!</v>
      </c>
      <c r="U36" s="80" t="e">
        <f t="shared" si="23"/>
        <v>#DIV/0!</v>
      </c>
      <c r="V36" s="80" t="e">
        <f t="shared" si="24"/>
        <v>#DIV/0!</v>
      </c>
    </row>
    <row r="37" spans="1:22" ht="15" x14ac:dyDescent="0.25">
      <c r="A37" s="45"/>
      <c r="B37" s="16">
        <f>B3</f>
        <v>39903</v>
      </c>
      <c r="C37" s="16">
        <f t="shared" ref="C37:K37" si="28">C3</f>
        <v>40268</v>
      </c>
      <c r="D37" s="16">
        <f t="shared" si="28"/>
        <v>40633</v>
      </c>
      <c r="E37" s="16">
        <f t="shared" si="28"/>
        <v>40999</v>
      </c>
      <c r="F37" s="16">
        <f t="shared" si="28"/>
        <v>41364</v>
      </c>
      <c r="G37" s="16">
        <f t="shared" si="28"/>
        <v>41729</v>
      </c>
      <c r="H37" s="16">
        <f t="shared" si="28"/>
        <v>42094</v>
      </c>
      <c r="I37" s="16">
        <f t="shared" si="28"/>
        <v>42460</v>
      </c>
      <c r="J37" s="16">
        <f t="shared" si="28"/>
        <v>42825</v>
      </c>
      <c r="K37" s="16">
        <f t="shared" si="28"/>
        <v>43190</v>
      </c>
      <c r="L37" s="31" t="s">
        <v>111</v>
      </c>
      <c r="M37" s="95" t="s">
        <v>205</v>
      </c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12.75" customHeight="1" x14ac:dyDescent="0.2">
      <c r="A38" s="83" t="s">
        <v>112</v>
      </c>
      <c r="B38" s="36">
        <f t="shared" ref="B38:K38" si="29">B12/B15</f>
        <v>0.47077509529860229</v>
      </c>
      <c r="C38" s="36">
        <f t="shared" si="29"/>
        <v>0.4763971785132935</v>
      </c>
      <c r="D38" s="36">
        <f t="shared" si="29"/>
        <v>0.4775583482944345</v>
      </c>
      <c r="E38" s="36">
        <f t="shared" si="29"/>
        <v>0.39797828528640955</v>
      </c>
      <c r="F38" s="36">
        <f t="shared" si="29"/>
        <v>0.41381623071763918</v>
      </c>
      <c r="G38" s="36">
        <f t="shared" si="29"/>
        <v>0.41281669150521605</v>
      </c>
      <c r="H38" s="36">
        <f t="shared" si="29"/>
        <v>0.46699096594857537</v>
      </c>
      <c r="I38" s="36">
        <f t="shared" si="29"/>
        <v>0.33826391592059163</v>
      </c>
      <c r="J38" s="36">
        <f t="shared" si="29"/>
        <v>4.0283476314807914E-2</v>
      </c>
      <c r="K38" s="36">
        <f t="shared" si="29"/>
        <v>0.16507727721144358</v>
      </c>
      <c r="L38" s="94">
        <v>1.2</v>
      </c>
      <c r="M38" s="95" t="str">
        <f t="shared" si="2"/>
        <v>Working Capital/Total Assets</v>
      </c>
      <c r="N38" s="80">
        <f t="shared" si="16"/>
        <v>1.1942184858196982E-2</v>
      </c>
      <c r="O38" s="80">
        <f t="shared" si="17"/>
        <v>2.4373985269280957E-3</v>
      </c>
      <c r="P38" s="80">
        <f t="shared" si="18"/>
        <v>-0.16663945524612742</v>
      </c>
      <c r="Q38" s="80">
        <f t="shared" si="19"/>
        <v>3.9796003995121676E-2</v>
      </c>
      <c r="R38" s="80">
        <f t="shared" si="20"/>
        <v>-2.4154180967955988E-3</v>
      </c>
      <c r="S38" s="80">
        <f t="shared" si="21"/>
        <v>0.13123082365160327</v>
      </c>
      <c r="T38" s="80">
        <f t="shared" si="22"/>
        <v>-0.27565212052123306</v>
      </c>
      <c r="U38" s="80">
        <f t="shared" si="23"/>
        <v>-0.88091110396692562</v>
      </c>
      <c r="V38" s="80">
        <f t="shared" si="24"/>
        <v>3.0978905574433346</v>
      </c>
    </row>
    <row r="39" spans="1:22" ht="12.75" customHeight="1" x14ac:dyDescent="0.2">
      <c r="A39" s="83" t="s">
        <v>113</v>
      </c>
      <c r="B39" s="36">
        <f t="shared" ref="B39:K39" si="30">B28/B15</f>
        <v>5.0825921219822112E-3</v>
      </c>
      <c r="C39" s="36">
        <f t="shared" si="30"/>
        <v>4.3407487791644059E-3</v>
      </c>
      <c r="D39" s="36">
        <f t="shared" si="30"/>
        <v>9.4254937163375224E-3</v>
      </c>
      <c r="E39" s="36">
        <f t="shared" si="30"/>
        <v>9.7341819543242235E-3</v>
      </c>
      <c r="F39" s="36">
        <f t="shared" si="30"/>
        <v>2.5821596244131457E-2</v>
      </c>
      <c r="G39" s="36">
        <f t="shared" si="30"/>
        <v>2.1609538002980624E-2</v>
      </c>
      <c r="H39" s="36">
        <f t="shared" si="30"/>
        <v>2.7797081306462822E-2</v>
      </c>
      <c r="I39" s="36">
        <f t="shared" si="30"/>
        <v>3.4254573764110549E-2</v>
      </c>
      <c r="J39" s="36">
        <f t="shared" si="30"/>
        <v>3.0585602387168967E-2</v>
      </c>
      <c r="K39" s="36">
        <f t="shared" si="30"/>
        <v>0.11608023676422229</v>
      </c>
      <c r="L39" s="94">
        <v>1.4</v>
      </c>
      <c r="M39" s="95" t="str">
        <f t="shared" si="2"/>
        <v>Retained Profits/Total Assets</v>
      </c>
      <c r="N39" s="80">
        <f t="shared" si="16"/>
        <v>-0.14595767769940318</v>
      </c>
      <c r="O39" s="80">
        <f t="shared" si="17"/>
        <v>1.1713981149012567</v>
      </c>
      <c r="P39" s="80">
        <f t="shared" si="18"/>
        <v>3.2750352106398588E-2</v>
      </c>
      <c r="Q39" s="80">
        <f t="shared" si="19"/>
        <v>1.6526724449259662</v>
      </c>
      <c r="R39" s="80">
        <f t="shared" si="20"/>
        <v>-0.16312152824820497</v>
      </c>
      <c r="S39" s="80">
        <f t="shared" si="21"/>
        <v>0.28633390045769347</v>
      </c>
      <c r="T39" s="80">
        <f t="shared" si="22"/>
        <v>0.232308291163877</v>
      </c>
      <c r="U39" s="80">
        <f t="shared" si="23"/>
        <v>-0.10710894849276051</v>
      </c>
      <c r="V39" s="80">
        <f t="shared" si="24"/>
        <v>2.7952574971326825</v>
      </c>
    </row>
    <row r="40" spans="1:22" ht="12.75" customHeight="1" x14ac:dyDescent="0.2">
      <c r="A40" s="83" t="s">
        <v>114</v>
      </c>
      <c r="B40" s="36">
        <f t="shared" ref="B40:K40" si="31">B5/B15</f>
        <v>2.9860228716645489E-2</v>
      </c>
      <c r="C40" s="36">
        <f t="shared" si="31"/>
        <v>2.7129679869777538E-2</v>
      </c>
      <c r="D40" s="36">
        <f t="shared" si="31"/>
        <v>5.9694793536804312E-2</v>
      </c>
      <c r="E40" s="36">
        <f t="shared" si="31"/>
        <v>6.3272182703107444E-2</v>
      </c>
      <c r="F40" s="36">
        <f t="shared" si="31"/>
        <v>8.75251509054326E-2</v>
      </c>
      <c r="G40" s="36">
        <f t="shared" si="31"/>
        <v>7.8614008941877783E-2</v>
      </c>
      <c r="H40" s="36">
        <f t="shared" si="31"/>
        <v>8.5476025017373169E-2</v>
      </c>
      <c r="I40" s="36">
        <f t="shared" si="31"/>
        <v>9.8871156091864532E-2</v>
      </c>
      <c r="J40" s="36">
        <f t="shared" si="31"/>
        <v>0.15330100708690789</v>
      </c>
      <c r="K40" s="36">
        <f t="shared" si="31"/>
        <v>0.19533048339362052</v>
      </c>
      <c r="L40" s="94">
        <v>3.3</v>
      </c>
      <c r="M40" s="95" t="str">
        <f t="shared" si="2"/>
        <v>EBIT/Total Assets</v>
      </c>
      <c r="N40" s="80">
        <f t="shared" si="16"/>
        <v>-9.1444337978088375E-2</v>
      </c>
      <c r="O40" s="80">
        <f t="shared" si="17"/>
        <v>1.2003500897666068</v>
      </c>
      <c r="P40" s="80">
        <f t="shared" si="18"/>
        <v>5.9927992951303577E-2</v>
      </c>
      <c r="Q40" s="80">
        <f t="shared" si="19"/>
        <v>0.38331170454680769</v>
      </c>
      <c r="R40" s="80">
        <f t="shared" si="20"/>
        <v>-0.10181235760659181</v>
      </c>
      <c r="S40" s="80">
        <f t="shared" si="21"/>
        <v>8.7287446192557433E-2</v>
      </c>
      <c r="T40" s="80">
        <f t="shared" si="22"/>
        <v>0.15671214322108187</v>
      </c>
      <c r="U40" s="80">
        <f t="shared" si="23"/>
        <v>0.55051294175695431</v>
      </c>
      <c r="V40" s="80">
        <f t="shared" si="24"/>
        <v>0.27416308023916441</v>
      </c>
    </row>
    <row r="41" spans="1:22" ht="12.75" customHeight="1" x14ac:dyDescent="0.2">
      <c r="A41" s="83" t="s">
        <v>115</v>
      </c>
      <c r="B41" s="36">
        <f>B26/B15</f>
        <v>0.10634977237928843</v>
      </c>
      <c r="C41" s="36">
        <f t="shared" ref="C41:K41" si="32">C26/C15</f>
        <v>0.1420854102957135</v>
      </c>
      <c r="D41" s="36">
        <f t="shared" si="32"/>
        <v>0.20894663254039494</v>
      </c>
      <c r="E41" s="36">
        <f t="shared" si="32"/>
        <v>0.13086231612691873</v>
      </c>
      <c r="F41" s="36">
        <f t="shared" si="32"/>
        <v>0.16940580822434609</v>
      </c>
      <c r="G41" s="36">
        <f t="shared" si="32"/>
        <v>0.1423288670733979</v>
      </c>
      <c r="H41" s="36">
        <f t="shared" si="32"/>
        <v>0.1669524332522585</v>
      </c>
      <c r="I41" s="36">
        <f t="shared" si="32"/>
        <v>0.56621107704359674</v>
      </c>
      <c r="J41" s="36">
        <f t="shared" si="32"/>
        <v>0.97318960177172698</v>
      </c>
      <c r="K41" s="36">
        <f t="shared" si="32"/>
        <v>1.8755764139921078</v>
      </c>
      <c r="L41" s="94">
        <v>0.6</v>
      </c>
      <c r="M41" s="95" t="str">
        <f t="shared" si="2"/>
        <v>Market Cap/Total Liabilities</v>
      </c>
      <c r="N41" s="80">
        <f t="shared" si="16"/>
        <v>0.33601988153746698</v>
      </c>
      <c r="O41" s="80">
        <f t="shared" si="17"/>
        <v>0.4705706385020626</v>
      </c>
      <c r="P41" s="80">
        <f t="shared" si="18"/>
        <v>-0.37370459367599734</v>
      </c>
      <c r="Q41" s="80">
        <f t="shared" si="19"/>
        <v>0.29453469293669987</v>
      </c>
      <c r="R41" s="80">
        <f t="shared" si="20"/>
        <v>-0.15983478627302958</v>
      </c>
      <c r="S41" s="80">
        <f t="shared" si="21"/>
        <v>0.17300472269031991</v>
      </c>
      <c r="T41" s="80">
        <f t="shared" si="22"/>
        <v>2.3914514812016803</v>
      </c>
      <c r="U41" s="80">
        <f t="shared" si="23"/>
        <v>0.71877527874078306</v>
      </c>
      <c r="V41" s="80">
        <f t="shared" si="24"/>
        <v>0.92724666455288152</v>
      </c>
    </row>
    <row r="42" spans="1:22" ht="12.75" customHeight="1" x14ac:dyDescent="0.2">
      <c r="A42" s="83" t="s">
        <v>116</v>
      </c>
      <c r="B42" s="36">
        <f>'Data Sheet'!B17/'Calculated Data'!B15</f>
        <v>0.6213468869123252</v>
      </c>
      <c r="C42" s="36">
        <f>'Data Sheet'!C17/'Calculated Data'!C15</f>
        <v>0.65545306565382533</v>
      </c>
      <c r="D42" s="36">
        <f>'Data Sheet'!D17/'Calculated Data'!D15</f>
        <v>0.93491921005385981</v>
      </c>
      <c r="E42" s="36">
        <f>'Data Sheet'!E17/'Calculated Data'!E15</f>
        <v>0.9524522650692625</v>
      </c>
      <c r="F42" s="36">
        <f>'Data Sheet'!F17/'Calculated Data'!F15</f>
        <v>1.4849094567404426</v>
      </c>
      <c r="G42" s="36">
        <f>'Data Sheet'!G17/'Calculated Data'!G15</f>
        <v>1.2570789865871834</v>
      </c>
      <c r="H42" s="36">
        <f>'Data Sheet'!H17/'Calculated Data'!H15</f>
        <v>1.1344683808200138</v>
      </c>
      <c r="I42" s="36">
        <f>'Data Sheet'!I17/'Calculated Data'!I15</f>
        <v>1.0864149474503697</v>
      </c>
      <c r="J42" s="36">
        <f>'Data Sheet'!J17/'Calculated Data'!J15</f>
        <v>1.3230138008205894</v>
      </c>
      <c r="K42" s="36">
        <f>'Data Sheet'!K17/'Calculated Data'!K15</f>
        <v>1.3416639263400196</v>
      </c>
      <c r="L42" s="94">
        <v>1</v>
      </c>
      <c r="M42" s="95" t="str">
        <f t="shared" si="2"/>
        <v>Sales/Total Assets</v>
      </c>
      <c r="N42" s="80">
        <f t="shared" si="16"/>
        <v>5.4890721205645407E-2</v>
      </c>
      <c r="O42" s="80">
        <f t="shared" si="17"/>
        <v>0.42637094712687379</v>
      </c>
      <c r="P42" s="80">
        <f t="shared" si="18"/>
        <v>1.8753550923820077E-2</v>
      </c>
      <c r="Q42" s="80">
        <f t="shared" si="19"/>
        <v>0.55903819141262656</v>
      </c>
      <c r="R42" s="80">
        <f t="shared" si="20"/>
        <v>-0.15343054697312983</v>
      </c>
      <c r="S42" s="80">
        <f t="shared" si="21"/>
        <v>-9.7536119110575956E-2</v>
      </c>
      <c r="T42" s="80">
        <f t="shared" si="22"/>
        <v>-4.2357666535324856E-2</v>
      </c>
      <c r="U42" s="80">
        <f t="shared" si="23"/>
        <v>0.21777945335295393</v>
      </c>
      <c r="V42" s="80">
        <f t="shared" si="24"/>
        <v>1.4096697636761338E-2</v>
      </c>
    </row>
    <row r="43" spans="1:22" ht="12.75" customHeight="1" x14ac:dyDescent="0.2">
      <c r="A43" s="83" t="s">
        <v>117</v>
      </c>
      <c r="B43" s="36">
        <f>$L$38*B38+$L$39*B39+$L$40*B40+$L$41*B41+$L$42*B42</f>
        <v>1.3557412484339264</v>
      </c>
      <c r="C43" s="36">
        <f t="shared" ref="C43:K43" si="33">$L$38*C38+$L$39*C39+$L$40*C40+$L$41*C41+$L$42*C42</f>
        <v>1.4079859179083016</v>
      </c>
      <c r="D43" s="36">
        <f t="shared" si="33"/>
        <v>1.8435457174057448</v>
      </c>
      <c r="E43" s="36">
        <f t="shared" si="33"/>
        <v>1.7309696547454139</v>
      </c>
      <c r="F43" s="36">
        <f t="shared" si="33"/>
        <v>2.4081156512659287</v>
      </c>
      <c r="G43" s="36">
        <f t="shared" si="33"/>
        <v>2.1275359193498509</v>
      </c>
      <c r="H43" s="36">
        <f t="shared" si="33"/>
        <v>2.1160157962960389</v>
      </c>
      <c r="I43" s="36">
        <f t="shared" si="33"/>
        <v>2.2062895111541456</v>
      </c>
      <c r="J43" s="36">
        <f t="shared" si="33"/>
        <v>2.5039809001902276</v>
      </c>
      <c r="K43" s="36">
        <f t="shared" si="33"/>
        <v>3.4722054340578756</v>
      </c>
      <c r="L43" s="94"/>
      <c r="M43" s="95" t="str">
        <f t="shared" si="2"/>
        <v>Altman Z-Score</v>
      </c>
      <c r="N43" s="80">
        <f t="shared" si="16"/>
        <v>3.8535870716278078E-2</v>
      </c>
      <c r="O43" s="80">
        <f t="shared" si="17"/>
        <v>0.30934954246169527</v>
      </c>
      <c r="P43" s="80">
        <f t="shared" si="18"/>
        <v>-6.1064969312911346E-2</v>
      </c>
      <c r="Q43" s="80">
        <f t="shared" si="19"/>
        <v>0.39119460856181654</v>
      </c>
      <c r="R43" s="80">
        <f t="shared" si="20"/>
        <v>-0.11651422628667323</v>
      </c>
      <c r="S43" s="80">
        <f t="shared" si="21"/>
        <v>-5.4147725305302543E-3</v>
      </c>
      <c r="T43" s="80">
        <f t="shared" si="22"/>
        <v>4.2662117653434146E-2</v>
      </c>
      <c r="U43" s="80">
        <f t="shared" si="23"/>
        <v>0.13492852480649956</v>
      </c>
      <c r="V43" s="80">
        <f t="shared" si="24"/>
        <v>0.386674089165014</v>
      </c>
    </row>
    <row r="44" spans="1:22" x14ac:dyDescent="0.2">
      <c r="A44" s="89" t="s">
        <v>118</v>
      </c>
    </row>
    <row r="45" spans="1:22" ht="25.5" x14ac:dyDescent="0.2">
      <c r="A45" s="89" t="s">
        <v>119</v>
      </c>
    </row>
    <row r="46" spans="1:22" ht="25.5" x14ac:dyDescent="0.2">
      <c r="A46" s="89" t="s">
        <v>120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Profit &amp; Loss</vt:lpstr>
      <vt:lpstr>Quarters</vt:lpstr>
      <vt:lpstr>Balance Sheet</vt:lpstr>
      <vt:lpstr>Cash Flow</vt:lpstr>
      <vt:lpstr>Customization</vt:lpstr>
      <vt:lpstr>Data Sheet</vt:lpstr>
      <vt:lpstr>Calculated Data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raj</cp:lastModifiedBy>
  <cp:lastPrinted>2012-12-06T18:14:13Z</cp:lastPrinted>
  <dcterms:created xsi:type="dcterms:W3CDTF">2012-08-17T09:55:37Z</dcterms:created>
  <dcterms:modified xsi:type="dcterms:W3CDTF">2019-04-01T08:30:08Z</dcterms:modified>
</cp:coreProperties>
</file>