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ESA194916\Desktop\Invest\Page\"/>
    </mc:Choice>
  </mc:AlternateContent>
  <xr:revisionPtr revIDLastSave="0" documentId="8_{2640FF0A-4C9A-41E0-9AF1-4931F3037322}" xr6:coauthVersionLast="31" xr6:coauthVersionMax="31" xr10:uidLastSave="{00000000-0000-0000-0000-000000000000}"/>
  <bookViews>
    <workbookView xWindow="0" yWindow="0" windowWidth="20490" windowHeight="7545" xr2:uid="{CB6D5540-DFE8-4429-A030-2DAA5A694021}"/>
  </bookViews>
  <sheets>
    <sheet name="Numbers&amp;Narratives" sheetId="4" r:id="rId1"/>
  </sheets>
  <calcPr calcId="179017" iterate="1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H5" i="4"/>
  <c r="D5" i="4"/>
  <c r="B5" i="4"/>
  <c r="J4" i="4"/>
  <c r="H4" i="4"/>
  <c r="F4" i="4"/>
  <c r="D4" i="4"/>
  <c r="B4" i="4"/>
  <c r="B15" i="4" l="1"/>
  <c r="B13" i="4"/>
  <c r="B14" i="4" l="1"/>
  <c r="K17" i="4" l="1"/>
  <c r="K11" i="4"/>
  <c r="K10" i="4"/>
  <c r="K9" i="4"/>
  <c r="B16" i="4"/>
  <c r="B11" i="4"/>
  <c r="A20" i="4"/>
  <c r="A21" i="4" l="1"/>
  <c r="A22" i="4" s="1"/>
  <c r="A23" i="4" s="1"/>
  <c r="A24" i="4" s="1"/>
  <c r="A25" i="4" s="1"/>
  <c r="A26" i="4" s="1"/>
  <c r="A27" i="4" s="1"/>
  <c r="A28" i="4" s="1"/>
  <c r="A29" i="4" s="1"/>
  <c r="C17" i="4"/>
  <c r="D17" i="4"/>
  <c r="B12" i="4"/>
  <c r="X4" i="4" l="1"/>
  <c r="A30" i="4" l="1"/>
  <c r="G9" i="4"/>
  <c r="F9" i="4"/>
  <c r="E9" i="4"/>
  <c r="N48" i="4"/>
  <c r="E17" i="4" l="1"/>
  <c r="A31" i="4"/>
  <c r="A32" i="4" s="1"/>
  <c r="A33" i="4" s="1"/>
  <c r="A34" i="4" s="1"/>
  <c r="A35" i="4" s="1"/>
  <c r="A36" i="4" s="1"/>
  <c r="A37" i="4" s="1"/>
  <c r="A38" i="4" s="1"/>
  <c r="A39" i="4" s="1"/>
  <c r="F17" i="4"/>
  <c r="G17" i="4" s="1"/>
  <c r="B10" i="4"/>
  <c r="V4" i="4"/>
  <c r="V3" i="4"/>
  <c r="V2" i="4"/>
  <c r="A40" i="4" l="1"/>
  <c r="C40" i="4" l="1"/>
  <c r="E40" i="4" s="1"/>
  <c r="C20" i="4"/>
  <c r="E20" i="4" s="1"/>
  <c r="B20" i="4"/>
  <c r="C21" i="4" l="1"/>
  <c r="E21" i="4" s="1"/>
  <c r="B21" i="4"/>
  <c r="D20" i="4"/>
  <c r="F20" i="4" s="1"/>
  <c r="K20" i="4"/>
  <c r="G20" i="4"/>
  <c r="I20" i="4" s="1"/>
  <c r="G21" i="4" l="1"/>
  <c r="K21" i="4"/>
  <c r="B22" i="4"/>
  <c r="C22" i="4"/>
  <c r="E22" i="4" s="1"/>
  <c r="D21" i="4"/>
  <c r="F21" i="4" s="1"/>
  <c r="H20" i="4"/>
  <c r="L20" i="4"/>
  <c r="G22" i="4" l="1"/>
  <c r="K22" i="4"/>
  <c r="B23" i="4"/>
  <c r="C23" i="4"/>
  <c r="E23" i="4" s="1"/>
  <c r="H21" i="4"/>
  <c r="D22" i="4"/>
  <c r="F22" i="4" s="1"/>
  <c r="L21" i="4"/>
  <c r="G23" i="4" l="1"/>
  <c r="K23" i="4"/>
  <c r="B24" i="4"/>
  <c r="C24" i="4"/>
  <c r="E24" i="4" s="1"/>
  <c r="D23" i="4"/>
  <c r="F23" i="4" s="1"/>
  <c r="H22" i="4"/>
  <c r="C25" i="4"/>
  <c r="L22" i="4"/>
  <c r="G24" i="4" l="1"/>
  <c r="K24" i="4"/>
  <c r="D24" i="4"/>
  <c r="J20" i="4"/>
  <c r="I21" i="4"/>
  <c r="H23" i="4"/>
  <c r="E25" i="4"/>
  <c r="B25" i="4"/>
  <c r="L23" i="4"/>
  <c r="C26" i="4" l="1"/>
  <c r="E26" i="4" s="1"/>
  <c r="B26" i="4"/>
  <c r="F24" i="4"/>
  <c r="H24" i="4" s="1"/>
  <c r="C14" i="4" s="1"/>
  <c r="J21" i="4"/>
  <c r="I22" i="4"/>
  <c r="G25" i="4"/>
  <c r="K25" i="4"/>
  <c r="D25" i="4"/>
  <c r="F25" i="4" s="1"/>
  <c r="G26" i="4" l="1"/>
  <c r="K26" i="4"/>
  <c r="C27" i="4"/>
  <c r="E27" i="4" s="1"/>
  <c r="B27" i="4"/>
  <c r="L24" i="4"/>
  <c r="J22" i="4"/>
  <c r="I23" i="4"/>
  <c r="D26" i="4"/>
  <c r="F26" i="4" s="1"/>
  <c r="H25" i="4"/>
  <c r="L25" i="4"/>
  <c r="G27" i="4" l="1"/>
  <c r="K27" i="4"/>
  <c r="C28" i="4"/>
  <c r="E28" i="4" s="1"/>
  <c r="B28" i="4"/>
  <c r="I24" i="4"/>
  <c r="J23" i="4"/>
  <c r="H26" i="4"/>
  <c r="L26" i="4"/>
  <c r="D27" i="4"/>
  <c r="F27" i="4" s="1"/>
  <c r="G28" i="4" l="1"/>
  <c r="K28" i="4"/>
  <c r="C29" i="4"/>
  <c r="E29" i="4" s="1"/>
  <c r="B29" i="4"/>
  <c r="D28" i="4"/>
  <c r="I25" i="4"/>
  <c r="J24" i="4"/>
  <c r="C15" i="4" s="1"/>
  <c r="C30" i="4"/>
  <c r="L27" i="4"/>
  <c r="H27" i="4"/>
  <c r="G29" i="4" l="1"/>
  <c r="K29" i="4"/>
  <c r="F28" i="4"/>
  <c r="H28" i="4" s="1"/>
  <c r="J25" i="4"/>
  <c r="I26" i="4"/>
  <c r="E30" i="4"/>
  <c r="B30" i="4"/>
  <c r="D29" i="4"/>
  <c r="F29" i="4" s="1"/>
  <c r="C31" i="4" l="1"/>
  <c r="E31" i="4" s="1"/>
  <c r="B31" i="4"/>
  <c r="K31" i="4" s="1"/>
  <c r="L28" i="4"/>
  <c r="I27" i="4"/>
  <c r="J26" i="4"/>
  <c r="D30" i="4"/>
  <c r="F30" i="4" s="1"/>
  <c r="K30" i="4"/>
  <c r="H29" i="4"/>
  <c r="D14" i="4" s="1"/>
  <c r="L29" i="4"/>
  <c r="G30" i="4"/>
  <c r="J27" i="4" l="1"/>
  <c r="I28" i="4"/>
  <c r="L30" i="4"/>
  <c r="D31" i="4"/>
  <c r="F31" i="4" s="1"/>
  <c r="H30" i="4"/>
  <c r="I29" i="4" l="1"/>
  <c r="J28" i="4"/>
  <c r="J29" i="4" l="1"/>
  <c r="D15" i="4" s="1"/>
  <c r="I30" i="4"/>
  <c r="J30" i="4" l="1"/>
  <c r="B32" i="4" l="1"/>
  <c r="K32" i="4" s="1"/>
  <c r="C32" i="4"/>
  <c r="C33" i="4"/>
  <c r="C34" i="4"/>
  <c r="E34" i="4" s="1"/>
  <c r="B33" i="4" l="1"/>
  <c r="K33" i="4" s="1"/>
  <c r="D32" i="4"/>
  <c r="E33" i="4"/>
  <c r="C36" i="4"/>
  <c r="C35" i="4"/>
  <c r="E32" i="4"/>
  <c r="E35" i="4"/>
  <c r="D33" i="4" l="1"/>
  <c r="F33" i="4" s="1"/>
  <c r="B34" i="4"/>
  <c r="K34" i="4" s="1"/>
  <c r="F32" i="4"/>
  <c r="E36" i="4"/>
  <c r="B35" i="4" l="1"/>
  <c r="D35" i="4" s="1"/>
  <c r="F35" i="4" s="1"/>
  <c r="D34" i="4"/>
  <c r="F34" i="4" s="1"/>
  <c r="C37" i="4"/>
  <c r="E37" i="4"/>
  <c r="C38" i="4"/>
  <c r="E39" i="4" s="1"/>
  <c r="C39" i="4"/>
  <c r="K35" i="4" l="1"/>
  <c r="B36" i="4"/>
  <c r="B37" i="4" s="1"/>
  <c r="K37" i="4" s="1"/>
  <c r="E38" i="4"/>
  <c r="K36" i="4" l="1"/>
  <c r="B38" i="4"/>
  <c r="B39" i="4" s="1"/>
  <c r="K39" i="4" s="1"/>
  <c r="D37" i="4"/>
  <c r="F37" i="4" s="1"/>
  <c r="D36" i="4"/>
  <c r="F36" i="4" s="1"/>
  <c r="B40" i="4" l="1"/>
  <c r="K40" i="4" s="1"/>
  <c r="D39" i="4"/>
  <c r="F39" i="4" s="1"/>
  <c r="D38" i="4"/>
  <c r="F38" i="4" s="1"/>
  <c r="K38" i="4"/>
  <c r="D40" i="4" l="1"/>
  <c r="F40" i="4" s="1"/>
  <c r="G35" i="4"/>
  <c r="H35" i="4" s="1"/>
  <c r="L35" i="4" l="1"/>
  <c r="F14" i="4" l="1"/>
  <c r="F15" i="4"/>
  <c r="G36" i="4"/>
  <c r="H36" i="4"/>
  <c r="I36" i="4"/>
  <c r="J36" i="4"/>
  <c r="L36" i="4"/>
  <c r="G37" i="4"/>
  <c r="H37" i="4"/>
  <c r="I37" i="4"/>
  <c r="J37" i="4"/>
  <c r="L37" i="4"/>
  <c r="G38" i="4"/>
  <c r="H38" i="4"/>
  <c r="I38" i="4"/>
  <c r="J38" i="4"/>
  <c r="L38" i="4"/>
  <c r="G39" i="4"/>
  <c r="H39" i="4"/>
  <c r="I39" i="4"/>
  <c r="J39" i="4"/>
  <c r="L39" i="4"/>
  <c r="J35" i="4"/>
  <c r="I35" i="4"/>
  <c r="K8" i="4"/>
  <c r="G13" i="4"/>
  <c r="K13" i="4"/>
  <c r="E14" i="4"/>
  <c r="G14" i="4"/>
  <c r="K14" i="4"/>
  <c r="E15" i="4"/>
  <c r="G15" i="4"/>
  <c r="K16" i="4"/>
  <c r="G31" i="4"/>
  <c r="H31" i="4"/>
  <c r="I31" i="4"/>
  <c r="J31" i="4"/>
  <c r="L31" i="4"/>
  <c r="G32" i="4"/>
  <c r="H32" i="4"/>
  <c r="I32" i="4"/>
  <c r="J32" i="4"/>
  <c r="L32" i="4"/>
  <c r="G33" i="4"/>
  <c r="H33" i="4"/>
  <c r="I33" i="4"/>
  <c r="J33" i="4"/>
  <c r="L33" i="4"/>
  <c r="G34" i="4"/>
  <c r="H34" i="4"/>
  <c r="I34" i="4"/>
  <c r="J34" i="4"/>
  <c r="L34" i="4"/>
  <c r="G40" i="4"/>
  <c r="H40" i="4"/>
  <c r="I40" i="4"/>
  <c r="J40" i="4"/>
  <c r="L40" i="4"/>
</calcChain>
</file>

<file path=xl/sharedStrings.xml><?xml version="1.0" encoding="utf-8"?>
<sst xmlns="http://schemas.openxmlformats.org/spreadsheetml/2006/main" count="101" uniqueCount="89">
  <si>
    <t>Opportunity Cost</t>
  </si>
  <si>
    <t>Industry</t>
  </si>
  <si>
    <t>Country</t>
  </si>
  <si>
    <t>Date of Valuation</t>
  </si>
  <si>
    <t>Market Capitalization</t>
  </si>
  <si>
    <t>The Numbers</t>
  </si>
  <si>
    <t>Sales</t>
  </si>
  <si>
    <t>Previous Sales</t>
  </si>
  <si>
    <t>Operating Income</t>
  </si>
  <si>
    <t>Depreciation</t>
  </si>
  <si>
    <t>Tax Rate</t>
  </si>
  <si>
    <t>Equity</t>
  </si>
  <si>
    <t>Debt</t>
  </si>
  <si>
    <t>Cost of Debt</t>
  </si>
  <si>
    <t>Minority Interests</t>
  </si>
  <si>
    <t>Risk-free Rate</t>
  </si>
  <si>
    <t>Company Beta</t>
  </si>
  <si>
    <t>Industry Beta</t>
  </si>
  <si>
    <t>Industry D/E</t>
  </si>
  <si>
    <t>Number of Shares</t>
  </si>
  <si>
    <t>Year</t>
  </si>
  <si>
    <t>The Assumptions</t>
  </si>
  <si>
    <t>Value Drivers</t>
  </si>
  <si>
    <t>Base Year</t>
  </si>
  <si>
    <t>Years 1-5</t>
  </si>
  <si>
    <t>Years 6-10</t>
  </si>
  <si>
    <t>Sales Growth</t>
  </si>
  <si>
    <t>Operating Margin</t>
  </si>
  <si>
    <t>Return on Capital</t>
  </si>
  <si>
    <t>The Cash Flows</t>
  </si>
  <si>
    <t>Free Cash Flow</t>
  </si>
  <si>
    <t>The Value</t>
  </si>
  <si>
    <t xml:space="preserve"> (-) Value of Debt and Operating Leases</t>
  </si>
  <si>
    <t xml:space="preserve"> (+) Cash, Cash Equivalents and Non-operating Assets</t>
  </si>
  <si>
    <t>(-) Minority Interests</t>
  </si>
  <si>
    <t>Value of Equity</t>
  </si>
  <si>
    <t>Operating Profit</t>
  </si>
  <si>
    <t>Value of Equity per Share</t>
  </si>
  <si>
    <t>Capital Turnover</t>
  </si>
  <si>
    <t>Reinvestment Rate</t>
  </si>
  <si>
    <t>Invested Capital</t>
  </si>
  <si>
    <t>Non-operating Assets</t>
  </si>
  <si>
    <t>Cash</t>
  </si>
  <si>
    <t>Value of the Firm</t>
  </si>
  <si>
    <t>(-) Probability of Failure</t>
  </si>
  <si>
    <r>
      <t>"</t>
    </r>
    <r>
      <rPr>
        <b/>
        <sz val="12"/>
        <color theme="4" tint="-0.249977111117893"/>
        <rFont val="Calibri"/>
        <family val="2"/>
        <scheme val="minor"/>
      </rPr>
      <t>Numbers and Narratives</t>
    </r>
    <r>
      <rPr>
        <sz val="12"/>
        <color theme="4" tint="-0.249977111117893"/>
        <rFont val="Calibri"/>
        <family val="2"/>
        <scheme val="minor"/>
      </rPr>
      <t xml:space="preserve">" is a simple </t>
    </r>
    <r>
      <rPr>
        <b/>
        <sz val="12"/>
        <color theme="4" tint="-0.249977111117893"/>
        <rFont val="Calibri"/>
        <family val="2"/>
        <scheme val="minor"/>
      </rPr>
      <t>Discounted Cash Flow</t>
    </r>
    <r>
      <rPr>
        <sz val="12"/>
        <color theme="4" tint="-0.249977111117893"/>
        <rFont val="Calibri"/>
        <family val="2"/>
        <scheme val="minor"/>
      </rPr>
      <t xml:space="preserve"> model built and improvised by </t>
    </r>
    <r>
      <rPr>
        <b/>
        <sz val="12"/>
        <color theme="4" tint="-0.249977111117893"/>
        <rFont val="Calibri"/>
        <family val="2"/>
        <scheme val="minor"/>
      </rPr>
      <t>Dinesh Sairam</t>
    </r>
    <r>
      <rPr>
        <sz val="12"/>
        <color theme="4" tint="-0.249977111117893"/>
        <rFont val="Calibri"/>
        <family val="2"/>
        <scheme val="minor"/>
      </rPr>
      <t>,</t>
    </r>
    <r>
      <rPr>
        <b/>
        <sz val="12"/>
        <color theme="4" tint="-0.249977111117893"/>
        <rFont val="Calibri"/>
        <family val="2"/>
        <scheme val="minor"/>
      </rPr>
      <t xml:space="preserve"> </t>
    </r>
    <r>
      <rPr>
        <sz val="12"/>
        <color theme="4" tint="-0.249977111117893"/>
        <rFont val="Calibri"/>
        <family val="2"/>
        <scheme val="minor"/>
      </rPr>
      <t xml:space="preserve">inspired by </t>
    </r>
    <r>
      <rPr>
        <b/>
        <sz val="12"/>
        <color theme="4" tint="-0.249977111117893"/>
        <rFont val="Calibri"/>
        <family val="2"/>
        <scheme val="minor"/>
      </rPr>
      <t>Prof. Aswath Damodaran (Dean of Valuation, NYU Stern School of Business)</t>
    </r>
    <r>
      <rPr>
        <sz val="12"/>
        <color theme="4" tint="-0.249977111117893"/>
        <rFont val="Calibri"/>
        <family val="2"/>
        <scheme val="minor"/>
      </rPr>
      <t xml:space="preserve">. For more Valuation-related content, visit </t>
    </r>
    <r>
      <rPr>
        <b/>
        <sz val="12"/>
        <color theme="4" tint="-0.249977111117893"/>
        <rFont val="Calibri"/>
        <family val="2"/>
        <scheme val="minor"/>
      </rPr>
      <t>www.valuationinmotion.blogspot.in</t>
    </r>
    <r>
      <rPr>
        <sz val="12"/>
        <color theme="4" tint="-0.249977111117893"/>
        <rFont val="Calibri"/>
        <family val="2"/>
        <scheme val="minor"/>
      </rPr>
      <t xml:space="preserve"> or write to </t>
    </r>
    <r>
      <rPr>
        <b/>
        <sz val="12"/>
        <color theme="4" tint="-0.249977111117893"/>
        <rFont val="Calibri"/>
        <family val="2"/>
        <scheme val="minor"/>
      </rPr>
      <t xml:space="preserve">dineshssairam@gmail.com </t>
    </r>
    <r>
      <rPr>
        <sz val="12"/>
        <color theme="4" tint="-0.249977111117893"/>
        <rFont val="Calibri"/>
        <family val="2"/>
        <scheme val="minor"/>
      </rPr>
      <t>for queries.</t>
    </r>
  </si>
  <si>
    <t>Reporting Currency</t>
  </si>
  <si>
    <t>INR</t>
  </si>
  <si>
    <t>USD</t>
  </si>
  <si>
    <t>EUR</t>
  </si>
  <si>
    <t>GBP</t>
  </si>
  <si>
    <t>JPY</t>
  </si>
  <si>
    <t>Reinvestment</t>
  </si>
  <si>
    <t>Profit After Tax</t>
  </si>
  <si>
    <t>AUD</t>
  </si>
  <si>
    <t>CAD</t>
  </si>
  <si>
    <t>CHF</t>
  </si>
  <si>
    <t>CNY</t>
  </si>
  <si>
    <t>SEK</t>
  </si>
  <si>
    <t>MXN</t>
  </si>
  <si>
    <t>NZD</t>
  </si>
  <si>
    <t>SGD</t>
  </si>
  <si>
    <t>HKD</t>
  </si>
  <si>
    <t>NOK</t>
  </si>
  <si>
    <t>KRW</t>
  </si>
  <si>
    <t>TRY</t>
  </si>
  <si>
    <t>RUB</t>
  </si>
  <si>
    <t>BRL</t>
  </si>
  <si>
    <t>ZAR</t>
  </si>
  <si>
    <t>DKK</t>
  </si>
  <si>
    <t>PLN</t>
  </si>
  <si>
    <t>THB</t>
  </si>
  <si>
    <t>MYR</t>
  </si>
  <si>
    <t>BDT</t>
  </si>
  <si>
    <t>High Growth Period</t>
  </si>
  <si>
    <t>10 Years</t>
  </si>
  <si>
    <t>15 Years</t>
  </si>
  <si>
    <t>20 Years</t>
  </si>
  <si>
    <t>(-) Expected Margin of Safety</t>
  </si>
  <si>
    <t>Expected Purchase Price of Equity per Share</t>
  </si>
  <si>
    <t>Market Price of Equity per Share</t>
  </si>
  <si>
    <t>Terminal Period</t>
  </si>
  <si>
    <t>Cash Equivalents</t>
  </si>
  <si>
    <t>Indexed Returns</t>
  </si>
  <si>
    <t>Financials</t>
  </si>
  <si>
    <t>Page Industries</t>
  </si>
  <si>
    <t>Garments</t>
  </si>
  <si>
    <t>India</t>
  </si>
  <si>
    <t>2012-13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</si>
</sst>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Rs.&quot;\ #,##0.00;[Red]&quot;Rs.&quot;\ \-#,##0.00"/>
    <numFmt numFmtId="165" formatCode="[$₹-449]\ #,##0.00"/>
  </numFmts>
  <fonts count="14" x14ac:knownFonts="1">
    <font>
      <sz val="9"/>
      <name val="Geneva"/>
    </font>
    <font>
      <sz val="9"/>
      <name val="Geneva"/>
    </font>
    <font>
      <b/>
      <sz val="16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</cellStyleXfs>
  <cellXfs count="5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2" fontId="7" fillId="2" borderId="1" xfId="2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165" fontId="7" fillId="4" borderId="1" xfId="2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16" fontId="4" fillId="4" borderId="1" xfId="0" applyNumberFormat="1" applyFont="1" applyFill="1" applyBorder="1" applyAlignment="1">
      <alignment horizontal="center" vertical="center"/>
    </xf>
    <xf numFmtId="2" fontId="7" fillId="4" borderId="1" xfId="2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2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 2" xfId="4" xr:uid="{B9D1C53D-9238-4A9D-8D36-48705CCBF6CA}"/>
    <cellStyle name="Percent" xfId="2" builtinId="5"/>
    <cellStyle name="Percent 2" xfId="3" xr:uid="{B32BF9CE-E3EB-494A-8C36-521DCFAF707A}"/>
  </cellStyles>
  <dxfs count="8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.00[$৳-845]"/>
    </dxf>
    <dxf>
      <numFmt numFmtId="167" formatCode="[$RM-43E]#,##0.00"/>
    </dxf>
    <dxf>
      <numFmt numFmtId="168" formatCode="[$฿-41E]#,##0.00"/>
    </dxf>
    <dxf>
      <numFmt numFmtId="169" formatCode="#,##0.00\ [$zł-415]"/>
    </dxf>
    <dxf>
      <numFmt numFmtId="170" formatCode="#,##0.00\ [$kr.-406]"/>
    </dxf>
    <dxf>
      <numFmt numFmtId="171" formatCode="[$R-431]\ #,##0.00"/>
    </dxf>
    <dxf>
      <numFmt numFmtId="172" formatCode="[$R$-416]#,##0.00"/>
    </dxf>
    <dxf>
      <numFmt numFmtId="173" formatCode="#,##0.00\ [$₽-419]"/>
    </dxf>
    <dxf>
      <numFmt numFmtId="174" formatCode="[$₺-41F]#,##0.00"/>
    </dxf>
    <dxf>
      <numFmt numFmtId="175" formatCode="[$₩-412]#,##0.00"/>
    </dxf>
    <dxf>
      <numFmt numFmtId="176" formatCode="[$kr-103B]\ #,##0.00"/>
    </dxf>
    <dxf>
      <numFmt numFmtId="177" formatCode="[$$-3C09]#,##0.00"/>
    </dxf>
    <dxf>
      <numFmt numFmtId="178" formatCode="[$$-1004]#,##0.00"/>
    </dxf>
    <dxf>
      <numFmt numFmtId="179" formatCode="[$$-1409]#,##0.00"/>
    </dxf>
    <dxf>
      <numFmt numFmtId="180" formatCode="[$$-80A]#,##0.00"/>
    </dxf>
    <dxf>
      <numFmt numFmtId="181" formatCode="#,##0.00\ [$kr-41D]"/>
    </dxf>
    <dxf>
      <numFmt numFmtId="182" formatCode="#,##0.00\ [$CHF-100C]"/>
    </dxf>
    <dxf>
      <numFmt numFmtId="183" formatCode="[$$-1009]#,##0.00"/>
    </dxf>
    <dxf>
      <numFmt numFmtId="184" formatCode="[$$-C09]#,##0.00"/>
    </dxf>
    <dxf>
      <numFmt numFmtId="185" formatCode="[$€-1809]#,##0.00"/>
    </dxf>
    <dxf>
      <numFmt numFmtId="186" formatCode="[$¥-804]#,##0.00"/>
    </dxf>
    <dxf>
      <numFmt numFmtId="187" formatCode="[$¥-411]#,##0.00"/>
    </dxf>
    <dxf>
      <numFmt numFmtId="188" formatCode="[$£-809]#,##0.00"/>
    </dxf>
    <dxf>
      <numFmt numFmtId="189" formatCode="[$$-409]#,##0.00"/>
    </dxf>
    <dxf>
      <numFmt numFmtId="165" formatCode="[$₹-449]\ #,##0.0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.00[$৳-845]"/>
    </dxf>
    <dxf>
      <numFmt numFmtId="167" formatCode="[$RM-43E]#,##0.00"/>
    </dxf>
    <dxf>
      <numFmt numFmtId="168" formatCode="[$฿-41E]#,##0.00"/>
    </dxf>
    <dxf>
      <numFmt numFmtId="169" formatCode="#,##0.00\ [$zł-415]"/>
    </dxf>
    <dxf>
      <numFmt numFmtId="170" formatCode="#,##0.00\ [$kr.-406]"/>
    </dxf>
    <dxf>
      <numFmt numFmtId="171" formatCode="[$R-431]\ #,##0.00"/>
    </dxf>
    <dxf>
      <numFmt numFmtId="172" formatCode="[$R$-416]#,##0.00"/>
    </dxf>
    <dxf>
      <numFmt numFmtId="173" formatCode="#,##0.00\ [$₽-419]"/>
    </dxf>
    <dxf>
      <numFmt numFmtId="174" formatCode="[$₺-41F]#,##0.00"/>
    </dxf>
    <dxf>
      <numFmt numFmtId="175" formatCode="[$₩-412]#,##0.00"/>
    </dxf>
    <dxf>
      <numFmt numFmtId="176" formatCode="[$kr-103B]\ #,##0.00"/>
    </dxf>
    <dxf>
      <numFmt numFmtId="177" formatCode="[$$-3C09]#,##0.00"/>
    </dxf>
    <dxf>
      <numFmt numFmtId="178" formatCode="[$$-1004]#,##0.00"/>
    </dxf>
    <dxf>
      <numFmt numFmtId="179" formatCode="[$$-1409]#,##0.00"/>
    </dxf>
    <dxf>
      <numFmt numFmtId="180" formatCode="[$$-80A]#,##0.00"/>
    </dxf>
    <dxf>
      <numFmt numFmtId="181" formatCode="#,##0.00\ [$kr-41D]"/>
    </dxf>
    <dxf>
      <numFmt numFmtId="182" formatCode="#,##0.00\ [$CHF-100C]"/>
    </dxf>
    <dxf>
      <numFmt numFmtId="183" formatCode="[$$-1009]#,##0.00"/>
    </dxf>
    <dxf>
      <numFmt numFmtId="184" formatCode="[$$-C09]#,##0.00"/>
    </dxf>
    <dxf>
      <numFmt numFmtId="185" formatCode="[$€-1809]#,##0.00"/>
    </dxf>
    <dxf>
      <numFmt numFmtId="186" formatCode="[$¥-804]#,##0.00"/>
    </dxf>
    <dxf>
      <numFmt numFmtId="187" formatCode="[$¥-411]#,##0.00"/>
    </dxf>
    <dxf>
      <numFmt numFmtId="188" formatCode="[$£-809]#,##0.00"/>
    </dxf>
    <dxf>
      <numFmt numFmtId="189" formatCode="[$$-409]#,##0.00"/>
    </dxf>
    <dxf>
      <numFmt numFmtId="165" formatCode="[$₹-449]\ #,##0.0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66" formatCode="#,##0.00[$৳-845]"/>
    </dxf>
    <dxf>
      <numFmt numFmtId="167" formatCode="[$RM-43E]#,##0.00"/>
    </dxf>
    <dxf>
      <numFmt numFmtId="168" formatCode="[$฿-41E]#,##0.00"/>
    </dxf>
    <dxf>
      <numFmt numFmtId="169" formatCode="#,##0.00\ [$zł-415]"/>
    </dxf>
    <dxf>
      <numFmt numFmtId="170" formatCode="#,##0.00\ [$kr.-406]"/>
    </dxf>
    <dxf>
      <numFmt numFmtId="171" formatCode="[$R-431]\ #,##0.00"/>
    </dxf>
    <dxf>
      <numFmt numFmtId="172" formatCode="[$R$-416]#,##0.00"/>
    </dxf>
    <dxf>
      <numFmt numFmtId="173" formatCode="#,##0.00\ [$₽-419]"/>
    </dxf>
    <dxf>
      <numFmt numFmtId="174" formatCode="[$₺-41F]#,##0.00"/>
    </dxf>
    <dxf>
      <numFmt numFmtId="175" formatCode="[$₩-412]#,##0.00"/>
    </dxf>
    <dxf>
      <numFmt numFmtId="176" formatCode="[$kr-103B]\ #,##0.00"/>
    </dxf>
    <dxf>
      <numFmt numFmtId="177" formatCode="[$$-3C09]#,##0.00"/>
    </dxf>
    <dxf>
      <numFmt numFmtId="178" formatCode="[$$-1004]#,##0.00"/>
    </dxf>
    <dxf>
      <numFmt numFmtId="179" formatCode="[$$-1409]#,##0.00"/>
    </dxf>
    <dxf>
      <numFmt numFmtId="180" formatCode="[$$-80A]#,##0.00"/>
    </dxf>
    <dxf>
      <numFmt numFmtId="181" formatCode="#,##0.00\ [$kr-41D]"/>
    </dxf>
    <dxf>
      <numFmt numFmtId="182" formatCode="#,##0.00\ [$CHF-100C]"/>
    </dxf>
    <dxf>
      <numFmt numFmtId="183" formatCode="[$$-1009]#,##0.00"/>
    </dxf>
    <dxf>
      <numFmt numFmtId="184" formatCode="[$$-C09]#,##0.00"/>
    </dxf>
    <dxf>
      <numFmt numFmtId="185" formatCode="[$€-1809]#,##0.00"/>
    </dxf>
    <dxf>
      <numFmt numFmtId="186" formatCode="[$¥-804]#,##0.00"/>
    </dxf>
    <dxf>
      <numFmt numFmtId="187" formatCode="[$¥-411]#,##0.00"/>
    </dxf>
    <dxf>
      <numFmt numFmtId="188" formatCode="[$£-809]#,##0.00"/>
    </dxf>
    <dxf>
      <numFmt numFmtId="189" formatCode="[$$-409]#,##0.00"/>
    </dxf>
    <dxf>
      <numFmt numFmtId="165" formatCode="[$₹-449]\ #,##0.00"/>
    </dxf>
    <dxf>
      <font>
        <color rgb="FFFFC7CE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9C0006"/>
      <color rgb="FFC6EFCE"/>
      <color rgb="FF006100"/>
      <color rgb="FFFFEB9C"/>
      <color rgb="FF9C6500"/>
      <color rgb="FF9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1E4E-0FFE-4256-9D25-CCFA6E6CD73C}">
  <dimension ref="A1:Y89"/>
  <sheetViews>
    <sheetView tabSelected="1" zoomScale="80" zoomScaleNormal="80" workbookViewId="0">
      <selection sqref="A1:L1"/>
    </sheetView>
  </sheetViews>
  <sheetFormatPr defaultColWidth="20.85546875" defaultRowHeight="15.75" x14ac:dyDescent="0.2"/>
  <cols>
    <col min="1" max="1" width="20.7109375" style="19" bestFit="1" customWidth="1"/>
    <col min="2" max="2" width="11.5703125" style="19" bestFit="1" customWidth="1"/>
    <col min="3" max="3" width="18.7109375" style="19" bestFit="1" customWidth="1"/>
    <col min="4" max="4" width="17.42578125" style="19" bestFit="1" customWidth="1"/>
    <col min="5" max="5" width="20.5703125" style="19" bestFit="1" customWidth="1"/>
    <col min="6" max="6" width="16.42578125" style="19" bestFit="1" customWidth="1"/>
    <col min="7" max="7" width="22.42578125" style="19" bestFit="1" customWidth="1"/>
    <col min="8" max="8" width="20.28515625" style="19" bestFit="1" customWidth="1"/>
    <col min="9" max="10" width="18.42578125" style="19" bestFit="1" customWidth="1"/>
    <col min="11" max="11" width="22.42578125" style="19" bestFit="1" customWidth="1"/>
    <col min="12" max="12" width="16" style="19" bestFit="1" customWidth="1"/>
    <col min="13" max="21" width="20.85546875" style="19"/>
    <col min="22" max="22" width="18.140625" style="19" bestFit="1" customWidth="1"/>
    <col min="23" max="23" width="3.7109375" style="19" bestFit="1" customWidth="1"/>
    <col min="24" max="24" width="9.5703125" style="19" bestFit="1" customWidth="1"/>
    <col min="25" max="25" width="5.85546875" style="19" bestFit="1" customWidth="1"/>
    <col min="26" max="16384" width="20.85546875" style="19"/>
  </cols>
  <sheetData>
    <row r="1" spans="1:25" ht="30" customHeight="1" x14ac:dyDescent="0.2">
      <c r="A1" s="43" t="s">
        <v>85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V1" s="9" t="s">
        <v>0</v>
      </c>
      <c r="W1" s="20">
        <v>1</v>
      </c>
      <c r="X1" s="19" t="s">
        <v>75</v>
      </c>
      <c r="Y1" s="24" t="s">
        <v>48</v>
      </c>
    </row>
    <row r="2" spans="1:25" ht="24.95" customHeight="1" x14ac:dyDescent="0.2">
      <c r="A2" s="28" t="s">
        <v>1</v>
      </c>
      <c r="B2" s="1" t="s">
        <v>86</v>
      </c>
      <c r="C2" s="32" t="s">
        <v>2</v>
      </c>
      <c r="D2" s="2" t="s">
        <v>87</v>
      </c>
      <c r="E2" s="32" t="s">
        <v>46</v>
      </c>
      <c r="F2" s="7" t="s">
        <v>47</v>
      </c>
      <c r="G2" s="32" t="s">
        <v>4</v>
      </c>
      <c r="H2" s="4">
        <v>3990.19</v>
      </c>
      <c r="I2" s="28" t="s">
        <v>3</v>
      </c>
      <c r="J2" s="3">
        <v>41500</v>
      </c>
      <c r="K2" s="28" t="s">
        <v>84</v>
      </c>
      <c r="L2" s="2" t="s">
        <v>88</v>
      </c>
      <c r="V2" s="9" t="str">
        <f>C6</f>
        <v>Company Beta</v>
      </c>
      <c r="W2" s="20">
        <v>2</v>
      </c>
      <c r="X2" s="23" t="s">
        <v>76</v>
      </c>
      <c r="Y2" s="24" t="s">
        <v>49</v>
      </c>
    </row>
    <row r="3" spans="1:25" ht="30" customHeight="1" x14ac:dyDescent="0.2">
      <c r="A3" s="44" t="s">
        <v>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V3" s="9" t="str">
        <f>E6</f>
        <v>Industry Beta</v>
      </c>
      <c r="W3" s="20">
        <v>3</v>
      </c>
      <c r="X3" s="19" t="s">
        <v>77</v>
      </c>
      <c r="Y3" s="24" t="s">
        <v>51</v>
      </c>
    </row>
    <row r="4" spans="1:25" ht="24.95" customHeight="1" x14ac:dyDescent="0.2">
      <c r="A4" s="17" t="s">
        <v>6</v>
      </c>
      <c r="B4" s="4">
        <f>(8842636974-84691948)/10000000</f>
        <v>875.79450259999999</v>
      </c>
      <c r="C4" s="17" t="s">
        <v>7</v>
      </c>
      <c r="D4" s="4">
        <f>(7017651054-52102642)/10000000</f>
        <v>696.55484120000006</v>
      </c>
      <c r="E4" s="29" t="s">
        <v>8</v>
      </c>
      <c r="F4" s="4">
        <f>(1656792028+79900316)/10000000</f>
        <v>173.66923439999999</v>
      </c>
      <c r="G4" s="29" t="s">
        <v>9</v>
      </c>
      <c r="H4" s="4">
        <f>(113513532)/10000000</f>
        <v>11.3513532</v>
      </c>
      <c r="I4" s="29" t="s">
        <v>10</v>
      </c>
      <c r="J4" s="30">
        <f>(509700000+240684+21517319)/1656792028</f>
        <v>0.3207753260628316</v>
      </c>
      <c r="K4" s="29" t="s">
        <v>14</v>
      </c>
      <c r="L4" s="4">
        <v>0</v>
      </c>
      <c r="V4" s="9" t="str">
        <f>$A$6</f>
        <v>Risk-free Rate</v>
      </c>
      <c r="W4" s="20">
        <v>4</v>
      </c>
      <c r="X4" s="23" t="str">
        <f>IFERROR(IF(B9="20 Years","High",IF(B9="15 Years","Medium","Low")),"Low")</f>
        <v>Medium</v>
      </c>
      <c r="Y4" s="24" t="s">
        <v>50</v>
      </c>
    </row>
    <row r="5" spans="1:25" ht="24.95" customHeight="1" x14ac:dyDescent="0.2">
      <c r="A5" s="17" t="s">
        <v>11</v>
      </c>
      <c r="B5" s="4">
        <f>(111538740+2023612078)/10000000</f>
        <v>213.51508179999999</v>
      </c>
      <c r="C5" s="17" t="s">
        <v>12</v>
      </c>
      <c r="D5" s="4">
        <f>290524247/10000000</f>
        <v>29.0524247</v>
      </c>
      <c r="E5" s="17" t="s">
        <v>13</v>
      </c>
      <c r="F5" s="27">
        <v>0.12</v>
      </c>
      <c r="G5" s="18" t="s">
        <v>42</v>
      </c>
      <c r="H5" s="4">
        <f>(45502373)/10000000</f>
        <v>4.5502373</v>
      </c>
      <c r="I5" s="29" t="s">
        <v>82</v>
      </c>
      <c r="J5" s="4">
        <f>(10000000+111237707+18026567+4251739)/10000000</f>
        <v>14.3516013</v>
      </c>
      <c r="K5" s="29" t="s">
        <v>41</v>
      </c>
      <c r="L5" s="4">
        <v>0</v>
      </c>
      <c r="V5" s="21"/>
      <c r="W5" s="20">
        <v>5</v>
      </c>
      <c r="Y5" s="24" t="s">
        <v>54</v>
      </c>
    </row>
    <row r="6" spans="1:25" ht="24.95" customHeight="1" x14ac:dyDescent="0.2">
      <c r="A6" s="17" t="s">
        <v>15</v>
      </c>
      <c r="B6" s="27">
        <v>8.2299999999999998E-2</v>
      </c>
      <c r="C6" s="17" t="s">
        <v>16</v>
      </c>
      <c r="D6" s="5">
        <v>0.23</v>
      </c>
      <c r="E6" s="17" t="s">
        <v>17</v>
      </c>
      <c r="F6" s="5"/>
      <c r="G6" s="18" t="s">
        <v>18</v>
      </c>
      <c r="H6" s="5"/>
      <c r="I6" s="18" t="s">
        <v>83</v>
      </c>
      <c r="J6" s="27">
        <v>0.16900000000000001</v>
      </c>
      <c r="K6" s="17" t="s">
        <v>19</v>
      </c>
      <c r="L6" s="6">
        <v>1.1153873999999999</v>
      </c>
      <c r="V6" s="21"/>
      <c r="W6" s="20">
        <v>6</v>
      </c>
      <c r="Y6" s="24" t="s">
        <v>55</v>
      </c>
    </row>
    <row r="7" spans="1:25" ht="30" customHeight="1" x14ac:dyDescent="0.2">
      <c r="A7" s="34" t="s">
        <v>21</v>
      </c>
      <c r="B7" s="35"/>
      <c r="C7" s="35"/>
      <c r="D7" s="35"/>
      <c r="E7" s="35"/>
      <c r="F7" s="35"/>
      <c r="G7" s="36"/>
      <c r="H7" s="34" t="s">
        <v>31</v>
      </c>
      <c r="I7" s="35"/>
      <c r="J7" s="35"/>
      <c r="K7" s="35"/>
      <c r="L7" s="36"/>
      <c r="V7" s="21"/>
      <c r="W7" s="20">
        <v>7</v>
      </c>
      <c r="Y7" s="24" t="s">
        <v>56</v>
      </c>
    </row>
    <row r="8" spans="1:25" ht="24.95" customHeight="1" x14ac:dyDescent="0.2">
      <c r="A8" s="32" t="s">
        <v>22</v>
      </c>
      <c r="B8" s="28" t="s">
        <v>23</v>
      </c>
      <c r="C8" s="42" t="s">
        <v>74</v>
      </c>
      <c r="D8" s="42"/>
      <c r="E8" s="42"/>
      <c r="F8" s="42"/>
      <c r="G8" s="32" t="s">
        <v>81</v>
      </c>
      <c r="H8" s="37" t="s">
        <v>43</v>
      </c>
      <c r="I8" s="38"/>
      <c r="J8" s="39"/>
      <c r="K8" s="41">
        <f ca="1">IFERROR(NPV(C17,L20,L21,L22,L23,L24,L25,L26,L27,L28,L29,L30,L31,L32,L33,L34,L35,L36,L37,L38,L39)+(L40/(G17-G10))/((1+G17)^(MAX(A20:A39)+1)),"")</f>
        <v>4444.6910613198843</v>
      </c>
      <c r="L8" s="41"/>
      <c r="V8" s="21"/>
      <c r="W8" s="20">
        <v>8</v>
      </c>
      <c r="Y8" s="24" t="s">
        <v>57</v>
      </c>
    </row>
    <row r="9" spans="1:25" s="23" customFormat="1" ht="24.95" customHeight="1" x14ac:dyDescent="0.2">
      <c r="A9" s="29" t="s">
        <v>74</v>
      </c>
      <c r="B9" s="1" t="s">
        <v>76</v>
      </c>
      <c r="C9" s="15" t="s">
        <v>24</v>
      </c>
      <c r="D9" s="28" t="s">
        <v>25</v>
      </c>
      <c r="E9" s="15" t="str">
        <f>IFERROR(IF(OR($X$4="High",$X$4="Medium"),"Years 11-15",""),"")</f>
        <v>Years 11-15</v>
      </c>
      <c r="F9" s="28" t="str">
        <f>IFERROR(IF($X$4="High","Years 16-20",""),"")</f>
        <v/>
      </c>
      <c r="G9" s="28" t="str">
        <f>IFERROR(IF($X$4="Low","After Year 10",IF($X$4="Medium","After Year 15",IF($X$4="High","After Year 20"))),"")</f>
        <v>After Year 15</v>
      </c>
      <c r="H9" s="37" t="s">
        <v>32</v>
      </c>
      <c r="I9" s="38"/>
      <c r="J9" s="39"/>
      <c r="K9" s="41">
        <f>IFERROR(D5,"")</f>
        <v>29.0524247</v>
      </c>
      <c r="L9" s="41"/>
      <c r="V9" s="21"/>
      <c r="W9" s="20">
        <v>9</v>
      </c>
      <c r="Y9" s="24" t="s">
        <v>58</v>
      </c>
    </row>
    <row r="10" spans="1:25" ht="24.95" customHeight="1" x14ac:dyDescent="0.2">
      <c r="A10" s="29" t="s">
        <v>26</v>
      </c>
      <c r="B10" s="12">
        <f>IFERROR(B4/D4-1,0)</f>
        <v>0.25732311484794534</v>
      </c>
      <c r="C10" s="7">
        <v>0.25</v>
      </c>
      <c r="D10" s="7">
        <v>0.15</v>
      </c>
      <c r="E10" s="12">
        <v>0.08</v>
      </c>
      <c r="F10" s="12"/>
      <c r="G10" s="27">
        <v>0.05</v>
      </c>
      <c r="H10" s="37" t="s">
        <v>33</v>
      </c>
      <c r="I10" s="38"/>
      <c r="J10" s="39"/>
      <c r="K10" s="41">
        <f>IFERROR(H5+J5+L5,"")</f>
        <v>18.901838600000001</v>
      </c>
      <c r="L10" s="41"/>
      <c r="V10" s="21"/>
      <c r="W10" s="20">
        <v>10</v>
      </c>
      <c r="Y10" s="24" t="s">
        <v>59</v>
      </c>
    </row>
    <row r="11" spans="1:25" ht="24.95" customHeight="1" x14ac:dyDescent="0.2">
      <c r="A11" s="29" t="s">
        <v>27</v>
      </c>
      <c r="B11" s="12">
        <f>IFERROR(F4/B4,0)</f>
        <v>0.19829906888479251</v>
      </c>
      <c r="C11" s="27">
        <v>0.2</v>
      </c>
      <c r="D11" s="7">
        <v>0.18</v>
      </c>
      <c r="E11" s="11">
        <v>0.15</v>
      </c>
      <c r="F11" s="12"/>
      <c r="G11" s="27">
        <v>0.15</v>
      </c>
      <c r="H11" s="37" t="s">
        <v>34</v>
      </c>
      <c r="I11" s="38"/>
      <c r="J11" s="39"/>
      <c r="K11" s="41">
        <f>IFERROR(L4,"")</f>
        <v>0</v>
      </c>
      <c r="L11" s="41"/>
      <c r="V11" s="21"/>
      <c r="Y11" s="24" t="s">
        <v>60</v>
      </c>
    </row>
    <row r="12" spans="1:25" ht="24.95" customHeight="1" x14ac:dyDescent="0.2">
      <c r="A12" s="29" t="s">
        <v>10</v>
      </c>
      <c r="B12" s="12">
        <f>IFERROR(J4,0)</f>
        <v>0.3207753260628316</v>
      </c>
      <c r="C12" s="7">
        <v>0.32</v>
      </c>
      <c r="D12" s="7">
        <v>0.32</v>
      </c>
      <c r="E12" s="12">
        <v>0.32</v>
      </c>
      <c r="F12" s="12"/>
      <c r="G12" s="27">
        <v>0.2296</v>
      </c>
      <c r="H12" s="37" t="s">
        <v>44</v>
      </c>
      <c r="I12" s="38"/>
      <c r="J12" s="39"/>
      <c r="K12" s="51">
        <v>0.01</v>
      </c>
      <c r="L12" s="51"/>
      <c r="W12" s="20"/>
      <c r="Y12" s="24" t="s">
        <v>61</v>
      </c>
    </row>
    <row r="13" spans="1:25" s="23" customFormat="1" ht="24.95" customHeight="1" x14ac:dyDescent="0.2">
      <c r="A13" s="29" t="s">
        <v>38</v>
      </c>
      <c r="B13" s="14">
        <f>IFERROR(B4/(B5+D5-(H5+J5)),0)</f>
        <v>3.9156411926016474</v>
      </c>
      <c r="C13" s="10">
        <v>3</v>
      </c>
      <c r="D13" s="10">
        <v>3</v>
      </c>
      <c r="E13" s="14">
        <v>3</v>
      </c>
      <c r="F13" s="14"/>
      <c r="G13" s="16">
        <f ca="1">IFERROR(IF(E9="",(B40-B29)/G40,IF(F9="",(B40-B34)/G40,(B40-B39)/G40)),0)</f>
        <v>1.3565412319306418</v>
      </c>
      <c r="H13" s="37" t="s">
        <v>35</v>
      </c>
      <c r="I13" s="38"/>
      <c r="J13" s="39"/>
      <c r="K13" s="41">
        <f ca="1">IFERROR(IF(K12="","",IF(K12&gt;0,((K8-K9+K10-K11)*(1-IF(K12&gt;1,1,K12)))+((((B5-L4)*0.5)+(H5+J5+L5))*IF(K12&gt;1,1,K12)),(K8-K9+K10-K11))),"")</f>
        <v>4391.451664262685</v>
      </c>
      <c r="L13" s="41"/>
      <c r="W13" s="20"/>
      <c r="Y13" s="24" t="s">
        <v>62</v>
      </c>
    </row>
    <row r="14" spans="1:25" s="23" customFormat="1" ht="24.95" customHeight="1" x14ac:dyDescent="0.2">
      <c r="A14" s="29" t="s">
        <v>39</v>
      </c>
      <c r="B14" s="11">
        <f>IFERROR(((B4-D4)/B13)/(F4*(1-J4)),0)</f>
        <v>0.38805642862606005</v>
      </c>
      <c r="C14" s="11" t="str">
        <f>IFERROR(TEXT(H20,"0.00%")&amp;" - "&amp;TEXT(H24,"0.00%"),0)</f>
        <v>49.02% - 43.00%</v>
      </c>
      <c r="D14" s="11" t="str">
        <f>IFERROR(TEXT(H25,"0.00%")&amp;" - "&amp;TEXT(H29,"0.00%"),0)</f>
        <v>35.52% - 30.64%</v>
      </c>
      <c r="E14" s="11" t="str">
        <f ca="1">IFERROR(IF(E9="","",TEXT(H30,"0.00%")&amp;" - "&amp;TEXT(H34,"0.00%")),0)</f>
        <v>24.21% - 25.76%</v>
      </c>
      <c r="F14" s="11" t="str">
        <f>IFERROR(IF(F9="","",TEXT(H35,"0.00%")&amp;" - "&amp;TEXT(H39,"0.00%")),0)</f>
        <v/>
      </c>
      <c r="G14" s="11">
        <f ca="1">IFERROR(H40,0)</f>
        <v>0.30376670716889431</v>
      </c>
      <c r="H14" s="37" t="s">
        <v>37</v>
      </c>
      <c r="I14" s="38"/>
      <c r="J14" s="39"/>
      <c r="K14" s="41">
        <f ca="1">IFERROR(K13/L6,"")</f>
        <v>3937.1537317551602</v>
      </c>
      <c r="L14" s="41"/>
      <c r="W14" s="20"/>
      <c r="Y14" s="24" t="s">
        <v>63</v>
      </c>
    </row>
    <row r="15" spans="1:25" s="23" customFormat="1" ht="24.95" customHeight="1" x14ac:dyDescent="0.2">
      <c r="A15" s="29" t="s">
        <v>28</v>
      </c>
      <c r="B15" s="11">
        <f>IFERROR(((F4*(1-J4)))/(B5-(H5+J5)),0)</f>
        <v>0.60612745139359381</v>
      </c>
      <c r="C15" s="12" t="str">
        <f>IFERROR(TEXT(J20,"0.00%")&amp;" - "&amp;TEXT(J24,"0.00%"),0)</f>
        <v>50.19% - 42.36%</v>
      </c>
      <c r="D15" s="12" t="str">
        <f>IFERROR(TEXT(J25,"0.00%")&amp;" - "&amp;TEXT(J29,"0.00%"),0)</f>
        <v>39.65% - 35.27%</v>
      </c>
      <c r="E15" s="12" t="str">
        <f ca="1">IF(E9="","",IFERROR(TEXT(J30,"0.00%")&amp;" - "&amp;TEXT(J34,"0.00%"),0))</f>
        <v>31.95% - 31.97%</v>
      </c>
      <c r="F15" s="12" t="str">
        <f>IF(F9="","",IFERROR(TEXT(J35,"0.00%")&amp;" - "&amp;TEXT(J39,"0.00%"),0))</f>
        <v/>
      </c>
      <c r="G15" s="11">
        <f ca="1">IFERROR(J40,0)</f>
        <v>0.32173850831392015</v>
      </c>
      <c r="H15" s="37" t="s">
        <v>78</v>
      </c>
      <c r="I15" s="38"/>
      <c r="J15" s="39"/>
      <c r="K15" s="51">
        <v>0.05</v>
      </c>
      <c r="L15" s="51"/>
      <c r="W15" s="20"/>
      <c r="Y15" s="24" t="s">
        <v>64</v>
      </c>
    </row>
    <row r="16" spans="1:25" s="23" customFormat="1" ht="24.95" customHeight="1" x14ac:dyDescent="0.2">
      <c r="A16" s="29" t="s">
        <v>9</v>
      </c>
      <c r="B16" s="11">
        <f>IFERROR(H4/B4,0)</f>
        <v>1.2961206271906096E-2</v>
      </c>
      <c r="C16" s="7">
        <v>1.6199999999999999E-2</v>
      </c>
      <c r="D16" s="7">
        <v>1.6199999999999999E-2</v>
      </c>
      <c r="E16" s="12">
        <v>1.6199999999999999E-2</v>
      </c>
      <c r="F16" s="12"/>
      <c r="G16" s="7">
        <v>1.6199999999999999E-2</v>
      </c>
      <c r="H16" s="37" t="s">
        <v>79</v>
      </c>
      <c r="I16" s="38"/>
      <c r="J16" s="39"/>
      <c r="K16" s="41">
        <f ca="1">IFERROR(IF(K15&lt;0.00000000001,"",K14*(1-IF(K15&gt;1,1,K15))),"")</f>
        <v>3740.2960451674021</v>
      </c>
      <c r="L16" s="41"/>
      <c r="W16" s="20"/>
      <c r="Y16" s="24" t="s">
        <v>65</v>
      </c>
    </row>
    <row r="17" spans="1:25" s="23" customFormat="1" ht="24.95" customHeight="1" x14ac:dyDescent="0.2">
      <c r="A17" s="7" t="s">
        <v>16</v>
      </c>
      <c r="B17" s="27"/>
      <c r="C17" s="12">
        <f>IFERROR(IF(A17=A6,B6,IF(A17=C6,(((B6+(D6*(J6-B6)))*(B5/(B5+D5)))+(F5*(D5/(B5+D5)))),IF(A17=E6,(((B6+(((F6/(1+((1-J4)*H6))))*((1+((1-J4)*(D5/(B5+D5))))))*(J6-B6)))*(B5/(B5+D5)))+(F5*(D5/(B5+D5))),IF(AND(A17="Opportunity Cost",B17&gt;0),B17,B6)))),0)</f>
        <v>0.10436800380892648</v>
      </c>
      <c r="D17" s="12">
        <f>IFERROR(IF(A17=A6,B6,IF(A17=C6,(((B6+(D6*(J6-B6)))*(B5/(B5+D5)))+(F5*(D5/(B5+D5)))),IF(A17=E6,(((B6+(((F6/(1+((1-J4)*H6))))*((1+((1-J4)*(D5/(B5+D5))))))*(J6-B6)))*(B5/(B5+D5)))+(F5*(D5/(B5+D5))),IF(AND(A17="Opportunity Cost",B17&gt;0),B17,B6)))),0)</f>
        <v>0.10436800380892648</v>
      </c>
      <c r="E17" s="12">
        <f>IF(E9="","",IFERROR(IF(A17=A6,B6,IF(A17=C6,(((B6+(D6*(J6-B6)))*(B5/(B5+D5)))+(F5*(D5/(B5+D5)))),IF(A17=E6,(((B6+(((F6/(1+((1-J4)*H6))))*((1+((1-J4)*(D5/(B5+D5))))))*(J6-B6)))*(B5/(B5+D5)))+(F5*(D5/(B5+D5))),IF(AND(A17="Opportunity Cost",B17&gt;0),B17,B6)))),0))</f>
        <v>0.10436800380892648</v>
      </c>
      <c r="F17" s="12" t="str">
        <f>IF(F9="","",IFERROR(IF(A17=A6,B6,IF(A17=C6,(((B6+(D6*(J6-B6)))*(B5/(B5+D5)))+(F5*(D5/(B5+D5)))),IF(A17=E6,(((B6+(((F6/(1+((1-J4)*H6))))*((1+((1-J4)*(D5/(B5+D5))))))*(J6-B6)))*(B5/(B5+D5)))+(F5*(D5/(B5+D5))),IF(AND(A17="Opportunity Cost",B17&gt;0),B17,B6)))),0))</f>
        <v/>
      </c>
      <c r="G17" s="11">
        <f>IF(E9="",IFERROR(MIN(D17,B6*2),0),IF(F9="",IFERROR(MIN(E17,B6*2),0),IFERROR(MIN(F17,B6*2),0)))</f>
        <v>0.10436800380892648</v>
      </c>
      <c r="H17" s="37" t="s">
        <v>80</v>
      </c>
      <c r="I17" s="38"/>
      <c r="J17" s="39"/>
      <c r="K17" s="50">
        <f>IFERROR(H2/L6,"")</f>
        <v>3577.4027929668205</v>
      </c>
      <c r="L17" s="50"/>
      <c r="W17" s="20"/>
      <c r="Y17" s="24" t="s">
        <v>47</v>
      </c>
    </row>
    <row r="18" spans="1:25" ht="30" hidden="1" customHeight="1" x14ac:dyDescent="0.2">
      <c r="A18" s="40" t="s">
        <v>29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W18" s="20"/>
      <c r="Y18" s="24" t="s">
        <v>66</v>
      </c>
    </row>
    <row r="19" spans="1:25" ht="24.95" hidden="1" customHeight="1" x14ac:dyDescent="0.2">
      <c r="A19" s="28" t="s">
        <v>20</v>
      </c>
      <c r="B19" s="28" t="s">
        <v>6</v>
      </c>
      <c r="C19" s="28" t="s">
        <v>27</v>
      </c>
      <c r="D19" s="28" t="s">
        <v>36</v>
      </c>
      <c r="E19" s="28" t="s">
        <v>10</v>
      </c>
      <c r="F19" s="28" t="s">
        <v>53</v>
      </c>
      <c r="G19" s="28" t="s">
        <v>52</v>
      </c>
      <c r="H19" s="28" t="s">
        <v>39</v>
      </c>
      <c r="I19" s="28" t="s">
        <v>40</v>
      </c>
      <c r="J19" s="28" t="s">
        <v>28</v>
      </c>
      <c r="K19" s="32" t="s">
        <v>9</v>
      </c>
      <c r="L19" s="28" t="s">
        <v>30</v>
      </c>
      <c r="W19" s="20"/>
      <c r="Y19" s="24" t="s">
        <v>67</v>
      </c>
    </row>
    <row r="20" spans="1:25" ht="24.95" hidden="1" customHeight="1" x14ac:dyDescent="0.2">
      <c r="A20" s="29">
        <f>IFERROR(IF(A1="","",1),"")</f>
        <v>1</v>
      </c>
      <c r="B20" s="31">
        <f>IFERROR(IF(A20="","",B4*(1+$C$10)),"")</f>
        <v>1094.7431282499999</v>
      </c>
      <c r="C20" s="11">
        <f>IFERROR(IF(A20="","",$C$11),"")</f>
        <v>0.2</v>
      </c>
      <c r="D20" s="31">
        <f>IFERROR(IF(A20="","",B20*C20),"")</f>
        <v>218.94862565</v>
      </c>
      <c r="E20" s="12">
        <f>IFERROR(IF(A20="","",IF(C20&gt;0,$C$12,0)),"")</f>
        <v>0.32</v>
      </c>
      <c r="F20" s="31">
        <f>IFERROR(IF(A20="","",D20*(1-E20)),"")</f>
        <v>148.88506544199998</v>
      </c>
      <c r="G20" s="31">
        <f>IFERROR((B20-B4)/$C$13,"")</f>
        <v>72.982875216666642</v>
      </c>
      <c r="H20" s="11">
        <f>IFERROR(G20/F20,"")</f>
        <v>0.49019607843137242</v>
      </c>
      <c r="I20" s="13">
        <f>IFERROR($B$5+$D$5-($H$5+$J$5)+G20,"")</f>
        <v>296.64854311666664</v>
      </c>
      <c r="J20" s="12">
        <f>IFERROR(F20/I20,"")</f>
        <v>0.50189043194945382</v>
      </c>
      <c r="K20" s="31">
        <f>IFERROR(B20*$C$16,"")</f>
        <v>17.734838677649996</v>
      </c>
      <c r="L20" s="31">
        <f>IFERROR(F20-G20+K20,"")</f>
        <v>93.637028902983332</v>
      </c>
      <c r="W20" s="20"/>
      <c r="Y20" s="24" t="s">
        <v>68</v>
      </c>
    </row>
    <row r="21" spans="1:25" ht="24.95" hidden="1" customHeight="1" x14ac:dyDescent="0.2">
      <c r="A21" s="29">
        <f>IFERROR(IF(A1="","",A20+1),"")</f>
        <v>2</v>
      </c>
      <c r="B21" s="31">
        <f>IFERROR(IF(A21="","",B20*(1+($C$10-(($C$10-$D$10)/(7-A21))))),"")</f>
        <v>1346.5340477474999</v>
      </c>
      <c r="C21" s="11">
        <f>IFERROR(IF(A21="","",$C$11-(($C$11-$D$11)/(7-A21))),"")</f>
        <v>0.19600000000000001</v>
      </c>
      <c r="D21" s="31">
        <f t="shared" ref="D21:D29" si="0">IFERROR(IF(A21="","",B21*C21),"")</f>
        <v>263.92067335850999</v>
      </c>
      <c r="E21" s="12">
        <f>IFERROR(IF(A21="","",IF(C21&gt;0,$C$12-(($C$12-$D$12)/(7-A21)),0)),"")</f>
        <v>0.32</v>
      </c>
      <c r="F21" s="31">
        <f t="shared" ref="F21:F29" si="1">IFERROR(IF(A21="","",D21*(1-E21)),"")</f>
        <v>179.46605788378679</v>
      </c>
      <c r="G21" s="31">
        <f>IFERROR((B21-B20)/($C$13-(($C$13-$D$13)/(7-A21))),"")</f>
        <v>83.930306499166662</v>
      </c>
      <c r="H21" s="11">
        <f t="shared" ref="H21:H29" si="2">IFERROR(G21/F21,"")</f>
        <v>0.46766674149334531</v>
      </c>
      <c r="I21" s="13">
        <f>IFERROR(I20+G21,"")</f>
        <v>380.57884961583329</v>
      </c>
      <c r="J21" s="12">
        <f t="shared" ref="J21:J29" si="3">IFERROR(F21/I21,"")</f>
        <v>0.47156077660370443</v>
      </c>
      <c r="K21" s="31">
        <f>IFERROR(B21*($C$16-(($C$16-$D$16)/(7-A21))),"")</f>
        <v>21.813851573509499</v>
      </c>
      <c r="L21" s="31">
        <f t="shared" ref="L21:L29" si="4">IFERROR(F21-G21+K21,"")</f>
        <v>117.34960295812962</v>
      </c>
      <c r="W21" s="20"/>
      <c r="Y21" s="24" t="s">
        <v>69</v>
      </c>
    </row>
    <row r="22" spans="1:25" ht="24.95" hidden="1" customHeight="1" x14ac:dyDescent="0.2">
      <c r="A22" s="29">
        <f t="shared" ref="A22:A29" si="5">IFERROR(IF(A2="","",A21+1),"")</f>
        <v>3</v>
      </c>
      <c r="B22" s="31">
        <f t="shared" ref="B22:B24" si="6">IFERROR(IF(A22="","",B21*(1+($C$10-(($C$10-$D$10)/(7-A22))))),"")</f>
        <v>1649.5042084906875</v>
      </c>
      <c r="C22" s="11">
        <f t="shared" ref="C22:C24" si="7">IFERROR(IF(A22="","",$C$11-(($C$11-$D$11)/(7-A22))),"")</f>
        <v>0.19500000000000001</v>
      </c>
      <c r="D22" s="31">
        <f t="shared" si="0"/>
        <v>321.65332065568407</v>
      </c>
      <c r="E22" s="12">
        <f t="shared" ref="E22:E24" si="8">IFERROR(IF(A22="","",IF(C22&gt;0,$C$12-(($C$12-$D$12)/(7-A22)),0)),"")</f>
        <v>0.32</v>
      </c>
      <c r="F22" s="31">
        <f t="shared" si="1"/>
        <v>218.72425804586516</v>
      </c>
      <c r="G22" s="31">
        <f t="shared" ref="G22:G24" si="9">IFERROR((B22-B21)/($C$13-(($C$13-$D$13)/(7-A22))),"")</f>
        <v>100.99005358106251</v>
      </c>
      <c r="H22" s="11">
        <f t="shared" si="2"/>
        <v>0.46172315079878112</v>
      </c>
      <c r="I22" s="13">
        <f t="shared" ref="I22:I29" si="10">IFERROR(I21+G22,"")</f>
        <v>481.5689031968958</v>
      </c>
      <c r="J22" s="12">
        <f t="shared" si="3"/>
        <v>0.45419099238730715</v>
      </c>
      <c r="K22" s="31">
        <f t="shared" ref="K22:K24" si="11">IFERROR(B22*($C$16-(($C$16-$D$16)/(7-A22))),"")</f>
        <v>26.721968177549137</v>
      </c>
      <c r="L22" s="31">
        <f t="shared" si="4"/>
        <v>144.45617264235179</v>
      </c>
      <c r="W22" s="20"/>
      <c r="Y22" s="24" t="s">
        <v>70</v>
      </c>
    </row>
    <row r="23" spans="1:25" ht="24.95" hidden="1" customHeight="1" x14ac:dyDescent="0.2">
      <c r="A23" s="29">
        <f t="shared" si="5"/>
        <v>4</v>
      </c>
      <c r="B23" s="31">
        <f t="shared" si="6"/>
        <v>2006.8967869970033</v>
      </c>
      <c r="C23" s="11">
        <f t="shared" si="7"/>
        <v>0.19333333333333333</v>
      </c>
      <c r="D23" s="31">
        <f t="shared" si="0"/>
        <v>388.00004548608729</v>
      </c>
      <c r="E23" s="12">
        <f t="shared" si="8"/>
        <v>0.32</v>
      </c>
      <c r="F23" s="31">
        <f t="shared" si="1"/>
        <v>263.84003093053934</v>
      </c>
      <c r="G23" s="31">
        <f t="shared" si="9"/>
        <v>119.1308595021053</v>
      </c>
      <c r="H23" s="11">
        <f t="shared" si="2"/>
        <v>0.45152685542804777</v>
      </c>
      <c r="I23" s="13">
        <f t="shared" si="10"/>
        <v>600.6997626990011</v>
      </c>
      <c r="J23" s="12">
        <f t="shared" si="3"/>
        <v>0.43922113394065782</v>
      </c>
      <c r="K23" s="31">
        <f t="shared" si="11"/>
        <v>32.511727949351453</v>
      </c>
      <c r="L23" s="31">
        <f t="shared" si="4"/>
        <v>177.22089937778549</v>
      </c>
      <c r="W23" s="20"/>
      <c r="Y23" s="24" t="s">
        <v>73</v>
      </c>
    </row>
    <row r="24" spans="1:25" ht="24.95" hidden="1" customHeight="1" x14ac:dyDescent="0.2">
      <c r="A24" s="29">
        <f t="shared" si="5"/>
        <v>5</v>
      </c>
      <c r="B24" s="31">
        <f t="shared" si="6"/>
        <v>2408.2761443964041</v>
      </c>
      <c r="C24" s="11">
        <f t="shared" si="7"/>
        <v>0.19</v>
      </c>
      <c r="D24" s="31">
        <f t="shared" si="0"/>
        <v>457.57246743531681</v>
      </c>
      <c r="E24" s="12">
        <f t="shared" si="8"/>
        <v>0.32</v>
      </c>
      <c r="F24" s="31">
        <f t="shared" si="1"/>
        <v>311.14927785601537</v>
      </c>
      <c r="G24" s="31">
        <f t="shared" si="9"/>
        <v>133.79311913313359</v>
      </c>
      <c r="H24" s="11">
        <f t="shared" si="2"/>
        <v>0.4299965600275199</v>
      </c>
      <c r="I24" s="13">
        <f t="shared" si="10"/>
        <v>734.49288183213469</v>
      </c>
      <c r="J24" s="12">
        <f t="shared" si="3"/>
        <v>0.42362463347483775</v>
      </c>
      <c r="K24" s="31">
        <f t="shared" si="11"/>
        <v>39.014073539221748</v>
      </c>
      <c r="L24" s="31">
        <f t="shared" si="4"/>
        <v>216.37023226210354</v>
      </c>
      <c r="Y24" s="24" t="s">
        <v>71</v>
      </c>
    </row>
    <row r="25" spans="1:25" ht="24.95" hidden="1" customHeight="1" x14ac:dyDescent="0.2">
      <c r="A25" s="29">
        <f t="shared" si="5"/>
        <v>6</v>
      </c>
      <c r="B25" s="31">
        <f>IFERROR(IF(A25="","",B24*(1+$D$10)),"")</f>
        <v>2769.5175660558643</v>
      </c>
      <c r="C25" s="11">
        <f>IFERROR(IF(A25="","",$D$11),"")</f>
        <v>0.18</v>
      </c>
      <c r="D25" s="31">
        <f t="shared" si="0"/>
        <v>498.51316189005558</v>
      </c>
      <c r="E25" s="12">
        <f>IFERROR(IF(A25="","",IF(C25&gt;0,$D$12,0)),"")</f>
        <v>0.32</v>
      </c>
      <c r="F25" s="31">
        <f t="shared" si="1"/>
        <v>338.98895008523778</v>
      </c>
      <c r="G25" s="31">
        <f>IFERROR((B25-B24)/$D$13,"")</f>
        <v>120.41380721982007</v>
      </c>
      <c r="H25" s="11">
        <f t="shared" si="2"/>
        <v>0.35521454958795079</v>
      </c>
      <c r="I25" s="13">
        <f t="shared" si="10"/>
        <v>854.9066890519548</v>
      </c>
      <c r="J25" s="12">
        <f t="shared" si="3"/>
        <v>0.3965215788183365</v>
      </c>
      <c r="K25" s="31">
        <f>IFERROR(B25*$D$16,"")</f>
        <v>44.866184570104998</v>
      </c>
      <c r="L25" s="31">
        <f t="shared" si="4"/>
        <v>263.44132743552274</v>
      </c>
      <c r="Y25" s="24" t="s">
        <v>72</v>
      </c>
    </row>
    <row r="26" spans="1:25" s="26" customFormat="1" ht="24.95" hidden="1" customHeight="1" x14ac:dyDescent="0.2">
      <c r="A26" s="29">
        <f t="shared" si="5"/>
        <v>7</v>
      </c>
      <c r="B26" s="31">
        <f>IFERROR(IF(A26="","",B25*(1+($D$10-(($D$10-$E$10)/(12-A26))))),"")</f>
        <v>3146.1719550394623</v>
      </c>
      <c r="C26" s="11">
        <f>IFERROR(IF(A26="","",$D$11-(($D$11-$E$11)/(12-A26))),"")</f>
        <v>0.17399999999999999</v>
      </c>
      <c r="D26" s="31">
        <f t="shared" si="0"/>
        <v>547.43392017686642</v>
      </c>
      <c r="E26" s="12">
        <f>IFERROR(IF(A26="","",IF(C26&gt;0,$D$12-(($D$12-$E$12)/(12-A26)),0)),"")</f>
        <v>0.32</v>
      </c>
      <c r="F26" s="31">
        <f t="shared" si="1"/>
        <v>372.25506572026916</v>
      </c>
      <c r="G26" s="31">
        <f>IFERROR((B26-B25)/($D$13-(($D$13-$E$13)/(12-A26))),"")</f>
        <v>125.55146299453266</v>
      </c>
      <c r="H26" s="11">
        <f t="shared" si="2"/>
        <v>0.33727267821488349</v>
      </c>
      <c r="I26" s="13">
        <f t="shared" si="10"/>
        <v>980.4581520464875</v>
      </c>
      <c r="J26" s="12">
        <f t="shared" si="3"/>
        <v>0.37967460920516577</v>
      </c>
      <c r="K26" s="31">
        <f>IFERROR(B26*($D$16-(($D$16-$E$16)/(12-A26))),"")</f>
        <v>50.967985671639283</v>
      </c>
      <c r="L26" s="31">
        <f t="shared" si="4"/>
        <v>297.67158839737579</v>
      </c>
    </row>
    <row r="27" spans="1:25" ht="24.95" hidden="1" customHeight="1" x14ac:dyDescent="0.2">
      <c r="A27" s="29">
        <f t="shared" si="5"/>
        <v>8</v>
      </c>
      <c r="B27" s="31">
        <f t="shared" ref="B27:B29" si="12">IFERROR(IF(A27="","",B26*(1+($D$10-(($D$10-$E$10)/(12-A27))))),"")</f>
        <v>3563.0397390821913</v>
      </c>
      <c r="C27" s="11">
        <f t="shared" ref="C27:C29" si="13">IFERROR(IF(A27="","",$D$11-(($D$11-$E$11)/(12-A27))),"")</f>
        <v>0.17249999999999999</v>
      </c>
      <c r="D27" s="31">
        <f t="shared" si="0"/>
        <v>614.62435499167793</v>
      </c>
      <c r="E27" s="12">
        <f t="shared" ref="E27:E29" si="14">IFERROR(IF(A27="","",IF(C27&gt;0,$D$12-(($D$12-$E$12)/(12-A27)),0)),"")</f>
        <v>0.32</v>
      </c>
      <c r="F27" s="31">
        <f t="shared" si="1"/>
        <v>417.94456139434095</v>
      </c>
      <c r="G27" s="31">
        <f t="shared" ref="G27:G29" si="15">IFERROR((B27-B26)/($D$13-(($D$13-$E$13)/(12-A27))),"")</f>
        <v>138.955928014243</v>
      </c>
      <c r="H27" s="11">
        <f t="shared" si="2"/>
        <v>0.332474545309694</v>
      </c>
      <c r="I27" s="13">
        <f t="shared" si="10"/>
        <v>1119.4140800607306</v>
      </c>
      <c r="J27" s="12">
        <f t="shared" si="3"/>
        <v>0.37336010761242755</v>
      </c>
      <c r="K27" s="31">
        <f t="shared" ref="K27:K29" si="16">IFERROR(B27*($D$16-(($D$16-$E$16)/(12-A27))),"")</f>
        <v>57.721243773131498</v>
      </c>
      <c r="L27" s="31">
        <f t="shared" si="4"/>
        <v>336.70987715322946</v>
      </c>
    </row>
    <row r="28" spans="1:25" ht="24.95" hidden="1" customHeight="1" x14ac:dyDescent="0.2">
      <c r="A28" s="29">
        <f t="shared" si="5"/>
        <v>9</v>
      </c>
      <c r="B28" s="31">
        <f t="shared" si="12"/>
        <v>4014.3581060326023</v>
      </c>
      <c r="C28" s="11">
        <f t="shared" si="13"/>
        <v>0.16999999999999998</v>
      </c>
      <c r="D28" s="31">
        <f t="shared" si="0"/>
        <v>682.44087802554236</v>
      </c>
      <c r="E28" s="12">
        <f t="shared" si="14"/>
        <v>0.32</v>
      </c>
      <c r="F28" s="31">
        <f t="shared" si="1"/>
        <v>464.05979705736877</v>
      </c>
      <c r="G28" s="31">
        <f t="shared" si="15"/>
        <v>150.43945565013701</v>
      </c>
      <c r="H28" s="11">
        <f t="shared" si="2"/>
        <v>0.32418118657139167</v>
      </c>
      <c r="I28" s="13">
        <f t="shared" si="10"/>
        <v>1269.8535357108676</v>
      </c>
      <c r="J28" s="12">
        <f t="shared" si="3"/>
        <v>0.36544356022727204</v>
      </c>
      <c r="K28" s="31">
        <f t="shared" si="16"/>
        <v>65.032601317728151</v>
      </c>
      <c r="L28" s="31">
        <f t="shared" si="4"/>
        <v>378.65294272495993</v>
      </c>
    </row>
    <row r="29" spans="1:25" ht="24.95" hidden="1" customHeight="1" x14ac:dyDescent="0.2">
      <c r="A29" s="29">
        <f t="shared" si="5"/>
        <v>10</v>
      </c>
      <c r="B29" s="31">
        <f t="shared" si="12"/>
        <v>4476.0092882263516</v>
      </c>
      <c r="C29" s="11">
        <f t="shared" si="13"/>
        <v>0.16499999999999998</v>
      </c>
      <c r="D29" s="31">
        <f t="shared" si="0"/>
        <v>738.54153255734798</v>
      </c>
      <c r="E29" s="12">
        <f t="shared" si="14"/>
        <v>0.32</v>
      </c>
      <c r="F29" s="31">
        <f t="shared" si="1"/>
        <v>502.20824213899658</v>
      </c>
      <c r="G29" s="31">
        <f t="shared" si="15"/>
        <v>153.88372739791643</v>
      </c>
      <c r="H29" s="11">
        <f t="shared" si="2"/>
        <v>0.30641418138120863</v>
      </c>
      <c r="I29" s="13">
        <f t="shared" si="10"/>
        <v>1423.737263108784</v>
      </c>
      <c r="J29" s="12">
        <f t="shared" si="3"/>
        <v>0.3527394099683856</v>
      </c>
      <c r="K29" s="31">
        <f t="shared" si="16"/>
        <v>72.511350469266887</v>
      </c>
      <c r="L29" s="31">
        <f t="shared" si="4"/>
        <v>420.83586521034704</v>
      </c>
    </row>
    <row r="30" spans="1:25" ht="24.95" hidden="1" customHeight="1" x14ac:dyDescent="0.2">
      <c r="A30" s="29">
        <f>IFERROR(IF(AND(OR($X$4="High",$X$4="Medium"),$E$10&gt;0,$E$11&gt;0,$E$12&gt;0,$E$16&gt;0),A29+1,""),"")</f>
        <v>11</v>
      </c>
      <c r="B30" s="31">
        <f>IFERROR(IF(A30="","",B29*(1+$E$10)),"")</f>
        <v>4834.0900312844597</v>
      </c>
      <c r="C30" s="11">
        <f>IFERROR(IF(A30="","",$E$11),0)</f>
        <v>0.15</v>
      </c>
      <c r="D30" s="31">
        <f t="shared" ref="D30:D39" si="17">IFERROR(IF(A30="","",B30*C30),"")</f>
        <v>725.11350469266893</v>
      </c>
      <c r="E30" s="12">
        <f>IFERROR(IF(A30="","",IF(C30&gt;0,$E$12,0)),"")</f>
        <v>0.32</v>
      </c>
      <c r="F30" s="31">
        <f t="shared" ref="F30:F39" si="18">IFERROR(IF(A30="","",D30*(1-E30)),"")</f>
        <v>493.0771831910148</v>
      </c>
      <c r="G30" s="31">
        <f>IFERROR(IF(A30="","",(B30-B29)/$E$13),0)</f>
        <v>119.36024768603602</v>
      </c>
      <c r="H30" s="11">
        <f t="shared" ref="H30:H39" si="19">IF(A30="","",G30/F30)</f>
        <v>0.24207213749697409</v>
      </c>
      <c r="I30" s="13">
        <f>IFERROR(IF(A30="","",I29+G30),"")</f>
        <v>1543.09751079482</v>
      </c>
      <c r="J30" s="12">
        <f>IF(A30="","",IFERROR(F30/I30,J29))</f>
        <v>0.31953728117741581</v>
      </c>
      <c r="K30" s="31">
        <f>IFERROR(IF(A30="","",B30*$E$16),"")</f>
        <v>78.312258506808249</v>
      </c>
      <c r="L30" s="31">
        <f t="shared" ref="L30:L39" si="20">IFERROR(IF(A30="","",F30-G30+K30),"")</f>
        <v>452.02919401178701</v>
      </c>
    </row>
    <row r="31" spans="1:25" ht="24.95" hidden="1" customHeight="1" x14ac:dyDescent="0.2">
      <c r="A31" s="29">
        <f t="shared" ref="A31:A34" si="21">IFERROR(IF(AND(OR($X$4="High",$X$4="Medium"),$E$10&gt;0,$E$11&gt;0,$E$12&gt;0,$E$16&gt;0),A30+1,""),"")</f>
        <v>12</v>
      </c>
      <c r="B31" s="31">
        <f>IFERROR(IF(A31="","",B30*(1+($E$10-(($E$10-IF($F$9="",$G$10,$F$10))/(17-A31))))),"")</f>
        <v>5191.8126935995097</v>
      </c>
      <c r="C31" s="11">
        <f>IFERROR(IF(A31="","",$E$11-(($E$11-IF($F$9="",$G$11,$F$11))/(17-A31))),0)</f>
        <v>0.15</v>
      </c>
      <c r="D31" s="31">
        <f t="shared" si="17"/>
        <v>778.77190403992643</v>
      </c>
      <c r="E31" s="12">
        <f>IFERROR(IF(A31="","",IF(C31&gt;0,$E$12-(($E$12-IF($F$9="",$G$12,$F$12))/(17-A31)),0)),"")</f>
        <v>0.30192000000000002</v>
      </c>
      <c r="F31" s="31">
        <f t="shared" si="18"/>
        <v>543.64509077219191</v>
      </c>
      <c r="G31" s="31">
        <f ca="1">IFERROR(IF(A31="","",(B31-B30)/($E$13-(($E$13-IF($F$9="",$G$13,$F$13))/(17-A31)))),0)</f>
        <v>133.91291057443263</v>
      </c>
      <c r="H31" s="11">
        <f t="shared" ca="1" si="19"/>
        <v>0.24632414206890588</v>
      </c>
      <c r="I31" s="13">
        <f t="shared" ref="I31:I39" ca="1" si="22">IFERROR(IF(A31="","",I30+G31),"")</f>
        <v>1677.0104213692525</v>
      </c>
      <c r="J31" s="12">
        <f t="shared" ref="J31:J39" ca="1" si="23">IF(A31="","",IFERROR(F31/I31,J30))</f>
        <v>0.32417514157623079</v>
      </c>
      <c r="K31" s="31">
        <f>IFERROR(IF(A31="","",B31*($E$16-(($E$16-IF($F$9="",$G$16,$F$16))/(17-A31)))),"")</f>
        <v>84.107365636312053</v>
      </c>
      <c r="L31" s="31">
        <f t="shared" ca="1" si="20"/>
        <v>493.83954583407132</v>
      </c>
    </row>
    <row r="32" spans="1:25" ht="24.95" hidden="1" customHeight="1" x14ac:dyDescent="0.2">
      <c r="A32" s="29">
        <f t="shared" si="21"/>
        <v>13</v>
      </c>
      <c r="B32" s="31">
        <f>IFERROR(IF(A32="","",B31*(1+($E$10-(($E$10-IF($F$9="",$G$10,$F$10))/(17-A32))))),"")</f>
        <v>5568.2191138854741</v>
      </c>
      <c r="C32" s="11">
        <f>IFERROR(IF(A32="","",$E$11-(($E$11-IF($F$9="",$G$11,$F$11))/(17-A32))),0)</f>
        <v>0.15</v>
      </c>
      <c r="D32" s="31">
        <f t="shared" si="17"/>
        <v>835.23286708282114</v>
      </c>
      <c r="E32" s="12">
        <f>IFERROR(IF(A32="","",IF(C32&gt;0,$E$12-(($E$12-IF($F$9="",$G$12,$F$12))/(17-A32)),0)),"")</f>
        <v>0.2974</v>
      </c>
      <c r="F32" s="31">
        <f t="shared" si="18"/>
        <v>586.83461241239013</v>
      </c>
      <c r="G32" s="31">
        <f ca="1">IFERROR(IF(A32="","",(B32-B31)/($E$13-(($E$13-IF($F$9="",$G$13,$F$13))/(17-A32)))),0)</f>
        <v>145.37920020072016</v>
      </c>
      <c r="H32" s="11">
        <f t="shared" ca="1" si="19"/>
        <v>0.2477345356353263</v>
      </c>
      <c r="I32" s="13">
        <f t="shared" ca="1" si="22"/>
        <v>1822.3896215699726</v>
      </c>
      <c r="J32" s="12">
        <f t="shared" ca="1" si="23"/>
        <v>0.32201380290282672</v>
      </c>
      <c r="K32" s="31">
        <f>IFERROR(IF(A32="","",B32*($E$16-(($E$16-IF($F$9="",$G$16,$F$16))/(17-A32)))),"")</f>
        <v>90.205149644944683</v>
      </c>
      <c r="L32" s="31">
        <f t="shared" ca="1" si="20"/>
        <v>531.66056185661466</v>
      </c>
    </row>
    <row r="33" spans="1:14" ht="24.95" hidden="1" customHeight="1" x14ac:dyDescent="0.2">
      <c r="A33" s="29">
        <f t="shared" si="21"/>
        <v>14</v>
      </c>
      <c r="B33" s="31">
        <f>IFERROR(IF(A33="","",B32*(1+($E$10-(($E$10-IF($F$9="",$G$10,$F$10))/(17-A33))))),"")</f>
        <v>5957.9944518574575</v>
      </c>
      <c r="C33" s="11">
        <f>IFERROR(IF(A33="","",$E$11-(($E$11-IF($F$9="",$G$11,$F$11))/(17-A33))),0)</f>
        <v>0.15</v>
      </c>
      <c r="D33" s="31">
        <f t="shared" si="17"/>
        <v>893.69916777861863</v>
      </c>
      <c r="E33" s="12">
        <f>IFERROR(IF(A33="","",IF(C33&gt;0,$E$12-(($E$12-IF($F$9="",$G$12,$F$12))/(17-A33)),0)),"")</f>
        <v>0.28986666666666666</v>
      </c>
      <c r="F33" s="31">
        <f t="shared" si="18"/>
        <v>634.64556901185631</v>
      </c>
      <c r="G33" s="31">
        <f ca="1">IFERROR(IF(A33="","",(B33-B32)/($E$13-(($E$13-IF($F$9="",$G$13,$F$13))/(17-A33)))),0)</f>
        <v>158.9505145217644</v>
      </c>
      <c r="H33" s="11">
        <f t="shared" ca="1" si="19"/>
        <v>0.25045556493721449</v>
      </c>
      <c r="I33" s="13">
        <f t="shared" ca="1" si="22"/>
        <v>1981.3401360917371</v>
      </c>
      <c r="J33" s="12">
        <f t="shared" ca="1" si="23"/>
        <v>0.32031126682958988</v>
      </c>
      <c r="K33" s="31">
        <f>IFERROR(IF(A33="","",B33*($E$16-(($E$16-IF($F$9="",$G$16,$F$16))/(17-A33)))),"")</f>
        <v>96.5195101200908</v>
      </c>
      <c r="L33" s="31">
        <f t="shared" ca="1" si="20"/>
        <v>572.21456461018272</v>
      </c>
    </row>
    <row r="34" spans="1:14" ht="24.95" hidden="1" customHeight="1" x14ac:dyDescent="0.2">
      <c r="A34" s="29">
        <f t="shared" si="21"/>
        <v>15</v>
      </c>
      <c r="B34" s="31">
        <f>IFERROR(IF(A34="","",B33*(1+($E$10-(($E$10-IF($F$9="",$G$10,$F$10))/(17-A34))))),"")</f>
        <v>6345.2640912281922</v>
      </c>
      <c r="C34" s="11">
        <f>IFERROR(IF(A34="","",$E$11-(($E$11-IF($F$9="",$G$11,$F$11))/(17-A34))),0)</f>
        <v>0.15</v>
      </c>
      <c r="D34" s="31">
        <f t="shared" si="17"/>
        <v>951.78961368422881</v>
      </c>
      <c r="E34" s="12">
        <f>IFERROR(IF(A34="","",IF(C34&gt;0,$E$12-(($E$12-IF($F$9="",$G$12,$F$12))/(17-A34)),0)),"")</f>
        <v>0.27479999999999999</v>
      </c>
      <c r="F34" s="31">
        <f t="shared" si="18"/>
        <v>690.23782784380285</v>
      </c>
      <c r="G34" s="31">
        <f ca="1">IFERROR(IF(A34="","",(B34-B33)/($E$13-(($E$13-IF($F$9="",$G$13,$F$13))/(17-A34)))),0)</f>
        <v>177.78766170387536</v>
      </c>
      <c r="H34" s="11">
        <f t="shared" ca="1" si="19"/>
        <v>0.25757449756014789</v>
      </c>
      <c r="I34" s="13">
        <f t="shared" ca="1" si="22"/>
        <v>2159.1277977956124</v>
      </c>
      <c r="J34" s="12">
        <f t="shared" ca="1" si="23"/>
        <v>0.31968363732267702</v>
      </c>
      <c r="K34" s="31">
        <f>IFERROR(IF(A34="","",B34*($E$16-(($E$16-IF($F$9="",$G$16,$F$16))/(17-A34)))),"")</f>
        <v>102.7932782778967</v>
      </c>
      <c r="L34" s="31">
        <f t="shared" ca="1" si="20"/>
        <v>615.24344441782409</v>
      </c>
    </row>
    <row r="35" spans="1:14" ht="24.95" hidden="1" customHeight="1" x14ac:dyDescent="0.2">
      <c r="A35" s="29" t="str">
        <f>IFERROR(IF(AND($X$4="High",$F$10&gt;0,$F$11&gt;0,$F$12&gt;0,$F$16&gt;0),A34+1,""),"")</f>
        <v/>
      </c>
      <c r="B35" s="31" t="str">
        <f>IFERROR(IF(A35="","",B34*(1+$F$10)),"")</f>
        <v/>
      </c>
      <c r="C35" s="11" t="str">
        <f>IFERROR(IF(A35="","",$F$11),"")</f>
        <v/>
      </c>
      <c r="D35" s="31" t="str">
        <f t="shared" si="17"/>
        <v/>
      </c>
      <c r="E35" s="12" t="str">
        <f>IFERROR(IF(A35="","",IF(C34&gt;0,$F$12,0)),"")</f>
        <v/>
      </c>
      <c r="F35" s="31" t="str">
        <f t="shared" si="18"/>
        <v/>
      </c>
      <c r="G35" s="31" t="str">
        <f>IFERROR(IF(A35="","",(B35-B34)/$F$13),0)</f>
        <v/>
      </c>
      <c r="H35" s="11" t="str">
        <f t="shared" si="19"/>
        <v/>
      </c>
      <c r="I35" s="13" t="str">
        <f t="shared" si="22"/>
        <v/>
      </c>
      <c r="J35" s="12" t="str">
        <f t="shared" si="23"/>
        <v/>
      </c>
      <c r="K35" s="31" t="str">
        <f>IFERROR(IF(A35="","",B35*$F$16),"")</f>
        <v/>
      </c>
      <c r="L35" s="31" t="str">
        <f t="shared" si="20"/>
        <v/>
      </c>
    </row>
    <row r="36" spans="1:14" ht="24.95" hidden="1" customHeight="1" x14ac:dyDescent="0.2">
      <c r="A36" s="29" t="str">
        <f t="shared" ref="A36:A39" si="24">IFERROR(IF(AND($X$4="High",$F$10&gt;0,$F$11&gt;0,$F$12&gt;0,$F$16&gt;0),A35+1,""),"")</f>
        <v/>
      </c>
      <c r="B36" s="31" t="str">
        <f>IFERROR(IF(A36="","",B35*(1+($F$10-(($F$10-$G$10)/(22-A36))))),"")</f>
        <v/>
      </c>
      <c r="C36" s="11" t="str">
        <f>IFERROR(IF(A36="","",$F$11-(($F$11-$G$11)/(22-A36))),"")</f>
        <v/>
      </c>
      <c r="D36" s="31" t="str">
        <f t="shared" si="17"/>
        <v/>
      </c>
      <c r="E36" s="12" t="str">
        <f>IFERROR(IF(A35="","",IF(C35&gt;0,$F$12-(($F$12-$G$12)/(22-A36)),0)),"")</f>
        <v/>
      </c>
      <c r="F36" s="31" t="str">
        <f t="shared" si="18"/>
        <v/>
      </c>
      <c r="G36" s="31" t="str">
        <f>IFERROR(IF(A36="","",(B36-B35)/($F$13-(($F$13-$G$13)/(22-A36)))),0)</f>
        <v/>
      </c>
      <c r="H36" s="11" t="str">
        <f t="shared" si="19"/>
        <v/>
      </c>
      <c r="I36" s="13" t="str">
        <f t="shared" si="22"/>
        <v/>
      </c>
      <c r="J36" s="12" t="str">
        <f t="shared" si="23"/>
        <v/>
      </c>
      <c r="K36" s="31" t="str">
        <f>IFERROR(IF(A36="","",B36*($F$16-(($F$16-$G$16)/(22-A36)))),"")</f>
        <v/>
      </c>
      <c r="L36" s="31" t="str">
        <f t="shared" si="20"/>
        <v/>
      </c>
    </row>
    <row r="37" spans="1:14" ht="24.95" hidden="1" customHeight="1" x14ac:dyDescent="0.2">
      <c r="A37" s="29" t="str">
        <f t="shared" si="24"/>
        <v/>
      </c>
      <c r="B37" s="31" t="str">
        <f t="shared" ref="B37:B39" si="25">IFERROR(IF(A37="","",B36*(1+($F$10-(($F$10-$G$10)/(22-A37))))),"")</f>
        <v/>
      </c>
      <c r="C37" s="11" t="str">
        <f t="shared" ref="C37:C39" si="26">IFERROR(IF(A37="","",$F$11-(($F$11-$G$11)/(22-A37))),"")</f>
        <v/>
      </c>
      <c r="D37" s="31" t="str">
        <f t="shared" si="17"/>
        <v/>
      </c>
      <c r="E37" s="12" t="str">
        <f t="shared" ref="E37:E39" si="27">IFERROR(IF(A36="","",IF(C36&gt;0,$F$12-(($F$12-$G$12)/(22-A37)),0)),"")</f>
        <v/>
      </c>
      <c r="F37" s="31" t="str">
        <f t="shared" si="18"/>
        <v/>
      </c>
      <c r="G37" s="31" t="str">
        <f t="shared" ref="G37:G39" si="28">IFERROR(IF(A37="","",(B37-B36)/($F$13-(($F$13-$G$13)/(22-A37)))),0)</f>
        <v/>
      </c>
      <c r="H37" s="11" t="str">
        <f t="shared" si="19"/>
        <v/>
      </c>
      <c r="I37" s="13" t="str">
        <f t="shared" si="22"/>
        <v/>
      </c>
      <c r="J37" s="12" t="str">
        <f t="shared" si="23"/>
        <v/>
      </c>
      <c r="K37" s="31" t="str">
        <f t="shared" ref="K37:K39" si="29">IFERROR(IF(A37="","",B37*($F$16-(($F$16-$G$16)/(22-A37)))),"")</f>
        <v/>
      </c>
      <c r="L37" s="31" t="str">
        <f t="shared" si="20"/>
        <v/>
      </c>
    </row>
    <row r="38" spans="1:14" ht="24.95" hidden="1" customHeight="1" x14ac:dyDescent="0.2">
      <c r="A38" s="29" t="str">
        <f t="shared" si="24"/>
        <v/>
      </c>
      <c r="B38" s="31" t="str">
        <f t="shared" si="25"/>
        <v/>
      </c>
      <c r="C38" s="11" t="str">
        <f t="shared" si="26"/>
        <v/>
      </c>
      <c r="D38" s="31" t="str">
        <f t="shared" si="17"/>
        <v/>
      </c>
      <c r="E38" s="12" t="str">
        <f t="shared" si="27"/>
        <v/>
      </c>
      <c r="F38" s="31" t="str">
        <f t="shared" si="18"/>
        <v/>
      </c>
      <c r="G38" s="31" t="str">
        <f t="shared" si="28"/>
        <v/>
      </c>
      <c r="H38" s="11" t="str">
        <f t="shared" si="19"/>
        <v/>
      </c>
      <c r="I38" s="13" t="str">
        <f t="shared" si="22"/>
        <v/>
      </c>
      <c r="J38" s="12" t="str">
        <f t="shared" si="23"/>
        <v/>
      </c>
      <c r="K38" s="31" t="str">
        <f t="shared" si="29"/>
        <v/>
      </c>
      <c r="L38" s="31" t="str">
        <f t="shared" si="20"/>
        <v/>
      </c>
    </row>
    <row r="39" spans="1:14" ht="24.95" hidden="1" customHeight="1" x14ac:dyDescent="0.2">
      <c r="A39" s="29" t="str">
        <f t="shared" si="24"/>
        <v/>
      </c>
      <c r="B39" s="31" t="str">
        <f t="shared" si="25"/>
        <v/>
      </c>
      <c r="C39" s="11" t="str">
        <f t="shared" si="26"/>
        <v/>
      </c>
      <c r="D39" s="31" t="str">
        <f t="shared" si="17"/>
        <v/>
      </c>
      <c r="E39" s="12" t="str">
        <f t="shared" si="27"/>
        <v/>
      </c>
      <c r="F39" s="31" t="str">
        <f t="shared" si="18"/>
        <v/>
      </c>
      <c r="G39" s="31" t="str">
        <f t="shared" si="28"/>
        <v/>
      </c>
      <c r="H39" s="11" t="str">
        <f t="shared" si="19"/>
        <v/>
      </c>
      <c r="I39" s="13" t="str">
        <f t="shared" si="22"/>
        <v/>
      </c>
      <c r="J39" s="12" t="str">
        <f t="shared" si="23"/>
        <v/>
      </c>
      <c r="K39" s="31" t="str">
        <f t="shared" si="29"/>
        <v/>
      </c>
      <c r="L39" s="31" t="str">
        <f t="shared" si="20"/>
        <v/>
      </c>
    </row>
    <row r="40" spans="1:14" ht="24.95" hidden="1" customHeight="1" x14ac:dyDescent="0.2">
      <c r="A40" s="29" t="str">
        <f>IFERROR(IF(A20="","",MAX(A20:A39)&amp;" - "&amp;"∞"),"")</f>
        <v>15 - ∞</v>
      </c>
      <c r="B40" s="31">
        <f>IFERROR(IF(A30="",B29*(1+G10),IF(A35="",B34*(1+G10),B39*(1+G10))),"")</f>
        <v>6662.5272957896022</v>
      </c>
      <c r="C40" s="11">
        <f>IFERROR(IF(G11="","",IF(A40="","",$G$11)),"")</f>
        <v>0.15</v>
      </c>
      <c r="D40" s="31">
        <f>IFERROR(B40*C40,"")</f>
        <v>999.37909436844029</v>
      </c>
      <c r="E40" s="12">
        <f>IFERROR(IF(G12="","",IF(A40="","",IF(C40&gt;0,$G$12,0))),"")</f>
        <v>0.2296</v>
      </c>
      <c r="F40" s="31">
        <f>IFERROR(IF(A40="","",D40*(1-E40)),"")</f>
        <v>769.92165430144632</v>
      </c>
      <c r="G40" s="31">
        <f ca="1">IFERROR(IF(G10&gt;0,$F$40*(G10/(MIN(F40/I40,B6*2))),0),0)</f>
        <v>233.87656570517814</v>
      </c>
      <c r="H40" s="11">
        <f ca="1">IFERROR(G40/F40,"")</f>
        <v>0.30376670716889431</v>
      </c>
      <c r="I40" s="13">
        <f ca="1">IFERROR(IF(A30="",I29+G40,IF(A35="",I34+G40,I39+G40)),"")</f>
        <v>2393.0043635007905</v>
      </c>
      <c r="J40" s="12">
        <f ca="1">IFERROR(F40/I40,"")</f>
        <v>0.32173850831392015</v>
      </c>
      <c r="K40" s="31">
        <f>IFERROR(IF(A40="","",B40*$G$16),"")</f>
        <v>107.93294219179155</v>
      </c>
      <c r="L40" s="31">
        <f ca="1">IFERROR(F40-G40+K40,"")</f>
        <v>643.97803078805975</v>
      </c>
    </row>
    <row r="41" spans="1:14" ht="24.95" hidden="1" customHeight="1" x14ac:dyDescent="0.2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4" ht="24.95" hidden="1" customHeight="1" x14ac:dyDescent="0.2">
      <c r="A42" s="46"/>
      <c r="B42" s="47" t="s">
        <v>45</v>
      </c>
      <c r="C42" s="47"/>
      <c r="D42" s="47"/>
      <c r="E42" s="47"/>
      <c r="F42" s="47"/>
      <c r="G42" s="47"/>
      <c r="H42" s="47"/>
      <c r="I42" s="47"/>
      <c r="J42" s="47"/>
      <c r="K42" s="47"/>
      <c r="L42" s="46"/>
      <c r="M42" s="21"/>
    </row>
    <row r="43" spans="1:14" ht="24.95" hidden="1" customHeight="1" x14ac:dyDescent="0.2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6"/>
      <c r="M43" s="25"/>
    </row>
    <row r="44" spans="1:14" ht="30" hidden="1" customHeight="1" x14ac:dyDescent="0.2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6"/>
      <c r="M44" s="25"/>
    </row>
    <row r="45" spans="1:14" ht="24.95" hidden="1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25"/>
    </row>
    <row r="46" spans="1:14" ht="24.95" customHeight="1" x14ac:dyDescent="0.2">
      <c r="M46" s="25"/>
    </row>
    <row r="47" spans="1:14" ht="24.95" customHeight="1" x14ac:dyDescent="0.2">
      <c r="L47" s="33"/>
      <c r="M47" s="25"/>
    </row>
    <row r="48" spans="1:14" ht="24.95" customHeight="1" x14ac:dyDescent="0.2">
      <c r="M48" s="25"/>
      <c r="N48" s="8" t="str">
        <f>""</f>
        <v/>
      </c>
    </row>
    <row r="49" spans="13:14" ht="24.95" customHeight="1" x14ac:dyDescent="0.2">
      <c r="M49" s="25"/>
      <c r="N49" s="8"/>
    </row>
    <row r="50" spans="13:14" ht="24.95" customHeight="1" x14ac:dyDescent="0.2">
      <c r="M50" s="25"/>
      <c r="N50" s="8"/>
    </row>
    <row r="51" spans="13:14" ht="24.95" customHeight="1" x14ac:dyDescent="0.2">
      <c r="M51" s="25"/>
      <c r="N51" s="8"/>
    </row>
    <row r="52" spans="13:14" ht="24.95" customHeight="1" x14ac:dyDescent="0.2">
      <c r="M52" s="25"/>
      <c r="N52" s="8"/>
    </row>
    <row r="53" spans="13:14" ht="24.95" customHeight="1" x14ac:dyDescent="0.2">
      <c r="M53" s="25"/>
      <c r="N53" s="8"/>
    </row>
    <row r="54" spans="13:14" ht="24.95" customHeight="1" x14ac:dyDescent="0.2">
      <c r="M54" s="25"/>
      <c r="N54" s="8"/>
    </row>
    <row r="55" spans="13:14" ht="24.95" customHeight="1" x14ac:dyDescent="0.2">
      <c r="M55" s="25"/>
      <c r="N55" s="8"/>
    </row>
    <row r="56" spans="13:14" ht="30" customHeight="1" x14ac:dyDescent="0.2">
      <c r="M56" s="25"/>
      <c r="N56" s="8"/>
    </row>
    <row r="57" spans="13:14" ht="24.95" customHeight="1" x14ac:dyDescent="0.2">
      <c r="M57" s="8"/>
      <c r="N57" s="8"/>
    </row>
    <row r="58" spans="13:14" ht="24.95" customHeight="1" x14ac:dyDescent="0.2"/>
    <row r="59" spans="13:14" ht="24.95" customHeight="1" x14ac:dyDescent="0.2"/>
    <row r="60" spans="13:14" ht="24.95" customHeight="1" x14ac:dyDescent="0.2"/>
    <row r="61" spans="13:14" ht="24.95" customHeight="1" x14ac:dyDescent="0.2"/>
    <row r="62" spans="13:14" ht="24.95" customHeight="1" x14ac:dyDescent="0.2">
      <c r="M62" s="22"/>
    </row>
    <row r="63" spans="13:14" ht="24.95" customHeight="1" x14ac:dyDescent="0.2"/>
    <row r="64" spans="13:14" ht="24.95" customHeight="1" x14ac:dyDescent="0.2">
      <c r="M64" s="22"/>
    </row>
    <row r="65" spans="13:13" ht="24.95" customHeight="1" x14ac:dyDescent="0.2"/>
    <row r="66" spans="13:13" ht="24.95" customHeight="1" x14ac:dyDescent="0.2"/>
    <row r="67" spans="13:13" ht="24.95" customHeight="1" x14ac:dyDescent="0.2"/>
    <row r="68" spans="13:13" ht="24.95" customHeight="1" x14ac:dyDescent="0.2"/>
    <row r="69" spans="13:13" ht="24.95" customHeight="1" x14ac:dyDescent="0.2">
      <c r="M69" s="8"/>
    </row>
    <row r="70" spans="13:13" ht="24.95" customHeight="1" x14ac:dyDescent="0.2">
      <c r="M70" s="22"/>
    </row>
    <row r="71" spans="13:13" ht="24.95" customHeight="1" x14ac:dyDescent="0.2"/>
    <row r="72" spans="13:13" ht="24.95" customHeight="1" x14ac:dyDescent="0.2"/>
    <row r="73" spans="13:13" ht="24.95" customHeight="1" x14ac:dyDescent="0.2"/>
    <row r="74" spans="13:13" ht="24.95" customHeight="1" x14ac:dyDescent="0.2"/>
    <row r="75" spans="13:13" ht="24.95" customHeight="1" x14ac:dyDescent="0.2"/>
    <row r="76" spans="13:13" ht="24.95" customHeight="1" x14ac:dyDescent="0.2"/>
    <row r="77" spans="13:13" ht="24.95" customHeight="1" x14ac:dyDescent="0.2"/>
    <row r="78" spans="13:13" ht="24.95" customHeight="1" x14ac:dyDescent="0.2"/>
    <row r="79" spans="13:13" ht="24.95" customHeight="1" x14ac:dyDescent="0.2"/>
    <row r="80" spans="13:13" ht="24.95" customHeight="1" x14ac:dyDescent="0.2"/>
    <row r="81" ht="24.95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4.9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</sheetData>
  <mergeCells count="31">
    <mergeCell ref="A1:L1"/>
    <mergeCell ref="A3:L3"/>
    <mergeCell ref="A45:L45"/>
    <mergeCell ref="A42:A44"/>
    <mergeCell ref="B42:K44"/>
    <mergeCell ref="L42:L44"/>
    <mergeCell ref="K11:L11"/>
    <mergeCell ref="K13:L13"/>
    <mergeCell ref="A41:L41"/>
    <mergeCell ref="K17:L17"/>
    <mergeCell ref="K14:L14"/>
    <mergeCell ref="K15:L15"/>
    <mergeCell ref="K12:L12"/>
    <mergeCell ref="H17:J17"/>
    <mergeCell ref="K16:L16"/>
    <mergeCell ref="K9:L9"/>
    <mergeCell ref="A18:L18"/>
    <mergeCell ref="K8:L8"/>
    <mergeCell ref="K10:L10"/>
    <mergeCell ref="C8:F8"/>
    <mergeCell ref="H12:J12"/>
    <mergeCell ref="H13:J13"/>
    <mergeCell ref="H14:J14"/>
    <mergeCell ref="H15:J15"/>
    <mergeCell ref="H16:J16"/>
    <mergeCell ref="H9:J9"/>
    <mergeCell ref="A7:G7"/>
    <mergeCell ref="H7:L7"/>
    <mergeCell ref="H10:J10"/>
    <mergeCell ref="H11:J11"/>
    <mergeCell ref="H8:J8"/>
  </mergeCells>
  <conditionalFormatting sqref="A41">
    <cfRule type="containsText" dxfId="86" priority="320" operator="containsText" text="Some inputs are missing">
      <formula>NOT(ISERROR(SEARCH("Some inputs are missing",A41)))</formula>
    </cfRule>
    <cfRule type="containsText" dxfId="85" priority="336" operator="containsText" text="is not within your comfort for Value">
      <formula>NOT(ISERROR(SEARCH("is not within your comfort for Value",A41)))</formula>
    </cfRule>
    <cfRule type="containsText" dxfId="84" priority="337" operator="containsText" text="Enter an Expected Margin of Safety">
      <formula>NOT(ISERROR(SEARCH("Enter an Expected Margin of Safety",A41)))</formula>
    </cfRule>
    <cfRule type="containsText" dxfId="83" priority="340" operator="containsText" text="within your comfort for Value">
      <formula>NOT(ISERROR(SEARCH("within your comfort for Value",A41)))</formula>
    </cfRule>
  </conditionalFormatting>
  <conditionalFormatting sqref="K9:L11 K17:L17 A20:L40">
    <cfRule type="containsBlanks" dxfId="82" priority="165">
      <formula>LEN(TRIM(A9))=0</formula>
    </cfRule>
  </conditionalFormatting>
  <conditionalFormatting sqref="G40">
    <cfRule type="cellIs" dxfId="81" priority="164" operator="equal">
      <formula>0</formula>
    </cfRule>
  </conditionalFormatting>
  <conditionalFormatting sqref="B4:B5 D4:D5 F4 H4:H5 J5 H2 D20:D40 I20:I40 K9:L11 B20:B40 F20:G40 K20:L40 K17:L17 L4:L5">
    <cfRule type="expression" dxfId="80" priority="162">
      <formula>$F$2="INR"</formula>
    </cfRule>
  </conditionalFormatting>
  <conditionalFormatting sqref="B4:B5 D4:D5 F4 H4:H5 J5 H2 D20:D40 I20:I40 K9:L11 B20:B40 F20:G40 K20:L40 K17:L17 L4:L5">
    <cfRule type="expression" dxfId="79" priority="161">
      <formula>$F$2="USD"</formula>
    </cfRule>
  </conditionalFormatting>
  <conditionalFormatting sqref="B4:B5 D4:D5 F4 H4:H5 J5 H2 D20:D40 I20:I40 K9:L11 B20:B40 F20:G40 K20:L40 K17:L17 L4:L5">
    <cfRule type="expression" dxfId="78" priority="160">
      <formula>$F$2="GBP"</formula>
    </cfRule>
  </conditionalFormatting>
  <conditionalFormatting sqref="B4:B5 D4:D5 F4 H4:H5 H2 J5 D20:D40 I20:I40 K9:L11 B20:B40 F20:G40 K20:L40 K17:L17 L4:L5">
    <cfRule type="expression" dxfId="77" priority="159">
      <formula>$F$2="JPY"</formula>
    </cfRule>
  </conditionalFormatting>
  <conditionalFormatting sqref="B4:B5 D4:D5 F4 H4:H5 H2 J5 D20:D40 I20:I40 K9:L11 B20:B40 F20:G40 K20:L40 K17:L17 L4:L5">
    <cfRule type="expression" dxfId="76" priority="158">
      <formula>$F$2="CNY"</formula>
    </cfRule>
  </conditionalFormatting>
  <conditionalFormatting sqref="H2 B4:B5 D4:D5 F4 H4:H5 J5 D20:D40 I20:I40 K9:L11 B20:B40 F20:G40 K20:L40 K17:L17 L4:L5">
    <cfRule type="expression" dxfId="75" priority="157">
      <formula>$F$2="EUR"</formula>
    </cfRule>
  </conditionalFormatting>
  <conditionalFormatting sqref="H2 B4:B5 D4:D5 F4 H4:H5 J5 D20:D40 I20:I40 K9:L11 B20:B40 F20:G40 K20:L40 K17:L17 L4:L5">
    <cfRule type="expression" dxfId="74" priority="156">
      <formula>$F$2="AUD"</formula>
    </cfRule>
  </conditionalFormatting>
  <conditionalFormatting sqref="H2 B4:B5 D4:D5 F4 H4:H5 J5 D20:D40 I20:I40 K9:L11 B20:B40 F20:G40 K20:L40 K17:L17 L4:L5">
    <cfRule type="expression" dxfId="73" priority="155">
      <formula>$F$2="CAD"</formula>
    </cfRule>
  </conditionalFormatting>
  <conditionalFormatting sqref="H2 B4:B5 D4:D5 F4 H4:H5 J5 D20:D40 I20:I40 K9:L11 B20:B40 F20:G40 K20:L40 K17:L17 L4:L5">
    <cfRule type="expression" dxfId="72" priority="154">
      <formula>$F$2="CHF"</formula>
    </cfRule>
  </conditionalFormatting>
  <conditionalFormatting sqref="H2 B4:B5 D4:D5 F4 H4:H5 J5 D20:D40 I20:I40 K9:L11 B20:B40 F20:G40 K20:L40 K17:L17 L4:L5">
    <cfRule type="expression" dxfId="71" priority="153">
      <formula>$F$2="SEK"</formula>
    </cfRule>
  </conditionalFormatting>
  <conditionalFormatting sqref="H2 B4:B5 D4:D5 F4 H4:H5 J5 D20:D40 I20:I40 K9:L11 B20:B40 F20:G40 K20:L40 K17:L17 L4:L5">
    <cfRule type="expression" dxfId="70" priority="152">
      <formula>$F$2="MXN"</formula>
    </cfRule>
  </conditionalFormatting>
  <conditionalFormatting sqref="H2 B4:B5 D4:D5 F4 H4:H5 J5 D20:D40 I20:I40 K9:L11 B20:B40 F20:G40 K20:L40 K17:L17 L4:L5">
    <cfRule type="expression" dxfId="69" priority="151">
      <formula>$F$2="NZD"</formula>
    </cfRule>
  </conditionalFormatting>
  <conditionalFormatting sqref="H2 B4:B5 D4:D5 F4 H4:H5 J5 D20:D40 I20:I40 K9:L11 B20:B40 F20:G40 K20:L40 K17:L17 L4:L5">
    <cfRule type="expression" dxfId="68" priority="150">
      <formula>$F$2="SGD"</formula>
    </cfRule>
  </conditionalFormatting>
  <conditionalFormatting sqref="H2 B4:B5 D4:D5 F4 H4:H5 J5 D20:D40 I20:I40 K9:L11 B20:B40 F20:G40 K20:L40 K17:L17 L4:L5">
    <cfRule type="expression" dxfId="67" priority="149">
      <formula>$F$2="HKD"</formula>
    </cfRule>
  </conditionalFormatting>
  <conditionalFormatting sqref="H2 B4:B5 D4:D5 F4 H4:H5 J5 D20:D40 I20:I40 K9:L11 B20:B40 F20:G40 K20:L40 K17:L17 L4:L5">
    <cfRule type="expression" dxfId="66" priority="148">
      <formula>$F$2="NOK"</formula>
    </cfRule>
  </conditionalFormatting>
  <conditionalFormatting sqref="H2 B4:B5 D4:D5 F4 H4:H5 J5 D20:D40 I20:I40 K9:L11 B20:B40 F20:G40 K20:L40 K17:L17 L4:L5">
    <cfRule type="expression" dxfId="65" priority="147">
      <formula>$F$2="KRW"</formula>
    </cfRule>
  </conditionalFormatting>
  <conditionalFormatting sqref="H2 B4:B5 D4:D5 F4 H4:H5 J5 D20:D40 I20:I40 K9:L11 B20:B40 F20:G40 K20:L40 K17:L17 L4:L5">
    <cfRule type="expression" dxfId="64" priority="146">
      <formula>$F$2="TRY"</formula>
    </cfRule>
  </conditionalFormatting>
  <conditionalFormatting sqref="H2 B4:B5 D4:D5 F4 H4:H5 J5 D20:D40 I20:I40 K9:L11 B20:B40 F20:G40 K20:L40 K17:L17 L4:L5">
    <cfRule type="expression" dxfId="63" priority="145">
      <formula>$F$2="RUB"</formula>
    </cfRule>
  </conditionalFormatting>
  <conditionalFormatting sqref="H2 B4:B5 D4:D5 F4 H4:H5 J5 D20:D40 I20:I40 K9:L11 B20:B40 F20:G40 K20:L40 K17:L17 L4:L5">
    <cfRule type="expression" dxfId="62" priority="144">
      <formula>$F$2="BRL"</formula>
    </cfRule>
  </conditionalFormatting>
  <conditionalFormatting sqref="H2 B4:B5 D4:D5 F4 H4:H5 J5 D20:D40 I20:I40 K9:L11 B20:B40 F20:G40 K20:L40 K17:L17 L4:L5">
    <cfRule type="expression" dxfId="61" priority="143">
      <formula>$F$2="ZAR"</formula>
    </cfRule>
  </conditionalFormatting>
  <conditionalFormatting sqref="H2 B4:B5 D4:D5 F4 H4:H5 J5 D20:D40 I20:I40 K9:L11 B20:B40 F20:G40 K20:L40 K17:L17 L4:L5">
    <cfRule type="expression" dxfId="60" priority="142">
      <formula>$F$2="DKK"</formula>
    </cfRule>
  </conditionalFormatting>
  <conditionalFormatting sqref="H2 B4:B5 D4:D5 F4 H4:H5 J5 D20:D40 I20:I40 K9:L11 B20:B40 F20:G40 K20:L40 K17:L17 L4:L5">
    <cfRule type="expression" dxfId="59" priority="141">
      <formula>$F$2="PLN"</formula>
    </cfRule>
  </conditionalFormatting>
  <conditionalFormatting sqref="H2 B4:B5 D4:D5 F4 H4:H5 J5 D20:D40 I20:I40 K9:L11 B20:B40 F20:G40 K20:L40 K17:L17 L4:L5">
    <cfRule type="expression" dxfId="58" priority="140">
      <formula>$F$2="THB"</formula>
    </cfRule>
  </conditionalFormatting>
  <conditionalFormatting sqref="H2 B4:B5 D4:D5 F4 H4:H5 J5 D20:D40 I20:I40 K9:L11 B20:B40 F20:G40 K20:L40 K17:L17 L4:L5">
    <cfRule type="expression" dxfId="57" priority="139">
      <formula>$F$2="MYR"</formula>
    </cfRule>
  </conditionalFormatting>
  <conditionalFormatting sqref="H2 B4:B5 D4:D5 F4 H4:H5 J5 D20:D40 I20:I40 K9:L11 B20:B40 F20:G40 K20:L40 K17:L17 L4:L5">
    <cfRule type="expression" dxfId="56" priority="138">
      <formula>$F$2="BDT"</formula>
    </cfRule>
  </conditionalFormatting>
  <conditionalFormatting sqref="E16:F16 E10:F13">
    <cfRule type="expression" dxfId="55" priority="409">
      <formula>$X$4="High"</formula>
    </cfRule>
  </conditionalFormatting>
  <conditionalFormatting sqref="E16 E10:E13">
    <cfRule type="expression" dxfId="54" priority="411">
      <formula>$X$4="Medium"</formula>
    </cfRule>
  </conditionalFormatting>
  <conditionalFormatting sqref="K16:L16">
    <cfRule type="expression" dxfId="53" priority="104">
      <formula>$F$2="INR"</formula>
    </cfRule>
  </conditionalFormatting>
  <conditionalFormatting sqref="K16:L16">
    <cfRule type="expression" dxfId="52" priority="103">
      <formula>$F$2="USD"</formula>
    </cfRule>
  </conditionalFormatting>
  <conditionalFormatting sqref="K16:L16">
    <cfRule type="expression" dxfId="51" priority="102">
      <formula>$F$2="GBP"</formula>
    </cfRule>
  </conditionalFormatting>
  <conditionalFormatting sqref="K16:L16">
    <cfRule type="expression" dxfId="50" priority="101">
      <formula>$F$2="JPY"</formula>
    </cfRule>
  </conditionalFormatting>
  <conditionalFormatting sqref="K16:L16">
    <cfRule type="expression" dxfId="49" priority="100">
      <formula>$F$2="CNY"</formula>
    </cfRule>
  </conditionalFormatting>
  <conditionalFormatting sqref="K16:L16">
    <cfRule type="expression" dxfId="48" priority="99">
      <formula>$F$2="EUR"</formula>
    </cfRule>
  </conditionalFormatting>
  <conditionalFormatting sqref="K16:L16">
    <cfRule type="expression" dxfId="47" priority="98">
      <formula>$F$2="AUD"</formula>
    </cfRule>
  </conditionalFormatting>
  <conditionalFormatting sqref="K16:L16">
    <cfRule type="expression" dxfId="46" priority="97">
      <formula>$F$2="CAD"</formula>
    </cfRule>
  </conditionalFormatting>
  <conditionalFormatting sqref="K16:L16">
    <cfRule type="expression" dxfId="45" priority="96">
      <formula>$F$2="CHF"</formula>
    </cfRule>
  </conditionalFormatting>
  <conditionalFormatting sqref="K16:L16">
    <cfRule type="expression" dxfId="44" priority="95">
      <formula>$F$2="SEK"</formula>
    </cfRule>
  </conditionalFormatting>
  <conditionalFormatting sqref="K16:L16">
    <cfRule type="expression" dxfId="43" priority="94">
      <formula>$F$2="MXN"</formula>
    </cfRule>
  </conditionalFormatting>
  <conditionalFormatting sqref="K16:L16">
    <cfRule type="expression" dxfId="42" priority="93">
      <formula>$F$2="NZD"</formula>
    </cfRule>
  </conditionalFormatting>
  <conditionalFormatting sqref="K16:L16">
    <cfRule type="expression" dxfId="41" priority="92">
      <formula>$F$2="SGD"</formula>
    </cfRule>
  </conditionalFormatting>
  <conditionalFormatting sqref="K16:L16">
    <cfRule type="expression" dxfId="40" priority="91">
      <formula>$F$2="HKD"</formula>
    </cfRule>
  </conditionalFormatting>
  <conditionalFormatting sqref="K16:L16">
    <cfRule type="expression" dxfId="39" priority="90">
      <formula>$F$2="NOK"</formula>
    </cfRule>
  </conditionalFormatting>
  <conditionalFormatting sqref="K16:L16">
    <cfRule type="expression" dxfId="38" priority="89">
      <formula>$F$2="KRW"</formula>
    </cfRule>
  </conditionalFormatting>
  <conditionalFormatting sqref="K16:L16">
    <cfRule type="expression" dxfId="37" priority="88">
      <formula>$F$2="TRY"</formula>
    </cfRule>
  </conditionalFormatting>
  <conditionalFormatting sqref="K16:L16">
    <cfRule type="expression" dxfId="36" priority="87">
      <formula>$F$2="RUB"</formula>
    </cfRule>
  </conditionalFormatting>
  <conditionalFormatting sqref="K16:L16">
    <cfRule type="expression" dxfId="35" priority="86">
      <formula>$F$2="BRL"</formula>
    </cfRule>
  </conditionalFormatting>
  <conditionalFormatting sqref="K16:L16">
    <cfRule type="expression" dxfId="34" priority="85">
      <formula>$F$2="ZAR"</formula>
    </cfRule>
  </conditionalFormatting>
  <conditionalFormatting sqref="K16:L16">
    <cfRule type="expression" dxfId="33" priority="84">
      <formula>$F$2="DKK"</formula>
    </cfRule>
  </conditionalFormatting>
  <conditionalFormatting sqref="K16:L16">
    <cfRule type="expression" dxfId="32" priority="83">
      <formula>$F$2="PLN"</formula>
    </cfRule>
  </conditionalFormatting>
  <conditionalFormatting sqref="K16:L16">
    <cfRule type="expression" dxfId="31" priority="82">
      <formula>$F$2="THB"</formula>
    </cfRule>
  </conditionalFormatting>
  <conditionalFormatting sqref="K16:L16">
    <cfRule type="expression" dxfId="30" priority="81">
      <formula>$F$2="MYR"</formula>
    </cfRule>
  </conditionalFormatting>
  <conditionalFormatting sqref="K16:L16">
    <cfRule type="expression" dxfId="29" priority="80">
      <formula>$F$2="BDT"</formula>
    </cfRule>
  </conditionalFormatting>
  <conditionalFormatting sqref="K16">
    <cfRule type="cellIs" dxfId="28" priority="107" operator="lessThan">
      <formula>$K$17</formula>
    </cfRule>
    <cfRule type="cellIs" dxfId="27" priority="108" operator="greaterThan">
      <formula>$K$17</formula>
    </cfRule>
  </conditionalFormatting>
  <conditionalFormatting sqref="K14:L14">
    <cfRule type="expression" dxfId="26" priority="75">
      <formula>$F$2="INR"</formula>
    </cfRule>
  </conditionalFormatting>
  <conditionalFormatting sqref="K14:L14">
    <cfRule type="expression" dxfId="25" priority="74">
      <formula>$F$2="USD"</formula>
    </cfRule>
  </conditionalFormatting>
  <conditionalFormatting sqref="K14:L14">
    <cfRule type="expression" dxfId="24" priority="73">
      <formula>$F$2="GBP"</formula>
    </cfRule>
  </conditionalFormatting>
  <conditionalFormatting sqref="K14:L14">
    <cfRule type="expression" dxfId="23" priority="72">
      <formula>$F$2="JPY"</formula>
    </cfRule>
  </conditionalFormatting>
  <conditionalFormatting sqref="K14:L14">
    <cfRule type="expression" dxfId="22" priority="71">
      <formula>$F$2="CNY"</formula>
    </cfRule>
  </conditionalFormatting>
  <conditionalFormatting sqref="K14:L14">
    <cfRule type="expression" dxfId="21" priority="70">
      <formula>$F$2="EUR"</formula>
    </cfRule>
  </conditionalFormatting>
  <conditionalFormatting sqref="K14:L14">
    <cfRule type="expression" dxfId="20" priority="69">
      <formula>$F$2="AUD"</formula>
    </cfRule>
  </conditionalFormatting>
  <conditionalFormatting sqref="K14:L14">
    <cfRule type="expression" dxfId="19" priority="68">
      <formula>$F$2="CAD"</formula>
    </cfRule>
  </conditionalFormatting>
  <conditionalFormatting sqref="K14:L14">
    <cfRule type="expression" dxfId="18" priority="67">
      <formula>$F$2="CHF"</formula>
    </cfRule>
  </conditionalFormatting>
  <conditionalFormatting sqref="K14:L14">
    <cfRule type="expression" dxfId="17" priority="66">
      <formula>$F$2="SEK"</formula>
    </cfRule>
  </conditionalFormatting>
  <conditionalFormatting sqref="K14:L14">
    <cfRule type="expression" dxfId="16" priority="65">
      <formula>$F$2="MXN"</formula>
    </cfRule>
  </conditionalFormatting>
  <conditionalFormatting sqref="K14:L14">
    <cfRule type="expression" dxfId="15" priority="64">
      <formula>$F$2="NZD"</formula>
    </cfRule>
  </conditionalFormatting>
  <conditionalFormatting sqref="K14:L14">
    <cfRule type="expression" dxfId="14" priority="63">
      <formula>$F$2="SGD"</formula>
    </cfRule>
  </conditionalFormatting>
  <conditionalFormatting sqref="K14:L14">
    <cfRule type="expression" dxfId="13" priority="62">
      <formula>$F$2="HKD"</formula>
    </cfRule>
  </conditionalFormatting>
  <conditionalFormatting sqref="K14:L14">
    <cfRule type="expression" dxfId="12" priority="61">
      <formula>$F$2="NOK"</formula>
    </cfRule>
  </conditionalFormatting>
  <conditionalFormatting sqref="K14:L14">
    <cfRule type="expression" dxfId="11" priority="60">
      <formula>$F$2="KRW"</formula>
    </cfRule>
  </conditionalFormatting>
  <conditionalFormatting sqref="K14:L14">
    <cfRule type="expression" dxfId="10" priority="59">
      <formula>$F$2="TRY"</formula>
    </cfRule>
  </conditionalFormatting>
  <conditionalFormatting sqref="K14:L14">
    <cfRule type="expression" dxfId="9" priority="58">
      <formula>$F$2="RUB"</formula>
    </cfRule>
  </conditionalFormatting>
  <conditionalFormatting sqref="K14:L14">
    <cfRule type="expression" dxfId="8" priority="57">
      <formula>$F$2="BRL"</formula>
    </cfRule>
  </conditionalFormatting>
  <conditionalFormatting sqref="K14:L14">
    <cfRule type="expression" dxfId="7" priority="56">
      <formula>$F$2="ZAR"</formula>
    </cfRule>
  </conditionalFormatting>
  <conditionalFormatting sqref="K14:L14">
    <cfRule type="expression" dxfId="6" priority="55">
      <formula>$F$2="DKK"</formula>
    </cfRule>
  </conditionalFormatting>
  <conditionalFormatting sqref="K14:L14">
    <cfRule type="expression" dxfId="5" priority="54">
      <formula>$F$2="PLN"</formula>
    </cfRule>
  </conditionalFormatting>
  <conditionalFormatting sqref="K14:L14">
    <cfRule type="expression" dxfId="4" priority="53">
      <formula>$F$2="THB"</formula>
    </cfRule>
  </conditionalFormatting>
  <conditionalFormatting sqref="K14:L14">
    <cfRule type="expression" dxfId="3" priority="52">
      <formula>$F$2="MYR"</formula>
    </cfRule>
  </conditionalFormatting>
  <conditionalFormatting sqref="K14:L14">
    <cfRule type="expression" dxfId="2" priority="51">
      <formula>$F$2="BDT"</formula>
    </cfRule>
  </conditionalFormatting>
  <conditionalFormatting sqref="K14">
    <cfRule type="cellIs" dxfId="1" priority="78" operator="lessThan">
      <formula>$K$17</formula>
    </cfRule>
    <cfRule type="cellIs" dxfId="0" priority="79" operator="greaterThan">
      <formula>$K$17</formula>
    </cfRule>
  </conditionalFormatting>
  <dataValidations count="3">
    <dataValidation type="list" showInputMessage="1" showErrorMessage="1" sqref="A17" xr:uid="{379FFCE4-2881-43BD-9107-2F015164D721}">
      <formula1>$V$1:$V$4</formula1>
    </dataValidation>
    <dataValidation type="list" allowBlank="1" showInputMessage="1" showErrorMessage="1" sqref="F2" xr:uid="{5D65DF0C-5660-4EF2-ACDE-D46521D0690E}">
      <formula1>$Y$1:$Y$25</formula1>
    </dataValidation>
    <dataValidation type="list" allowBlank="1" showInputMessage="1" showErrorMessage="1" sqref="B9" xr:uid="{060210AA-ABCA-42FC-A1E6-9E477F401477}">
      <formula1>$X$1:$X$3</formula1>
    </dataValidation>
  </dataValidations>
  <pageMargins left="0.75" right="0.75" top="1" bottom="1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Numbers&amp;Narratives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 Dsouza</cp:lastModifiedBy>
  <dcterms:created xsi:type="dcterms:W3CDTF">2018-04-01T15:13:43Z</dcterms:created>
  <dcterms:modified xsi:type="dcterms:W3CDTF">2018-12-06T10:24:14Z</dcterms:modified>
</cp:coreProperties>
</file>