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j\Desktop\"/>
    </mc:Choice>
  </mc:AlternateContent>
  <bookViews>
    <workbookView xWindow="0" yWindow="0" windowWidth="25125" windowHeight="12330" activeTab="4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  <sheet name="Calculated Data" sheetId="7" r:id="rId7"/>
  </sheets>
  <definedNames>
    <definedName name="_xlchart.0" hidden="1">Customization!$A$70:$A$76</definedName>
    <definedName name="_xlchart.1" hidden="1">Customization!$B$70:$B$76</definedName>
    <definedName name="_xlchart.2" hidden="1">Customization!$A$70:$A$76</definedName>
    <definedName name="_xlchart.3" hidden="1">Customization!$B$70:$B$76</definedName>
    <definedName name="UPDATE">'Data Sheet'!$E$1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6" i="5" l="1"/>
  <c r="I64" i="5"/>
  <c r="J64" i="5"/>
  <c r="K64" i="5"/>
  <c r="B78" i="5"/>
  <c r="F78" i="5"/>
  <c r="C84" i="5"/>
  <c r="B84" i="5"/>
  <c r="C85" i="5"/>
  <c r="B85" i="5"/>
  <c r="C86" i="5"/>
  <c r="B86" i="5"/>
  <c r="C87" i="5"/>
  <c r="B87" i="5"/>
  <c r="C88" i="5"/>
  <c r="B88" i="5"/>
  <c r="G78" i="5"/>
  <c r="C89" i="5"/>
  <c r="B89" i="5"/>
  <c r="C90" i="5"/>
  <c r="B90" i="5"/>
  <c r="C91" i="5"/>
  <c r="B91" i="5"/>
  <c r="C92" i="5"/>
  <c r="B92" i="5"/>
  <c r="C93" i="5"/>
  <c r="B93" i="5"/>
  <c r="B79" i="5"/>
  <c r="F79" i="5"/>
  <c r="D84" i="5"/>
  <c r="D85" i="5"/>
  <c r="D86" i="5"/>
  <c r="D87" i="5"/>
  <c r="D88" i="5"/>
  <c r="D89" i="5"/>
  <c r="D90" i="5"/>
  <c r="D91" i="5"/>
  <c r="D92" i="5"/>
  <c r="D93" i="5"/>
  <c r="B96" i="5"/>
  <c r="B95" i="5"/>
  <c r="B97" i="5"/>
  <c r="B98" i="5"/>
  <c r="B99" i="5"/>
  <c r="C64" i="5"/>
  <c r="D64" i="5"/>
  <c r="E64" i="5"/>
  <c r="F64" i="5"/>
  <c r="G64" i="5"/>
  <c r="H64" i="5"/>
  <c r="B64" i="5"/>
  <c r="C67" i="5"/>
  <c r="C68" i="5"/>
  <c r="D67" i="5"/>
  <c r="D68" i="5"/>
  <c r="E67" i="5"/>
  <c r="E68" i="5"/>
  <c r="F67" i="5"/>
  <c r="F68" i="5"/>
  <c r="G67" i="5"/>
  <c r="G68" i="5"/>
  <c r="H67" i="5"/>
  <c r="H68" i="5"/>
  <c r="I67" i="5"/>
  <c r="I68" i="5"/>
  <c r="J67" i="5"/>
  <c r="J68" i="5"/>
  <c r="K67" i="5"/>
  <c r="K68" i="5"/>
  <c r="C66" i="5"/>
  <c r="D66" i="5"/>
  <c r="E66" i="5"/>
  <c r="F66" i="5"/>
  <c r="G66" i="5"/>
  <c r="H66" i="5"/>
  <c r="I66" i="5"/>
  <c r="J66" i="5"/>
  <c r="K66" i="5"/>
  <c r="B67" i="5"/>
  <c r="B68" i="5"/>
  <c r="B66" i="5"/>
  <c r="B75" i="5"/>
  <c r="B72" i="5"/>
  <c r="B70" i="5"/>
  <c r="B73" i="5"/>
  <c r="B74" i="5"/>
  <c r="C63" i="5"/>
  <c r="D63" i="5"/>
  <c r="E63" i="5"/>
  <c r="F63" i="5"/>
  <c r="G63" i="5"/>
  <c r="H63" i="5"/>
  <c r="I63" i="5"/>
  <c r="J63" i="5"/>
  <c r="K63" i="5"/>
  <c r="C62" i="5"/>
  <c r="D62" i="5"/>
  <c r="E62" i="5"/>
  <c r="F62" i="5"/>
  <c r="G62" i="5"/>
  <c r="H62" i="5"/>
  <c r="I62" i="5"/>
  <c r="J62" i="5"/>
  <c r="K62" i="5"/>
  <c r="B63" i="5"/>
  <c r="B62" i="5"/>
  <c r="C7" i="7"/>
  <c r="D7" i="7"/>
  <c r="E7" i="7"/>
  <c r="F7" i="7"/>
  <c r="G7" i="7"/>
  <c r="H7" i="7"/>
  <c r="I7" i="7"/>
  <c r="J7" i="7"/>
  <c r="K7" i="7"/>
  <c r="K21" i="5"/>
  <c r="J21" i="5"/>
  <c r="I21" i="5"/>
  <c r="H21" i="5"/>
  <c r="G21" i="5"/>
  <c r="F21" i="5"/>
  <c r="E21" i="5"/>
  <c r="D21" i="5"/>
  <c r="C21" i="5"/>
  <c r="N19" i="7"/>
  <c r="N18" i="7"/>
  <c r="C3" i="7"/>
  <c r="C30" i="7"/>
  <c r="B3" i="7"/>
  <c r="B30" i="7"/>
  <c r="D3" i="7"/>
  <c r="D30" i="7"/>
  <c r="E3" i="7"/>
  <c r="E30" i="7"/>
  <c r="F3" i="7"/>
  <c r="F30" i="7"/>
  <c r="G3" i="7"/>
  <c r="G30" i="7"/>
  <c r="H3" i="7"/>
  <c r="H30" i="7"/>
  <c r="I3" i="7"/>
  <c r="I30" i="7"/>
  <c r="J3" i="7"/>
  <c r="J30" i="7"/>
  <c r="K3" i="7"/>
  <c r="K30" i="7"/>
  <c r="C26" i="7"/>
  <c r="C31" i="7"/>
  <c r="B26" i="7"/>
  <c r="B31" i="7"/>
  <c r="N31" i="7"/>
  <c r="D26" i="7"/>
  <c r="D31" i="7"/>
  <c r="O31" i="7"/>
  <c r="E26" i="7"/>
  <c r="E31" i="7"/>
  <c r="P31" i="7"/>
  <c r="F26" i="7"/>
  <c r="F31" i="7"/>
  <c r="Q31" i="7"/>
  <c r="G26" i="7"/>
  <c r="G31" i="7"/>
  <c r="R31" i="7"/>
  <c r="H26" i="7"/>
  <c r="H31" i="7"/>
  <c r="S31" i="7"/>
  <c r="I26" i="7"/>
  <c r="I31" i="7"/>
  <c r="T31" i="7"/>
  <c r="J26" i="7"/>
  <c r="J31" i="7"/>
  <c r="U31" i="7"/>
  <c r="K26" i="7"/>
  <c r="K31" i="7"/>
  <c r="V31" i="7"/>
  <c r="C11" i="7"/>
  <c r="C32" i="7"/>
  <c r="B11" i="7"/>
  <c r="B32" i="7"/>
  <c r="N32" i="7"/>
  <c r="D11" i="7"/>
  <c r="D32" i="7"/>
  <c r="O32" i="7"/>
  <c r="E11" i="7"/>
  <c r="E32" i="7"/>
  <c r="P32" i="7"/>
  <c r="F11" i="7"/>
  <c r="F32" i="7"/>
  <c r="Q32" i="7"/>
  <c r="G11" i="7"/>
  <c r="G32" i="7"/>
  <c r="R32" i="7"/>
  <c r="H11" i="7"/>
  <c r="H32" i="7"/>
  <c r="S32" i="7"/>
  <c r="I11" i="7"/>
  <c r="I32" i="7"/>
  <c r="T32" i="7"/>
  <c r="J11" i="7"/>
  <c r="J32" i="7"/>
  <c r="U32" i="7"/>
  <c r="K11" i="7"/>
  <c r="K32" i="7"/>
  <c r="V32" i="7"/>
  <c r="C17" i="7"/>
  <c r="C33" i="7"/>
  <c r="B17" i="7"/>
  <c r="B33" i="7"/>
  <c r="N33" i="7"/>
  <c r="D17" i="7"/>
  <c r="D33" i="7"/>
  <c r="O33" i="7"/>
  <c r="E17" i="7"/>
  <c r="E33" i="7"/>
  <c r="P33" i="7"/>
  <c r="F17" i="7"/>
  <c r="F33" i="7"/>
  <c r="Q33" i="7"/>
  <c r="G17" i="7"/>
  <c r="G33" i="7"/>
  <c r="R33" i="7"/>
  <c r="H17" i="7"/>
  <c r="H33" i="7"/>
  <c r="S33" i="7"/>
  <c r="I17" i="7"/>
  <c r="I33" i="7"/>
  <c r="T33" i="7"/>
  <c r="J17" i="7"/>
  <c r="J33" i="7"/>
  <c r="U33" i="7"/>
  <c r="K17" i="7"/>
  <c r="K33" i="7"/>
  <c r="V33" i="7"/>
  <c r="C34" i="7"/>
  <c r="B34" i="7"/>
  <c r="N34" i="7"/>
  <c r="D34" i="7"/>
  <c r="O34" i="7"/>
  <c r="E34" i="7"/>
  <c r="P34" i="7"/>
  <c r="F34" i="7"/>
  <c r="Q34" i="7"/>
  <c r="G34" i="7"/>
  <c r="R34" i="7"/>
  <c r="H34" i="7"/>
  <c r="S34" i="7"/>
  <c r="I34" i="7"/>
  <c r="T34" i="7"/>
  <c r="J34" i="7"/>
  <c r="U34" i="7"/>
  <c r="K34" i="7"/>
  <c r="V34" i="7"/>
  <c r="C29" i="7"/>
  <c r="C5" i="7"/>
  <c r="C6" i="7"/>
  <c r="C35" i="7"/>
  <c r="B29" i="7"/>
  <c r="B5" i="7"/>
  <c r="B6" i="7"/>
  <c r="B35" i="7"/>
  <c r="N35" i="7"/>
  <c r="D29" i="7"/>
  <c r="D5" i="7"/>
  <c r="D6" i="7"/>
  <c r="D35" i="7"/>
  <c r="O35" i="7"/>
  <c r="E29" i="7"/>
  <c r="E5" i="7"/>
  <c r="E6" i="7"/>
  <c r="E35" i="7"/>
  <c r="P35" i="7"/>
  <c r="F29" i="7"/>
  <c r="F5" i="7"/>
  <c r="F6" i="7"/>
  <c r="F35" i="7"/>
  <c r="Q35" i="7"/>
  <c r="G29" i="7"/>
  <c r="G5" i="7"/>
  <c r="G6" i="7"/>
  <c r="G35" i="7"/>
  <c r="R35" i="7"/>
  <c r="H29" i="7"/>
  <c r="H5" i="7"/>
  <c r="H6" i="7"/>
  <c r="H35" i="7"/>
  <c r="S35" i="7"/>
  <c r="I29" i="7"/>
  <c r="I5" i="7"/>
  <c r="I6" i="7"/>
  <c r="I35" i="7"/>
  <c r="T35" i="7"/>
  <c r="J29" i="7"/>
  <c r="J5" i="7"/>
  <c r="J6" i="7"/>
  <c r="J35" i="7"/>
  <c r="U35" i="7"/>
  <c r="K29" i="7"/>
  <c r="K5" i="7"/>
  <c r="K6" i="7"/>
  <c r="K35" i="7"/>
  <c r="V35" i="7"/>
  <c r="C36" i="7"/>
  <c r="B36" i="7"/>
  <c r="N36" i="7"/>
  <c r="D36" i="7"/>
  <c r="O36" i="7"/>
  <c r="E36" i="7"/>
  <c r="P36" i="7"/>
  <c r="F36" i="7"/>
  <c r="Q36" i="7"/>
  <c r="G36" i="7"/>
  <c r="R36" i="7"/>
  <c r="H36" i="7"/>
  <c r="S36" i="7"/>
  <c r="I36" i="7"/>
  <c r="T36" i="7"/>
  <c r="J36" i="7"/>
  <c r="U36" i="7"/>
  <c r="K36" i="7"/>
  <c r="V36" i="7"/>
  <c r="C37" i="7"/>
  <c r="B37" i="7"/>
  <c r="D37" i="7"/>
  <c r="E37" i="7"/>
  <c r="F37" i="7"/>
  <c r="G37" i="7"/>
  <c r="H37" i="7"/>
  <c r="I37" i="7"/>
  <c r="J37" i="7"/>
  <c r="K37" i="7"/>
  <c r="C12" i="7"/>
  <c r="C15" i="7"/>
  <c r="C38" i="7"/>
  <c r="B12" i="7"/>
  <c r="B15" i="7"/>
  <c r="B38" i="7"/>
  <c r="N38" i="7"/>
  <c r="D12" i="7"/>
  <c r="D15" i="7"/>
  <c r="D38" i="7"/>
  <c r="O38" i="7"/>
  <c r="E12" i="7"/>
  <c r="E15" i="7"/>
  <c r="E38" i="7"/>
  <c r="P38" i="7"/>
  <c r="F12" i="7"/>
  <c r="F15" i="7"/>
  <c r="F38" i="7"/>
  <c r="Q38" i="7"/>
  <c r="G12" i="7"/>
  <c r="G15" i="7"/>
  <c r="G38" i="7"/>
  <c r="R38" i="7"/>
  <c r="H12" i="7"/>
  <c r="H15" i="7"/>
  <c r="H38" i="7"/>
  <c r="S38" i="7"/>
  <c r="I12" i="7"/>
  <c r="I15" i="7"/>
  <c r="I38" i="7"/>
  <c r="T38" i="7"/>
  <c r="J12" i="7"/>
  <c r="J15" i="7"/>
  <c r="J38" i="7"/>
  <c r="U38" i="7"/>
  <c r="K12" i="7"/>
  <c r="K15" i="7"/>
  <c r="K38" i="7"/>
  <c r="V38" i="7"/>
  <c r="C28" i="7"/>
  <c r="C39" i="7"/>
  <c r="B28" i="7"/>
  <c r="B39" i="7"/>
  <c r="N39" i="7"/>
  <c r="D28" i="7"/>
  <c r="D39" i="7"/>
  <c r="O39" i="7"/>
  <c r="E28" i="7"/>
  <c r="E39" i="7"/>
  <c r="P39" i="7"/>
  <c r="F28" i="7"/>
  <c r="F39" i="7"/>
  <c r="Q39" i="7"/>
  <c r="G28" i="7"/>
  <c r="G39" i="7"/>
  <c r="R39" i="7"/>
  <c r="H28" i="7"/>
  <c r="H39" i="7"/>
  <c r="S39" i="7"/>
  <c r="I28" i="7"/>
  <c r="I39" i="7"/>
  <c r="T39" i="7"/>
  <c r="J28" i="7"/>
  <c r="J39" i="7"/>
  <c r="U39" i="7"/>
  <c r="K28" i="7"/>
  <c r="K39" i="7"/>
  <c r="V39" i="7"/>
  <c r="C40" i="7"/>
  <c r="B40" i="7"/>
  <c r="N40" i="7"/>
  <c r="D40" i="7"/>
  <c r="O40" i="7"/>
  <c r="E40" i="7"/>
  <c r="P40" i="7"/>
  <c r="F40" i="7"/>
  <c r="Q40" i="7"/>
  <c r="G40" i="7"/>
  <c r="R40" i="7"/>
  <c r="H40" i="7"/>
  <c r="S40" i="7"/>
  <c r="I40" i="7"/>
  <c r="T40" i="7"/>
  <c r="J40" i="7"/>
  <c r="U40" i="7"/>
  <c r="K40" i="7"/>
  <c r="V40" i="7"/>
  <c r="C41" i="7"/>
  <c r="B41" i="7"/>
  <c r="N41" i="7"/>
  <c r="D41" i="7"/>
  <c r="O41" i="7"/>
  <c r="E41" i="7"/>
  <c r="P41" i="7"/>
  <c r="F41" i="7"/>
  <c r="Q41" i="7"/>
  <c r="G41" i="7"/>
  <c r="R41" i="7"/>
  <c r="H41" i="7"/>
  <c r="S41" i="7"/>
  <c r="I41" i="7"/>
  <c r="T41" i="7"/>
  <c r="J41" i="7"/>
  <c r="U41" i="7"/>
  <c r="K41" i="7"/>
  <c r="V41" i="7"/>
  <c r="C42" i="7"/>
  <c r="B42" i="7"/>
  <c r="N42" i="7"/>
  <c r="D42" i="7"/>
  <c r="O42" i="7"/>
  <c r="E42" i="7"/>
  <c r="P42" i="7"/>
  <c r="F42" i="7"/>
  <c r="Q42" i="7"/>
  <c r="G42" i="7"/>
  <c r="R42" i="7"/>
  <c r="H42" i="7"/>
  <c r="S42" i="7"/>
  <c r="I42" i="7"/>
  <c r="T42" i="7"/>
  <c r="J42" i="7"/>
  <c r="U42" i="7"/>
  <c r="K42" i="7"/>
  <c r="V42" i="7"/>
  <c r="C43" i="7"/>
  <c r="B43" i="7"/>
  <c r="N43" i="7"/>
  <c r="D43" i="7"/>
  <c r="O43" i="7"/>
  <c r="E43" i="7"/>
  <c r="P43" i="7"/>
  <c r="F43" i="7"/>
  <c r="Q43" i="7"/>
  <c r="G43" i="7"/>
  <c r="R43" i="7"/>
  <c r="H43" i="7"/>
  <c r="S43" i="7"/>
  <c r="I43" i="7"/>
  <c r="T43" i="7"/>
  <c r="J43" i="7"/>
  <c r="U43" i="7"/>
  <c r="K43" i="7"/>
  <c r="V43" i="7"/>
  <c r="N11" i="7"/>
  <c r="O11" i="7"/>
  <c r="P11" i="7"/>
  <c r="Q11" i="7"/>
  <c r="R11" i="7"/>
  <c r="S11" i="7"/>
  <c r="T11" i="7"/>
  <c r="U11" i="7"/>
  <c r="V11" i="7"/>
  <c r="N12" i="7"/>
  <c r="O12" i="7"/>
  <c r="P12" i="7"/>
  <c r="Q12" i="7"/>
  <c r="R12" i="7"/>
  <c r="S12" i="7"/>
  <c r="T12" i="7"/>
  <c r="U12" i="7"/>
  <c r="V12" i="7"/>
  <c r="C13" i="7"/>
  <c r="B13" i="7"/>
  <c r="N13" i="7"/>
  <c r="D13" i="7"/>
  <c r="O13" i="7"/>
  <c r="E13" i="7"/>
  <c r="P13" i="7"/>
  <c r="F13" i="7"/>
  <c r="Q13" i="7"/>
  <c r="G13" i="7"/>
  <c r="R13" i="7"/>
  <c r="H13" i="7"/>
  <c r="S13" i="7"/>
  <c r="I13" i="7"/>
  <c r="T13" i="7"/>
  <c r="J13" i="7"/>
  <c r="U13" i="7"/>
  <c r="K13" i="7"/>
  <c r="V13" i="7"/>
  <c r="C14" i="7"/>
  <c r="B14" i="7"/>
  <c r="N14" i="7"/>
  <c r="D14" i="7"/>
  <c r="O14" i="7"/>
  <c r="E14" i="7"/>
  <c r="P14" i="7"/>
  <c r="F14" i="7"/>
  <c r="Q14" i="7"/>
  <c r="G14" i="7"/>
  <c r="R14" i="7"/>
  <c r="H14" i="7"/>
  <c r="S14" i="7"/>
  <c r="I14" i="7"/>
  <c r="T14" i="7"/>
  <c r="J14" i="7"/>
  <c r="U14" i="7"/>
  <c r="K14" i="7"/>
  <c r="V14" i="7"/>
  <c r="N15" i="7"/>
  <c r="O15" i="7"/>
  <c r="P15" i="7"/>
  <c r="Q15" i="7"/>
  <c r="R15" i="7"/>
  <c r="S15" i="7"/>
  <c r="T15" i="7"/>
  <c r="U15" i="7"/>
  <c r="V15" i="7"/>
  <c r="N17" i="7"/>
  <c r="O17" i="7"/>
  <c r="P17" i="7"/>
  <c r="Q17" i="7"/>
  <c r="R17" i="7"/>
  <c r="S17" i="7"/>
  <c r="T17" i="7"/>
  <c r="U17" i="7"/>
  <c r="V17" i="7"/>
  <c r="C18" i="7"/>
  <c r="D18" i="7"/>
  <c r="O18" i="7"/>
  <c r="E18" i="7"/>
  <c r="P18" i="7"/>
  <c r="F18" i="7"/>
  <c r="Q18" i="7"/>
  <c r="G18" i="7"/>
  <c r="R18" i="7"/>
  <c r="H18" i="7"/>
  <c r="S18" i="7"/>
  <c r="I18" i="7"/>
  <c r="T18" i="7"/>
  <c r="J18" i="7"/>
  <c r="U18" i="7"/>
  <c r="K18" i="7"/>
  <c r="V18" i="7"/>
  <c r="C19" i="7"/>
  <c r="D19" i="7"/>
  <c r="O19" i="7"/>
  <c r="E19" i="7"/>
  <c r="P19" i="7"/>
  <c r="F19" i="7"/>
  <c r="Q19" i="7"/>
  <c r="G19" i="7"/>
  <c r="R19" i="7"/>
  <c r="H19" i="7"/>
  <c r="S19" i="7"/>
  <c r="I19" i="7"/>
  <c r="T19" i="7"/>
  <c r="J19" i="7"/>
  <c r="U19" i="7"/>
  <c r="K19" i="7"/>
  <c r="V19" i="7"/>
  <c r="C20" i="7"/>
  <c r="B20" i="7"/>
  <c r="N20" i="7"/>
  <c r="D20" i="7"/>
  <c r="O20" i="7"/>
  <c r="E20" i="7"/>
  <c r="P20" i="7"/>
  <c r="F20" i="7"/>
  <c r="Q20" i="7"/>
  <c r="G20" i="7"/>
  <c r="R20" i="7"/>
  <c r="H20" i="7"/>
  <c r="S20" i="7"/>
  <c r="I20" i="7"/>
  <c r="T20" i="7"/>
  <c r="J20" i="7"/>
  <c r="U20" i="7"/>
  <c r="K20" i="7"/>
  <c r="V20" i="7"/>
  <c r="C21" i="7"/>
  <c r="B21" i="7"/>
  <c r="N21" i="7"/>
  <c r="D21" i="7"/>
  <c r="O21" i="7"/>
  <c r="E21" i="7"/>
  <c r="P21" i="7"/>
  <c r="F21" i="7"/>
  <c r="Q21" i="7"/>
  <c r="G21" i="7"/>
  <c r="R21" i="7"/>
  <c r="H21" i="7"/>
  <c r="S21" i="7"/>
  <c r="I21" i="7"/>
  <c r="T21" i="7"/>
  <c r="J21" i="7"/>
  <c r="U21" i="7"/>
  <c r="K21" i="7"/>
  <c r="V21" i="7"/>
  <c r="C22" i="7"/>
  <c r="B22" i="7"/>
  <c r="N22" i="7"/>
  <c r="D22" i="7"/>
  <c r="O22" i="7"/>
  <c r="E22" i="7"/>
  <c r="P22" i="7"/>
  <c r="F22" i="7"/>
  <c r="Q22" i="7"/>
  <c r="G22" i="7"/>
  <c r="R22" i="7"/>
  <c r="H22" i="7"/>
  <c r="S22" i="7"/>
  <c r="I22" i="7"/>
  <c r="T22" i="7"/>
  <c r="J22" i="7"/>
  <c r="U22" i="7"/>
  <c r="K22" i="7"/>
  <c r="V22" i="7"/>
  <c r="N23" i="7"/>
  <c r="O23" i="7"/>
  <c r="P23" i="7"/>
  <c r="Q23" i="7"/>
  <c r="R23" i="7"/>
  <c r="S23" i="7"/>
  <c r="T23" i="7"/>
  <c r="U23" i="7"/>
  <c r="V23" i="7"/>
  <c r="C24" i="7"/>
  <c r="B24" i="7"/>
  <c r="N24" i="7"/>
  <c r="D24" i="7"/>
  <c r="O24" i="7"/>
  <c r="E24" i="7"/>
  <c r="P24" i="7"/>
  <c r="F24" i="7"/>
  <c r="Q24" i="7"/>
  <c r="G24" i="7"/>
  <c r="R24" i="7"/>
  <c r="H24" i="7"/>
  <c r="S24" i="7"/>
  <c r="I24" i="7"/>
  <c r="T24" i="7"/>
  <c r="J24" i="7"/>
  <c r="U24" i="7"/>
  <c r="K24" i="7"/>
  <c r="V24" i="7"/>
  <c r="N26" i="7"/>
  <c r="O26" i="7"/>
  <c r="P26" i="7"/>
  <c r="Q26" i="7"/>
  <c r="R26" i="7"/>
  <c r="S26" i="7"/>
  <c r="T26" i="7"/>
  <c r="U26" i="7"/>
  <c r="V26" i="7"/>
  <c r="C27" i="7"/>
  <c r="B27" i="7"/>
  <c r="N27" i="7"/>
  <c r="D27" i="7"/>
  <c r="O27" i="7"/>
  <c r="E27" i="7"/>
  <c r="P27" i="7"/>
  <c r="F27" i="7"/>
  <c r="Q27" i="7"/>
  <c r="G27" i="7"/>
  <c r="R27" i="7"/>
  <c r="H27" i="7"/>
  <c r="S27" i="7"/>
  <c r="I27" i="7"/>
  <c r="T27" i="7"/>
  <c r="J27" i="7"/>
  <c r="U27" i="7"/>
  <c r="K27" i="7"/>
  <c r="V27" i="7"/>
  <c r="N28" i="7"/>
  <c r="O28" i="7"/>
  <c r="P28" i="7"/>
  <c r="Q28" i="7"/>
  <c r="R28" i="7"/>
  <c r="S28" i="7"/>
  <c r="T28" i="7"/>
  <c r="U28" i="7"/>
  <c r="V28" i="7"/>
  <c r="N29" i="7"/>
  <c r="O29" i="7"/>
  <c r="P29" i="7"/>
  <c r="Q29" i="7"/>
  <c r="R29" i="7"/>
  <c r="S29" i="7"/>
  <c r="T29" i="7"/>
  <c r="U29" i="7"/>
  <c r="V29" i="7"/>
  <c r="M42" i="7"/>
  <c r="M43" i="7"/>
  <c r="M11" i="7"/>
  <c r="M12" i="7"/>
  <c r="M13" i="7"/>
  <c r="M14" i="7"/>
  <c r="M15" i="7"/>
  <c r="M17" i="7"/>
  <c r="M18" i="7"/>
  <c r="M19" i="7"/>
  <c r="M20" i="7"/>
  <c r="M21" i="7"/>
  <c r="M22" i="7"/>
  <c r="M23" i="7"/>
  <c r="M24" i="7"/>
  <c r="M26" i="7"/>
  <c r="M27" i="7"/>
  <c r="M28" i="7"/>
  <c r="M29" i="7"/>
  <c r="M31" i="7"/>
  <c r="M32" i="7"/>
  <c r="M33" i="7"/>
  <c r="M34" i="7"/>
  <c r="M35" i="7"/>
  <c r="M36" i="7"/>
  <c r="M38" i="7"/>
  <c r="M39" i="7"/>
  <c r="M40" i="7"/>
  <c r="M41" i="7"/>
  <c r="M5" i="7"/>
  <c r="M6" i="7"/>
  <c r="M7" i="7"/>
  <c r="M8" i="7"/>
  <c r="M9" i="7"/>
  <c r="M4" i="7"/>
  <c r="O6" i="7"/>
  <c r="P6" i="7"/>
  <c r="Q6" i="7"/>
  <c r="R6" i="7"/>
  <c r="S6" i="7"/>
  <c r="T6" i="7"/>
  <c r="U6" i="7"/>
  <c r="V6" i="7"/>
  <c r="O7" i="7"/>
  <c r="P7" i="7"/>
  <c r="Q7" i="7"/>
  <c r="R7" i="7"/>
  <c r="S7" i="7"/>
  <c r="T7" i="7"/>
  <c r="U7" i="7"/>
  <c r="V7" i="7"/>
  <c r="D8" i="7"/>
  <c r="C8" i="7"/>
  <c r="O8" i="7"/>
  <c r="E8" i="7"/>
  <c r="P8" i="7"/>
  <c r="F8" i="7"/>
  <c r="Q8" i="7"/>
  <c r="G8" i="7"/>
  <c r="R8" i="7"/>
  <c r="H8" i="7"/>
  <c r="S8" i="7"/>
  <c r="I8" i="7"/>
  <c r="T8" i="7"/>
  <c r="J8" i="7"/>
  <c r="U8" i="7"/>
  <c r="K8" i="7"/>
  <c r="V8" i="7"/>
  <c r="D9" i="7"/>
  <c r="C9" i="7"/>
  <c r="O9" i="7"/>
  <c r="E9" i="7"/>
  <c r="P9" i="7"/>
  <c r="F9" i="7"/>
  <c r="Q9" i="7"/>
  <c r="G9" i="7"/>
  <c r="R9" i="7"/>
  <c r="H9" i="7"/>
  <c r="S9" i="7"/>
  <c r="I9" i="7"/>
  <c r="T9" i="7"/>
  <c r="J9" i="7"/>
  <c r="U9" i="7"/>
  <c r="K9" i="7"/>
  <c r="V9" i="7"/>
  <c r="O5" i="7"/>
  <c r="P5" i="7"/>
  <c r="Q5" i="7"/>
  <c r="R5" i="7"/>
  <c r="S5" i="7"/>
  <c r="T5" i="7"/>
  <c r="U5" i="7"/>
  <c r="V5" i="7"/>
  <c r="N5" i="7"/>
  <c r="N6" i="7"/>
  <c r="B7" i="7"/>
  <c r="N7" i="7"/>
  <c r="B8" i="7"/>
  <c r="N8" i="7"/>
  <c r="B9" i="7"/>
  <c r="N9" i="7"/>
  <c r="D4" i="7"/>
  <c r="C4" i="7"/>
  <c r="O4" i="7"/>
  <c r="E4" i="7"/>
  <c r="P4" i="7"/>
  <c r="F4" i="7"/>
  <c r="Q4" i="7"/>
  <c r="G4" i="7"/>
  <c r="R4" i="7"/>
  <c r="H4" i="7"/>
  <c r="S4" i="7"/>
  <c r="I4" i="7"/>
  <c r="T4" i="7"/>
  <c r="J4" i="7"/>
  <c r="U4" i="7"/>
  <c r="K4" i="7"/>
  <c r="V4" i="7"/>
  <c r="B4" i="7"/>
  <c r="N4" i="7"/>
  <c r="V3" i="7"/>
  <c r="N3" i="7"/>
  <c r="O3" i="7"/>
  <c r="P3" i="7"/>
  <c r="Q3" i="7"/>
  <c r="R3" i="7"/>
  <c r="S3" i="7"/>
  <c r="T3" i="7"/>
  <c r="U3" i="7"/>
  <c r="C18" i="5"/>
  <c r="D18" i="5"/>
  <c r="E18" i="5"/>
  <c r="F18" i="5"/>
  <c r="G18" i="5"/>
  <c r="H18" i="5"/>
  <c r="I18" i="5"/>
  <c r="J18" i="5"/>
  <c r="K18" i="5"/>
  <c r="B18" i="5"/>
  <c r="C8" i="5"/>
  <c r="C7" i="5"/>
  <c r="C6" i="5"/>
  <c r="G6" i="5"/>
  <c r="L16" i="5"/>
  <c r="L15" i="5"/>
  <c r="L14" i="5"/>
  <c r="L13" i="5"/>
  <c r="K16" i="5"/>
  <c r="K15" i="5"/>
  <c r="K14" i="5"/>
  <c r="K13" i="5"/>
  <c r="J16" i="5"/>
  <c r="J15" i="5"/>
  <c r="J14" i="5"/>
  <c r="J13" i="5"/>
  <c r="I16" i="5"/>
  <c r="I15" i="5"/>
  <c r="I14" i="5"/>
  <c r="I13" i="5"/>
  <c r="H16" i="5"/>
  <c r="H15" i="5"/>
  <c r="H14" i="5"/>
  <c r="H13" i="5"/>
  <c r="G16" i="5"/>
  <c r="G15" i="5"/>
  <c r="G14" i="5"/>
  <c r="G13" i="5"/>
  <c r="F16" i="5"/>
  <c r="F15" i="5"/>
  <c r="F14" i="5"/>
  <c r="F13" i="5"/>
  <c r="E16" i="5"/>
  <c r="E15" i="5"/>
  <c r="E14" i="5"/>
  <c r="E13" i="5"/>
  <c r="D16" i="5"/>
  <c r="D15" i="5"/>
  <c r="D14" i="5"/>
  <c r="D13" i="5"/>
  <c r="C16" i="5"/>
  <c r="C15" i="5"/>
  <c r="C14" i="5"/>
  <c r="C13" i="5"/>
  <c r="F74" i="5"/>
  <c r="F73" i="5"/>
  <c r="F72" i="5"/>
  <c r="F71" i="5"/>
  <c r="F70" i="5"/>
  <c r="C57" i="5"/>
  <c r="D57" i="5"/>
  <c r="E57" i="5"/>
  <c r="F57" i="5"/>
  <c r="F58" i="5"/>
  <c r="G57" i="5"/>
  <c r="H57" i="5"/>
  <c r="I57" i="5"/>
  <c r="J57" i="5"/>
  <c r="J58" i="5"/>
  <c r="J56" i="5"/>
  <c r="J59" i="5"/>
  <c r="K57" i="5"/>
  <c r="C56" i="5"/>
  <c r="D56" i="5"/>
  <c r="E56" i="5"/>
  <c r="F56" i="5"/>
  <c r="G56" i="5"/>
  <c r="H56" i="5"/>
  <c r="I56" i="5"/>
  <c r="K56" i="5"/>
  <c r="C55" i="5"/>
  <c r="D55" i="5"/>
  <c r="E55" i="5"/>
  <c r="F55" i="5"/>
  <c r="G55" i="5"/>
  <c r="H55" i="5"/>
  <c r="I55" i="5"/>
  <c r="J55" i="5"/>
  <c r="K55" i="5"/>
  <c r="C54" i="5"/>
  <c r="D54" i="5"/>
  <c r="E54" i="5"/>
  <c r="F54" i="5"/>
  <c r="G54" i="5"/>
  <c r="H54" i="5"/>
  <c r="I54" i="5"/>
  <c r="J54" i="5"/>
  <c r="K54" i="5"/>
  <c r="C53" i="5"/>
  <c r="D53" i="5"/>
  <c r="E53" i="5"/>
  <c r="F53" i="5"/>
  <c r="G53" i="5"/>
  <c r="H53" i="5"/>
  <c r="I53" i="5"/>
  <c r="J53" i="5"/>
  <c r="K53" i="5"/>
  <c r="C52" i="5"/>
  <c r="D52" i="5"/>
  <c r="E52" i="5"/>
  <c r="F52" i="5"/>
  <c r="G52" i="5"/>
  <c r="H52" i="5"/>
  <c r="I52" i="5"/>
  <c r="J52" i="5"/>
  <c r="K52" i="5"/>
  <c r="B57" i="5"/>
  <c r="B56" i="5"/>
  <c r="B55" i="5"/>
  <c r="B54" i="5"/>
  <c r="B53" i="5"/>
  <c r="B52" i="5"/>
  <c r="C36" i="5"/>
  <c r="C44" i="5"/>
  <c r="C50" i="5"/>
  <c r="D36" i="5"/>
  <c r="D44" i="5"/>
  <c r="D50" i="5"/>
  <c r="E36" i="5"/>
  <c r="E44" i="5"/>
  <c r="E50" i="5"/>
  <c r="F36" i="5"/>
  <c r="F44" i="5"/>
  <c r="F50" i="5"/>
  <c r="G36" i="5"/>
  <c r="G44" i="5"/>
  <c r="G50" i="5"/>
  <c r="H36" i="5"/>
  <c r="H44" i="5"/>
  <c r="H50" i="5"/>
  <c r="I36" i="5"/>
  <c r="I44" i="5"/>
  <c r="I50" i="5"/>
  <c r="J36" i="5"/>
  <c r="J44" i="5"/>
  <c r="J50" i="5"/>
  <c r="K36" i="5"/>
  <c r="K44" i="5"/>
  <c r="K50" i="5"/>
  <c r="C49" i="5"/>
  <c r="D49" i="5"/>
  <c r="E49" i="5"/>
  <c r="F49" i="5"/>
  <c r="G49" i="5"/>
  <c r="H49" i="5"/>
  <c r="I49" i="5"/>
  <c r="J49" i="5"/>
  <c r="K49" i="5"/>
  <c r="B36" i="5"/>
  <c r="B44" i="5"/>
  <c r="B50" i="5"/>
  <c r="B49" i="5"/>
  <c r="C46" i="5"/>
  <c r="D46" i="5"/>
  <c r="E46" i="5"/>
  <c r="F46" i="5"/>
  <c r="G46" i="5"/>
  <c r="H46" i="5"/>
  <c r="I46" i="5"/>
  <c r="J46" i="5"/>
  <c r="J39" i="5"/>
  <c r="J47" i="5"/>
  <c r="K46" i="5"/>
  <c r="C45" i="5"/>
  <c r="D45" i="5"/>
  <c r="E45" i="5"/>
  <c r="F45" i="5"/>
  <c r="G45" i="5"/>
  <c r="H45" i="5"/>
  <c r="I45" i="5"/>
  <c r="J45" i="5"/>
  <c r="K45" i="5"/>
  <c r="B46" i="5"/>
  <c r="B45" i="5"/>
  <c r="C42" i="5"/>
  <c r="D42" i="5"/>
  <c r="E42" i="5"/>
  <c r="F42" i="5"/>
  <c r="G42" i="5"/>
  <c r="H42" i="5"/>
  <c r="I42" i="5"/>
  <c r="J42" i="5"/>
  <c r="K42" i="5"/>
  <c r="C41" i="5"/>
  <c r="D41" i="5"/>
  <c r="E41" i="5"/>
  <c r="F41" i="5"/>
  <c r="G41" i="5"/>
  <c r="H41" i="5"/>
  <c r="I41" i="5"/>
  <c r="J41" i="5"/>
  <c r="K41" i="5"/>
  <c r="C40" i="5"/>
  <c r="D40" i="5"/>
  <c r="E40" i="5"/>
  <c r="F40" i="5"/>
  <c r="G40" i="5"/>
  <c r="H40" i="5"/>
  <c r="I40" i="5"/>
  <c r="J40" i="5"/>
  <c r="K40" i="5"/>
  <c r="C39" i="5"/>
  <c r="D39" i="5"/>
  <c r="E39" i="5"/>
  <c r="F39" i="5"/>
  <c r="G39" i="5"/>
  <c r="H39" i="5"/>
  <c r="I39" i="5"/>
  <c r="K39" i="5"/>
  <c r="C38" i="5"/>
  <c r="D38" i="5"/>
  <c r="E38" i="5"/>
  <c r="F38" i="5"/>
  <c r="G38" i="5"/>
  <c r="H38" i="5"/>
  <c r="I38" i="5"/>
  <c r="J38" i="5"/>
  <c r="K38" i="5"/>
  <c r="C37" i="5"/>
  <c r="D37" i="5"/>
  <c r="E37" i="5"/>
  <c r="F37" i="5"/>
  <c r="G37" i="5"/>
  <c r="H37" i="5"/>
  <c r="I37" i="5"/>
  <c r="J37" i="5"/>
  <c r="K37" i="5"/>
  <c r="C35" i="5"/>
  <c r="D35" i="5"/>
  <c r="E35" i="5"/>
  <c r="F35" i="5"/>
  <c r="G35" i="5"/>
  <c r="H35" i="5"/>
  <c r="I35" i="5"/>
  <c r="J35" i="5"/>
  <c r="K35" i="5"/>
  <c r="B42" i="5"/>
  <c r="B41" i="5"/>
  <c r="B40" i="5"/>
  <c r="B39" i="5"/>
  <c r="B38" i="5"/>
  <c r="B37" i="5"/>
  <c r="B35" i="5"/>
  <c r="C22" i="5"/>
  <c r="D22" i="5"/>
  <c r="E22" i="5"/>
  <c r="F22" i="5"/>
  <c r="G22" i="5"/>
  <c r="H22" i="5"/>
  <c r="I22" i="5"/>
  <c r="J22" i="5"/>
  <c r="K22" i="5"/>
  <c r="B21" i="5"/>
  <c r="C33" i="5"/>
  <c r="D33" i="5"/>
  <c r="E33" i="5"/>
  <c r="F33" i="5"/>
  <c r="G33" i="5"/>
  <c r="H33" i="5"/>
  <c r="I33" i="5"/>
  <c r="J33" i="5"/>
  <c r="K33" i="5"/>
  <c r="C32" i="5"/>
  <c r="D32" i="5"/>
  <c r="E32" i="5"/>
  <c r="F32" i="5"/>
  <c r="G32" i="5"/>
  <c r="H32" i="5"/>
  <c r="I32" i="5"/>
  <c r="J32" i="5"/>
  <c r="K32" i="5"/>
  <c r="C31" i="5"/>
  <c r="D31" i="5"/>
  <c r="E31" i="5"/>
  <c r="F31" i="5"/>
  <c r="G31" i="5"/>
  <c r="H31" i="5"/>
  <c r="I31" i="5"/>
  <c r="J31" i="5"/>
  <c r="K31" i="5"/>
  <c r="B31" i="5"/>
  <c r="B32" i="5"/>
  <c r="B33" i="5"/>
  <c r="C28" i="5"/>
  <c r="D28" i="5"/>
  <c r="E28" i="5"/>
  <c r="F28" i="5"/>
  <c r="G28" i="5"/>
  <c r="H28" i="5"/>
  <c r="I28" i="5"/>
  <c r="J28" i="5"/>
  <c r="K28" i="5"/>
  <c r="B28" i="5"/>
  <c r="C27" i="5"/>
  <c r="D27" i="5"/>
  <c r="E27" i="5"/>
  <c r="F27" i="5"/>
  <c r="G27" i="5"/>
  <c r="H27" i="5"/>
  <c r="I27" i="5"/>
  <c r="J27" i="5"/>
  <c r="K27" i="5"/>
  <c r="B27" i="5"/>
  <c r="C25" i="5"/>
  <c r="D25" i="5"/>
  <c r="E25" i="5"/>
  <c r="F25" i="5"/>
  <c r="G25" i="5"/>
  <c r="H25" i="5"/>
  <c r="I25" i="5"/>
  <c r="J25" i="5"/>
  <c r="K25" i="5"/>
  <c r="B25" i="5"/>
  <c r="C24" i="5"/>
  <c r="D24" i="5"/>
  <c r="E24" i="5"/>
  <c r="F24" i="5"/>
  <c r="G24" i="5"/>
  <c r="H24" i="5"/>
  <c r="I24" i="5"/>
  <c r="J24" i="5"/>
  <c r="K24" i="5"/>
  <c r="B24" i="5"/>
  <c r="C23" i="5"/>
  <c r="D23" i="5"/>
  <c r="E23" i="5"/>
  <c r="F23" i="5"/>
  <c r="G23" i="5"/>
  <c r="H23" i="5"/>
  <c r="I23" i="5"/>
  <c r="J23" i="5"/>
  <c r="K23" i="5"/>
  <c r="B23" i="5"/>
  <c r="C20" i="5"/>
  <c r="D20" i="5"/>
  <c r="E20" i="5"/>
  <c r="F20" i="5"/>
  <c r="G20" i="5"/>
  <c r="H20" i="5"/>
  <c r="I20" i="5"/>
  <c r="J20" i="5"/>
  <c r="K20" i="5"/>
  <c r="C19" i="5"/>
  <c r="D19" i="5"/>
  <c r="E19" i="5"/>
  <c r="F19" i="5"/>
  <c r="G19" i="5"/>
  <c r="H19" i="5"/>
  <c r="I19" i="5"/>
  <c r="J19" i="5"/>
  <c r="K19" i="5"/>
  <c r="B22" i="5"/>
  <c r="B20" i="5"/>
  <c r="B19" i="5"/>
  <c r="B16" i="5"/>
  <c r="B15" i="5"/>
  <c r="B14" i="5"/>
  <c r="B13" i="5"/>
  <c r="N7" i="5"/>
  <c r="N6" i="5"/>
  <c r="L26" i="7"/>
  <c r="K8" i="5"/>
  <c r="K7" i="5"/>
  <c r="K6" i="5"/>
  <c r="J8" i="5"/>
  <c r="J7" i="5"/>
  <c r="J6" i="5"/>
  <c r="I8" i="5"/>
  <c r="I7" i="5"/>
  <c r="I6" i="5"/>
  <c r="H8" i="5"/>
  <c r="H7" i="5"/>
  <c r="H6" i="5"/>
  <c r="G8" i="5"/>
  <c r="G7" i="5"/>
  <c r="C9" i="5"/>
  <c r="C5" i="5"/>
  <c r="B9" i="5"/>
  <c r="B8" i="5"/>
  <c r="B7" i="5"/>
  <c r="B6" i="5"/>
  <c r="B5" i="5"/>
  <c r="A1" i="5"/>
  <c r="A18" i="5"/>
  <c r="I58" i="5"/>
  <c r="I59" i="5"/>
  <c r="H58" i="5"/>
  <c r="H59" i="5"/>
  <c r="E58" i="5"/>
  <c r="E59" i="5"/>
  <c r="D58" i="5"/>
  <c r="D59" i="5"/>
  <c r="C58" i="5"/>
  <c r="C59" i="5"/>
  <c r="I47" i="5"/>
  <c r="E47" i="5"/>
  <c r="B47" i="5"/>
  <c r="K48" i="5"/>
  <c r="H47" i="5"/>
  <c r="G48" i="5"/>
  <c r="D47" i="5"/>
  <c r="C48" i="5"/>
  <c r="B48" i="5"/>
  <c r="J26" i="5"/>
  <c r="I26" i="5"/>
  <c r="F26" i="5"/>
  <c r="E26" i="5"/>
  <c r="B26" i="5"/>
  <c r="K26" i="5"/>
  <c r="H26" i="5"/>
  <c r="G26" i="5"/>
  <c r="D26" i="5"/>
  <c r="C26" i="5"/>
  <c r="D9" i="5"/>
  <c r="D8" i="5"/>
  <c r="D7" i="5"/>
  <c r="D6" i="5"/>
  <c r="D5" i="5"/>
  <c r="A1" i="7"/>
  <c r="A3" i="7"/>
  <c r="J16" i="7"/>
  <c r="H25" i="7"/>
  <c r="F16" i="7"/>
  <c r="D25" i="7"/>
  <c r="B16" i="7"/>
  <c r="K58" i="5"/>
  <c r="K59" i="5"/>
  <c r="G58" i="5"/>
  <c r="G59" i="5"/>
  <c r="F59" i="5"/>
  <c r="F47" i="5"/>
  <c r="E48" i="5"/>
  <c r="I48" i="5"/>
  <c r="F48" i="5"/>
  <c r="J48" i="5"/>
  <c r="A12" i="5"/>
  <c r="D48" i="5"/>
  <c r="C47" i="5"/>
  <c r="G47" i="5"/>
  <c r="K47" i="5"/>
  <c r="H48" i="5"/>
  <c r="C10" i="7"/>
  <c r="G10" i="7"/>
  <c r="K10" i="7"/>
  <c r="C16" i="7"/>
  <c r="G16" i="7"/>
  <c r="K16" i="7"/>
  <c r="E25" i="7"/>
  <c r="I25" i="7"/>
  <c r="D10" i="7"/>
  <c r="H10" i="7"/>
  <c r="D16" i="7"/>
  <c r="H16" i="7"/>
  <c r="B25" i="7"/>
  <c r="F25" i="7"/>
  <c r="J25" i="7"/>
  <c r="E10" i="7"/>
  <c r="I10" i="7"/>
  <c r="E16" i="7"/>
  <c r="I16" i="7"/>
  <c r="C25" i="7"/>
  <c r="G25" i="7"/>
  <c r="K25" i="7"/>
  <c r="B10" i="7"/>
  <c r="F10" i="7"/>
  <c r="J10" i="7"/>
  <c r="C6" i="3"/>
  <c r="D6" i="3"/>
  <c r="E6" i="3"/>
  <c r="F6" i="3"/>
  <c r="G6" i="3"/>
  <c r="H6" i="3"/>
  <c r="I6" i="3"/>
  <c r="I14" i="3"/>
  <c r="J6" i="3"/>
  <c r="K6" i="3"/>
  <c r="B6" i="3"/>
  <c r="C5" i="1"/>
  <c r="C6" i="1"/>
  <c r="C19" i="1"/>
  <c r="D5" i="1"/>
  <c r="E5" i="1"/>
  <c r="F5" i="1"/>
  <c r="G5" i="1"/>
  <c r="G6" i="1"/>
  <c r="G19" i="1"/>
  <c r="H5" i="1"/>
  <c r="I5" i="1"/>
  <c r="J5" i="1"/>
  <c r="K5" i="1"/>
  <c r="K6" i="1"/>
  <c r="K19" i="1"/>
  <c r="B5" i="1"/>
  <c r="K93" i="6"/>
  <c r="C93" i="6"/>
  <c r="C13" i="1"/>
  <c r="C14" i="1"/>
  <c r="D93" i="6"/>
  <c r="D13" i="1"/>
  <c r="E93" i="6"/>
  <c r="F93" i="6"/>
  <c r="G93" i="6"/>
  <c r="H93" i="6"/>
  <c r="H13" i="1"/>
  <c r="I93" i="6"/>
  <c r="J93" i="6"/>
  <c r="B93" i="6"/>
  <c r="B13" i="1"/>
  <c r="K13" i="1"/>
  <c r="K14" i="1"/>
  <c r="B6" i="6"/>
  <c r="L13" i="1"/>
  <c r="L14" i="1"/>
  <c r="L25" i="1"/>
  <c r="C17" i="2"/>
  <c r="D17" i="2"/>
  <c r="E17" i="2"/>
  <c r="F17" i="2"/>
  <c r="F20" i="2"/>
  <c r="G17" i="2"/>
  <c r="H17" i="2"/>
  <c r="I17" i="2"/>
  <c r="J17" i="2"/>
  <c r="J20" i="2"/>
  <c r="K17" i="2"/>
  <c r="C18" i="2"/>
  <c r="D18" i="2"/>
  <c r="E18" i="2"/>
  <c r="E21" i="2"/>
  <c r="F18" i="2"/>
  <c r="G18" i="2"/>
  <c r="H18" i="2"/>
  <c r="I18" i="2"/>
  <c r="I21" i="2"/>
  <c r="J18" i="2"/>
  <c r="K18" i="2"/>
  <c r="B17" i="2"/>
  <c r="C4" i="2"/>
  <c r="D24" i="2"/>
  <c r="D4" i="2"/>
  <c r="E24" i="2"/>
  <c r="E4" i="2"/>
  <c r="F24" i="2"/>
  <c r="E5" i="2"/>
  <c r="E23" i="2"/>
  <c r="F4" i="2"/>
  <c r="G4" i="2"/>
  <c r="H24" i="2"/>
  <c r="H4" i="2"/>
  <c r="I24" i="2"/>
  <c r="I4" i="2"/>
  <c r="I23" i="2"/>
  <c r="I5" i="2"/>
  <c r="J4" i="2"/>
  <c r="J23" i="2"/>
  <c r="J5" i="2"/>
  <c r="K24" i="2"/>
  <c r="K4" i="2"/>
  <c r="C5" i="2"/>
  <c r="D5" i="2"/>
  <c r="F5" i="2"/>
  <c r="G5" i="2"/>
  <c r="H5" i="2"/>
  <c r="K5" i="2"/>
  <c r="K23" i="2"/>
  <c r="C6" i="2"/>
  <c r="D6" i="2"/>
  <c r="E6" i="2"/>
  <c r="F6" i="2"/>
  <c r="G24" i="2"/>
  <c r="G6" i="2"/>
  <c r="H6" i="2"/>
  <c r="I6" i="2"/>
  <c r="J6" i="2"/>
  <c r="K6" i="2"/>
  <c r="C7" i="2"/>
  <c r="D7" i="2"/>
  <c r="E7" i="2"/>
  <c r="E16" i="2"/>
  <c r="F7" i="2"/>
  <c r="G7" i="2"/>
  <c r="H7" i="2"/>
  <c r="I7" i="2"/>
  <c r="I16" i="2"/>
  <c r="J7" i="2"/>
  <c r="K7" i="2"/>
  <c r="C8" i="2"/>
  <c r="D8" i="2"/>
  <c r="E8" i="2"/>
  <c r="F8" i="2"/>
  <c r="G8" i="2"/>
  <c r="H8" i="2"/>
  <c r="I8" i="2"/>
  <c r="J8" i="2"/>
  <c r="K8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H16" i="2"/>
  <c r="I13" i="2"/>
  <c r="J13" i="2"/>
  <c r="K13" i="2"/>
  <c r="C14" i="2"/>
  <c r="D14" i="2"/>
  <c r="E14" i="2"/>
  <c r="F14" i="2"/>
  <c r="G14" i="2"/>
  <c r="H14" i="2"/>
  <c r="I14" i="2"/>
  <c r="J14" i="2"/>
  <c r="K14" i="2"/>
  <c r="B14" i="2"/>
  <c r="B5" i="2"/>
  <c r="B4" i="2"/>
  <c r="C24" i="2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4" i="3"/>
  <c r="C14" i="3"/>
  <c r="D4" i="3"/>
  <c r="E4" i="3"/>
  <c r="F4" i="3"/>
  <c r="G4" i="3"/>
  <c r="G14" i="3"/>
  <c r="H4" i="3"/>
  <c r="I4" i="3"/>
  <c r="J4" i="3"/>
  <c r="K4" i="3"/>
  <c r="L4" i="1"/>
  <c r="L23" i="1"/>
  <c r="C5" i="3"/>
  <c r="D5" i="3"/>
  <c r="E5" i="3"/>
  <c r="F5" i="3"/>
  <c r="G5" i="3"/>
  <c r="H5" i="3"/>
  <c r="I5" i="3"/>
  <c r="J5" i="3"/>
  <c r="L5" i="1"/>
  <c r="K5" i="3"/>
  <c r="C7" i="3"/>
  <c r="D7" i="3"/>
  <c r="E7" i="3"/>
  <c r="F7" i="3"/>
  <c r="G7" i="3"/>
  <c r="H7" i="3"/>
  <c r="I7" i="3"/>
  <c r="L7" i="1"/>
  <c r="J7" i="3"/>
  <c r="K7" i="3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L9" i="1"/>
  <c r="C10" i="3"/>
  <c r="D10" i="3"/>
  <c r="E10" i="3"/>
  <c r="F10" i="3"/>
  <c r="G10" i="3"/>
  <c r="H10" i="3"/>
  <c r="I10" i="3"/>
  <c r="J10" i="3"/>
  <c r="L10" i="1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L12" i="1"/>
  <c r="I12" i="3"/>
  <c r="J12" i="3"/>
  <c r="K12" i="3"/>
  <c r="B5" i="3"/>
  <c r="C18" i="1"/>
  <c r="D18" i="1"/>
  <c r="E18" i="1"/>
  <c r="F18" i="1"/>
  <c r="G18" i="1"/>
  <c r="H18" i="1"/>
  <c r="I18" i="1"/>
  <c r="J18" i="1"/>
  <c r="K18" i="1"/>
  <c r="B18" i="1"/>
  <c r="C4" i="1"/>
  <c r="D4" i="1"/>
  <c r="D20" i="2"/>
  <c r="E4" i="1"/>
  <c r="F4" i="1"/>
  <c r="G4" i="1"/>
  <c r="H4" i="1"/>
  <c r="H6" i="1"/>
  <c r="H19" i="1"/>
  <c r="I4" i="1"/>
  <c r="J4" i="1"/>
  <c r="K4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D12" i="1"/>
  <c r="E12" i="1"/>
  <c r="E13" i="1"/>
  <c r="E14" i="1"/>
  <c r="F12" i="1"/>
  <c r="F13" i="1"/>
  <c r="G12" i="1"/>
  <c r="G13" i="1"/>
  <c r="G14" i="1"/>
  <c r="H12" i="1"/>
  <c r="I12" i="1"/>
  <c r="J12" i="1"/>
  <c r="J13" i="1"/>
  <c r="K12" i="1"/>
  <c r="C15" i="1"/>
  <c r="D15" i="1"/>
  <c r="D14" i="1"/>
  <c r="E15" i="1"/>
  <c r="F15" i="1"/>
  <c r="F14" i="1"/>
  <c r="G15" i="1"/>
  <c r="H15" i="1"/>
  <c r="H14" i="1"/>
  <c r="I15" i="1"/>
  <c r="J15" i="1"/>
  <c r="J14" i="1"/>
  <c r="K15" i="1"/>
  <c r="B15" i="1"/>
  <c r="B14" i="1"/>
  <c r="I13" i="1"/>
  <c r="I14" i="1"/>
  <c r="B7" i="1"/>
  <c r="B4" i="1"/>
  <c r="A1" i="1"/>
  <c r="E1" i="6"/>
  <c r="E1" i="4"/>
  <c r="E1" i="2"/>
  <c r="D16" i="2"/>
  <c r="G16" i="2"/>
  <c r="C23" i="2"/>
  <c r="K16" i="2"/>
  <c r="C16" i="2"/>
  <c r="G23" i="2"/>
  <c r="J16" i="2"/>
  <c r="F16" i="2"/>
  <c r="B23" i="2"/>
  <c r="E6" i="1"/>
  <c r="E19" i="1"/>
  <c r="H23" i="2"/>
  <c r="D23" i="2"/>
  <c r="I6" i="1"/>
  <c r="I19" i="1"/>
  <c r="J6" i="1"/>
  <c r="J19" i="1"/>
  <c r="K24" i="1"/>
  <c r="F6" i="1"/>
  <c r="F19" i="1"/>
  <c r="B6" i="1"/>
  <c r="C3" i="4"/>
  <c r="D3" i="4"/>
  <c r="E3" i="4"/>
  <c r="F3" i="4"/>
  <c r="G3" i="4"/>
  <c r="H3" i="4"/>
  <c r="I3" i="4"/>
  <c r="J3" i="4"/>
  <c r="K3" i="4"/>
  <c r="C3" i="2"/>
  <c r="D3" i="2"/>
  <c r="E3" i="2"/>
  <c r="F3" i="2"/>
  <c r="G3" i="2"/>
  <c r="H3" i="2"/>
  <c r="I3" i="2"/>
  <c r="J3" i="2"/>
  <c r="K3" i="2"/>
  <c r="C3" i="3"/>
  <c r="D3" i="3"/>
  <c r="E3" i="3"/>
  <c r="F3" i="3"/>
  <c r="G3" i="3"/>
  <c r="H3" i="3"/>
  <c r="I3" i="3"/>
  <c r="J3" i="3"/>
  <c r="K3" i="3"/>
  <c r="C3" i="1"/>
  <c r="D3" i="1"/>
  <c r="E3" i="1"/>
  <c r="F3" i="1"/>
  <c r="G3" i="1"/>
  <c r="H3" i="1"/>
  <c r="I3" i="1"/>
  <c r="J3" i="1"/>
  <c r="K3" i="1"/>
  <c r="B7" i="4"/>
  <c r="B6" i="4"/>
  <c r="B5" i="4"/>
  <c r="B4" i="4"/>
  <c r="B3" i="4"/>
  <c r="K21" i="2"/>
  <c r="J21" i="2"/>
  <c r="G21" i="2"/>
  <c r="F21" i="2"/>
  <c r="C21" i="2"/>
  <c r="B18" i="2"/>
  <c r="B21" i="2"/>
  <c r="B13" i="2"/>
  <c r="B16" i="2"/>
  <c r="B12" i="2"/>
  <c r="B11" i="2"/>
  <c r="B10" i="2"/>
  <c r="B8" i="2"/>
  <c r="B7" i="2"/>
  <c r="B6" i="2"/>
  <c r="B3" i="2"/>
  <c r="J14" i="3"/>
  <c r="H14" i="3"/>
  <c r="F14" i="3"/>
  <c r="D14" i="3"/>
  <c r="B12" i="3"/>
  <c r="B11" i="3"/>
  <c r="B10" i="3"/>
  <c r="B9" i="3"/>
  <c r="B8" i="3"/>
  <c r="B7" i="3"/>
  <c r="B4" i="3"/>
  <c r="B3" i="3"/>
  <c r="L15" i="1"/>
  <c r="B12" i="1"/>
  <c r="B11" i="1"/>
  <c r="B10" i="1"/>
  <c r="B9" i="1"/>
  <c r="B8" i="1"/>
  <c r="B20" i="2"/>
  <c r="B3" i="1"/>
  <c r="B14" i="3"/>
  <c r="E14" i="3"/>
  <c r="K14" i="3"/>
  <c r="G20" i="2"/>
  <c r="I20" i="2"/>
  <c r="K20" i="2"/>
  <c r="C20" i="2"/>
  <c r="E20" i="2"/>
  <c r="L11" i="1"/>
  <c r="L8" i="1"/>
  <c r="M8" i="1"/>
  <c r="A1" i="3"/>
  <c r="A1" i="2"/>
  <c r="A1" i="4"/>
  <c r="H23" i="1"/>
  <c r="J23" i="1"/>
  <c r="B19" i="1"/>
  <c r="N8" i="1"/>
  <c r="J25" i="1"/>
  <c r="I24" i="1"/>
  <c r="M11" i="1"/>
  <c r="N11" i="1"/>
  <c r="N9" i="1"/>
  <c r="M9" i="1"/>
  <c r="K25" i="1"/>
  <c r="M25" i="1"/>
  <c r="M14" i="1"/>
  <c r="H25" i="1"/>
  <c r="N25" i="1"/>
  <c r="N14" i="1"/>
  <c r="I25" i="1"/>
  <c r="D21" i="2"/>
  <c r="H21" i="2"/>
  <c r="D6" i="1"/>
  <c r="D19" i="1"/>
  <c r="H24" i="1"/>
  <c r="N24" i="1"/>
  <c r="F23" i="2"/>
  <c r="J24" i="2"/>
  <c r="L6" i="1"/>
  <c r="L19" i="1"/>
  <c r="L24" i="1"/>
  <c r="M24" i="1"/>
  <c r="J24" i="1"/>
  <c r="H20" i="2"/>
  <c r="H1" i="1"/>
  <c r="E1" i="3"/>
  <c r="I23" i="1"/>
  <c r="K23" i="1"/>
  <c r="M23" i="1"/>
  <c r="M4" i="1"/>
  <c r="M6" i="1"/>
  <c r="M10" i="1"/>
  <c r="M12" i="1"/>
  <c r="M13" i="1"/>
  <c r="M15" i="1"/>
  <c r="N23" i="1"/>
  <c r="N4" i="1"/>
  <c r="N6" i="1"/>
  <c r="N10" i="1"/>
  <c r="N12" i="1"/>
  <c r="N13" i="1"/>
  <c r="N15" i="1"/>
  <c r="N5" i="1"/>
  <c r="M5" i="1"/>
</calcChain>
</file>

<file path=xl/comments1.xml><?xml version="1.0" encoding="utf-8"?>
<comments xmlns="http://schemas.openxmlformats.org/spreadsheetml/2006/main">
  <authors>
    <author/>
  </authors>
  <commentList>
    <comment ref="A22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>measures potential credit risk.</t>
        </r>
      </text>
    </comment>
    <comment ref="A23" authorId="0" shapeId="0">
      <text>
        <r>
          <rPr>
            <b/>
            <sz val="9"/>
            <color indexed="8"/>
            <rFont val="Tahoma"/>
            <family val="2"/>
            <charset val="1"/>
          </rPr>
          <t>Shrey Sao</t>
        </r>
      </text>
    </comment>
    <comment ref="A25" authorId="0" shapeId="0">
      <text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A26" authorId="0" shapeId="0">
      <text>
        <r>
          <rPr>
            <b/>
            <sz val="9"/>
            <color indexed="8"/>
            <rFont val="Tahoma"/>
            <family val="2"/>
            <charset val="1"/>
          </rPr>
          <t>Shrey</t>
        </r>
      </text>
    </comment>
    <comment ref="A44" authorId="0" shapeId="0">
      <text/>
    </comment>
    <comment ref="A50" authorId="0" shapeId="0">
      <text>
        <r>
          <rPr>
            <b/>
            <sz val="9"/>
            <color indexed="8"/>
            <rFont val="Tahoma"/>
            <family val="2"/>
            <charset val="1"/>
          </rPr>
          <t>Shrey Sao:</t>
        </r>
      </text>
    </comment>
  </commentList>
</comments>
</file>

<file path=xl/sharedStrings.xml><?xml version="1.0" encoding="utf-8"?>
<sst xmlns="http://schemas.openxmlformats.org/spreadsheetml/2006/main" count="306" uniqueCount="234">
  <si>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</si>
  <si>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</si>
  <si>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</si>
  <si>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</si>
  <si>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</si>
  <si>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</si>
  <si>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</si>
  <si>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</si>
  <si>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</si>
  <si>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</si>
  <si>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</si>
  <si>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</si>
  <si>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</si>
  <si>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</si>
  <si>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</si>
  <si>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</si>
  <si>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</si>
  <si>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</si>
  <si>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</si>
  <si>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</si>
  <si>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</si>
  <si>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</si>
  <si>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</si>
  <si>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</si>
  <si>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</si>
  <si>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</si>
  <si>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</si>
  <si>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</si>
  <si>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</si>
  <si>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</si>
  <si>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</si>
  <si>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</si>
  <si>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</si>
  <si>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</si>
  <si>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</si>
  <si>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</si>
  <si>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</si>
  <si>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</si>
  <si>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</si>
  <si>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</si>
  <si>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</si>
  <si>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</si>
  <si>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</si>
  <si>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</si>
  <si>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</si>
  <si>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</si>
  <si>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</si>
  <si>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</si>
  <si>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EPS</t>
  </si>
  <si>
    <t>Price</t>
  </si>
  <si>
    <t>Return on Equity</t>
  </si>
  <si>
    <t>Return on Capital Emp</t>
  </si>
  <si>
    <t>LATEST VERSION</t>
  </si>
  <si>
    <t>CURRENT VERSION</t>
  </si>
  <si>
    <t>RAIN INDUSTRIES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</si>
  <si>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</si>
  <si>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</si>
  <si>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</si>
  <si>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</si>
  <si>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</si>
  <si>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</si>
  <si>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</si>
  <si>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</si>
  <si>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</si>
  <si>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</si>
  <si>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</si>
  <si>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</si>
  <si>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</si>
  <si>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</si>
  <si>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</si>
  <si>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</si>
  <si>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</si>
  <si>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</si>
  <si>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</si>
  <si>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</si>
  <si>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</si>
  <si>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</si>
  <si>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</si>
  <si>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</si>
  <si>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</si>
  <si>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</si>
  <si>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Gross Profit</t>
  </si>
  <si>
    <t>EBIT</t>
  </si>
  <si>
    <t>EBITDA</t>
  </si>
  <si>
    <t>Operating Profit (excl Other Income)</t>
  </si>
  <si>
    <t>PAT</t>
  </si>
  <si>
    <t>Dividend</t>
  </si>
  <si>
    <t>Networth</t>
  </si>
  <si>
    <t>Invested Capital</t>
  </si>
  <si>
    <t>Capital Employed</t>
  </si>
  <si>
    <t>Total Assets</t>
  </si>
  <si>
    <t>Operating Cash Flow</t>
  </si>
  <si>
    <t>Capex</t>
  </si>
  <si>
    <t>CHECK?</t>
  </si>
  <si>
    <t>Free Cash Flow</t>
  </si>
  <si>
    <t>Tax Rate</t>
  </si>
  <si>
    <t>NOPLAT</t>
  </si>
  <si>
    <t>RoIC</t>
  </si>
  <si>
    <t>WACC</t>
  </si>
  <si>
    <t>EPA (Economic Profit Added)</t>
  </si>
  <si>
    <t>CURRENT</t>
  </si>
  <si>
    <t>MktCap</t>
  </si>
  <si>
    <t>MktCap+Dividend</t>
  </si>
  <si>
    <t>Retained Profit</t>
  </si>
  <si>
    <t>EV</t>
  </si>
  <si>
    <t>Price/Earnings</t>
  </si>
  <si>
    <t>Price/Book</t>
  </si>
  <si>
    <t>Price/CashFlow</t>
  </si>
  <si>
    <t>Price/Sales</t>
  </si>
  <si>
    <t>EV/EBITDA</t>
  </si>
  <si>
    <t>Dividend Yield</t>
  </si>
  <si>
    <t>Z-Weights</t>
  </si>
  <si>
    <t>Working Capital/Total Assets</t>
  </si>
  <si>
    <t>Retained Profits/Total Assets</t>
  </si>
  <si>
    <t>EBIT/Total Assets</t>
  </si>
  <si>
    <t>Market Cap/Total Liabilities</t>
  </si>
  <si>
    <t>Sales/Total Assets</t>
  </si>
  <si>
    <t>Altman Z-Score</t>
  </si>
  <si>
    <t>Z &gt; 2.99 -“Safe” Zones</t>
  </si>
  <si>
    <t>1.81 &lt; Z &lt; 2.99 -“Grey” Zones</t>
  </si>
  <si>
    <t>Z &lt; 1.81 -“Distress” Zones</t>
  </si>
  <si>
    <t xml:space="preserve"> </t>
  </si>
  <si>
    <t>DELTA NETWORTH</t>
  </si>
  <si>
    <t>DELTA MKTCAP</t>
  </si>
  <si>
    <t>IMPACT*</t>
  </si>
  <si>
    <t>HISTORICAL VALUATIONS</t>
  </si>
  <si>
    <t>PRE-TAX BOND</t>
  </si>
  <si>
    <t>10 YR</t>
  </si>
  <si>
    <t>P/E</t>
  </si>
  <si>
    <t>P/B</t>
  </si>
  <si>
    <t>P/SALES</t>
  </si>
  <si>
    <t>YIELD</t>
  </si>
  <si>
    <t>LongTerm Bond</t>
  </si>
  <si>
    <t>7 YR</t>
  </si>
  <si>
    <t>MIN</t>
  </si>
  <si>
    <t>LTB Quote</t>
  </si>
  <si>
    <t>5 YR</t>
  </si>
  <si>
    <t>MAX</t>
  </si>
  <si>
    <t>Equity Quoting @</t>
  </si>
  <si>
    <t>3 YR</t>
  </si>
  <si>
    <t>TRAILING</t>
  </si>
  <si>
    <t>1 YR</t>
  </si>
  <si>
    <t>* IMPACT – Every Rupee retained added xx.yy in incremental market value</t>
  </si>
  <si>
    <t>SALES</t>
  </si>
  <si>
    <t>GROSS PROFIT</t>
  </si>
  <si>
    <t>DIVIDEND</t>
  </si>
  <si>
    <t>EPA**</t>
  </si>
  <si>
    <t>MKTCAP</t>
  </si>
  <si>
    <t>CFO**</t>
  </si>
  <si>
    <t>FCF**</t>
  </si>
  <si>
    <t>NETWORTH</t>
  </si>
  <si>
    <t>TOTAL RETURNS</t>
  </si>
  <si>
    <t>10 YR CAGR</t>
  </si>
  <si>
    <t>5 YR CAGR</t>
  </si>
  <si>
    <t>3 YR CAGR</t>
  </si>
  <si>
    <t>1 YR GROWTH</t>
  </si>
  <si>
    <t>**modify (if, then) for negative values</t>
  </si>
  <si>
    <t xml:space="preserve">    </t>
  </si>
  <si>
    <t>Total Assets/Networth= Financial Leverage</t>
  </si>
  <si>
    <t>Long term debt/Earning</t>
  </si>
  <si>
    <t>Current liablility/Earning</t>
  </si>
  <si>
    <t>Total liability/Earning</t>
  </si>
  <si>
    <t>Debt/Equity</t>
  </si>
  <si>
    <t>Interest Coverage</t>
  </si>
  <si>
    <t>Working Capital/Sales</t>
  </si>
  <si>
    <t>Check for improving or deteriorating picture</t>
  </si>
  <si>
    <t>Inventory Turns</t>
  </si>
  <si>
    <t>Inventory Days</t>
  </si>
  <si>
    <t>Creditor Days</t>
  </si>
  <si>
    <t>Check back to see if Creditor policy change is impacting Working Cap cycle</t>
  </si>
  <si>
    <t>Cash Conversion Cycle</t>
  </si>
  <si>
    <t>Cash In/Cash Out Ratio</t>
  </si>
  <si>
    <t xml:space="preserve">  </t>
  </si>
  <si>
    <t>Current Ratio</t>
  </si>
  <si>
    <t>CFO/PAT</t>
  </si>
  <si>
    <t>Gross Margin =Gross Profit/Sales</t>
  </si>
  <si>
    <t>EBIT/Sales</t>
  </si>
  <si>
    <t>EBITDA/Sales</t>
  </si>
  <si>
    <t>Op Profit (Ex Other Income)/Sales</t>
  </si>
  <si>
    <t>Net Margin =PAT/Sales</t>
  </si>
  <si>
    <t>Op Cash Flow/Sales</t>
  </si>
  <si>
    <t>Free Cash Flow/Sales</t>
  </si>
  <si>
    <t>EPA/Sales</t>
  </si>
  <si>
    <t>Sales/Invested Capital =Capital Turns</t>
  </si>
  <si>
    <t>Sales/Fixed Assets= Fixed Asset Turns</t>
  </si>
  <si>
    <t>Sales/Total Assets= Asset Turns</t>
  </si>
  <si>
    <t>Net Margin*Asset Turns= RoA</t>
  </si>
  <si>
    <t>Check back what is really driving RoA (Net Margins or Asset Turns, or both)</t>
  </si>
  <si>
    <t>Net Margin*Asset Turn*Fin Leverage= RoE</t>
  </si>
  <si>
    <t>Check back what is really driving RoE (Net Margins, Asset Turns, or Financial Leverage)</t>
  </si>
  <si>
    <t>RoCE</t>
  </si>
  <si>
    <t>EBIT Margin*Cap Turns*(1-Tax rate)= RoIC</t>
  </si>
  <si>
    <t>Check back what is really driving RoIC (Op Margins or Capital Turns, or both)</t>
  </si>
  <si>
    <t>Cash/Assets</t>
  </si>
  <si>
    <t>EBIT/Invested Capital</t>
  </si>
  <si>
    <t xml:space="preserve">Check back the significant role of EBIT/Invested Capital </t>
  </si>
  <si>
    <t>EPA</t>
  </si>
  <si>
    <t>Check back what is really driving EPA (Invested Capital or RoIC, or both)</t>
  </si>
  <si>
    <t>MktCap Change</t>
  </si>
  <si>
    <t>MktCap Change - EPA</t>
  </si>
  <si>
    <t>Capex/Net Profits 10 yr</t>
  </si>
  <si>
    <t>Capex/Net Profits 7 yr</t>
  </si>
  <si>
    <t>Capex/Net Profits 5 yr</t>
  </si>
  <si>
    <t>Capex/Net Profits 3 yr</t>
  </si>
  <si>
    <t>Capex/Depreciation 10 yr</t>
  </si>
  <si>
    <t>YOY</t>
  </si>
  <si>
    <t>ShareHolders Funds</t>
  </si>
  <si>
    <t>Total Debt</t>
  </si>
  <si>
    <t xml:space="preserve">Free Cash Flow </t>
  </si>
  <si>
    <t>EPS Valuation</t>
  </si>
  <si>
    <t>Book value</t>
  </si>
  <si>
    <t>Graham Number</t>
  </si>
  <si>
    <t>Average Fair Price</t>
  </si>
  <si>
    <t>Net Profit Margin</t>
  </si>
  <si>
    <t>Operating Profit Margin</t>
  </si>
  <si>
    <t>3-Year Avg. FCF</t>
  </si>
  <si>
    <t>Years:</t>
  </si>
  <si>
    <t>1-5</t>
  </si>
  <si>
    <t>6-10</t>
  </si>
  <si>
    <t>Growth Rate:</t>
  </si>
  <si>
    <t>Terminal Growth Rate:</t>
  </si>
  <si>
    <t>Discount Rate:</t>
  </si>
  <si>
    <t>Shares Outstanding (Nos.):</t>
  </si>
  <si>
    <t>Year</t>
  </si>
  <si>
    <t>FCF</t>
  </si>
  <si>
    <t>Growth</t>
  </si>
  <si>
    <t>Present Value (PV)</t>
  </si>
  <si>
    <t>Terminal Year CF:</t>
  </si>
  <si>
    <t>Terminal Value:</t>
  </si>
  <si>
    <t>Intrinsic Value per Share (IV):</t>
  </si>
  <si>
    <t>Present Value of Year 1-10 Cash Flows:</t>
  </si>
  <si>
    <t>Total Present Value  of Cash Flows:</t>
  </si>
  <si>
    <t xml:space="preserve">Valuation with 25% Margin of safety </t>
  </si>
  <si>
    <t>Interinsic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</si>
</sst>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70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rgb="FFC0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indexed="61"/>
        <bgColor indexed="25"/>
      </patternFill>
    </fill>
    <fill>
      <patternFill patternType="solid">
        <fgColor indexed="19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</cellStyleXfs>
  <cellXfs count="143">
    <xf numFmtId="0" fontId="0" fillId="0" borderId="0" xfId="0"/>
    <xf numFmtId="43" fontId="1" fillId="0" borderId="0" xfId="1" applyFont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43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43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43" fontId="2" fillId="2" borderId="0" xfId="3" applyNumberFormat="1" applyFont="1" applyBorder="1"/>
    <xf numFmtId="43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center"/>
    </xf>
    <xf numFmtId="43" fontId="0" fillId="0" borderId="0" xfId="1" applyNumberFormat="1" applyFont="1" applyBorder="1"/>
    <xf numFmtId="10" fontId="1" fillId="0" borderId="0" xfId="0" applyNumberFormat="1" applyFont="1" applyBorder="1"/>
    <xf numFmtId="165" fontId="2" fillId="5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/>
    <xf numFmtId="164" fontId="0" fillId="0" borderId="0" xfId="1" applyNumberFormat="1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0" fontId="10" fillId="0" borderId="1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0" fontId="9" fillId="0" borderId="1" xfId="0" applyFont="1" applyBorder="1"/>
    <xf numFmtId="2" fontId="10" fillId="0" borderId="1" xfId="0" applyNumberFormat="1" applyFont="1" applyBorder="1"/>
    <xf numFmtId="9" fontId="11" fillId="0" borderId="1" xfId="6" applyFont="1" applyBorder="1"/>
    <xf numFmtId="9" fontId="10" fillId="0" borderId="1" xfId="0" applyNumberFormat="1" applyFont="1" applyBorder="1"/>
    <xf numFmtId="2" fontId="10" fillId="0" borderId="4" xfId="0" applyNumberFormat="1" applyFont="1" applyBorder="1"/>
    <xf numFmtId="2" fontId="10" fillId="0" borderId="3" xfId="0" applyNumberFormat="1" applyFont="1" applyBorder="1"/>
    <xf numFmtId="2" fontId="10" fillId="0" borderId="0" xfId="0" applyNumberFormat="1" applyFont="1"/>
    <xf numFmtId="2" fontId="10" fillId="0" borderId="5" xfId="0" applyNumberFormat="1" applyFont="1" applyBorder="1"/>
    <xf numFmtId="10" fontId="10" fillId="0" borderId="5" xfId="0" applyNumberFormat="1" applyFont="1" applyBorder="1"/>
    <xf numFmtId="0" fontId="8" fillId="0" borderId="0" xfId="0" applyFont="1"/>
    <xf numFmtId="165" fontId="2" fillId="5" borderId="0" xfId="0" applyNumberFormat="1" applyFont="1" applyFill="1" applyBorder="1" applyAlignment="1">
      <alignment horizontal="center" wrapText="1"/>
    </xf>
    <xf numFmtId="1" fontId="13" fillId="6" borderId="5" xfId="0" applyNumberFormat="1" applyFont="1" applyFill="1" applyBorder="1"/>
    <xf numFmtId="2" fontId="13" fillId="6" borderId="5" xfId="0" applyNumberFormat="1" applyFont="1" applyFill="1" applyBorder="1"/>
    <xf numFmtId="0" fontId="9" fillId="0" borderId="5" xfId="0" applyFont="1" applyBorder="1"/>
    <xf numFmtId="0" fontId="13" fillId="6" borderId="5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/>
    </xf>
    <xf numFmtId="0" fontId="13" fillId="6" borderId="5" xfId="0" applyFont="1" applyFill="1" applyBorder="1"/>
    <xf numFmtId="9" fontId="13" fillId="6" borderId="5" xfId="0" applyNumberFormat="1" applyFont="1" applyFill="1" applyBorder="1" applyAlignment="1">
      <alignment horizontal="center"/>
    </xf>
    <xf numFmtId="0" fontId="8" fillId="0" borderId="5" xfId="0" applyFont="1" applyBorder="1"/>
    <xf numFmtId="2" fontId="13" fillId="6" borderId="5" xfId="0" applyNumberFormat="1" applyFont="1" applyFill="1" applyBorder="1" applyAlignment="1">
      <alignment horizontal="center"/>
    </xf>
    <xf numFmtId="10" fontId="13" fillId="6" borderId="5" xfId="0" applyNumberFormat="1" applyFont="1" applyFill="1" applyBorder="1" applyAlignment="1">
      <alignment horizontal="center"/>
    </xf>
    <xf numFmtId="0" fontId="13" fillId="6" borderId="0" xfId="0" applyFont="1" applyFill="1"/>
    <xf numFmtId="0" fontId="13" fillId="6" borderId="5" xfId="0" applyFont="1" applyFill="1" applyBorder="1" applyAlignment="1">
      <alignment horizontal="left"/>
    </xf>
    <xf numFmtId="0" fontId="9" fillId="6" borderId="0" xfId="0" applyFont="1" applyFill="1"/>
    <xf numFmtId="2" fontId="9" fillId="0" borderId="5" xfId="0" applyNumberFormat="1" applyFont="1" applyBorder="1"/>
    <xf numFmtId="0" fontId="13" fillId="0" borderId="5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10" fontId="14" fillId="7" borderId="9" xfId="0" applyNumberFormat="1" applyFont="1" applyFill="1" applyBorder="1"/>
    <xf numFmtId="10" fontId="8" fillId="0" borderId="0" xfId="0" applyNumberFormat="1" applyFont="1" applyBorder="1"/>
    <xf numFmtId="2" fontId="14" fillId="6" borderId="9" xfId="0" applyNumberFormat="1" applyFont="1" applyFill="1" applyBorder="1"/>
    <xf numFmtId="2" fontId="9" fillId="0" borderId="0" xfId="0" applyNumberFormat="1" applyFont="1"/>
    <xf numFmtId="10" fontId="14" fillId="6" borderId="9" xfId="0" applyNumberFormat="1" applyFont="1" applyFill="1" applyBorder="1"/>
    <xf numFmtId="1" fontId="14" fillId="6" borderId="9" xfId="0" applyNumberFormat="1" applyFont="1" applyFill="1" applyBorder="1"/>
    <xf numFmtId="10" fontId="13" fillId="7" borderId="9" xfId="0" applyNumberFormat="1" applyFont="1" applyFill="1" applyBorder="1" applyAlignment="1">
      <alignment horizontal="right"/>
    </xf>
    <xf numFmtId="10" fontId="9" fillId="0" borderId="0" xfId="0" applyNumberFormat="1" applyFont="1"/>
    <xf numFmtId="2" fontId="9" fillId="0" borderId="9" xfId="0" applyNumberFormat="1" applyFont="1" applyFill="1" applyBorder="1" applyAlignment="1">
      <alignment horizontal="right"/>
    </xf>
    <xf numFmtId="10" fontId="9" fillId="0" borderId="9" xfId="0" applyNumberFormat="1" applyFont="1" applyBorder="1"/>
    <xf numFmtId="10" fontId="9" fillId="0" borderId="9" xfId="6" applyNumberFormat="1" applyFont="1" applyBorder="1"/>
    <xf numFmtId="2" fontId="9" fillId="0" borderId="9" xfId="0" applyNumberFormat="1" applyFont="1" applyBorder="1"/>
    <xf numFmtId="1" fontId="9" fillId="0" borderId="9" xfId="0" applyNumberFormat="1" applyFont="1" applyFill="1" applyBorder="1" applyAlignment="1"/>
    <xf numFmtId="0" fontId="9" fillId="0" borderId="5" xfId="0" applyFont="1" applyFill="1" applyBorder="1" applyAlignment="1"/>
    <xf numFmtId="1" fontId="9" fillId="0" borderId="5" xfId="0" applyNumberFormat="1" applyFont="1" applyFill="1" applyBorder="1" applyAlignment="1"/>
    <xf numFmtId="2" fontId="9" fillId="0" borderId="0" xfId="0" applyNumberFormat="1" applyFont="1" applyBorder="1"/>
    <xf numFmtId="165" fontId="10" fillId="0" borderId="0" xfId="0" applyNumberFormat="1" applyFont="1"/>
    <xf numFmtId="0" fontId="10" fillId="10" borderId="0" xfId="0" applyFont="1" applyFill="1"/>
    <xf numFmtId="10" fontId="10" fillId="0" borderId="0" xfId="0" applyNumberFormat="1" applyFont="1"/>
    <xf numFmtId="4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10" borderId="11" xfId="0" applyFont="1" applyFill="1" applyBorder="1"/>
    <xf numFmtId="10" fontId="10" fillId="10" borderId="11" xfId="6" applyNumberFormat="1" applyFont="1" applyFill="1" applyBorder="1"/>
    <xf numFmtId="0" fontId="10" fillId="0" borderId="12" xfId="0" applyFont="1" applyBorder="1"/>
    <xf numFmtId="0" fontId="10" fillId="0" borderId="10" xfId="0" applyFont="1" applyBorder="1" applyAlignment="1">
      <alignment wrapText="1"/>
    </xf>
    <xf numFmtId="165" fontId="2" fillId="5" borderId="6" xfId="0" applyNumberFormat="1" applyFont="1" applyFill="1" applyBorder="1" applyAlignment="1">
      <alignment horizontal="center" wrapText="1"/>
    </xf>
    <xf numFmtId="165" fontId="2" fillId="5" borderId="7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43" fontId="4" fillId="0" borderId="0" xfId="2" applyNumberFormat="1" applyBorder="1" applyAlignment="1" applyProtection="1">
      <alignment horizontal="center"/>
    </xf>
    <xf numFmtId="43" fontId="2" fillId="4" borderId="0" xfId="5" applyNumberFormat="1" applyFont="1" applyBorder="1" applyAlignment="1">
      <alignment horizontal="center"/>
    </xf>
    <xf numFmtId="43" fontId="9" fillId="0" borderId="0" xfId="0" applyNumberFormat="1" applyFont="1"/>
    <xf numFmtId="0" fontId="17" fillId="0" borderId="0" xfId="0" applyFont="1"/>
    <xf numFmtId="49" fontId="18" fillId="0" borderId="0" xfId="0" applyNumberFormat="1" applyFont="1" applyAlignment="1">
      <alignment horizontal="center"/>
    </xf>
    <xf numFmtId="0" fontId="1" fillId="0" borderId="10" xfId="0" applyFont="1" applyBorder="1"/>
    <xf numFmtId="0" fontId="9" fillId="0" borderId="10" xfId="0" applyFont="1" applyBorder="1"/>
    <xf numFmtId="170" fontId="19" fillId="0" borderId="10" xfId="1" applyNumberFormat="1" applyFont="1" applyBorder="1" applyAlignment="1">
      <alignment horizontal="center"/>
    </xf>
    <xf numFmtId="10" fontId="1" fillId="0" borderId="10" xfId="0" applyNumberFormat="1" applyFont="1" applyBorder="1"/>
    <xf numFmtId="10" fontId="20" fillId="0" borderId="10" xfId="0" applyNumberFormat="1" applyFont="1" applyBorder="1" applyAlignment="1">
      <alignment horizontal="center"/>
    </xf>
    <xf numFmtId="10" fontId="17" fillId="0" borderId="10" xfId="0" applyNumberFormat="1" applyFont="1" applyBorder="1"/>
    <xf numFmtId="9" fontId="9" fillId="0" borderId="10" xfId="6" applyFont="1" applyFill="1" applyBorder="1" applyAlignment="1"/>
    <xf numFmtId="43" fontId="9" fillId="0" borderId="10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9" borderId="15" xfId="0" applyFont="1" applyFill="1" applyBorder="1" applyAlignment="1">
      <alignment horizontal="right"/>
    </xf>
    <xf numFmtId="0" fontId="9" fillId="9" borderId="16" xfId="0" applyFont="1" applyFill="1" applyBorder="1" applyAlignment="1">
      <alignment horizontal="right"/>
    </xf>
    <xf numFmtId="0" fontId="9" fillId="9" borderId="17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2" fillId="0" borderId="5" xfId="0" applyFont="1" applyFill="1" applyBorder="1" applyAlignment="1">
      <alignment horizontal="right" wrapText="1"/>
    </xf>
    <xf numFmtId="0" fontId="9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right" wrapText="1"/>
    </xf>
    <xf numFmtId="0" fontId="8" fillId="8" borderId="9" xfId="0" applyFont="1" applyFill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10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1" fillId="11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12" borderId="10" xfId="0" applyFont="1" applyFill="1" applyBorder="1" applyAlignment="1">
      <alignment wrapText="1"/>
    </xf>
    <xf numFmtId="0" fontId="9" fillId="12" borderId="0" xfId="0" applyFont="1" applyFill="1" applyAlignment="1">
      <alignment wrapText="1"/>
    </xf>
  </cellXfs>
  <cellStyles count="7">
    <cellStyle name="60% - Accent1" xfId="3" builtinId="32"/>
    <cellStyle name="60% - Accent3" xfId="4" builtinId="40"/>
    <cellStyle name="Accent6" xfId="5" builtinId="49"/>
    <cellStyle name="Comma" xfId="1" builtinId="3"/>
    <cellStyle name="Hyperlink" xfId="2" builtinId="8"/>
    <cellStyle name="Normal" xfId="0" builtinId="0"/>
    <cellStyle name="Percent" xfId="6" builtinId="5"/>
  </cellStyles>
  <dxfs count="31"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Valuation</a:t>
            </a:r>
            <a:r>
              <a:rPr lang="en-IN" baseline="0"/>
              <a:t> 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9777668416447947E-2"/>
                  <c:y val="-0.1712961140274132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sng" strike="noStrike" kern="120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962004-2CA1-42BF-BD08-C0C4330D1CB0}" type="VALUE">
                      <a:rPr lang="en-US" u="sng" baseline="0">
                        <a:solidFill>
                          <a:schemeClr val="accent5"/>
                        </a:solidFill>
                      </a:rPr>
                      <a:pPr>
                        <a:defRPr u="sng" baseline="0">
                          <a:solidFill>
                            <a:schemeClr val="accent5"/>
                          </a:solidFill>
                        </a:defRPr>
                      </a:pPr>
                      <a:t>[VALUE]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sng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888888888888859E-2"/>
                      <c:h val="7.863444152814230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AF9-43C8-AF0F-AED057EA4C17}"/>
                </c:ext>
              </c:extLst>
            </c:dLbl>
            <c:dLbl>
              <c:idx val="1"/>
              <c:layout>
                <c:manualLayout>
                  <c:x val="-7.7944444444444469E-2"/>
                  <c:y val="-0.356481481481481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F9-43C8-AF0F-AED057EA4C17}"/>
                </c:ext>
              </c:extLst>
            </c:dLbl>
            <c:dLbl>
              <c:idx val="2"/>
              <c:layout>
                <c:manualLayout>
                  <c:x val="-0.16806255468066497"/>
                  <c:y val="-0.3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F9-43C8-AF0F-AED057EA4C17}"/>
                </c:ext>
              </c:extLst>
            </c:dLbl>
            <c:dLbl>
              <c:idx val="3"/>
              <c:layout>
                <c:manualLayout>
                  <c:x val="-0.13672922134733165"/>
                  <c:y val="-0.333333333333333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F9-43C8-AF0F-AED057EA4C17}"/>
                </c:ext>
              </c:extLst>
            </c:dLbl>
            <c:dLbl>
              <c:idx val="4"/>
              <c:layout>
                <c:manualLayout>
                  <c:x val="-0.11450699912510937"/>
                  <c:y val="-0.266203885972586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sng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34711286089238"/>
                      <c:h val="7.86344415281423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AF9-43C8-AF0F-AED057EA4C17}"/>
                </c:ext>
              </c:extLst>
            </c:dLbl>
            <c:dLbl>
              <c:idx val="5"/>
              <c:layout>
                <c:manualLayout>
                  <c:x val="-9.7506999125109461E-2"/>
                  <c:y val="-0.199074074074074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F9-43C8-AF0F-AED057EA4C17}"/>
                </c:ext>
              </c:extLst>
            </c:dLbl>
            <c:dLbl>
              <c:idx val="6"/>
              <c:layout>
                <c:manualLayout>
                  <c:x val="-0.11583442694663178"/>
                  <c:y val="-0.134259259259259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F9-43C8-AF0F-AED057EA4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sng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Customization!$A$70:$A$76</c:f>
              <c:strCache>
                <c:ptCount val="7"/>
                <c:pt idx="0">
                  <c:v>EPS Valuation</c:v>
                </c:pt>
                <c:pt idx="1">
                  <c:v>Book value</c:v>
                </c:pt>
                <c:pt idx="2">
                  <c:v>Graham Number</c:v>
                </c:pt>
                <c:pt idx="3">
                  <c:v>Average Fair Price</c:v>
                </c:pt>
                <c:pt idx="4">
                  <c:v>Valuation with 25% Margin of safety </c:v>
                </c:pt>
                <c:pt idx="5">
                  <c:v>Current Price</c:v>
                </c:pt>
                <c:pt idx="6">
                  <c:v>Interinsic Value</c:v>
                </c:pt>
              </c:strCache>
            </c:strRef>
          </c:cat>
          <c:val>
            <c:numRef>
              <c:f>Customization!$B$70:$B$76</c:f>
              <c:numCache>
                <c:formatCode>General</c:formatCode>
                <c:ptCount val="7"/>
                <c:pt idx="0" formatCode="_(* #,##0.00_);_(* \(#,##0.00\);_(* &quot;-&quot;??_);_(@_)">
                  <c:v>148.58456759822053</c:v>
                </c:pt>
                <c:pt idx="1">
                  <c:v>80</c:v>
                </c:pt>
                <c:pt idx="2">
                  <c:v>176.42812840173949</c:v>
                </c:pt>
                <c:pt idx="3">
                  <c:v>162.50634799997999</c:v>
                </c:pt>
                <c:pt idx="4">
                  <c:v>121.879760999985</c:v>
                </c:pt>
                <c:pt idx="5">
                  <c:v>112.65</c:v>
                </c:pt>
                <c:pt idx="6">
                  <c:v>430.30109002511972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F9-43C8-AF0F-AED057EA4C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2666911"/>
        <c:axId val="1912656927"/>
      </c:lineChart>
      <c:catAx>
        <c:axId val="191266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656927"/>
        <c:crosses val="autoZero"/>
        <c:auto val="1"/>
        <c:lblAlgn val="ctr"/>
        <c:lblOffset val="100"/>
        <c:noMultiLvlLbl val="0"/>
      </c:catAx>
      <c:valAx>
        <c:axId val="191265692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1912666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346303740004528E-2"/>
          <c:y val="3.090023770435886E-2"/>
          <c:w val="0.93639875435151021"/>
          <c:h val="0.93819952459128231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Data'!$M$4</c:f>
              <c:strCache>
                <c:ptCount val="1"/>
                <c:pt idx="0">
                  <c:v>Gross 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</c:numCache>
            </c:numRef>
          </c:cat>
          <c:val>
            <c:numRef>
              <c:f>'Calculated Data'!$N$4:$V$4</c:f>
              <c:numCache>
                <c:formatCode>0.00%</c:formatCode>
                <c:ptCount val="9"/>
                <c:pt idx="0">
                  <c:v>-8.6507691714539189E-2</c:v>
                </c:pt>
                <c:pt idx="1">
                  <c:v>-8.2312472961708377E-2</c:v>
                </c:pt>
                <c:pt idx="2">
                  <c:v>0.3940693556546932</c:v>
                </c:pt>
                <c:pt idx="3">
                  <c:v>7.6766052208338542E-2</c:v>
                </c:pt>
                <c:pt idx="4">
                  <c:v>0.8968690756592177</c:v>
                </c:pt>
                <c:pt idx="5">
                  <c:v>3.968446258898993E-2</c:v>
                </c:pt>
                <c:pt idx="6">
                  <c:v>-4.8728291033660436E-2</c:v>
                </c:pt>
                <c:pt idx="7">
                  <c:v>6.8633955639028441E-3</c:v>
                </c:pt>
                <c:pt idx="8">
                  <c:v>0.12915672324196517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1-478F-81E6-706CC668A097}"/>
            </c:ext>
          </c:extLst>
        </c:ser>
        <c:ser>
          <c:idx val="1"/>
          <c:order val="1"/>
          <c:tx>
            <c:strRef>
              <c:f>'Calculated Data'!$M$5</c:f>
              <c:strCache>
                <c:ptCount val="1"/>
                <c:pt idx="0">
                  <c:v>EBIT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</c:numCache>
            </c:numRef>
          </c:cat>
          <c:val>
            <c:numRef>
              <c:f>'Calculated Data'!$N$5:$V$5</c:f>
              <c:numCache>
                <c:formatCode>0.00%</c:formatCode>
                <c:ptCount val="9"/>
                <c:pt idx="0">
                  <c:v>-0.19532154787086395</c:v>
                </c:pt>
                <c:pt idx="1">
                  <c:v>-0.34572747169093165</c:v>
                </c:pt>
                <c:pt idx="2">
                  <c:v>1.2776060793367998</c:v>
                </c:pt>
                <c:pt idx="3">
                  <c:v>-0.15742884053575118</c:v>
                </c:pt>
                <c:pt idx="4">
                  <c:v>-3.6671434932123402E-2</c:v>
                </c:pt>
                <c:pt idx="5">
                  <c:v>-0.33368735740697036</c:v>
                </c:pt>
                <c:pt idx="6">
                  <c:v>0.61598972784698058</c:v>
                </c:pt>
                <c:pt idx="7">
                  <c:v>1.4576274282374247E-2</c:v>
                </c:pt>
                <c:pt idx="8">
                  <c:v>0.51104069709872246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1-478F-81E6-706CC668A097}"/>
            </c:ext>
          </c:extLst>
        </c:ser>
        <c:ser>
          <c:idx val="2"/>
          <c:order val="2"/>
          <c:tx>
            <c:strRef>
              <c:f>'Calculated Data'!$M$6</c:f>
              <c:strCache>
                <c:ptCount val="1"/>
                <c:pt idx="0">
                  <c:v>EBITDA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</c:numCache>
            </c:numRef>
          </c:cat>
          <c:val>
            <c:numRef>
              <c:f>'Calculated Data'!$N$6:$V$6</c:f>
              <c:numCache>
                <c:formatCode>0.00%</c:formatCode>
                <c:ptCount val="9"/>
                <c:pt idx="0">
                  <c:v>-0.16287658258096466</c:v>
                </c:pt>
                <c:pt idx="1">
                  <c:v>-0.30894671829099929</c:v>
                </c:pt>
                <c:pt idx="2">
                  <c:v>1.0514915732868686</c:v>
                </c:pt>
                <c:pt idx="3">
                  <c:v>-0.13926312089971871</c:v>
                </c:pt>
                <c:pt idx="4">
                  <c:v>0.16854945727993453</c:v>
                </c:pt>
                <c:pt idx="5">
                  <c:v>-0.25417485622770625</c:v>
                </c:pt>
                <c:pt idx="6">
                  <c:v>0.3886719893806001</c:v>
                </c:pt>
                <c:pt idx="7">
                  <c:v>0.14557019855912853</c:v>
                </c:pt>
                <c:pt idx="8">
                  <c:v>0.3524045010000858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01-478F-81E6-706CC668A097}"/>
            </c:ext>
          </c:extLst>
        </c:ser>
        <c:ser>
          <c:idx val="3"/>
          <c:order val="3"/>
          <c:tx>
            <c:strRef>
              <c:f>'Calculated Data'!$M$7</c:f>
              <c:strCache>
                <c:ptCount val="1"/>
                <c:pt idx="0">
                  <c:v>Operating Profit (excl Other Income)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</c:numCache>
            </c:numRef>
          </c:cat>
          <c:val>
            <c:numRef>
              <c:f>'Calculated Data'!$N$7:$V$7</c:f>
              <c:numCache>
                <c:formatCode>0.00%</c:formatCode>
                <c:ptCount val="9"/>
                <c:pt idx="0">
                  <c:v>-0.23403366003872689</c:v>
                </c:pt>
                <c:pt idx="1">
                  <c:v>-0.19986636226961413</c:v>
                </c:pt>
                <c:pt idx="2">
                  <c:v>0.87078276361206974</c:v>
                </c:pt>
                <c:pt idx="3">
                  <c:v>-0.17452310805582813</c:v>
                </c:pt>
                <c:pt idx="4">
                  <c:v>0.18704147664797999</c:v>
                </c:pt>
                <c:pt idx="5">
                  <c:v>-8.5986318115210278E-2</c:v>
                </c:pt>
                <c:pt idx="6">
                  <c:v>0.11570666710970076</c:v>
                </c:pt>
                <c:pt idx="7">
                  <c:v>0.13870047873964172</c:v>
                </c:pt>
                <c:pt idx="8">
                  <c:v>0.48243101870014377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01-478F-81E6-706CC668A097}"/>
            </c:ext>
          </c:extLst>
        </c:ser>
        <c:ser>
          <c:idx val="4"/>
          <c:order val="4"/>
          <c:tx>
            <c:strRef>
              <c:f>'Calculated Data'!$M$8</c:f>
              <c:strCache>
                <c:ptCount val="1"/>
                <c:pt idx="0">
                  <c:v>PAT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</c:numCache>
            </c:numRef>
          </c:cat>
          <c:val>
            <c:numRef>
              <c:f>'Calculated Data'!$N$8:$V$8</c:f>
              <c:numCache>
                <c:formatCode>0.00%</c:formatCode>
                <c:ptCount val="9"/>
                <c:pt idx="0">
                  <c:v>9.9185220040119745E-2</c:v>
                </c:pt>
                <c:pt idx="1">
                  <c:v>-0.45764239365537129</c:v>
                </c:pt>
                <c:pt idx="2">
                  <c:v>1.7588899966766367</c:v>
                </c:pt>
                <c:pt idx="3">
                  <c:v>-0.31074203457206528</c:v>
                </c:pt>
                <c:pt idx="4">
                  <c:v>-0.15995630802839983</c:v>
                </c:pt>
                <c:pt idx="5">
                  <c:v>-0.76977088913738856</c:v>
                </c:pt>
                <c:pt idx="6">
                  <c:v>2.6523212470349029</c:v>
                </c:pt>
                <c:pt idx="7">
                  <c:v>-0.10020411950269061</c:v>
                </c:pt>
                <c:pt idx="8">
                  <c:v>1.6245617653124358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01-478F-81E6-706CC668A097}"/>
            </c:ext>
          </c:extLst>
        </c:ser>
        <c:ser>
          <c:idx val="5"/>
          <c:order val="5"/>
          <c:tx>
            <c:strRef>
              <c:f>'Calculated Data'!$M$9</c:f>
              <c:strCache>
                <c:ptCount val="1"/>
                <c:pt idx="0">
                  <c:v>Dividend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</c:numCache>
            </c:numRef>
          </c:cat>
          <c:val>
            <c:numRef>
              <c:f>'Calculated Data'!$N$9:$V$9</c:f>
              <c:numCache>
                <c:formatCode>0.00%</c:formatCode>
                <c:ptCount val="9"/>
                <c:pt idx="0">
                  <c:v>0.72949256009156793</c:v>
                </c:pt>
                <c:pt idx="1">
                  <c:v>-0.21883962056033537</c:v>
                </c:pt>
                <c:pt idx="2">
                  <c:v>8.5851454391415033E-2</c:v>
                </c:pt>
                <c:pt idx="3">
                  <c:v>-2.2366710013003884E-2</c:v>
                </c:pt>
                <c:pt idx="4">
                  <c:v>-0.10534716679968079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1.0002973535533748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01-478F-81E6-706CC668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301023"/>
        <c:axId val="1688306847"/>
      </c:lineChart>
      <c:dateAx>
        <c:axId val="1688301023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306847"/>
        <c:crosses val="autoZero"/>
        <c:auto val="1"/>
        <c:lblOffset val="100"/>
        <c:baseTimeUnit val="years"/>
      </c:dateAx>
      <c:valAx>
        <c:axId val="168830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301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057059044090071E-2"/>
          <c:y val="6.6981937279664672E-2"/>
          <c:w val="0.85846269188011493"/>
          <c:h val="0.27754437474976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27997840532516"/>
          <c:y val="0.17983030303030303"/>
          <c:w val="0.83629697272523651"/>
          <c:h val="0.76077461226437615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Data'!$M$11</c:f>
              <c:strCache>
                <c:ptCount val="1"/>
                <c:pt idx="0">
                  <c:v>Networth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Data'!$N$11:$V$11</c:f>
              <c:numCache>
                <c:formatCode>0.00%</c:formatCode>
                <c:ptCount val="9"/>
                <c:pt idx="0">
                  <c:v>0.44126122264294704</c:v>
                </c:pt>
                <c:pt idx="1">
                  <c:v>0.15114838070059489</c:v>
                </c:pt>
                <c:pt idx="2">
                  <c:v>0.52215882585136553</c:v>
                </c:pt>
                <c:pt idx="3">
                  <c:v>0.20310717148380403</c:v>
                </c:pt>
                <c:pt idx="4">
                  <c:v>0.26321585471475539</c:v>
                </c:pt>
                <c:pt idx="5">
                  <c:v>-8.6100933512445202E-2</c:v>
                </c:pt>
                <c:pt idx="6">
                  <c:v>-2.8108005350026815E-3</c:v>
                </c:pt>
                <c:pt idx="7">
                  <c:v>7.7382127659574446E-2</c:v>
                </c:pt>
                <c:pt idx="8">
                  <c:v>0.24623595097336015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1-44FB-AC4D-49FE77B91D5D}"/>
            </c:ext>
          </c:extLst>
        </c:ser>
        <c:ser>
          <c:idx val="1"/>
          <c:order val="1"/>
          <c:tx>
            <c:strRef>
              <c:f>'Calculated Data'!$M$12</c:f>
              <c:strCache>
                <c:ptCount val="1"/>
                <c:pt idx="0">
                  <c:v>Working Capital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Data'!$N$12:$V$12</c:f>
              <c:numCache>
                <c:formatCode>0.00%</c:formatCode>
                <c:ptCount val="9"/>
                <c:pt idx="0">
                  <c:v>-0.18436155707989393</c:v>
                </c:pt>
                <c:pt idx="1">
                  <c:v>0.65279253595956976</c:v>
                </c:pt>
                <c:pt idx="2">
                  <c:v>0.60563247769432205</c:v>
                </c:pt>
                <c:pt idx="3">
                  <c:v>1.5249716785811946</c:v>
                </c:pt>
                <c:pt idx="4">
                  <c:v>-0.61991049983175217</c:v>
                </c:pt>
                <c:pt idx="5">
                  <c:v>-0.18024646131615626</c:v>
                </c:pt>
                <c:pt idx="6">
                  <c:v>-2.9810819533751923E-2</c:v>
                </c:pt>
                <c:pt idx="7">
                  <c:v>-0.16196349631828449</c:v>
                </c:pt>
                <c:pt idx="8">
                  <c:v>0.61125530550551144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1-44FB-AC4D-49FE77B91D5D}"/>
            </c:ext>
          </c:extLst>
        </c:ser>
        <c:ser>
          <c:idx val="2"/>
          <c:order val="2"/>
          <c:tx>
            <c:strRef>
              <c:f>'Calculated Data'!$M$13</c:f>
              <c:strCache>
                <c:ptCount val="1"/>
                <c:pt idx="0">
                  <c:v>Invested Capital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Data'!$N$13:$V$13</c:f>
              <c:numCache>
                <c:formatCode>0.00%</c:formatCode>
                <c:ptCount val="9"/>
                <c:pt idx="0">
                  <c:v>-8.1023100509585971E-2</c:v>
                </c:pt>
                <c:pt idx="1">
                  <c:v>8.5252761292743284E-2</c:v>
                </c:pt>
                <c:pt idx="2">
                  <c:v>0.28364420947596003</c:v>
                </c:pt>
                <c:pt idx="3">
                  <c:v>0.61553843268952102</c:v>
                </c:pt>
                <c:pt idx="4">
                  <c:v>0.2134556516839349</c:v>
                </c:pt>
                <c:pt idx="5">
                  <c:v>-7.8940434668050979E-2</c:v>
                </c:pt>
                <c:pt idx="6">
                  <c:v>-7.388588190532318E-3</c:v>
                </c:pt>
                <c:pt idx="7">
                  <c:v>-5.242658423492948E-3</c:v>
                </c:pt>
                <c:pt idx="8">
                  <c:v>7.4863533751552469E-2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1-44FB-AC4D-49FE77B91D5D}"/>
            </c:ext>
          </c:extLst>
        </c:ser>
        <c:ser>
          <c:idx val="3"/>
          <c:order val="3"/>
          <c:tx>
            <c:strRef>
              <c:f>'Calculated Data'!$M$14</c:f>
              <c:strCache>
                <c:ptCount val="1"/>
                <c:pt idx="0">
                  <c:v>Capital Employed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Data'!$N$14:$V$14</c:f>
              <c:numCache>
                <c:formatCode>0.00%</c:formatCode>
                <c:ptCount val="9"/>
                <c:pt idx="0">
                  <c:v>-7.9713430866932486E-2</c:v>
                </c:pt>
                <c:pt idx="1">
                  <c:v>7.777235530847959E-2</c:v>
                </c:pt>
                <c:pt idx="2">
                  <c:v>0.28354431487326898</c:v>
                </c:pt>
                <c:pt idx="3">
                  <c:v>0.61536953939441463</c:v>
                </c:pt>
                <c:pt idx="4">
                  <c:v>0.21473183577182917</c:v>
                </c:pt>
                <c:pt idx="5">
                  <c:v>-7.7774091399408871E-2</c:v>
                </c:pt>
                <c:pt idx="6">
                  <c:v>-8.0228810797882844E-3</c:v>
                </c:pt>
                <c:pt idx="7">
                  <c:v>-4.0063836311695616E-3</c:v>
                </c:pt>
                <c:pt idx="8">
                  <c:v>7.4865193847291803E-2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81-44FB-AC4D-49FE77B91D5D}"/>
            </c:ext>
          </c:extLst>
        </c:ser>
        <c:ser>
          <c:idx val="4"/>
          <c:order val="4"/>
          <c:tx>
            <c:strRef>
              <c:f>'Calculated Data'!$M$15</c:f>
              <c:strCache>
                <c:ptCount val="1"/>
                <c:pt idx="0">
                  <c:v>Total Assets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Data'!$N$15:$V$15</c:f>
              <c:numCache>
                <c:formatCode>0.00%</c:formatCode>
                <c:ptCount val="9"/>
                <c:pt idx="0">
                  <c:v>-9.5341912748683977E-2</c:v>
                </c:pt>
                <c:pt idx="1">
                  <c:v>7.8198609099407249E-2</c:v>
                </c:pt>
                <c:pt idx="2">
                  <c:v>0.30225020341198594</c:v>
                </c:pt>
                <c:pt idx="3">
                  <c:v>0.57522713072692089</c:v>
                </c:pt>
                <c:pt idx="4">
                  <c:v>0.35865464912028094</c:v>
                </c:pt>
                <c:pt idx="5">
                  <c:v>-7.3242803091939146E-2</c:v>
                </c:pt>
                <c:pt idx="6">
                  <c:v>-3.7678696051829774E-2</c:v>
                </c:pt>
                <c:pt idx="7">
                  <c:v>2.6862101744810703E-3</c:v>
                </c:pt>
                <c:pt idx="8">
                  <c:v>0.11245588496143556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81-44FB-AC4D-49FE77B9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7999503"/>
        <c:axId val="1628001583"/>
      </c:lineChart>
      <c:catAx>
        <c:axId val="16279995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001583"/>
        <c:crosses val="autoZero"/>
        <c:auto val="1"/>
        <c:lblAlgn val="ctr"/>
        <c:lblOffset val="100"/>
        <c:noMultiLvlLbl val="0"/>
      </c:catAx>
      <c:valAx>
        <c:axId val="162800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99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757806532389142E-2"/>
          <c:y val="4.8473395371033661E-3"/>
          <c:w val="0.76796774582608252"/>
          <c:h val="0.18942861265687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08114610673665"/>
          <c:y val="0.17171296296296296"/>
          <c:w val="0.82036329833770782"/>
          <c:h val="0.72643299795858851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Data'!$M$17</c:f>
              <c:strCache>
                <c:ptCount val="1"/>
                <c:pt idx="0">
                  <c:v>Operating Cash 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Data'!$N$17:$V$17</c:f>
              <c:numCache>
                <c:formatCode>0.00%</c:formatCode>
                <c:ptCount val="9"/>
                <c:pt idx="0">
                  <c:v>1.3826277335098391</c:v>
                </c:pt>
                <c:pt idx="1">
                  <c:v>-0.66027010855628698</c:v>
                </c:pt>
                <c:pt idx="2">
                  <c:v>1.6544848408604855</c:v>
                </c:pt>
                <c:pt idx="3">
                  <c:v>0.66106253406317395</c:v>
                </c:pt>
                <c:pt idx="4">
                  <c:v>-0.56551138754752239</c:v>
                </c:pt>
                <c:pt idx="5">
                  <c:v>1.1197918376727847</c:v>
                </c:pt>
                <c:pt idx="6">
                  <c:v>-4.1060987415295243E-2</c:v>
                </c:pt>
                <c:pt idx="7">
                  <c:v>0.26531419849301019</c:v>
                </c:pt>
                <c:pt idx="8">
                  <c:v>-0.44592947183660442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0-443E-80E0-9034E4DCF642}"/>
            </c:ext>
          </c:extLst>
        </c:ser>
        <c:ser>
          <c:idx val="1"/>
          <c:order val="1"/>
          <c:tx>
            <c:strRef>
              <c:f>'Calculated Data'!$M$18</c:f>
              <c:strCache>
                <c:ptCount val="1"/>
                <c:pt idx="0">
                  <c:v>Capex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Data'!$N$18:$V$18</c:f>
              <c:numCache>
                <c:formatCode>0.00%</c:formatCode>
                <c:ptCount val="9"/>
                <c:pt idx="0">
                  <c:v>0</c:v>
                </c:pt>
                <c:pt idx="1">
                  <c:v>-0.60784578053383387</c:v>
                </c:pt>
                <c:pt idx="2">
                  <c:v>-22.887246476452244</c:v>
                </c:pt>
                <c:pt idx="3">
                  <c:v>-4.545311763782079E-2</c:v>
                </c:pt>
                <c:pt idx="4">
                  <c:v>8.1898775832565516</c:v>
                </c:pt>
                <c:pt idx="5">
                  <c:v>-1.0369831914116492</c:v>
                </c:pt>
                <c:pt idx="6">
                  <c:v>-2.4406951975213067</c:v>
                </c:pt>
                <c:pt idx="7">
                  <c:v>1.4094223596223003</c:v>
                </c:pt>
                <c:pt idx="8">
                  <c:v>-0.29167945106133736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0-443E-80E0-9034E4DCF642}"/>
            </c:ext>
          </c:extLst>
        </c:ser>
        <c:ser>
          <c:idx val="2"/>
          <c:order val="2"/>
          <c:tx>
            <c:strRef>
              <c:f>'Calculated Data'!$M$19</c:f>
              <c:strCache>
                <c:ptCount val="1"/>
                <c:pt idx="0">
                  <c:v>Free Cash Flow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Data'!$N$19:$V$19</c:f>
              <c:numCache>
                <c:formatCode>0.00%</c:formatCode>
                <c:ptCount val="9"/>
                <c:pt idx="0">
                  <c:v>0</c:v>
                </c:pt>
                <c:pt idx="1">
                  <c:v>-0.65642015642015616</c:v>
                </c:pt>
                <c:pt idx="2">
                  <c:v>-0.40262210056187986</c:v>
                </c:pt>
                <c:pt idx="3">
                  <c:v>2.8308412116534893</c:v>
                </c:pt>
                <c:pt idx="4">
                  <c:v>-7.2654713488875711</c:v>
                </c:pt>
                <c:pt idx="5">
                  <c:v>-1.3010007837463071</c:v>
                </c:pt>
                <c:pt idx="6">
                  <c:v>-0.37198977173339681</c:v>
                </c:pt>
                <c:pt idx="7">
                  <c:v>-9.6646963769348587E-2</c:v>
                </c:pt>
                <c:pt idx="8">
                  <c:v>-0.57608887528979769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0-443E-80E0-9034E4DCF642}"/>
            </c:ext>
          </c:extLst>
        </c:ser>
        <c:ser>
          <c:idx val="3"/>
          <c:order val="3"/>
          <c:tx>
            <c:strRef>
              <c:f>'Calculated Data'!$M$20</c:f>
              <c:strCache>
                <c:ptCount val="1"/>
                <c:pt idx="0">
                  <c:v>Tax Rate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Data'!$N$20:$V$20</c:f>
              <c:numCache>
                <c:formatCode>0.00%</c:formatCode>
                <c:ptCount val="9"/>
                <c:pt idx="0">
                  <c:v>-0.20359758531435498</c:v>
                </c:pt>
                <c:pt idx="1">
                  <c:v>9.5744329341231043E-3</c:v>
                </c:pt>
                <c:pt idx="2">
                  <c:v>0.20796889855701864</c:v>
                </c:pt>
                <c:pt idx="3">
                  <c:v>-6.1095810030633045E-2</c:v>
                </c:pt>
                <c:pt idx="4">
                  <c:v>-0.72837226801978672</c:v>
                </c:pt>
                <c:pt idx="5">
                  <c:v>-3.4102883418358796</c:v>
                </c:pt>
                <c:pt idx="6">
                  <c:v>-2.8828972913477866</c:v>
                </c:pt>
                <c:pt idx="7">
                  <c:v>-5.1609535571167674E-2</c:v>
                </c:pt>
                <c:pt idx="8">
                  <c:v>-0.27885354516830946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70-443E-80E0-9034E4DCF642}"/>
            </c:ext>
          </c:extLst>
        </c:ser>
        <c:ser>
          <c:idx val="4"/>
          <c:order val="4"/>
          <c:tx>
            <c:strRef>
              <c:f>'Calculated Data'!$M$21</c:f>
              <c:strCache>
                <c:ptCount val="1"/>
                <c:pt idx="0">
                  <c:v>NOPLAT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Data'!$N$21:$V$21</c:f>
              <c:numCache>
                <c:formatCode>0.00%</c:formatCode>
                <c:ptCount val="9"/>
                <c:pt idx="0">
                  <c:v>-0.10704640132309595</c:v>
                </c:pt>
                <c:pt idx="1">
                  <c:v>-0.3481498459753587</c:v>
                </c:pt>
                <c:pt idx="2">
                  <c:v>1.0919984762593606</c:v>
                </c:pt>
                <c:pt idx="3">
                  <c:v>-0.13090051879284573</c:v>
                </c:pt>
                <c:pt idx="4">
                  <c:v>0.29246652725346617</c:v>
                </c:pt>
                <c:pt idx="5">
                  <c:v>-0.11788880314346921</c:v>
                </c:pt>
                <c:pt idx="6">
                  <c:v>-0.18952013388242803</c:v>
                </c:pt>
                <c:pt idx="7">
                  <c:v>4.8565458794054224E-2</c:v>
                </c:pt>
                <c:pt idx="8">
                  <c:v>0.76202973680786812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70-443E-80E0-9034E4DCF642}"/>
            </c:ext>
          </c:extLst>
        </c:ser>
        <c:ser>
          <c:idx val="5"/>
          <c:order val="5"/>
          <c:tx>
            <c:strRef>
              <c:f>'Calculated Data'!$M$22</c:f>
              <c:strCache>
                <c:ptCount val="1"/>
                <c:pt idx="0">
                  <c:v>RoIC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Data'!$N$22:$V$22</c:f>
              <c:numCache>
                <c:formatCode>0.00%</c:formatCode>
                <c:ptCount val="9"/>
                <c:pt idx="0">
                  <c:v>-2.8317687667600996E-2</c:v>
                </c:pt>
                <c:pt idx="1">
                  <c:v>-0.39935637367265187</c:v>
                </c:pt>
                <c:pt idx="2">
                  <c:v>0.62973389418661896</c:v>
                </c:pt>
                <c:pt idx="3">
                  <c:v>-0.46203726038241494</c:v>
                </c:pt>
                <c:pt idx="4">
                  <c:v>6.5112289402489892E-2</c:v>
                </c:pt>
                <c:pt idx="5">
                  <c:v>-4.228648172323278E-2</c:v>
                </c:pt>
                <c:pt idx="6">
                  <c:v>-0.18348725747559294</c:v>
                </c:pt>
                <c:pt idx="7">
                  <c:v>5.4091701532226054E-2</c:v>
                </c:pt>
                <c:pt idx="8">
                  <c:v>0.6393055317989319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70-443E-80E0-9034E4DCF642}"/>
            </c:ext>
          </c:extLst>
        </c:ser>
        <c:ser>
          <c:idx val="6"/>
          <c:order val="6"/>
          <c:tx>
            <c:strRef>
              <c:f>'Calculated Data'!$M$23</c:f>
              <c:strCache>
                <c:ptCount val="1"/>
                <c:pt idx="0">
                  <c:v>WACC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Data'!$N$23:$V$23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70-443E-80E0-9034E4DCF642}"/>
            </c:ext>
          </c:extLst>
        </c:ser>
        <c:ser>
          <c:idx val="7"/>
          <c:order val="7"/>
          <c:tx>
            <c:strRef>
              <c:f>'Calculated Data'!$M$24</c:f>
              <c:strCache>
                <c:ptCount val="1"/>
                <c:pt idx="0">
                  <c:v>EPA (Economic Profit Added)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Data'!$N$24:$V$24</c:f>
              <c:numCache>
                <c:formatCode>0.00%</c:formatCode>
                <c:ptCount val="9"/>
                <c:pt idx="0">
                  <c:v>-0.21788608799312542</c:v>
                </c:pt>
                <c:pt idx="1">
                  <c:v>-2.5171471421201148</c:v>
                </c:pt>
                <c:pt idx="2">
                  <c:v>-1.8018275763685754</c:v>
                </c:pt>
                <c:pt idx="3">
                  <c:v>-4.4087811207124519</c:v>
                </c:pt>
                <c:pt idx="4">
                  <c:v>7.7861734131189755E-2</c:v>
                </c:pt>
                <c:pt idx="5">
                  <c:v>1.2087030496766436E-3</c:v>
                </c:pt>
                <c:pt idx="6">
                  <c:v>0.32282388679041168</c:v>
                </c:pt>
                <c:pt idx="7">
                  <c:v>-6.5014453808915948E-2</c:v>
                </c:pt>
                <c:pt idx="8">
                  <c:v>-0.78119004375969459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70-443E-80E0-9034E4DCF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481423"/>
        <c:axId val="1632479759"/>
      </c:lineChart>
      <c:catAx>
        <c:axId val="16324814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479759"/>
        <c:crosses val="autoZero"/>
        <c:auto val="1"/>
        <c:lblAlgn val="ctr"/>
        <c:lblOffset val="100"/>
        <c:noMultiLvlLbl val="0"/>
      </c:catAx>
      <c:valAx>
        <c:axId val="163247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48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7624671916012"/>
          <c:y val="8.7960775736366251E-2"/>
          <c:w val="0.75588943067018155"/>
          <c:h val="0.304500449554532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'Calculated Data'!$M$26</c:f>
              <c:strCache>
                <c:ptCount val="1"/>
                <c:pt idx="0">
                  <c:v>MktCap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'Calculated Data'!$N$26:$V$26</c:f>
              <c:numCache>
                <c:formatCode>0.00%</c:formatCode>
                <c:ptCount val="9"/>
                <c:pt idx="0">
                  <c:v>1.8648403408399161</c:v>
                </c:pt>
                <c:pt idx="1">
                  <c:v>-0.21497099995639099</c:v>
                </c:pt>
                <c:pt idx="2">
                  <c:v>-0.12843628854462513</c:v>
                </c:pt>
                <c:pt idx="3">
                  <c:v>0.12137361874898657</c:v>
                </c:pt>
                <c:pt idx="4">
                  <c:v>-2.8347230112550307E-2</c:v>
                </c:pt>
                <c:pt idx="5">
                  <c:v>0.1307397992132365</c:v>
                </c:pt>
                <c:pt idx="6">
                  <c:v>-0.11953678847803297</c:v>
                </c:pt>
                <c:pt idx="7">
                  <c:v>0.66274412779092884</c:v>
                </c:pt>
                <c:pt idx="8">
                  <c:v>6.1656489282268554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3-4D60-96AB-CFDE31C14D54}"/>
            </c:ext>
          </c:extLst>
        </c:ser>
        <c:ser>
          <c:idx val="1"/>
          <c:order val="1"/>
          <c:tx>
            <c:strRef>
              <c:f>'Calculated Data'!$M$27</c:f>
              <c:strCache>
                <c:ptCount val="1"/>
                <c:pt idx="0">
                  <c:v>MktCap+Dividend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'Calculated Data'!$N$27:$V$27</c:f>
              <c:numCache>
                <c:formatCode>0.00%</c:formatCode>
                <c:ptCount val="9"/>
                <c:pt idx="0">
                  <c:v>1.8146752072030861</c:v>
                </c:pt>
                <c:pt idx="1">
                  <c:v>-0.21507603146635004</c:v>
                </c:pt>
                <c:pt idx="2">
                  <c:v>-0.12264635717620027</c:v>
                </c:pt>
                <c:pt idx="3">
                  <c:v>0.116566880725593</c:v>
                </c:pt>
                <c:pt idx="4">
                  <c:v>-3.0601746658228447E-2</c:v>
                </c:pt>
                <c:pt idx="5">
                  <c:v>0.12720696562147032</c:v>
                </c:pt>
                <c:pt idx="6">
                  <c:v>-0.11667120352920533</c:v>
                </c:pt>
                <c:pt idx="7">
                  <c:v>0.64475810234785513</c:v>
                </c:pt>
                <c:pt idx="8">
                  <c:v>6.0804199724971362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3-4D60-96AB-CFDE31C14D54}"/>
            </c:ext>
          </c:extLst>
        </c:ser>
        <c:ser>
          <c:idx val="2"/>
          <c:order val="2"/>
          <c:tx>
            <c:strRef>
              <c:f>'Calculated Data'!$M$28</c:f>
              <c:strCache>
                <c:ptCount val="1"/>
                <c:pt idx="0">
                  <c:v>Retained 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'Calculated Data'!$N$28:$V$28</c:f>
              <c:numCache>
                <c:formatCode>0.00%</c:formatCode>
                <c:ptCount val="9"/>
                <c:pt idx="0">
                  <c:v>5.543196143863538E-2</c:v>
                </c:pt>
                <c:pt idx="1">
                  <c:v>-0.48480590198489371</c:v>
                </c:pt>
                <c:pt idx="2">
                  <c:v>2.0474404558959618</c:v>
                </c:pt>
                <c:pt idx="3">
                  <c:v>-0.32846388671344318</c:v>
                </c:pt>
                <c:pt idx="4">
                  <c:v>-0.16484196496572734</c:v>
                </c:pt>
                <c:pt idx="5">
                  <c:v>-0.8435451695639784</c:v>
                </c:pt>
                <c:pt idx="6">
                  <c:v>4.2770491803278681</c:v>
                </c:pt>
                <c:pt idx="7">
                  <c:v>-0.11183597390493935</c:v>
                </c:pt>
                <c:pt idx="8">
                  <c:v>1.7061521122381564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E3-4D60-96AB-CFDE31C14D54}"/>
            </c:ext>
          </c:extLst>
        </c:ser>
        <c:ser>
          <c:idx val="3"/>
          <c:order val="3"/>
          <c:tx>
            <c:strRef>
              <c:f>'Calculated Data'!$M$29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'Calculated Data'!$N$29:$V$29</c:f>
              <c:numCache>
                <c:formatCode>0.00%</c:formatCode>
                <c:ptCount val="9"/>
                <c:pt idx="0">
                  <c:v>6.0868855722747875E-2</c:v>
                </c:pt>
                <c:pt idx="1">
                  <c:v>-5.9868820855049874E-2</c:v>
                </c:pt>
                <c:pt idx="2">
                  <c:v>-1.4829233056605329E-2</c:v>
                </c:pt>
                <c:pt idx="3">
                  <c:v>-0.12941449832566748</c:v>
                </c:pt>
                <c:pt idx="4">
                  <c:v>1.468157091445393</c:v>
                </c:pt>
                <c:pt idx="5">
                  <c:v>-5.9429144002424113E-2</c:v>
                </c:pt>
                <c:pt idx="6">
                  <c:v>-2.4750176722145505E-2</c:v>
                </c:pt>
                <c:pt idx="7">
                  <c:v>4.3579693730316317E-2</c:v>
                </c:pt>
                <c:pt idx="8">
                  <c:v>1.5045128131659224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E3-4D60-96AB-CFDE31C14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3792271"/>
        <c:axId val="1633792687"/>
      </c:barChart>
      <c:catAx>
        <c:axId val="16337922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792687"/>
        <c:crosses val="autoZero"/>
        <c:auto val="1"/>
        <c:lblAlgn val="ctr"/>
        <c:lblOffset val="100"/>
        <c:noMultiLvlLbl val="0"/>
      </c:catAx>
      <c:valAx>
        <c:axId val="163379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79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Data'!$M$31</c:f>
              <c:strCache>
                <c:ptCount val="1"/>
                <c:pt idx="0">
                  <c:v>Price/Earnings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Data'!$N$31:$V$31</c:f>
              <c:numCache>
                <c:formatCode>0.00%</c:formatCode>
                <c:ptCount val="9"/>
                <c:pt idx="0">
                  <c:v>1.6063308427085208</c:v>
                </c:pt>
                <c:pt idx="1">
                  <c:v>0.44743798346358993</c:v>
                </c:pt>
                <c:pt idx="2">
                  <c:v>-0.68408899502870291</c:v>
                </c:pt>
                <c:pt idx="3">
                  <c:v>0.62692877702583727</c:v>
                </c:pt>
                <c:pt idx="4">
                  <c:v>0.15666932467162542</c:v>
                </c:pt>
                <c:pt idx="5">
                  <c:v>3.9113676154011725</c:v>
                </c:pt>
                <c:pt idx="6">
                  <c:v>-0.75893051241405407</c:v>
                </c:pt>
                <c:pt idx="7">
                  <c:v>0.84791258087550325</c:v>
                </c:pt>
                <c:pt idx="8">
                  <c:v>1.7302268222191504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F-4BC1-89C8-25F554B58933}"/>
            </c:ext>
          </c:extLst>
        </c:ser>
        <c:ser>
          <c:idx val="1"/>
          <c:order val="1"/>
          <c:tx>
            <c:strRef>
              <c:f>'Calculated Data'!$M$32</c:f>
              <c:strCache>
                <c:ptCount val="1"/>
                <c:pt idx="0">
                  <c:v>Price/Book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Data'!$N$32:$V$32</c:f>
              <c:numCache>
                <c:formatCode>0.00%</c:formatCode>
                <c:ptCount val="9"/>
                <c:pt idx="0">
                  <c:v>0.98773150615018113</c:v>
                </c:pt>
                <c:pt idx="1">
                  <c:v>-0.31804707959035111</c:v>
                </c:pt>
                <c:pt idx="2">
                  <c:v>-0.42741605103666069</c:v>
                </c:pt>
                <c:pt idx="3">
                  <c:v>-6.7935388194897584E-2</c:v>
                </c:pt>
                <c:pt idx="4">
                  <c:v>-0.23081018476699136</c:v>
                </c:pt>
                <c:pt idx="5">
                  <c:v>0.23726989191386216</c:v>
                </c:pt>
                <c:pt idx="6">
                  <c:v>-0.11705500621713019</c:v>
                </c:pt>
                <c:pt idx="7">
                  <c:v>0.54331883284805527</c:v>
                </c:pt>
                <c:pt idx="8">
                  <c:v>4.749833266028153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F-4BC1-89C8-25F554B58933}"/>
            </c:ext>
          </c:extLst>
        </c:ser>
        <c:ser>
          <c:idx val="2"/>
          <c:order val="2"/>
          <c:tx>
            <c:strRef>
              <c:f>'Calculated Data'!$M$33</c:f>
              <c:strCache>
                <c:ptCount val="1"/>
                <c:pt idx="0">
                  <c:v>Price/CashFlow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Data'!$N$33:$V$33</c:f>
              <c:numCache>
                <c:formatCode>0.00%</c:formatCode>
                <c:ptCount val="9"/>
                <c:pt idx="0">
                  <c:v>0.2023868859361137</c:v>
                </c:pt>
                <c:pt idx="1">
                  <c:v>1.3107445644760809</c:v>
                </c:pt>
                <c:pt idx="2">
                  <c:v>-0.67166370738329539</c:v>
                </c:pt>
                <c:pt idx="3">
                  <c:v>-0.32490583842983833</c:v>
                </c:pt>
                <c:pt idx="4">
                  <c:v>1.2363135466380599</c:v>
                </c:pt>
                <c:pt idx="5">
                  <c:v>-0.4665797937713449</c:v>
                </c:pt>
                <c:pt idx="6">
                  <c:v>-8.1836070941796027E-2</c:v>
                </c:pt>
                <c:pt idx="7">
                  <c:v>0.31409584257511519</c:v>
                </c:pt>
                <c:pt idx="8">
                  <c:v>11.932737916920395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F-4BC1-89C8-25F554B58933}"/>
            </c:ext>
          </c:extLst>
        </c:ser>
        <c:ser>
          <c:idx val="3"/>
          <c:order val="3"/>
          <c:tx>
            <c:strRef>
              <c:f>'Calculated Data'!$M$34</c:f>
              <c:strCache>
                <c:ptCount val="1"/>
                <c:pt idx="0">
                  <c:v>Price/Sales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Data'!$N$34:$V$34</c:f>
              <c:numCache>
                <c:formatCode>0.00%</c:formatCode>
                <c:ptCount val="9"/>
                <c:pt idx="0">
                  <c:v>2.5134479145830912</c:v>
                </c:pt>
                <c:pt idx="1">
                  <c:v>-0.24231308705938662</c:v>
                </c:pt>
                <c:pt idx="2">
                  <c:v>-0.41883310281312675</c:v>
                </c:pt>
                <c:pt idx="3">
                  <c:v>0.17905198453514309</c:v>
                </c:pt>
                <c:pt idx="4">
                  <c:v>-0.55659945687622037</c:v>
                </c:pt>
                <c:pt idx="5">
                  <c:v>0.11245293542810002</c:v>
                </c:pt>
                <c:pt idx="6">
                  <c:v>2.852557321962236E-2</c:v>
                </c:pt>
                <c:pt idx="7">
                  <c:v>0.83275272762460795</c:v>
                </c:pt>
                <c:pt idx="8">
                  <c:v>4.8704887993468855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7F-4BC1-89C8-25F554B58933}"/>
            </c:ext>
          </c:extLst>
        </c:ser>
        <c:ser>
          <c:idx val="4"/>
          <c:order val="4"/>
          <c:tx>
            <c:strRef>
              <c:f>'Calculated Data'!$M$35</c:f>
              <c:strCache>
                <c:ptCount val="1"/>
                <c:pt idx="0">
                  <c:v>EV/EBITDA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Data'!$N$35:$V$35</c:f>
              <c:numCache>
                <c:formatCode>0.00%</c:formatCode>
                <c:ptCount val="9"/>
                <c:pt idx="0">
                  <c:v>0.26727891449214275</c:v>
                </c:pt>
                <c:pt idx="1">
                  <c:v>0.36043226192337935</c:v>
                </c:pt>
                <c:pt idx="2">
                  <c:v>-0.51977830190890384</c:v>
                </c:pt>
                <c:pt idx="3">
                  <c:v>1.1442082723753926E-2</c:v>
                </c:pt>
                <c:pt idx="4">
                  <c:v>1.1121545828197907</c:v>
                </c:pt>
                <c:pt idx="5">
                  <c:v>0.26111443660947353</c:v>
                </c:pt>
                <c:pt idx="6">
                  <c:v>-0.297710452334498</c:v>
                </c:pt>
                <c:pt idx="7">
                  <c:v>-8.9030340486417545E-2</c:v>
                </c:pt>
                <c:pt idx="8">
                  <c:v>0.85189624207392634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7F-4BC1-89C8-25F554B58933}"/>
            </c:ext>
          </c:extLst>
        </c:ser>
        <c:ser>
          <c:idx val="5"/>
          <c:order val="5"/>
          <c:tx>
            <c:strRef>
              <c:f>'Calculated Data'!$M$36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Data'!$N$36:$V$36</c:f>
              <c:numCache>
                <c:formatCode>0.00%</c:formatCode>
                <c:ptCount val="9"/>
                <c:pt idx="0">
                  <c:v>-0.39630403292055222</c:v>
                </c:pt>
                <c:pt idx="1">
                  <c:v>-4.9279970596366168E-3</c:v>
                </c:pt>
                <c:pt idx="2">
                  <c:v>0.24586583874426471</c:v>
                </c:pt>
                <c:pt idx="3">
                  <c:v>-0.12818237058434478</c:v>
                </c:pt>
                <c:pt idx="4">
                  <c:v>-7.9246351241349031E-2</c:v>
                </c:pt>
                <c:pt idx="5">
                  <c:v>-0.11562324002763903</c:v>
                </c:pt>
                <c:pt idx="6">
                  <c:v>0.13576579567861993</c:v>
                </c:pt>
                <c:pt idx="7">
                  <c:v>-0.39858455472125492</c:v>
                </c:pt>
                <c:pt idx="8">
                  <c:v>-0.72084909914106698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7F-4BC1-89C8-25F554B58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277631"/>
        <c:axId val="1632274303"/>
      </c:lineChart>
      <c:catAx>
        <c:axId val="16322776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274303"/>
        <c:crosses val="autoZero"/>
        <c:auto val="1"/>
        <c:lblAlgn val="ctr"/>
        <c:lblOffset val="100"/>
        <c:noMultiLvlLbl val="0"/>
      </c:catAx>
      <c:valAx>
        <c:axId val="163227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27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41414</xdr:colOff>
      <xdr:row>81</xdr:row>
      <xdr:rowOff>110987</xdr:rowOff>
    </xdr:from>
    <xdr:to>
      <xdr:col>11</xdr:col>
      <xdr:colOff>389283</xdr:colOff>
      <xdr:row>95</xdr:row>
      <xdr:rowOff>162339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123824</xdr:colOff>
      <xdr:row>0</xdr:row>
      <xdr:rowOff>85725</xdr:rowOff>
    </xdr:from>
    <xdr:to>
      <xdr:col>30</xdr:col>
      <xdr:colOff>57150</xdr:colOff>
      <xdr:row>11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219075</xdr:colOff>
      <xdr:row>12</xdr:row>
      <xdr:rowOff>28574</xdr:rowOff>
    </xdr:from>
    <xdr:to>
      <xdr:col>29</xdr:col>
      <xdr:colOff>438150</xdr:colOff>
      <xdr:row>23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342900</xdr:colOff>
      <xdr:row>24</xdr:row>
      <xdr:rowOff>76200</xdr:rowOff>
    </xdr:from>
    <xdr:to>
      <xdr:col>29</xdr:col>
      <xdr:colOff>561975</xdr:colOff>
      <xdr:row>40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304800</xdr:colOff>
      <xdr:row>43</xdr:row>
      <xdr:rowOff>38099</xdr:rowOff>
    </xdr:from>
    <xdr:to>
      <xdr:col>29</xdr:col>
      <xdr:colOff>171450</xdr:colOff>
      <xdr:row>56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</xdr:colOff>
      <xdr:row>43</xdr:row>
      <xdr:rowOff>114300</xdr:rowOff>
    </xdr:from>
    <xdr:to>
      <xdr:col>21</xdr:col>
      <xdr:colOff>400050</xdr:colOff>
      <xdr:row>58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nnual" displayName="Annual" ref="A3:N19" headerRowCount="0" totalsRowShown="0" headerRowDxfId="30">
  <tableColumns count="14">
    <tableColumn id="1" name="Column1" headerRowDxfId="29" dataDxfId="28"/>
    <tableColumn id="2" name="Column2" headerRowDxfId="27"/>
    <tableColumn id="3" name="Column3" headerRowDxfId="26"/>
    <tableColumn id="4" name="Column4" headerRowDxfId="25"/>
    <tableColumn id="5" name="Column5" headerRowDxfId="24"/>
    <tableColumn id="6" name="Column6" headerRowDxfId="23"/>
    <tableColumn id="7" name="Column7" headerRowDxfId="22"/>
    <tableColumn id="8" name="Column8" headerRowDxfId="21"/>
    <tableColumn id="9" name="Column9" headerRowDxfId="20"/>
    <tableColumn id="10" name="Column10" headerRowDxfId="19"/>
    <tableColumn id="11" name="Column11" headerRowDxfId="18"/>
    <tableColumn id="12" name="Column12" headerRowDxfId="17"/>
    <tableColumn id="13" name="Column13" headerRowDxfId="16" dataDxfId="15"/>
    <tableColumn id="14" name="Column14" headerRowDxfId="14" dataDxfId="13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Quarters" displayName="Quarters" ref="A3:K14" headerRowCount="0" totalsRowShown="0" headerRowDxfId="12">
  <tableColumns count="11">
    <tableColumn id="1" name="Column1" headerRowDxfId="11"/>
    <tableColumn id="2" name="Column2" headerRowDxfId="10"/>
    <tableColumn id="3" name="Column3" headerRowDxfId="9"/>
    <tableColumn id="4" name="Column4" headerRowDxfId="8"/>
    <tableColumn id="5" name="Column5" headerRowDxfId="7"/>
    <tableColumn id="6" name="Column6" headerRowDxfId="6"/>
    <tableColumn id="7" name="Column7" headerRowDxfId="5"/>
    <tableColumn id="8" name="Column8" headerRowDxfId="4"/>
    <tableColumn id="9" name="Column9" headerRowDxfId="3"/>
    <tableColumn id="10" name="Column10" headerRowDxfId="2"/>
    <tableColumn id="11" name="Column11" headerRowDxfId="1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screener.in/excel/" TargetMode="Externa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reener.in/exce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5"/>
  <sheetViews>
    <sheetView zoomScale="120" zoomScaleNormal="120" zoomScaleSheetLayoutView="100" zoomScalePageLayoutView="120" workbookViewId="0">
      <pane xSplit="1" ySplit="4" topLeftCell="C5" activePane="bottomRight" state="frozen"/>
      <selection activeCell="I2" sqref="I2"/>
      <selection pane="topRight" activeCell="I2" sqref="I2"/>
      <selection pane="bottomLeft" activeCell="I2" sqref="I2"/>
      <selection pane="bottomRight" activeCell="C6" sqref="C6"/>
    </sheetView>
  </sheetViews>
  <sheetFormatPr defaultColWidth="8.85546875" defaultRowHeight="15" x14ac:dyDescent="0.25"/>
  <cols>
    <col min="1" max="1" width="20.7109375" style="6" customWidth="1"/>
    <col min="2" max="6" width="13.42578125" style="6" customWidth="1"/>
    <col min="7" max="7" width="14.85546875" style="6" bestFit="1" customWidth="1"/>
    <col min="8" max="11" width="13.42578125" style="6" customWidth="1"/>
    <col min="12" max="12" width="13.28515625" style="6" customWidth="1"/>
    <col min="13" max="14" width="12.140625" style="6" customWidth="1"/>
    <col min="15" max="16384" width="8.85546875" style="6"/>
  </cols>
  <sheetData>
    <row r="1" spans="1:14" s="8" customFormat="1" x14ac:dyDescent="0.25">
      <c r="A1" s="8" t="str">
        <f>'Data Sheet'!B1</f>
        <v>RAIN INDUSTRIES LTD</v>
      </c>
      <c r="H1" t="str">
        <f>UPDATE</f>
        <v/>
      </c>
      <c r="J1" s="3"/>
      <c r="K1" s="3"/>
      <c r="M1" s="8" t="s">
        <v>1</v>
      </c>
    </row>
    <row r="3" spans="1:14" s="2" customFormat="1" x14ac:dyDescent="0.25">
      <c r="A3" s="15" t="s">
        <v>2</v>
      </c>
      <c r="B3" s="16">
        <f>'Data Sheet'!B16</f>
        <v>39813</v>
      </c>
      <c r="C3" s="16">
        <f>'Data Sheet'!C16</f>
        <v>40178</v>
      </c>
      <c r="D3" s="16">
        <f>'Data Sheet'!D16</f>
        <v>40543</v>
      </c>
      <c r="E3" s="16">
        <f>'Data Sheet'!E16</f>
        <v>40908</v>
      </c>
      <c r="F3" s="16">
        <f>'Data Sheet'!F16</f>
        <v>41274</v>
      </c>
      <c r="G3" s="16">
        <f>'Data Sheet'!G16</f>
        <v>41639</v>
      </c>
      <c r="H3" s="16">
        <f>'Data Sheet'!H16</f>
        <v>42004</v>
      </c>
      <c r="I3" s="16">
        <f>'Data Sheet'!I16</f>
        <v>42369</v>
      </c>
      <c r="J3" s="16">
        <f>'Data Sheet'!J16</f>
        <v>42735</v>
      </c>
      <c r="K3" s="16">
        <f>'Data Sheet'!K16</f>
        <v>43100</v>
      </c>
      <c r="L3" s="17" t="s">
        <v>3</v>
      </c>
      <c r="M3" s="17" t="s">
        <v>4</v>
      </c>
      <c r="N3" s="17" t="s">
        <v>5</v>
      </c>
    </row>
    <row r="4" spans="1:14" s="8" customFormat="1" x14ac:dyDescent="0.25">
      <c r="A4" s="8" t="s">
        <v>6</v>
      </c>
      <c r="B4" s="1">
        <f>'Data Sheet'!B17</f>
        <v>4441.54</v>
      </c>
      <c r="C4" s="1">
        <f>'Data Sheet'!C17</f>
        <v>3621.6</v>
      </c>
      <c r="D4" s="1">
        <f>'Data Sheet'!D17</f>
        <v>3752.29</v>
      </c>
      <c r="E4" s="1">
        <f>'Data Sheet'!E17</f>
        <v>5627.23</v>
      </c>
      <c r="F4" s="1">
        <f>'Data Sheet'!F17</f>
        <v>5351.95</v>
      </c>
      <c r="G4" s="1">
        <f>'Data Sheet'!G17</f>
        <v>11728.08</v>
      </c>
      <c r="H4" s="1">
        <f>'Data Sheet'!H17</f>
        <v>11920.87</v>
      </c>
      <c r="I4" s="1">
        <f>'Data Sheet'!I17</f>
        <v>10204.790000000001</v>
      </c>
      <c r="J4" s="1">
        <f>'Data Sheet'!J17</f>
        <v>9258.18</v>
      </c>
      <c r="K4" s="1">
        <f>'Data Sheet'!K17</f>
        <v>11300.74</v>
      </c>
      <c r="L4" s="1">
        <f>SUM(Quarters!H4:K4)</f>
        <v>14046.07</v>
      </c>
      <c r="M4" s="1">
        <f>$K4+M23*K4</f>
        <v>14046.07</v>
      </c>
      <c r="N4" s="1">
        <f>$K4+N23*L4</f>
        <v>11052.828799455672</v>
      </c>
    </row>
    <row r="5" spans="1:14" x14ac:dyDescent="0.25">
      <c r="A5" s="6" t="s">
        <v>7</v>
      </c>
      <c r="B5" s="9">
        <f>SUM('Data Sheet'!B18,'Data Sheet'!B20:B24, -1*'Data Sheet'!B19)</f>
        <v>3269.99</v>
      </c>
      <c r="C5" s="9">
        <f>SUM('Data Sheet'!C18,'Data Sheet'!C20:C24, -1*'Data Sheet'!C19)</f>
        <v>2724.24</v>
      </c>
      <c r="D5" s="9">
        <f>SUM('Data Sheet'!D18,'Data Sheet'!D20:D24, -1*'Data Sheet'!D19)</f>
        <v>3034.98</v>
      </c>
      <c r="E5" s="9">
        <f>SUM('Data Sheet'!E18,'Data Sheet'!E20:E24, -1*'Data Sheet'!E19)</f>
        <v>4285.82</v>
      </c>
      <c r="F5" s="9">
        <f>SUM('Data Sheet'!F18,'Data Sheet'!F20:F24, -1*'Data Sheet'!F19)</f>
        <v>4242.3999999999996</v>
      </c>
      <c r="G5" s="9">
        <f>SUM('Data Sheet'!G18,'Data Sheet'!G20:G24, -1*'Data Sheet'!G19)</f>
        <v>10418.650000000001</v>
      </c>
      <c r="H5" s="9">
        <f>SUM('Data Sheet'!H18,'Data Sheet'!H20:H24, -1*'Data Sheet'!H19)</f>
        <v>10725.460000000001</v>
      </c>
      <c r="I5" s="9">
        <f>SUM('Data Sheet'!I18,'Data Sheet'!I20:I24, -1*'Data Sheet'!I19)</f>
        <v>8868.1699999999983</v>
      </c>
      <c r="J5" s="9">
        <f>SUM('Data Sheet'!J18,'Data Sheet'!J20:J24, -1*'Data Sheet'!J19)</f>
        <v>7736.0899999999992</v>
      </c>
      <c r="K5" s="9">
        <f>SUM('Data Sheet'!K18,'Data Sheet'!K20:K24, -1*'Data Sheet'!K19)</f>
        <v>9040.81</v>
      </c>
      <c r="L5" s="9">
        <f>SUM(Quarters!H5:K5)</f>
        <v>12083.410000000002</v>
      </c>
      <c r="M5" s="9">
        <f t="shared" ref="M5:N5" si="0">M4-M6</f>
        <v>11709.005460488996</v>
      </c>
      <c r="N5" s="9">
        <f t="shared" si="0"/>
        <v>9508.4149547617708</v>
      </c>
    </row>
    <row r="6" spans="1:14" s="8" customFormat="1" x14ac:dyDescent="0.25">
      <c r="A6" s="8" t="s">
        <v>8</v>
      </c>
      <c r="B6" s="1">
        <f>B4-B5</f>
        <v>1171.5500000000002</v>
      </c>
      <c r="C6" s="1">
        <f t="shared" ref="C6:K6" si="1">C4-C5</f>
        <v>897.36000000000013</v>
      </c>
      <c r="D6" s="1">
        <f t="shared" si="1"/>
        <v>717.31</v>
      </c>
      <c r="E6" s="1">
        <f t="shared" si="1"/>
        <v>1341.4099999999999</v>
      </c>
      <c r="F6" s="1">
        <f t="shared" si="1"/>
        <v>1109.5500000000002</v>
      </c>
      <c r="G6" s="1">
        <f t="shared" si="1"/>
        <v>1309.4299999999985</v>
      </c>
      <c r="H6" s="1">
        <f t="shared" si="1"/>
        <v>1195.4099999999999</v>
      </c>
      <c r="I6" s="1">
        <f t="shared" si="1"/>
        <v>1336.6200000000026</v>
      </c>
      <c r="J6" s="1">
        <f t="shared" si="1"/>
        <v>1522.0900000000011</v>
      </c>
      <c r="K6" s="1">
        <f t="shared" si="1"/>
        <v>2259.9300000000003</v>
      </c>
      <c r="L6" s="1">
        <f>SUM(Quarters!H6:K6)</f>
        <v>1962.6599999999999</v>
      </c>
      <c r="M6" s="1">
        <f>M4*M24</f>
        <v>2337.0645395110032</v>
      </c>
      <c r="N6" s="1">
        <f>N4*N24</f>
        <v>1544.4138446939014</v>
      </c>
    </row>
    <row r="7" spans="1:14" x14ac:dyDescent="0.25">
      <c r="A7" s="6" t="s">
        <v>9</v>
      </c>
      <c r="B7" s="9">
        <f>'Data Sheet'!B25</f>
        <v>-21.5</v>
      </c>
      <c r="C7" s="9">
        <f>'Data Sheet'!C25</f>
        <v>65.42</v>
      </c>
      <c r="D7" s="9">
        <f>'Data Sheet'!D25</f>
        <v>-52.74</v>
      </c>
      <c r="E7" s="9">
        <f>'Data Sheet'!E25</f>
        <v>21.64</v>
      </c>
      <c r="F7" s="9">
        <f>'Data Sheet'!F25</f>
        <v>66.02</v>
      </c>
      <c r="G7" s="9">
        <f>'Data Sheet'!G25</f>
        <v>56.63</v>
      </c>
      <c r="H7" s="9">
        <f>'Data Sheet'!H25</f>
        <v>-179.28</v>
      </c>
      <c r="I7" s="9">
        <f>'Data Sheet'!I25</f>
        <v>79.64</v>
      </c>
      <c r="J7" s="9">
        <f>'Data Sheet'!J25</f>
        <v>100.46</v>
      </c>
      <c r="K7" s="9">
        <f>'Data Sheet'!K25</f>
        <v>-63</v>
      </c>
      <c r="L7" s="9">
        <f>SUM(Quarters!H7:K7)</f>
        <v>44.6</v>
      </c>
      <c r="M7" s="9">
        <v>0</v>
      </c>
      <c r="N7" s="9">
        <v>0</v>
      </c>
    </row>
    <row r="8" spans="1:14" x14ac:dyDescent="0.25">
      <c r="A8" s="6" t="s">
        <v>10</v>
      </c>
      <c r="B8" s="9">
        <f>'Data Sheet'!B26</f>
        <v>106.02</v>
      </c>
      <c r="C8" s="9">
        <f>'Data Sheet'!C26</f>
        <v>122.65</v>
      </c>
      <c r="D8" s="9">
        <f>'Data Sheet'!D26</f>
        <v>115.68</v>
      </c>
      <c r="E8" s="9">
        <f>'Data Sheet'!E26</f>
        <v>112.94</v>
      </c>
      <c r="F8" s="9">
        <f>'Data Sheet'!F26</f>
        <v>119.97</v>
      </c>
      <c r="G8" s="9">
        <f>'Data Sheet'!G26</f>
        <v>356.82</v>
      </c>
      <c r="H8" s="9">
        <f>'Data Sheet'!H26</f>
        <v>346.98</v>
      </c>
      <c r="I8" s="9">
        <f>'Data Sheet'!I26</f>
        <v>327.82</v>
      </c>
      <c r="J8" s="9">
        <f>'Data Sheet'!J26</f>
        <v>518.97</v>
      </c>
      <c r="K8" s="9">
        <f>'Data Sheet'!K26</f>
        <v>525.63</v>
      </c>
      <c r="L8" s="9">
        <f>SUM(Quarters!H8:K8)</f>
        <v>555.09</v>
      </c>
      <c r="M8" s="9">
        <f>+$L8</f>
        <v>555.09</v>
      </c>
      <c r="N8" s="9">
        <f>+$L8</f>
        <v>555.09</v>
      </c>
    </row>
    <row r="9" spans="1:14" x14ac:dyDescent="0.25">
      <c r="A9" s="6" t="s">
        <v>11</v>
      </c>
      <c r="B9" s="9">
        <f>'Data Sheet'!B27</f>
        <v>423.43</v>
      </c>
      <c r="C9" s="9">
        <f>'Data Sheet'!C27</f>
        <v>225.97</v>
      </c>
      <c r="D9" s="9">
        <f>'Data Sheet'!D27</f>
        <v>212.3</v>
      </c>
      <c r="E9" s="9">
        <f>'Data Sheet'!E27</f>
        <v>245.56</v>
      </c>
      <c r="F9" s="9">
        <f>'Data Sheet'!F27</f>
        <v>372.76</v>
      </c>
      <c r="G9" s="9">
        <f>'Data Sheet'!G27</f>
        <v>593.39</v>
      </c>
      <c r="H9" s="9">
        <f>'Data Sheet'!H27</f>
        <v>619.87</v>
      </c>
      <c r="I9" s="9">
        <f>'Data Sheet'!I27</f>
        <v>596.45000000000005</v>
      </c>
      <c r="J9" s="9">
        <f>'Data Sheet'!J27</f>
        <v>630.85</v>
      </c>
      <c r="K9" s="9">
        <f>'Data Sheet'!K27</f>
        <v>594.66999999999996</v>
      </c>
      <c r="L9" s="9">
        <f>SUM(Quarters!H9:K9)</f>
        <v>456.52</v>
      </c>
      <c r="M9" s="9">
        <f>+$L9</f>
        <v>456.52</v>
      </c>
      <c r="N9" s="9">
        <f>+$L9</f>
        <v>456.52</v>
      </c>
    </row>
    <row r="10" spans="1:14" x14ac:dyDescent="0.25">
      <c r="A10" s="6" t="s">
        <v>12</v>
      </c>
      <c r="B10" s="9">
        <f>'Data Sheet'!B28</f>
        <v>621.36</v>
      </c>
      <c r="C10" s="9">
        <f>'Data Sheet'!C28</f>
        <v>614.75</v>
      </c>
      <c r="D10" s="9">
        <f>'Data Sheet'!D28</f>
        <v>337.76</v>
      </c>
      <c r="E10" s="9">
        <f>'Data Sheet'!E28</f>
        <v>1007.26</v>
      </c>
      <c r="F10" s="9">
        <f>'Data Sheet'!F28</f>
        <v>682.83</v>
      </c>
      <c r="G10" s="9">
        <f>'Data Sheet'!G28</f>
        <v>423.49</v>
      </c>
      <c r="H10" s="9">
        <f>'Data Sheet'!H28</f>
        <v>57.69</v>
      </c>
      <c r="I10" s="9">
        <f>'Data Sheet'!I28</f>
        <v>498.48</v>
      </c>
      <c r="J10" s="9">
        <f>'Data Sheet'!J28</f>
        <v>480.04</v>
      </c>
      <c r="K10" s="9">
        <f>'Data Sheet'!K28</f>
        <v>1083.93</v>
      </c>
      <c r="L10" s="9">
        <f>SUM(Quarters!H10:K10)</f>
        <v>995.65</v>
      </c>
      <c r="M10" s="9">
        <f>M6+M7-SUM(M8:M9)</f>
        <v>1325.4545395110031</v>
      </c>
      <c r="N10" s="9">
        <f>N6+N7-SUM(N8:N9)</f>
        <v>532.8038446939014</v>
      </c>
    </row>
    <row r="11" spans="1:14" x14ac:dyDescent="0.25">
      <c r="A11" s="6" t="s">
        <v>13</v>
      </c>
      <c r="B11" s="9">
        <f>'Data Sheet'!B29</f>
        <v>217.57</v>
      </c>
      <c r="C11" s="9">
        <f>'Data Sheet'!C29</f>
        <v>171.43</v>
      </c>
      <c r="D11" s="9">
        <f>'Data Sheet'!D29</f>
        <v>95.09</v>
      </c>
      <c r="E11" s="9">
        <f>'Data Sheet'!E29</f>
        <v>342.55</v>
      </c>
      <c r="F11" s="9">
        <f>'Data Sheet'!F29</f>
        <v>218.03</v>
      </c>
      <c r="G11" s="9">
        <f>'Data Sheet'!G29</f>
        <v>36.729999999999997</v>
      </c>
      <c r="H11" s="9">
        <f>'Data Sheet'!H29</f>
        <v>-12.06</v>
      </c>
      <c r="I11" s="9">
        <f>'Data Sheet'!I29</f>
        <v>196.21</v>
      </c>
      <c r="J11" s="9">
        <f>'Data Sheet'!J29</f>
        <v>179.2</v>
      </c>
      <c r="K11" s="9">
        <f>'Data Sheet'!K29</f>
        <v>291.8</v>
      </c>
      <c r="L11" s="9">
        <f>SUM(Quarters!H11:K11)</f>
        <v>364.32</v>
      </c>
      <c r="M11" s="10">
        <f>IF($L10&gt;0,$L11/$L10,0)</f>
        <v>0.36591171596444533</v>
      </c>
      <c r="N11" s="10">
        <f>IF($L10&gt;0,$L11/$L10,0)</f>
        <v>0.36591171596444533</v>
      </c>
    </row>
    <row r="12" spans="1:14" s="8" customFormat="1" x14ac:dyDescent="0.25">
      <c r="A12" s="8" t="s">
        <v>14</v>
      </c>
      <c r="B12" s="1">
        <f>'Data Sheet'!B30</f>
        <v>403.79</v>
      </c>
      <c r="C12" s="1">
        <f>'Data Sheet'!C30</f>
        <v>443.84</v>
      </c>
      <c r="D12" s="1">
        <f>'Data Sheet'!D30</f>
        <v>240.72</v>
      </c>
      <c r="E12" s="1">
        <f>'Data Sheet'!E30</f>
        <v>664.12</v>
      </c>
      <c r="F12" s="1">
        <f>'Data Sheet'!F30</f>
        <v>457.75</v>
      </c>
      <c r="G12" s="1">
        <f>'Data Sheet'!G30</f>
        <v>384.53</v>
      </c>
      <c r="H12" s="1">
        <f>'Data Sheet'!H30</f>
        <v>88.53</v>
      </c>
      <c r="I12" s="1">
        <f>'Data Sheet'!I30</f>
        <v>323.33999999999997</v>
      </c>
      <c r="J12" s="1">
        <f>'Data Sheet'!J30</f>
        <v>290.94</v>
      </c>
      <c r="K12" s="1">
        <f>'Data Sheet'!K30</f>
        <v>763.59</v>
      </c>
      <c r="L12" s="1">
        <f>SUM(Quarters!H12:K12)</f>
        <v>581.64</v>
      </c>
      <c r="M12" s="1">
        <f>M10-M11*M10</f>
        <v>840.45519452566828</v>
      </c>
      <c r="N12" s="1">
        <f>N10-N11*N10</f>
        <v>337.84467560950213</v>
      </c>
    </row>
    <row r="13" spans="1:14" x14ac:dyDescent="0.25">
      <c r="A13" s="11" t="s">
        <v>48</v>
      </c>
      <c r="B13" s="9">
        <f>IF('Data Sheet'!B93&gt;0,B12/'Data Sheet'!B93,0)</f>
        <v>11.400928916370068</v>
      </c>
      <c r="C13" s="9">
        <f>IF('Data Sheet'!C93&gt;0,C12/'Data Sheet'!C93,0)</f>
        <v>12.531732559601997</v>
      </c>
      <c r="D13" s="9">
        <f>IF('Data Sheet'!D93&gt;0,D12/'Data Sheet'!D93,0)</f>
        <v>6.7966804743767861</v>
      </c>
      <c r="E13" s="9">
        <f>IF('Data Sheet'!E93&gt;0,E12/'Data Sheet'!E93,0)</f>
        <v>19.00292821412096</v>
      </c>
      <c r="F13" s="9">
        <f>IF('Data Sheet'!F93&gt;0,F12/'Data Sheet'!F93,0)</f>
        <v>13.396191218325047</v>
      </c>
      <c r="G13" s="9">
        <f>IF('Data Sheet'!G93&gt;0,G12/'Data Sheet'!G93,0)</f>
        <v>11.432583321517859</v>
      </c>
      <c r="H13" s="9">
        <f>IF('Data Sheet'!H93&gt;0,H12/'Data Sheet'!H93,0)</f>
        <v>2.6321134929757788</v>
      </c>
      <c r="I13" s="9">
        <f>IF('Data Sheet'!I93&gt;0,I12/'Data Sheet'!I93,0)</f>
        <v>9.6133240350026909</v>
      </c>
      <c r="J13" s="9">
        <f>IF('Data Sheet'!J93&gt;0,J12/'Data Sheet'!J93,0)</f>
        <v>8.6500293645811936</v>
      </c>
      <c r="K13" s="9">
        <f>IF('Data Sheet'!K93&gt;0,K12/'Data Sheet'!K93,0)</f>
        <v>22.702536339109624</v>
      </c>
      <c r="L13" s="9">
        <f>IF('Data Sheet'!$B6&gt;0,'Profit &amp; Loss'!L12/'Data Sheet'!$B6,0)</f>
        <v>17.292713606300378</v>
      </c>
      <c r="M13" s="9">
        <f>IF('Data Sheet'!$B6&gt;0,'Profit &amp; Loss'!M12/'Data Sheet'!$B6,0)</f>
        <v>24.987536926380329</v>
      </c>
      <c r="N13" s="9">
        <f>IF('Data Sheet'!$B6&gt;0,'Profit &amp; Loss'!N12/'Data Sheet'!$B6,0)</f>
        <v>10.044445393591527</v>
      </c>
    </row>
    <row r="14" spans="1:14" x14ac:dyDescent="0.25">
      <c r="A14" s="6" t="s">
        <v>16</v>
      </c>
      <c r="B14" s="9">
        <f>IF(B15&gt;0,B15/B13,"")</f>
        <v>1.4041461987377213</v>
      </c>
      <c r="C14" s="9">
        <f t="shared" ref="C14:K14" si="2">IF(C15&gt;0,C15/C13,"")</f>
        <v>3.659669545442052</v>
      </c>
      <c r="D14" s="9">
        <f t="shared" si="2"/>
        <v>5.2971447069977575</v>
      </c>
      <c r="E14" s="9">
        <f t="shared" si="2"/>
        <v>1.6734263078660485</v>
      </c>
      <c r="F14" s="9">
        <f t="shared" si="2"/>
        <v>2.7225454164993725</v>
      </c>
      <c r="G14" s="9">
        <f t="shared" si="2"/>
        <v>3.1490847682901584</v>
      </c>
      <c r="H14" s="9">
        <f t="shared" si="2"/>
        <v>15.466312949133387</v>
      </c>
      <c r="I14" s="9">
        <f t="shared" si="2"/>
        <v>3.7284561374914653</v>
      </c>
      <c r="J14" s="9">
        <f t="shared" si="2"/>
        <v>6.8898610037129639</v>
      </c>
      <c r="K14" s="9">
        <f t="shared" si="2"/>
        <v>18.810883313698891</v>
      </c>
      <c r="L14" s="9">
        <f t="shared" ref="L14" si="3">IF(L13&gt;0,L15/L13,0)</f>
        <v>6.5143043807165943</v>
      </c>
      <c r="M14" s="9">
        <f>M25</f>
        <v>8.985876208904978</v>
      </c>
      <c r="N14" s="9">
        <f>N25</f>
        <v>6.3014395207805824</v>
      </c>
    </row>
    <row r="15" spans="1:14" s="8" customFormat="1" x14ac:dyDescent="0.25">
      <c r="A15" s="8" t="s">
        <v>49</v>
      </c>
      <c r="B15" s="1">
        <f>'Data Sheet'!B90</f>
        <v>16.008571</v>
      </c>
      <c r="C15" s="1">
        <f>'Data Sheet'!C90</f>
        <v>45.862000000000002</v>
      </c>
      <c r="D15" s="1">
        <f>'Data Sheet'!D90</f>
        <v>36.003</v>
      </c>
      <c r="E15" s="1">
        <f>'Data Sheet'!E90</f>
        <v>31.8</v>
      </c>
      <c r="F15" s="1">
        <f>'Data Sheet'!F90</f>
        <v>36.471738999999999</v>
      </c>
      <c r="G15" s="1">
        <f>'Data Sheet'!G90</f>
        <v>36.002173999999997</v>
      </c>
      <c r="H15" s="1">
        <f>'Data Sheet'!H90</f>
        <v>40.709091000000001</v>
      </c>
      <c r="I15" s="1">
        <f>'Data Sheet'!I90</f>
        <v>35.842857000000002</v>
      </c>
      <c r="J15" s="1">
        <f>'Data Sheet'!J90</f>
        <v>59.597499999999997</v>
      </c>
      <c r="K15" s="1">
        <f>'Data Sheet'!K90</f>
        <v>427.05476199999998</v>
      </c>
      <c r="L15" s="1">
        <f>'Data Sheet'!B8</f>
        <v>112.65</v>
      </c>
      <c r="M15" s="12">
        <f>M13*M14</f>
        <v>224.53491358589562</v>
      </c>
      <c r="N15" s="13">
        <f>N13*N14</f>
        <v>63.294465167500121</v>
      </c>
    </row>
    <row r="17" spans="1:14" s="8" customFormat="1" x14ac:dyDescent="0.25">
      <c r="A17" s="8" t="s">
        <v>15</v>
      </c>
    </row>
    <row r="18" spans="1:14" x14ac:dyDescent="0.25">
      <c r="A18" s="6" t="s">
        <v>17</v>
      </c>
      <c r="B18" s="7">
        <f>IF('Data Sheet'!B30&gt;0, 'Data Sheet'!B31/'Data Sheet'!B30, 0)</f>
        <v>6.4909977958839987E-2</v>
      </c>
      <c r="C18" s="7">
        <f>IF('Data Sheet'!C30&gt;0, 'Data Sheet'!C31/'Data Sheet'!C30, 0)</f>
        <v>0.10213139870223505</v>
      </c>
      <c r="D18" s="7">
        <f>IF('Data Sheet'!D30&gt;0, 'Data Sheet'!D31/'Data Sheet'!D30, 0)</f>
        <v>0.14710036556995679</v>
      </c>
      <c r="E18" s="7">
        <f>IF('Data Sheet'!E30&gt;0, 'Data Sheet'!E31/'Data Sheet'!E30, 0)</f>
        <v>5.7896163343973982E-2</v>
      </c>
      <c r="F18" s="7">
        <f>IF('Data Sheet'!F30&gt;0, 'Data Sheet'!F31/'Data Sheet'!F30, 0)</f>
        <v>8.211906062261061E-2</v>
      </c>
      <c r="G18" s="7">
        <f>IF('Data Sheet'!G30&gt;0, 'Data Sheet'!G31/'Data Sheet'!G30, 0)</f>
        <v>8.7457415546251277E-2</v>
      </c>
      <c r="H18" s="7">
        <f>IF('Data Sheet'!H30&gt;0, 'Data Sheet'!H31/'Data Sheet'!H30, 0)</f>
        <v>0.37987123009149443</v>
      </c>
      <c r="I18" s="7">
        <f>IF('Data Sheet'!I30&gt;0, 'Data Sheet'!I31/'Data Sheet'!I30, 0)</f>
        <v>0.10400816478010765</v>
      </c>
      <c r="J18" s="7">
        <f>IF('Data Sheet'!J30&gt;0, 'Data Sheet'!J31/'Data Sheet'!J30, 0)</f>
        <v>0.11559084347288101</v>
      </c>
      <c r="K18" s="7">
        <f>IF('Data Sheet'!K30&gt;0, 'Data Sheet'!K31/'Data Sheet'!K30, 0)</f>
        <v>8.8097015414031088E-2</v>
      </c>
    </row>
    <row r="19" spans="1:14" x14ac:dyDescent="0.25">
      <c r="A19" s="6" t="s">
        <v>18</v>
      </c>
      <c r="B19" s="7">
        <f t="shared" ref="B19:L19" si="4">IF(B6&gt;0,B6/B4,0)</f>
        <v>0.26377112442981493</v>
      </c>
      <c r="C19" s="7">
        <f t="shared" ref="C19:K19" si="5">IF(C6&gt;0,C6/C4,0)</f>
        <v>0.24777998674618956</v>
      </c>
      <c r="D19" s="7">
        <f t="shared" si="5"/>
        <v>0.1911659280066306</v>
      </c>
      <c r="E19" s="7">
        <f t="shared" si="5"/>
        <v>0.23837838510243939</v>
      </c>
      <c r="F19" s="7">
        <f t="shared" si="5"/>
        <v>0.20731695923915586</v>
      </c>
      <c r="G19" s="7">
        <f t="shared" si="5"/>
        <v>0.11164913609047675</v>
      </c>
      <c r="H19" s="7">
        <f t="shared" si="5"/>
        <v>0.10027875482242485</v>
      </c>
      <c r="I19" s="7">
        <f t="shared" si="5"/>
        <v>0.13097966739148992</v>
      </c>
      <c r="J19" s="7">
        <f t="shared" si="5"/>
        <v>0.16440488303316644</v>
      </c>
      <c r="K19" s="7">
        <f t="shared" si="5"/>
        <v>0.1999807092278913</v>
      </c>
      <c r="L19" s="7">
        <f t="shared" si="4"/>
        <v>0.13973018787461544</v>
      </c>
    </row>
    <row r="20" spans="1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s="2" customFormat="1" x14ac:dyDescent="0.25">
      <c r="A22" s="15"/>
      <c r="B22" s="16"/>
      <c r="C22" s="16"/>
      <c r="D22" s="16"/>
      <c r="E22" s="16"/>
      <c r="F22" s="16"/>
      <c r="G22" s="16" t="s">
        <v>19</v>
      </c>
      <c r="H22" s="16" t="s">
        <v>56</v>
      </c>
      <c r="I22" s="16" t="s">
        <v>57</v>
      </c>
      <c r="J22" s="16" t="s">
        <v>58</v>
      </c>
      <c r="K22" s="16" t="s">
        <v>59</v>
      </c>
      <c r="L22" s="17" t="s">
        <v>60</v>
      </c>
      <c r="M22" s="17" t="s">
        <v>20</v>
      </c>
      <c r="N22" s="17" t="s">
        <v>21</v>
      </c>
    </row>
    <row r="23" spans="1:14" s="8" customFormat="1" x14ac:dyDescent="0.25">
      <c r="A23" s="6"/>
      <c r="B23" s="6"/>
      <c r="C23" s="6"/>
      <c r="D23" s="6"/>
      <c r="E23" s="6"/>
      <c r="F23" s="6"/>
      <c r="G23" s="6" t="s">
        <v>22</v>
      </c>
      <c r="H23" s="7">
        <f>IF(B4=0,"",POWER($K4/B4,1/9)-1)</f>
        <v>0.10933751657911706</v>
      </c>
      <c r="I23" s="7">
        <f>IF(D4=0,"",POWER($K4/D4,1/7)-1)</f>
        <v>0.17058107404386313</v>
      </c>
      <c r="J23" s="7">
        <f>IF(F4=0,"",POWER($K4/F4,1/5)-1)</f>
        <v>0.16123192507304851</v>
      </c>
      <c r="K23" s="7">
        <f>IF(H4=0,"",POWER($K4/H4, 1/3)-1)</f>
        <v>-1.7649862242202108E-2</v>
      </c>
      <c r="L23" s="7">
        <f>IF(ISERROR(MAX(IF(J4=0,"",(K4-J4)/J4),IF(K4=0,"",(L4-K4)/K4))),"",MAX(IF(J4=0,"",(K4-J4)/J4),IF(K4=0,"",(L4-K4)/K4)))</f>
        <v>0.24293364859292399</v>
      </c>
      <c r="M23" s="22">
        <f>MAX(K23:L23)</f>
        <v>0.24293364859292399</v>
      </c>
      <c r="N23" s="22">
        <f>MIN(H23:L23)</f>
        <v>-1.7649862242202108E-2</v>
      </c>
    </row>
    <row r="24" spans="1:14" x14ac:dyDescent="0.25">
      <c r="G24" s="6" t="s">
        <v>18</v>
      </c>
      <c r="H24" s="7">
        <f>IF(SUM(B4:$K$4)=0,"",SUMPRODUCT(B19:$K$19,B4:$K$4)/SUM(B4:$K$4))</f>
        <v>0.16657317374387157</v>
      </c>
      <c r="I24" s="7">
        <f>IF(SUM(E4:$K$4)=0,"",SUMPRODUCT(E19:$K$19,E4:$K$4)/SUM(E4:$K$4))</f>
        <v>0.1540626475719295</v>
      </c>
      <c r="J24" s="7">
        <f>IF(SUM(G4:$K$4)=0,"",SUMPRODUCT(G19:$K$19,G4:$K$4)/SUM(G4:$K$4))</f>
        <v>0.14010489470648929</v>
      </c>
      <c r="K24" s="7">
        <f>IF(SUM(I4:$K$4)=0, "", SUMPRODUCT(I19:$K$19,I4:$K$4)/SUM(I4:$K$4))</f>
        <v>0.16638565374592348</v>
      </c>
      <c r="L24" s="7">
        <f>L19</f>
        <v>0.13973018787461544</v>
      </c>
      <c r="M24" s="22">
        <f>MAX(K24:L24)</f>
        <v>0.16638565374592348</v>
      </c>
      <c r="N24" s="22">
        <f>MIN(H24:L24)</f>
        <v>0.13973018787461544</v>
      </c>
    </row>
    <row r="25" spans="1:14" x14ac:dyDescent="0.25">
      <c r="G25" s="6" t="s">
        <v>23</v>
      </c>
      <c r="H25" s="9">
        <f>IF(ISERROR(AVERAGEIF(B14:$L14,"&gt;0")),"",AVERAGEIF(B14:$L14,"&gt;0"))</f>
        <v>6.3014395207805824</v>
      </c>
      <c r="I25" s="9">
        <f>IF(ISERROR(AVERAGEIF(E14:$L14,"&gt;0")),"",AVERAGEIF(E14:$L14,"&gt;0"))</f>
        <v>7.3693592846761096</v>
      </c>
      <c r="J25" s="9">
        <f>IF(ISERROR(AVERAGEIF(G14:$L14,"&gt;0")),"",AVERAGEIF(G14:$L14,"&gt;0"))</f>
        <v>9.0931504255072451</v>
      </c>
      <c r="K25" s="9">
        <f>IF(ISERROR(AVERAGEIF(I14:$L14,"&gt;0")),"",AVERAGEIF(I14:$L14,"&gt;0"))</f>
        <v>8.985876208904978</v>
      </c>
      <c r="L25" s="9">
        <f>L14</f>
        <v>6.5143043807165943</v>
      </c>
      <c r="M25" s="1">
        <f>MAX(K25:L25)</f>
        <v>8.985876208904978</v>
      </c>
      <c r="N25" s="1">
        <f>MIN(H25:L25)</f>
        <v>6.3014395207805824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22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5" sqref="K5"/>
    </sheetView>
  </sheetViews>
  <sheetFormatPr defaultColWidth="8.85546875" defaultRowHeight="15" x14ac:dyDescent="0.25"/>
  <cols>
    <col min="1" max="1" width="20.7109375" style="6" customWidth="1"/>
    <col min="2" max="11" width="13.42578125" style="6" bestFit="1" customWidth="1"/>
    <col min="12" max="16384" width="8.85546875" style="6"/>
  </cols>
  <sheetData>
    <row r="1" spans="1:11" s="8" customFormat="1" x14ac:dyDescent="0.25">
      <c r="A1" s="8" t="str">
        <f>'Profit &amp; Loss'!A1</f>
        <v>RAIN INDUSTRIES LTD</v>
      </c>
      <c r="E1" t="str">
        <f>UPDATE</f>
        <v/>
      </c>
      <c r="J1" s="4" t="s">
        <v>1</v>
      </c>
      <c r="K1" s="4"/>
    </row>
    <row r="3" spans="1:11" s="2" customFormat="1" x14ac:dyDescent="0.25">
      <c r="A3" s="15" t="s">
        <v>2</v>
      </c>
      <c r="B3" s="16">
        <f>'Data Sheet'!B41</f>
        <v>42643</v>
      </c>
      <c r="C3" s="16">
        <f>'Data Sheet'!C41</f>
        <v>42735</v>
      </c>
      <c r="D3" s="16">
        <f>'Data Sheet'!D41</f>
        <v>42825</v>
      </c>
      <c r="E3" s="16">
        <f>'Data Sheet'!E41</f>
        <v>42916</v>
      </c>
      <c r="F3" s="16">
        <f>'Data Sheet'!F41</f>
        <v>43008</v>
      </c>
      <c r="G3" s="16">
        <f>'Data Sheet'!G41</f>
        <v>43100</v>
      </c>
      <c r="H3" s="16">
        <f>'Data Sheet'!H41</f>
        <v>43190</v>
      </c>
      <c r="I3" s="16">
        <f>'Data Sheet'!I41</f>
        <v>43281</v>
      </c>
      <c r="J3" s="16">
        <f>'Data Sheet'!J41</f>
        <v>43373</v>
      </c>
      <c r="K3" s="16">
        <f>'Data Sheet'!K41</f>
        <v>43465</v>
      </c>
    </row>
    <row r="4" spans="1:11" s="8" customFormat="1" x14ac:dyDescent="0.25">
      <c r="A4" s="8" t="s">
        <v>6</v>
      </c>
      <c r="B4" s="1">
        <f>'Data Sheet'!B42</f>
        <v>2234.44</v>
      </c>
      <c r="C4" s="1">
        <f>'Data Sheet'!C42</f>
        <v>2373.4499999999998</v>
      </c>
      <c r="D4" s="1">
        <f>'Data Sheet'!D42</f>
        <v>2468</v>
      </c>
      <c r="E4" s="1">
        <f>'Data Sheet'!E42</f>
        <v>2637.12</v>
      </c>
      <c r="F4" s="1">
        <f>'Data Sheet'!F42</f>
        <v>3050.81</v>
      </c>
      <c r="G4" s="1">
        <f>'Data Sheet'!G42</f>
        <v>3146.13</v>
      </c>
      <c r="H4" s="1">
        <f>'Data Sheet'!H42</f>
        <v>3306.2</v>
      </c>
      <c r="I4" s="1">
        <f>'Data Sheet'!I42</f>
        <v>3803.25</v>
      </c>
      <c r="J4" s="1">
        <f>'Data Sheet'!J42</f>
        <v>3492.55</v>
      </c>
      <c r="K4" s="1">
        <f>'Data Sheet'!K42</f>
        <v>3444.07</v>
      </c>
    </row>
    <row r="5" spans="1:11" x14ac:dyDescent="0.25">
      <c r="A5" s="6" t="s">
        <v>7</v>
      </c>
      <c r="B5" s="9">
        <f>'Data Sheet'!B43</f>
        <v>1780.83</v>
      </c>
      <c r="C5" s="9">
        <f>'Data Sheet'!C43</f>
        <v>1938.76</v>
      </c>
      <c r="D5" s="9">
        <f>'Data Sheet'!D43</f>
        <v>2026.64</v>
      </c>
      <c r="E5" s="9">
        <f>'Data Sheet'!E43</f>
        <v>2169.3000000000002</v>
      </c>
      <c r="F5" s="9">
        <f>'Data Sheet'!F43</f>
        <v>2376.98</v>
      </c>
      <c r="G5" s="9">
        <f>'Data Sheet'!G43</f>
        <v>2457.5500000000002</v>
      </c>
      <c r="H5" s="9">
        <f>'Data Sheet'!H43</f>
        <v>2665.32</v>
      </c>
      <c r="I5" s="9">
        <f>'Data Sheet'!I43</f>
        <v>3110.87</v>
      </c>
      <c r="J5" s="9">
        <f>'Data Sheet'!J43</f>
        <v>2981.19</v>
      </c>
      <c r="K5" s="9">
        <f>'Data Sheet'!K43</f>
        <v>3326.03</v>
      </c>
    </row>
    <row r="6" spans="1:11" s="8" customFormat="1" x14ac:dyDescent="0.25">
      <c r="A6" s="8" t="s">
        <v>8</v>
      </c>
      <c r="B6" s="1">
        <f>'Data Sheet'!B50</f>
        <v>453.61</v>
      </c>
      <c r="C6" s="1">
        <f>'Data Sheet'!C50</f>
        <v>434.69</v>
      </c>
      <c r="D6" s="1">
        <f>'Data Sheet'!D50</f>
        <v>441.36</v>
      </c>
      <c r="E6" s="1">
        <f>'Data Sheet'!E50</f>
        <v>467.82</v>
      </c>
      <c r="F6" s="1">
        <f>'Data Sheet'!F50</f>
        <v>673.83</v>
      </c>
      <c r="G6" s="1">
        <f>'Data Sheet'!G50</f>
        <v>688.58</v>
      </c>
      <c r="H6" s="1">
        <f>'Data Sheet'!H50</f>
        <v>640.88</v>
      </c>
      <c r="I6" s="1">
        <f>'Data Sheet'!I50</f>
        <v>692.38</v>
      </c>
      <c r="J6" s="1">
        <f>'Data Sheet'!J50</f>
        <v>511.36</v>
      </c>
      <c r="K6" s="1">
        <f>'Data Sheet'!K50</f>
        <v>118.04</v>
      </c>
    </row>
    <row r="7" spans="1:11" x14ac:dyDescent="0.25">
      <c r="A7" s="6" t="s">
        <v>9</v>
      </c>
      <c r="B7" s="9">
        <f>'Data Sheet'!B44</f>
        <v>-6.53</v>
      </c>
      <c r="C7" s="9">
        <f>'Data Sheet'!C44</f>
        <v>40.49</v>
      </c>
      <c r="D7" s="9">
        <f>'Data Sheet'!D44</f>
        <v>-46.44</v>
      </c>
      <c r="E7" s="9">
        <f>'Data Sheet'!E44</f>
        <v>47.49</v>
      </c>
      <c r="F7" s="9">
        <f>'Data Sheet'!F44</f>
        <v>25.57</v>
      </c>
      <c r="G7" s="9">
        <f>'Data Sheet'!G44</f>
        <v>-93.97</v>
      </c>
      <c r="H7" s="9">
        <f>'Data Sheet'!H44</f>
        <v>6.08</v>
      </c>
      <c r="I7" s="9">
        <f>'Data Sheet'!I44</f>
        <v>9.33</v>
      </c>
      <c r="J7" s="9">
        <f>'Data Sheet'!J44</f>
        <v>13.33</v>
      </c>
      <c r="K7" s="9">
        <f>'Data Sheet'!K44</f>
        <v>15.86</v>
      </c>
    </row>
    <row r="8" spans="1:11" x14ac:dyDescent="0.25">
      <c r="A8" s="6" t="s">
        <v>10</v>
      </c>
      <c r="B8" s="9">
        <f>'Data Sheet'!B45</f>
        <v>129.30000000000001</v>
      </c>
      <c r="C8" s="9">
        <f>'Data Sheet'!C45</f>
        <v>136.94999999999999</v>
      </c>
      <c r="D8" s="9">
        <f>'Data Sheet'!D45</f>
        <v>136.63999999999999</v>
      </c>
      <c r="E8" s="9">
        <f>'Data Sheet'!E45</f>
        <v>129.47</v>
      </c>
      <c r="F8" s="9">
        <f>'Data Sheet'!F45</f>
        <v>133.53</v>
      </c>
      <c r="G8" s="9">
        <f>'Data Sheet'!G45</f>
        <v>125.99</v>
      </c>
      <c r="H8" s="9">
        <f>'Data Sheet'!H45</f>
        <v>122.99</v>
      </c>
      <c r="I8" s="9">
        <f>'Data Sheet'!I45</f>
        <v>131.57</v>
      </c>
      <c r="J8" s="9">
        <f>'Data Sheet'!J45</f>
        <v>131.41</v>
      </c>
      <c r="K8" s="9">
        <f>'Data Sheet'!K45</f>
        <v>169.12</v>
      </c>
    </row>
    <row r="9" spans="1:11" x14ac:dyDescent="0.25">
      <c r="A9" s="6" t="s">
        <v>11</v>
      </c>
      <c r="B9" s="9">
        <f>'Data Sheet'!B46</f>
        <v>151.52000000000001</v>
      </c>
      <c r="C9" s="9">
        <f>'Data Sheet'!C46</f>
        <v>166.27</v>
      </c>
      <c r="D9" s="9">
        <f>'Data Sheet'!D46</f>
        <v>153.56</v>
      </c>
      <c r="E9" s="9">
        <f>'Data Sheet'!E46</f>
        <v>148.32</v>
      </c>
      <c r="F9" s="9">
        <f>'Data Sheet'!F46</f>
        <v>146.30000000000001</v>
      </c>
      <c r="G9" s="9">
        <f>'Data Sheet'!G46</f>
        <v>146.5</v>
      </c>
      <c r="H9" s="9">
        <f>'Data Sheet'!H46</f>
        <v>117.98</v>
      </c>
      <c r="I9" s="9">
        <f>'Data Sheet'!I46</f>
        <v>111.79</v>
      </c>
      <c r="J9" s="9">
        <f>'Data Sheet'!J46</f>
        <v>112.61</v>
      </c>
      <c r="K9" s="9">
        <f>'Data Sheet'!K46</f>
        <v>114.14</v>
      </c>
    </row>
    <row r="10" spans="1:11" x14ac:dyDescent="0.25">
      <c r="A10" s="6" t="s">
        <v>12</v>
      </c>
      <c r="B10" s="9">
        <f>'Data Sheet'!B47</f>
        <v>166.26</v>
      </c>
      <c r="C10" s="9">
        <f>'Data Sheet'!C47</f>
        <v>171.96</v>
      </c>
      <c r="D10" s="9">
        <f>'Data Sheet'!D47</f>
        <v>104.72</v>
      </c>
      <c r="E10" s="9">
        <f>'Data Sheet'!E47</f>
        <v>237.52</v>
      </c>
      <c r="F10" s="9">
        <f>'Data Sheet'!F47</f>
        <v>419.57</v>
      </c>
      <c r="G10" s="9">
        <f>'Data Sheet'!G47</f>
        <v>322.12</v>
      </c>
      <c r="H10" s="9">
        <f>'Data Sheet'!H47</f>
        <v>405.99</v>
      </c>
      <c r="I10" s="9">
        <f>'Data Sheet'!I47</f>
        <v>458.35</v>
      </c>
      <c r="J10" s="9">
        <f>'Data Sheet'!J47</f>
        <v>280.67</v>
      </c>
      <c r="K10" s="9">
        <f>'Data Sheet'!K47</f>
        <v>-149.36000000000001</v>
      </c>
    </row>
    <row r="11" spans="1:11" x14ac:dyDescent="0.25">
      <c r="A11" s="6" t="s">
        <v>13</v>
      </c>
      <c r="B11" s="9">
        <f>'Data Sheet'!B48</f>
        <v>35.17</v>
      </c>
      <c r="C11" s="9">
        <f>'Data Sheet'!C48</f>
        <v>82.15</v>
      </c>
      <c r="D11" s="9">
        <f>'Data Sheet'!D48</f>
        <v>40.04</v>
      </c>
      <c r="E11" s="9">
        <f>'Data Sheet'!E48</f>
        <v>81.89</v>
      </c>
      <c r="F11" s="9">
        <f>'Data Sheet'!F48</f>
        <v>166.16</v>
      </c>
      <c r="G11" s="9">
        <f>'Data Sheet'!G48</f>
        <v>3.73</v>
      </c>
      <c r="H11" s="9">
        <f>'Data Sheet'!H48</f>
        <v>140.28</v>
      </c>
      <c r="I11" s="9">
        <f>'Data Sheet'!I48</f>
        <v>154.58000000000001</v>
      </c>
      <c r="J11" s="9">
        <f>'Data Sheet'!J48</f>
        <v>91</v>
      </c>
      <c r="K11" s="9">
        <f>'Data Sheet'!K48</f>
        <v>-21.54</v>
      </c>
    </row>
    <row r="12" spans="1:11" s="8" customFormat="1" x14ac:dyDescent="0.25">
      <c r="A12" s="8" t="s">
        <v>14</v>
      </c>
      <c r="B12" s="1">
        <f>'Data Sheet'!B49</f>
        <v>126.83</v>
      </c>
      <c r="C12" s="1">
        <f>'Data Sheet'!C49</f>
        <v>87.6</v>
      </c>
      <c r="D12" s="1">
        <f>'Data Sheet'!D49</f>
        <v>64.680000000000007</v>
      </c>
      <c r="E12" s="1">
        <f>'Data Sheet'!E49</f>
        <v>151.53</v>
      </c>
      <c r="F12" s="1">
        <f>'Data Sheet'!F49</f>
        <v>245.65</v>
      </c>
      <c r="G12" s="1">
        <f>'Data Sheet'!G49</f>
        <v>307.19</v>
      </c>
      <c r="H12" s="1">
        <f>'Data Sheet'!H49</f>
        <v>251.17</v>
      </c>
      <c r="I12" s="1">
        <f>'Data Sheet'!I49</f>
        <v>294.81</v>
      </c>
      <c r="J12" s="1">
        <f>'Data Sheet'!J49</f>
        <v>174.79</v>
      </c>
      <c r="K12" s="1">
        <f>'Data Sheet'!K49</f>
        <v>-139.13</v>
      </c>
    </row>
    <row r="14" spans="1:11" s="8" customFormat="1" x14ac:dyDescent="0.25">
      <c r="A14" s="2" t="s">
        <v>18</v>
      </c>
      <c r="B14" s="14">
        <f>IF(B4&gt;0,B6/B4,"")</f>
        <v>0.20300836003651923</v>
      </c>
      <c r="C14" s="14">
        <f t="shared" ref="C14:K14" si="0">IF(C4&gt;0,C6/C4,"")</f>
        <v>0.18314689586888286</v>
      </c>
      <c r="D14" s="14">
        <f t="shared" si="0"/>
        <v>0.17883306320907619</v>
      </c>
      <c r="E14" s="14">
        <f t="shared" si="0"/>
        <v>0.17739807062249727</v>
      </c>
      <c r="F14" s="14">
        <f t="shared" si="0"/>
        <v>0.22086921178310023</v>
      </c>
      <c r="G14" s="14">
        <f t="shared" si="0"/>
        <v>0.21886571756411846</v>
      </c>
      <c r="H14" s="14">
        <f t="shared" si="0"/>
        <v>0.19384187284495796</v>
      </c>
      <c r="I14" s="14">
        <f t="shared" si="0"/>
        <v>0.18204956287385787</v>
      </c>
      <c r="J14" s="14">
        <f t="shared" si="0"/>
        <v>0.14641451088746044</v>
      </c>
      <c r="K14" s="14">
        <f t="shared" si="0"/>
        <v>3.4273403269968382E-2</v>
      </c>
    </row>
    <row r="22" s="26" customFormat="1" x14ac:dyDescent="0.25"/>
  </sheetData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5"/>
  <sheetViews>
    <sheetView zoomScaleNormal="10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K24" sqref="K24"/>
    </sheetView>
  </sheetViews>
  <sheetFormatPr defaultColWidth="8.85546875" defaultRowHeight="15" x14ac:dyDescent="0.25"/>
  <cols>
    <col min="1" max="1" width="22.85546875" style="11" bestFit="1" customWidth="1"/>
    <col min="2" max="2" width="13.42578125" style="11" customWidth="1"/>
    <col min="3" max="11" width="15.42578125" style="11" customWidth="1"/>
    <col min="12" max="16384" width="8.85546875" style="11"/>
  </cols>
  <sheetData>
    <row r="1" spans="1:11" s="8" customFormat="1" x14ac:dyDescent="0.25">
      <c r="A1" s="8" t="str">
        <f>'Profit &amp; Loss'!A1</f>
        <v>RAIN INDUSTRIES LTD</v>
      </c>
      <c r="E1" t="str">
        <f>UPDATE</f>
        <v/>
      </c>
      <c r="G1"/>
      <c r="J1" s="4" t="s">
        <v>1</v>
      </c>
      <c r="K1" s="4"/>
    </row>
    <row r="2" spans="1:11" x14ac:dyDescent="0.25">
      <c r="G2" s="8"/>
      <c r="H2" s="8"/>
    </row>
    <row r="3" spans="1:11" s="18" customFormat="1" x14ac:dyDescent="0.25">
      <c r="A3" s="15" t="s">
        <v>2</v>
      </c>
      <c r="B3" s="16">
        <f>'Data Sheet'!B56</f>
        <v>39813</v>
      </c>
      <c r="C3" s="16">
        <f>'Data Sheet'!C56</f>
        <v>40178</v>
      </c>
      <c r="D3" s="16">
        <f>'Data Sheet'!D56</f>
        <v>40543</v>
      </c>
      <c r="E3" s="16">
        <f>'Data Sheet'!E56</f>
        <v>40908</v>
      </c>
      <c r="F3" s="16">
        <f>'Data Sheet'!F56</f>
        <v>41274</v>
      </c>
      <c r="G3" s="16">
        <f>'Data Sheet'!G56</f>
        <v>41639</v>
      </c>
      <c r="H3" s="16">
        <f>'Data Sheet'!H56</f>
        <v>42004</v>
      </c>
      <c r="I3" s="16">
        <f>'Data Sheet'!I56</f>
        <v>42369</v>
      </c>
      <c r="J3" s="16">
        <f>'Data Sheet'!J56</f>
        <v>42735</v>
      </c>
      <c r="K3" s="16">
        <f>'Data Sheet'!K56</f>
        <v>43100</v>
      </c>
    </row>
    <row r="4" spans="1:11" x14ac:dyDescent="0.25">
      <c r="A4" s="6" t="s">
        <v>24</v>
      </c>
      <c r="B4" s="19">
        <f>'Data Sheet'!B57</f>
        <v>70.83</v>
      </c>
      <c r="C4" s="19">
        <f>'Data Sheet'!C57</f>
        <v>70.83</v>
      </c>
      <c r="D4" s="19">
        <f>'Data Sheet'!D57</f>
        <v>70.83</v>
      </c>
      <c r="E4" s="19">
        <f>'Data Sheet'!E57</f>
        <v>69.900000000000006</v>
      </c>
      <c r="F4" s="19">
        <f>'Data Sheet'!F57</f>
        <v>68.34</v>
      </c>
      <c r="G4" s="19">
        <f>'Data Sheet'!G57</f>
        <v>67.27</v>
      </c>
      <c r="H4" s="19">
        <f>'Data Sheet'!H57</f>
        <v>67.27</v>
      </c>
      <c r="I4" s="19">
        <f>'Data Sheet'!I57</f>
        <v>67.27</v>
      </c>
      <c r="J4" s="19">
        <f>'Data Sheet'!J57</f>
        <v>67.27</v>
      </c>
      <c r="K4" s="19">
        <f>'Data Sheet'!K57</f>
        <v>67.27</v>
      </c>
    </row>
    <row r="5" spans="1:11" s="6" customFormat="1" x14ac:dyDescent="0.25">
      <c r="A5" s="6" t="s">
        <v>25</v>
      </c>
      <c r="B5" s="19">
        <f>'Data Sheet'!B58</f>
        <v>768.99</v>
      </c>
      <c r="C5" s="19">
        <f>'Data Sheet'!C58</f>
        <v>1139.57</v>
      </c>
      <c r="D5" s="19">
        <f>'Data Sheet'!D58</f>
        <v>1322.52</v>
      </c>
      <c r="E5" s="19">
        <f>'Data Sheet'!E58</f>
        <v>2051</v>
      </c>
      <c r="F5" s="19">
        <f>'Data Sheet'!F58</f>
        <v>2483.33</v>
      </c>
      <c r="G5" s="19">
        <f>'Data Sheet'!G58</f>
        <v>3156.04</v>
      </c>
      <c r="H5" s="19">
        <f>'Data Sheet'!H58</f>
        <v>2878.51</v>
      </c>
      <c r="I5" s="19">
        <f>'Data Sheet'!I58</f>
        <v>2870.23</v>
      </c>
      <c r="J5" s="19">
        <f>'Data Sheet'!J58</f>
        <v>3097.54</v>
      </c>
      <c r="K5" s="19">
        <f>'Data Sheet'!K58</f>
        <v>3876.83</v>
      </c>
    </row>
    <row r="6" spans="1:11" x14ac:dyDescent="0.25">
      <c r="A6" s="11" t="s">
        <v>62</v>
      </c>
      <c r="B6" s="19">
        <f>'Data Sheet'!B59</f>
        <v>3769.19</v>
      </c>
      <c r="C6" s="19">
        <f>'Data Sheet'!C59</f>
        <v>3031.21</v>
      </c>
      <c r="D6" s="19">
        <f>'Data Sheet'!D59</f>
        <v>3178.14</v>
      </c>
      <c r="E6" s="19">
        <f>'Data Sheet'!E59</f>
        <v>3746.81</v>
      </c>
      <c r="F6" s="19">
        <f>'Data Sheet'!F59</f>
        <v>6926.85</v>
      </c>
      <c r="G6" s="19">
        <f>'Data Sheet'!G59</f>
        <v>8290.5499999999993</v>
      </c>
      <c r="H6" s="19">
        <f>'Data Sheet'!H59</f>
        <v>7672.6</v>
      </c>
      <c r="I6" s="19">
        <f>'Data Sheet'!I59</f>
        <v>7595.69</v>
      </c>
      <c r="J6" s="19">
        <f>'Data Sheet'!J59</f>
        <v>7326.18</v>
      </c>
      <c r="K6" s="19">
        <f>'Data Sheet'!K59</f>
        <v>7332.3</v>
      </c>
    </row>
    <row r="7" spans="1:11" s="6" customFormat="1" x14ac:dyDescent="0.25">
      <c r="A7" s="11" t="s">
        <v>63</v>
      </c>
      <c r="B7" s="19">
        <f>'Data Sheet'!B60</f>
        <v>771.31</v>
      </c>
      <c r="C7" s="19">
        <f>'Data Sheet'!C60</f>
        <v>625.74</v>
      </c>
      <c r="D7" s="19">
        <f>'Data Sheet'!D60</f>
        <v>676.48</v>
      </c>
      <c r="E7" s="19">
        <f>'Data Sheet'!E60</f>
        <v>966.46</v>
      </c>
      <c r="F7" s="19">
        <f>'Data Sheet'!F60</f>
        <v>1286.8499999999999</v>
      </c>
      <c r="G7" s="19">
        <f>'Data Sheet'!G60</f>
        <v>3112.56</v>
      </c>
      <c r="H7" s="19">
        <f>'Data Sheet'!H60</f>
        <v>2936.76</v>
      </c>
      <c r="I7" s="19">
        <f>'Data Sheet'!I60</f>
        <v>2511.21</v>
      </c>
      <c r="J7" s="19">
        <f>'Data Sheet'!J60</f>
        <v>2588.4499999999998</v>
      </c>
      <c r="K7" s="19">
        <f>'Data Sheet'!K60</f>
        <v>3273.9</v>
      </c>
    </row>
    <row r="8" spans="1:11" s="8" customFormat="1" x14ac:dyDescent="0.25">
      <c r="A8" s="8" t="s">
        <v>26</v>
      </c>
      <c r="B8" s="20">
        <f>'Data Sheet'!B61</f>
        <v>5380.32</v>
      </c>
      <c r="C8" s="20">
        <f>'Data Sheet'!C61</f>
        <v>4867.3500000000004</v>
      </c>
      <c r="D8" s="20">
        <f>'Data Sheet'!D61</f>
        <v>5247.97</v>
      </c>
      <c r="E8" s="20">
        <f>'Data Sheet'!E61</f>
        <v>6834.17</v>
      </c>
      <c r="F8" s="20">
        <f>'Data Sheet'!F61</f>
        <v>10765.37</v>
      </c>
      <c r="G8" s="20">
        <f>'Data Sheet'!G61</f>
        <v>14626.42</v>
      </c>
      <c r="H8" s="20">
        <f>'Data Sheet'!H61</f>
        <v>13555.14</v>
      </c>
      <c r="I8" s="20">
        <f>'Data Sheet'!I61</f>
        <v>13044.4</v>
      </c>
      <c r="J8" s="20">
        <f>'Data Sheet'!J61</f>
        <v>13079.44</v>
      </c>
      <c r="K8" s="20">
        <f>'Data Sheet'!K61</f>
        <v>14550.3</v>
      </c>
    </row>
    <row r="9" spans="1:11" s="8" customFormat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6" t="s">
        <v>27</v>
      </c>
      <c r="B10" s="19">
        <f>'Data Sheet'!B62</f>
        <v>3581.09</v>
      </c>
      <c r="C10" s="19">
        <f>'Data Sheet'!C62</f>
        <v>3415.86</v>
      </c>
      <c r="D10" s="19">
        <f>'Data Sheet'!D62</f>
        <v>3238.35</v>
      </c>
      <c r="E10" s="19">
        <f>'Data Sheet'!E62</f>
        <v>3694.05</v>
      </c>
      <c r="F10" s="19">
        <f>'Data Sheet'!F62</f>
        <v>3719.39</v>
      </c>
      <c r="G10" s="19">
        <f>'Data Sheet'!G62</f>
        <v>9262.25</v>
      </c>
      <c r="H10" s="19">
        <f>'Data Sheet'!H62</f>
        <v>8711.7900000000009</v>
      </c>
      <c r="I10" s="19">
        <f>'Data Sheet'!I62</f>
        <v>8539.7800000000007</v>
      </c>
      <c r="J10" s="19">
        <f>'Data Sheet'!J62</f>
        <v>8922.6</v>
      </c>
      <c r="K10" s="19">
        <f>'Data Sheet'!K62</f>
        <v>8689.67</v>
      </c>
    </row>
    <row r="11" spans="1:11" x14ac:dyDescent="0.25">
      <c r="A11" s="6" t="s">
        <v>28</v>
      </c>
      <c r="B11" s="19">
        <f>'Data Sheet'!B63</f>
        <v>54.93</v>
      </c>
      <c r="C11" s="19">
        <f>'Data Sheet'!C63</f>
        <v>23.33</v>
      </c>
      <c r="D11" s="19">
        <f>'Data Sheet'!D63</f>
        <v>56.07</v>
      </c>
      <c r="E11" s="19">
        <f>'Data Sheet'!E63</f>
        <v>124.13</v>
      </c>
      <c r="F11" s="19">
        <f>'Data Sheet'!F63</f>
        <v>586.58000000000004</v>
      </c>
      <c r="G11" s="19">
        <f>'Data Sheet'!G63</f>
        <v>272.14</v>
      </c>
      <c r="H11" s="19">
        <f>'Data Sheet'!H63</f>
        <v>269.06</v>
      </c>
      <c r="I11" s="19">
        <f>'Data Sheet'!I63</f>
        <v>410.84</v>
      </c>
      <c r="J11" s="19">
        <f>'Data Sheet'!J63</f>
        <v>226.07</v>
      </c>
      <c r="K11" s="19">
        <f>'Data Sheet'!K63</f>
        <v>441.25</v>
      </c>
    </row>
    <row r="12" spans="1:11" x14ac:dyDescent="0.25">
      <c r="A12" s="6" t="s">
        <v>29</v>
      </c>
      <c r="B12" s="19">
        <f>'Data Sheet'!B64</f>
        <v>26.86</v>
      </c>
      <c r="C12" s="19">
        <f>'Data Sheet'!C64</f>
        <v>30.72</v>
      </c>
      <c r="D12" s="19">
        <f>'Data Sheet'!D64</f>
        <v>1.61</v>
      </c>
      <c r="E12" s="19">
        <f>'Data Sheet'!E64</f>
        <v>1.61</v>
      </c>
      <c r="F12" s="19">
        <f>'Data Sheet'!F64</f>
        <v>1.61</v>
      </c>
      <c r="G12" s="19">
        <f>'Data Sheet'!G64</f>
        <v>14.05</v>
      </c>
      <c r="H12" s="19">
        <f>'Data Sheet'!H64</f>
        <v>26.37</v>
      </c>
      <c r="I12" s="19">
        <f>'Data Sheet'!I64</f>
        <v>19.440000000000001</v>
      </c>
      <c r="J12" s="19">
        <f>'Data Sheet'!J64</f>
        <v>32.36</v>
      </c>
      <c r="K12" s="19">
        <f>'Data Sheet'!K64</f>
        <v>34.799999999999997</v>
      </c>
    </row>
    <row r="13" spans="1:11" x14ac:dyDescent="0.25">
      <c r="A13" s="11" t="s">
        <v>64</v>
      </c>
      <c r="B13" s="19">
        <f>'Data Sheet'!B65</f>
        <v>1717.44</v>
      </c>
      <c r="C13" s="19">
        <f>'Data Sheet'!C65</f>
        <v>1397.44</v>
      </c>
      <c r="D13" s="19">
        <f>'Data Sheet'!D65</f>
        <v>1951.94</v>
      </c>
      <c r="E13" s="19">
        <f>'Data Sheet'!E65</f>
        <v>3014.38</v>
      </c>
      <c r="F13" s="19">
        <f>'Data Sheet'!F65</f>
        <v>6457.79</v>
      </c>
      <c r="G13" s="19">
        <f>'Data Sheet'!G65</f>
        <v>5077.9799999999996</v>
      </c>
      <c r="H13" s="19">
        <f>'Data Sheet'!H65</f>
        <v>4547.92</v>
      </c>
      <c r="I13" s="19">
        <f>'Data Sheet'!I65</f>
        <v>4074.34</v>
      </c>
      <c r="J13" s="19">
        <f>'Data Sheet'!J65</f>
        <v>3898.41</v>
      </c>
      <c r="K13" s="19">
        <f>'Data Sheet'!K65</f>
        <v>5384.58</v>
      </c>
    </row>
    <row r="14" spans="1:11" s="8" customFormat="1" x14ac:dyDescent="0.25">
      <c r="A14" s="8" t="s">
        <v>26</v>
      </c>
      <c r="B14" s="19">
        <f>'Data Sheet'!B66</f>
        <v>5380.32</v>
      </c>
      <c r="C14" s="19">
        <f>'Data Sheet'!C66</f>
        <v>4867.3500000000004</v>
      </c>
      <c r="D14" s="19">
        <f>'Data Sheet'!D66</f>
        <v>5247.97</v>
      </c>
      <c r="E14" s="19">
        <f>'Data Sheet'!E66</f>
        <v>6834.17</v>
      </c>
      <c r="F14" s="19">
        <f>'Data Sheet'!F66</f>
        <v>10765.37</v>
      </c>
      <c r="G14" s="19">
        <f>'Data Sheet'!G66</f>
        <v>14626.42</v>
      </c>
      <c r="H14" s="19">
        <f>'Data Sheet'!H66</f>
        <v>13555.14</v>
      </c>
      <c r="I14" s="19">
        <f>'Data Sheet'!I66</f>
        <v>13044.4</v>
      </c>
      <c r="J14" s="19">
        <f>'Data Sheet'!J66</f>
        <v>13079.44</v>
      </c>
      <c r="K14" s="19">
        <f>'Data Sheet'!K66</f>
        <v>14550.3</v>
      </c>
    </row>
    <row r="15" spans="1:11" x14ac:dyDescent="0.25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5" t="s">
        <v>30</v>
      </c>
      <c r="B16" s="21">
        <f>B13-B7</f>
        <v>946.13000000000011</v>
      </c>
      <c r="C16" s="21">
        <f t="shared" ref="C16:K16" si="0">C13-C7</f>
        <v>771.7</v>
      </c>
      <c r="D16" s="21">
        <f t="shared" si="0"/>
        <v>1275.46</v>
      </c>
      <c r="E16" s="21">
        <f t="shared" si="0"/>
        <v>2047.92</v>
      </c>
      <c r="F16" s="21">
        <f t="shared" si="0"/>
        <v>5170.9400000000005</v>
      </c>
      <c r="G16" s="21">
        <f t="shared" si="0"/>
        <v>1965.4199999999996</v>
      </c>
      <c r="H16" s="21">
        <f t="shared" si="0"/>
        <v>1611.1599999999999</v>
      </c>
      <c r="I16" s="21">
        <f t="shared" si="0"/>
        <v>1563.13</v>
      </c>
      <c r="J16" s="21">
        <f t="shared" si="0"/>
        <v>1309.96</v>
      </c>
      <c r="K16" s="21">
        <f t="shared" si="0"/>
        <v>2110.6799999999998</v>
      </c>
    </row>
    <row r="17" spans="1:11" x14ac:dyDescent="0.25">
      <c r="A17" s="11" t="s">
        <v>44</v>
      </c>
      <c r="B17" s="21">
        <f>'Data Sheet'!B67</f>
        <v>476.76</v>
      </c>
      <c r="C17" s="21">
        <f>'Data Sheet'!C67</f>
        <v>447.94</v>
      </c>
      <c r="D17" s="21">
        <f>'Data Sheet'!D67</f>
        <v>542.29999999999995</v>
      </c>
      <c r="E17" s="21">
        <f>'Data Sheet'!E67</f>
        <v>692.36</v>
      </c>
      <c r="F17" s="21">
        <f>'Data Sheet'!F67</f>
        <v>564.91999999999996</v>
      </c>
      <c r="G17" s="21">
        <f>'Data Sheet'!G67</f>
        <v>1537.06</v>
      </c>
      <c r="H17" s="21">
        <f>'Data Sheet'!H67</f>
        <v>1371.2</v>
      </c>
      <c r="I17" s="21">
        <f>'Data Sheet'!I67</f>
        <v>1196.82</v>
      </c>
      <c r="J17" s="21">
        <f>'Data Sheet'!J67</f>
        <v>1039.23</v>
      </c>
      <c r="K17" s="21">
        <f>'Data Sheet'!K67</f>
        <v>1687.26</v>
      </c>
    </row>
    <row r="18" spans="1:11" x14ac:dyDescent="0.25">
      <c r="A18" s="11" t="s">
        <v>45</v>
      </c>
      <c r="B18" s="21">
        <f>'Data Sheet'!B68</f>
        <v>843.14</v>
      </c>
      <c r="C18" s="21">
        <f>'Data Sheet'!C68</f>
        <v>477.07</v>
      </c>
      <c r="D18" s="21">
        <f>'Data Sheet'!D68</f>
        <v>745.24</v>
      </c>
      <c r="E18" s="21">
        <f>'Data Sheet'!E68</f>
        <v>1096.99</v>
      </c>
      <c r="F18" s="21">
        <f>'Data Sheet'!F68</f>
        <v>984.96</v>
      </c>
      <c r="G18" s="21">
        <f>'Data Sheet'!G68</f>
        <v>2000.18</v>
      </c>
      <c r="H18" s="21">
        <f>'Data Sheet'!H68</f>
        <v>1533.72</v>
      </c>
      <c r="I18" s="21">
        <f>'Data Sheet'!I68</f>
        <v>1620.99</v>
      </c>
      <c r="J18" s="21">
        <f>'Data Sheet'!J68</f>
        <v>1267.81</v>
      </c>
      <c r="K18" s="21">
        <f>'Data Sheet'!K68</f>
        <v>1998.53</v>
      </c>
    </row>
    <row r="20" spans="1:11" x14ac:dyDescent="0.25">
      <c r="A20" s="11" t="s">
        <v>46</v>
      </c>
      <c r="B20" s="5">
        <f>IF('Profit &amp; Loss'!B4&gt;0,'Balance Sheet'!B17/('Profit &amp; Loss'!B4/365),0)</f>
        <v>39.179518815545954</v>
      </c>
      <c r="C20" s="5">
        <f>IF('Profit &amp; Loss'!C4&gt;0,'Balance Sheet'!C17/('Profit &amp; Loss'!C4/365),0)</f>
        <v>45.145267285177823</v>
      </c>
      <c r="D20" s="5">
        <f>IF('Profit &amp; Loss'!D4&gt;0,'Balance Sheet'!D17/('Profit &amp; Loss'!D4/365),0)</f>
        <v>52.751652990573753</v>
      </c>
      <c r="E20" s="5">
        <f>IF('Profit &amp; Loss'!E4&gt;0,'Balance Sheet'!E17/('Profit &amp; Loss'!E4/365),0)</f>
        <v>44.908667319444916</v>
      </c>
      <c r="F20" s="5">
        <f>IF('Profit &amp; Loss'!F4&gt;0,'Balance Sheet'!F17/('Profit &amp; Loss'!F4/365),0)</f>
        <v>38.527228393389322</v>
      </c>
      <c r="G20" s="5">
        <f>IF('Profit &amp; Loss'!G4&gt;0,'Balance Sheet'!G17/('Profit &amp; Loss'!G4/365),0)</f>
        <v>47.836210189562138</v>
      </c>
      <c r="H20" s="5">
        <f>IF('Profit &amp; Loss'!H4&gt;0,'Balance Sheet'!H17/('Profit &amp; Loss'!H4/365),0)</f>
        <v>41.98418404025881</v>
      </c>
      <c r="I20" s="5">
        <f>IF('Profit &amp; Loss'!I4&gt;0,'Balance Sheet'!I17/('Profit &amp; Loss'!I4/365),0)</f>
        <v>42.807279718641922</v>
      </c>
      <c r="J20" s="5">
        <f>IF('Profit &amp; Loss'!J4&gt;0,'Balance Sheet'!J17/('Profit &amp; Loss'!J4/365),0)</f>
        <v>40.97122220566029</v>
      </c>
      <c r="K20" s="5">
        <f>IF('Profit &amp; Loss'!K4&gt;0,'Balance Sheet'!K17/('Profit &amp; Loss'!K4/365),0)</f>
        <v>54.49642235818186</v>
      </c>
    </row>
    <row r="21" spans="1:11" x14ac:dyDescent="0.25">
      <c r="A21" s="11" t="s">
        <v>47</v>
      </c>
      <c r="B21" s="5">
        <f>IF('Balance Sheet'!B18&gt;0,'Profit &amp; Loss'!B4/'Balance Sheet'!B18,0)</f>
        <v>5.2678558720971607</v>
      </c>
      <c r="C21" s="5">
        <f>IF('Balance Sheet'!C18&gt;0,'Profit &amp; Loss'!C4/'Balance Sheet'!C18,0)</f>
        <v>7.5913387972414945</v>
      </c>
      <c r="D21" s="5">
        <f>IF('Balance Sheet'!D18&gt;0,'Profit &amp; Loss'!D4/'Balance Sheet'!D18,0)</f>
        <v>5.035008856207396</v>
      </c>
      <c r="E21" s="5">
        <f>IF('Balance Sheet'!E18&gt;0,'Profit &amp; Loss'!E4/'Balance Sheet'!E18,0)</f>
        <v>5.1297003618993786</v>
      </c>
      <c r="F21" s="5">
        <f>IF('Balance Sheet'!F18&gt;0,'Profit &amp; Loss'!F4/'Balance Sheet'!F18,0)</f>
        <v>5.4336724333983106</v>
      </c>
      <c r="G21" s="5">
        <f>IF('Balance Sheet'!G18&gt;0,'Profit &amp; Loss'!G4/'Balance Sheet'!G18,0)</f>
        <v>5.8635122838944493</v>
      </c>
      <c r="H21" s="5">
        <f>IF('Balance Sheet'!H18&gt;0,'Profit &amp; Loss'!H4/'Balance Sheet'!H18,0)</f>
        <v>7.7725204078971393</v>
      </c>
      <c r="I21" s="5">
        <f>IF('Balance Sheet'!I18&gt;0,'Profit &amp; Loss'!I4/'Balance Sheet'!I18,0)</f>
        <v>6.2954058939290194</v>
      </c>
      <c r="J21" s="5">
        <f>IF('Balance Sheet'!J18&gt;0,'Profit &amp; Loss'!J4/'Balance Sheet'!J18,0)</f>
        <v>7.3024980083766504</v>
      </c>
      <c r="K21" s="5">
        <f>IF('Balance Sheet'!K18&gt;0,'Profit &amp; Loss'!K4/'Balance Sheet'!K18,0)</f>
        <v>5.6545260766663494</v>
      </c>
    </row>
    <row r="23" spans="1:11" s="8" customFormat="1" x14ac:dyDescent="0.25">
      <c r="A23" s="8" t="s">
        <v>50</v>
      </c>
      <c r="B23" s="14">
        <f>IF(SUM('Balance Sheet'!B4:B5)&gt;0,'Profit &amp; Loss'!B12/SUM('Balance Sheet'!B4:B5),"")</f>
        <v>0.48080541068324162</v>
      </c>
      <c r="C23" s="14">
        <f>IF(SUM('Balance Sheet'!C4:C5)&gt;0,'Profit &amp; Loss'!C12/SUM('Balance Sheet'!C4:C5),"")</f>
        <v>0.36668869795109055</v>
      </c>
      <c r="D23" s="14">
        <f>IF(SUM('Balance Sheet'!D4:D5)&gt;0,'Profit &amp; Loss'!D12/SUM('Balance Sheet'!D4:D5),"")</f>
        <v>0.17276348369038649</v>
      </c>
      <c r="E23" s="14">
        <f>IF(SUM('Balance Sheet'!E4:E5)&gt;0,'Profit &amp; Loss'!E12/SUM('Balance Sheet'!E4:E5),"")</f>
        <v>0.31313121787920223</v>
      </c>
      <c r="F23" s="14">
        <f>IF(SUM('Balance Sheet'!F4:F5)&gt;0,'Profit &amp; Loss'!F12/SUM('Balance Sheet'!F4:F5),"")</f>
        <v>0.1793923195397524</v>
      </c>
      <c r="G23" s="14">
        <f>IF(SUM('Balance Sheet'!G4:G5)&gt;0,'Profit &amp; Loss'!G12/SUM('Balance Sheet'!G4:G5),"")</f>
        <v>0.11929662365704818</v>
      </c>
      <c r="H23" s="14">
        <f>IF(SUM('Balance Sheet'!H4:H5)&gt;0,'Profit &amp; Loss'!H12/SUM('Balance Sheet'!H4:H5),"")</f>
        <v>3.0053160792727223E-2</v>
      </c>
      <c r="I23" s="14">
        <f>IF(SUM('Balance Sheet'!I4:I5)&gt;0,'Profit &amp; Loss'!I12/SUM('Balance Sheet'!I4:I5),"")</f>
        <v>0.11007319148936169</v>
      </c>
      <c r="J23" s="14">
        <f>IF(SUM('Balance Sheet'!J4:J5)&gt;0,'Profit &amp; Loss'!J12/SUM('Balance Sheet'!J4:J5),"")</f>
        <v>9.1929689302043413E-2</v>
      </c>
      <c r="K23" s="14">
        <f>IF(SUM('Balance Sheet'!K4:K5)&gt;0,'Profit &amp; Loss'!K12/SUM('Balance Sheet'!K4:K5),"")</f>
        <v>0.19360310336959002</v>
      </c>
    </row>
    <row r="24" spans="1:11" s="8" customFormat="1" x14ac:dyDescent="0.25">
      <c r="A24" s="8" t="s">
        <v>51</v>
      </c>
      <c r="B24" s="14"/>
      <c r="C24" s="14">
        <f>IF((B4+B5+B6+C4+C5+C6)&gt;0,('Profit &amp; Loss'!C10+'Profit &amp; Loss'!C9)*2/(B4+B5+B6+C4+C5+C6),"")</f>
        <v>0.18997991101188394</v>
      </c>
      <c r="D24" s="14">
        <f>IF((C4+C5+C6+D4+D5+D6)&gt;0,('Profit &amp; Loss'!D10+'Profit &amp; Loss'!D9)*2/(C4+C5+C6+D4+D5+D6),"")</f>
        <v>0.12482781314180029</v>
      </c>
      <c r="E24" s="14">
        <f>IF((D4+D5+D6+E4+E5+E6)&gt;0,('Profit &amp; Loss'!E10+'Profit &amp; Loss'!E9)*2/(D4+D5+D6+E4+E5+E6),"")</f>
        <v>0.240022223925205</v>
      </c>
      <c r="F24" s="14">
        <f>IF((E4+E5+E6+F4+F5+F6)&gt;0,('Profit &amp; Loss'!F10+'Profit &amp; Loss'!F9)*2/(E4+E5+E6+F4+F5+F6),"")</f>
        <v>0.137569943888499</v>
      </c>
      <c r="G24" s="14">
        <f>IF((F4+F5+F6+G4+G5+G6)&gt;0,('Profit &amp; Loss'!G10+'Profit &amp; Loss'!G9)*2/(F4+F5+F6+G4+G5+G6),"")</f>
        <v>9.6880868200747122E-2</v>
      </c>
      <c r="H24" s="14">
        <f>IF((G4+G5+G6+H4+H5+H6)&gt;0,('Profit &amp; Loss'!H10+'Profit &amp; Loss'!H9)*2/(G4+G5+G6+H4+H5+H6),"")</f>
        <v>6.1228325736572532E-2</v>
      </c>
      <c r="I24" s="14">
        <f>IF((H4+H5+H6+I4+I5+I6)&gt;0,('Profit &amp; Loss'!I10+'Profit &amp; Loss'!I9)*2/(H4+H5+H6+I4+I5+I6),"")</f>
        <v>0.10353179456654991</v>
      </c>
      <c r="J24" s="14">
        <f>IF((I4+I5+I6+J4+J5+J6)&gt;0,('Profit &amp; Loss'!J10+'Profit &amp; Loss'!J9)*2/(I4+I5+I6+J4+J5+J6),"")</f>
        <v>0.10567736767854918</v>
      </c>
      <c r="K24" s="14">
        <f>IF((J4+J5+J6+K4+K5+K6)&gt;0,('Profit &amp; Loss'!K10+'Profit &amp; Loss'!K9)*2/(J4+J5+J6+K4+K5+K6),"")</f>
        <v>0.15423070933171132</v>
      </c>
    </row>
    <row r="25" spans="1:11" s="18" customFormat="1" x14ac:dyDescent="0.25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4"/>
  <sheetViews>
    <sheetView zoomScale="115" zoomScaleNormal="115" zoomScalePageLayoutView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5" sqref="K5"/>
    </sheetView>
  </sheetViews>
  <sheetFormatPr defaultColWidth="8.85546875" defaultRowHeight="15" x14ac:dyDescent="0.25"/>
  <cols>
    <col min="1" max="1" width="26.85546875" style="6" bestFit="1" customWidth="1"/>
    <col min="2" max="6" width="13.42578125" style="6" customWidth="1"/>
    <col min="7" max="11" width="13.42578125" style="6" bestFit="1" customWidth="1"/>
    <col min="12" max="16384" width="8.85546875" style="6"/>
  </cols>
  <sheetData>
    <row r="1" spans="1:11" s="8" customFormat="1" x14ac:dyDescent="0.25">
      <c r="A1" s="8" t="str">
        <f>'Balance Sheet'!A1</f>
        <v>RAIN INDUSTRIES LTD</v>
      </c>
      <c r="E1" t="str">
        <f>UPDATE</f>
        <v/>
      </c>
      <c r="F1"/>
      <c r="J1" s="4" t="s">
        <v>1</v>
      </c>
      <c r="K1" s="4"/>
    </row>
    <row r="3" spans="1:11" s="2" customFormat="1" x14ac:dyDescent="0.25">
      <c r="A3" s="15" t="s">
        <v>2</v>
      </c>
      <c r="B3" s="16">
        <f>'Data Sheet'!B81</f>
        <v>39813</v>
      </c>
      <c r="C3" s="16">
        <f>'Data Sheet'!C81</f>
        <v>40178</v>
      </c>
      <c r="D3" s="16">
        <f>'Data Sheet'!D81</f>
        <v>40543</v>
      </c>
      <c r="E3" s="16">
        <f>'Data Sheet'!E81</f>
        <v>40908</v>
      </c>
      <c r="F3" s="16">
        <f>'Data Sheet'!F81</f>
        <v>41274</v>
      </c>
      <c r="G3" s="16">
        <f>'Data Sheet'!G81</f>
        <v>41639</v>
      </c>
      <c r="H3" s="16">
        <f>'Data Sheet'!H81</f>
        <v>42004</v>
      </c>
      <c r="I3" s="16">
        <f>'Data Sheet'!I81</f>
        <v>42369</v>
      </c>
      <c r="J3" s="16">
        <f>'Data Sheet'!J81</f>
        <v>42735</v>
      </c>
      <c r="K3" s="16">
        <f>'Data Sheet'!K81</f>
        <v>43100</v>
      </c>
    </row>
    <row r="4" spans="1:11" s="8" customFormat="1" x14ac:dyDescent="0.25">
      <c r="A4" s="8" t="s">
        <v>32</v>
      </c>
      <c r="B4" s="1">
        <f>'Data Sheet'!B82</f>
        <v>392.81</v>
      </c>
      <c r="C4" s="1">
        <f>'Data Sheet'!C82</f>
        <v>935.92</v>
      </c>
      <c r="D4" s="1">
        <f>'Data Sheet'!D82</f>
        <v>317.95999999999998</v>
      </c>
      <c r="E4" s="1">
        <f>'Data Sheet'!E82</f>
        <v>844.02</v>
      </c>
      <c r="F4" s="1">
        <f>'Data Sheet'!F82</f>
        <v>1401.97</v>
      </c>
      <c r="G4" s="1">
        <f>'Data Sheet'!G82</f>
        <v>609.14</v>
      </c>
      <c r="H4" s="1">
        <f>'Data Sheet'!H82</f>
        <v>1291.25</v>
      </c>
      <c r="I4" s="1">
        <f>'Data Sheet'!I82</f>
        <v>1238.23</v>
      </c>
      <c r="J4" s="1">
        <f>'Data Sheet'!J82</f>
        <v>1566.75</v>
      </c>
      <c r="K4" s="1">
        <f>'Data Sheet'!K82</f>
        <v>868.09</v>
      </c>
    </row>
    <row r="5" spans="1:11" x14ac:dyDescent="0.25">
      <c r="A5" s="6" t="s">
        <v>33</v>
      </c>
      <c r="B5" s="9">
        <f>'Data Sheet'!B83</f>
        <v>-167.49</v>
      </c>
      <c r="C5" s="9">
        <f>'Data Sheet'!C83</f>
        <v>11.14</v>
      </c>
      <c r="D5" s="9">
        <f>'Data Sheet'!D83</f>
        <v>-111.39</v>
      </c>
      <c r="E5" s="9">
        <f>'Data Sheet'!E83</f>
        <v>-128.41</v>
      </c>
      <c r="F5" s="9">
        <f>'Data Sheet'!F83</f>
        <v>-4152.67</v>
      </c>
      <c r="G5" s="9">
        <f>'Data Sheet'!G83</f>
        <v>-95.24</v>
      </c>
      <c r="H5" s="9">
        <f>'Data Sheet'!H83</f>
        <v>-381.64</v>
      </c>
      <c r="I5" s="9">
        <f>'Data Sheet'!I83</f>
        <v>-531.09</v>
      </c>
      <c r="J5" s="9">
        <f>'Data Sheet'!J83</f>
        <v>-504.06</v>
      </c>
      <c r="K5" s="9">
        <f>'Data Sheet'!K83</f>
        <v>-539.16999999999996</v>
      </c>
    </row>
    <row r="6" spans="1:11" x14ac:dyDescent="0.25">
      <c r="A6" s="6" t="s">
        <v>34</v>
      </c>
      <c r="B6" s="9">
        <f>'Data Sheet'!B84</f>
        <v>-69.150000000000006</v>
      </c>
      <c r="C6" s="9">
        <f>'Data Sheet'!C84</f>
        <v>-876.41</v>
      </c>
      <c r="D6" s="9">
        <f>'Data Sheet'!D84</f>
        <v>-149.1</v>
      </c>
      <c r="E6" s="9">
        <f>'Data Sheet'!E84</f>
        <v>-250.07</v>
      </c>
      <c r="F6" s="9">
        <f>'Data Sheet'!F84</f>
        <v>2779.81</v>
      </c>
      <c r="G6" s="9">
        <f>'Data Sheet'!G84</f>
        <v>-506.57</v>
      </c>
      <c r="H6" s="9">
        <f>'Data Sheet'!H84</f>
        <v>-883.41</v>
      </c>
      <c r="I6" s="9">
        <f>'Data Sheet'!I84</f>
        <v>-795.41</v>
      </c>
      <c r="J6" s="9">
        <f>'Data Sheet'!J84</f>
        <v>-886.61</v>
      </c>
      <c r="K6" s="9">
        <f>'Data Sheet'!K84</f>
        <v>-520.48</v>
      </c>
    </row>
    <row r="7" spans="1:11" s="8" customFormat="1" x14ac:dyDescent="0.25">
      <c r="A7" s="8" t="s">
        <v>35</v>
      </c>
      <c r="B7" s="1">
        <f>'Data Sheet'!B85</f>
        <v>156.16999999999999</v>
      </c>
      <c r="C7" s="1">
        <f>'Data Sheet'!C85</f>
        <v>70.650000000000006</v>
      </c>
      <c r="D7" s="1">
        <f>'Data Sheet'!D85</f>
        <v>57.47</v>
      </c>
      <c r="E7" s="1">
        <f>'Data Sheet'!E85</f>
        <v>465.54</v>
      </c>
      <c r="F7" s="1">
        <f>'Data Sheet'!F85</f>
        <v>29.11</v>
      </c>
      <c r="G7" s="1">
        <f>'Data Sheet'!G85</f>
        <v>7.33</v>
      </c>
      <c r="H7" s="1">
        <f>'Data Sheet'!H85</f>
        <v>26.2</v>
      </c>
      <c r="I7" s="1">
        <f>'Data Sheet'!I85</f>
        <v>-88.27</v>
      </c>
      <c r="J7" s="1">
        <f>'Data Sheet'!J85</f>
        <v>176.08</v>
      </c>
      <c r="K7" s="1">
        <f>'Data Sheet'!K85</f>
        <v>-191.57</v>
      </c>
    </row>
    <row r="8" spans="1:11" x14ac:dyDescent="0.25">
      <c r="A8" s="25"/>
      <c r="B8" s="9"/>
      <c r="C8" s="9"/>
      <c r="D8" s="9"/>
      <c r="E8" s="9"/>
      <c r="F8" s="9"/>
      <c r="G8" s="9"/>
      <c r="H8" s="9"/>
      <c r="I8" s="9"/>
      <c r="J8" s="9"/>
      <c r="K8" s="9"/>
    </row>
    <row r="24" s="25" customFormat="1" x14ac:dyDescent="0.25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102"/>
  <sheetViews>
    <sheetView tabSelected="1" topLeftCell="A65" zoomScale="115" zoomScaleNormal="115" zoomScalePageLayoutView="150" workbookViewId="0">
      <selection activeCell="M74" sqref="M74:M80"/>
    </sheetView>
  </sheetViews>
  <sheetFormatPr defaultColWidth="8.7109375" defaultRowHeight="15" x14ac:dyDescent="0.25"/>
  <cols>
    <col min="1" max="1" width="33.7109375" style="91" customWidth="1"/>
    <col min="2" max="2" width="14.7109375" style="29" customWidth="1"/>
    <col min="3" max="3" width="14.85546875" style="29" customWidth="1"/>
    <col min="4" max="4" width="18" style="29" customWidth="1"/>
    <col min="5" max="8" width="10.42578125" style="29" customWidth="1"/>
    <col min="9" max="9" width="10.140625" style="29" customWidth="1"/>
    <col min="10" max="10" width="10.7109375" style="29" customWidth="1"/>
    <col min="11" max="11" width="11.140625" style="29" customWidth="1"/>
    <col min="12" max="12" width="14.7109375" style="29" customWidth="1"/>
    <col min="13" max="13" width="23.28515625" style="29" customWidth="1"/>
    <col min="14" max="20" width="11.140625" style="29" customWidth="1"/>
    <col min="21" max="16384" width="8.7109375" style="29"/>
  </cols>
  <sheetData>
    <row r="1" spans="1:14" x14ac:dyDescent="0.25">
      <c r="A1" s="81" t="str">
        <f>'Data Sheet'!B1</f>
        <v>RAIN INDUSTRIES LTD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x14ac:dyDescent="0.25">
      <c r="A2" s="82"/>
      <c r="B2" s="28"/>
      <c r="C2" s="28"/>
      <c r="D2" s="28"/>
      <c r="E2" s="28"/>
      <c r="F2" s="28"/>
      <c r="G2" s="28"/>
      <c r="H2" s="28"/>
      <c r="I2" s="28"/>
      <c r="J2" s="28"/>
      <c r="K2" s="28"/>
      <c r="M2" s="29" t="s">
        <v>121</v>
      </c>
    </row>
    <row r="3" spans="1:14" ht="15" customHeight="1" x14ac:dyDescent="0.25">
      <c r="A3" s="122"/>
      <c r="M3" s="29" t="s">
        <v>121</v>
      </c>
    </row>
    <row r="4" spans="1:14" ht="30" customHeight="1" x14ac:dyDescent="0.25">
      <c r="A4" s="45"/>
      <c r="B4" s="45" t="s">
        <v>122</v>
      </c>
      <c r="C4" s="45" t="s">
        <v>123</v>
      </c>
      <c r="D4" s="45" t="s">
        <v>124</v>
      </c>
      <c r="F4" s="96" t="s">
        <v>125</v>
      </c>
      <c r="G4" s="96"/>
      <c r="H4" s="96"/>
      <c r="I4" s="96"/>
      <c r="J4" s="96"/>
      <c r="K4" s="96"/>
      <c r="M4" s="96" t="s">
        <v>126</v>
      </c>
      <c r="N4" s="97"/>
    </row>
    <row r="5" spans="1:14" ht="15" customHeight="1" x14ac:dyDescent="0.25">
      <c r="A5" s="123" t="s">
        <v>127</v>
      </c>
      <c r="B5" s="46">
        <f>'Calculated Data'!K11-'Calculated Data'!B11</f>
        <v>3104.2799999999997</v>
      </c>
      <c r="C5" s="46">
        <f>'Calculated Data'!K26-'Calculated Data'!B26</f>
        <v>13796.822195919036</v>
      </c>
      <c r="D5" s="47">
        <f>C5/B5</f>
        <v>4.4444515945465737</v>
      </c>
      <c r="F5" s="48"/>
      <c r="G5" s="49" t="s">
        <v>128</v>
      </c>
      <c r="H5" s="49" t="s">
        <v>129</v>
      </c>
      <c r="I5" s="50" t="s">
        <v>109</v>
      </c>
      <c r="J5" s="50" t="s">
        <v>130</v>
      </c>
      <c r="K5" s="50" t="s">
        <v>131</v>
      </c>
      <c r="M5" s="51" t="s">
        <v>132</v>
      </c>
      <c r="N5" s="52">
        <v>0.09</v>
      </c>
    </row>
    <row r="6" spans="1:14" ht="15" customHeight="1" x14ac:dyDescent="0.25">
      <c r="A6" s="123" t="s">
        <v>133</v>
      </c>
      <c r="B6" s="46">
        <f>'Calculated Data'!K11-'Calculated Data'!E11</f>
        <v>1823.1999999999998</v>
      </c>
      <c r="C6" s="46">
        <f>'Calculated Data'!K26-'Calculated Data'!E26</f>
        <v>13252.44650992734</v>
      </c>
      <c r="D6" s="47">
        <f>C6/B6</f>
        <v>7.2687837373449655</v>
      </c>
      <c r="F6" s="53" t="s">
        <v>134</v>
      </c>
      <c r="G6" s="54">
        <f>MIN('Calculated Data'!B31:K31)</f>
        <v>1.4041461987377215</v>
      </c>
      <c r="H6" s="54">
        <f>MIN('Calculated Data'!B32:K32)</f>
        <v>0.37567518046685383</v>
      </c>
      <c r="I6" s="54">
        <f>MIN('Calculated Data'!B35:K35)</f>
        <v>2.9498344361966966</v>
      </c>
      <c r="J6" s="54">
        <f>MIN('Calculated Data'!B34:K34)</f>
        <v>0.10324942922887757</v>
      </c>
      <c r="K6" s="55">
        <f>MAX('Calculated Data'!B36:K36)</f>
        <v>4.6227364370741306E-2</v>
      </c>
      <c r="M6" s="56" t="s">
        <v>135</v>
      </c>
      <c r="N6" s="54">
        <f>('Profit &amp; Loss'!$L$10/'Data Sheet'!$B$61)/N5</f>
        <v>2.0561560981089935</v>
      </c>
    </row>
    <row r="7" spans="1:14" ht="15" customHeight="1" x14ac:dyDescent="0.25">
      <c r="A7" s="123" t="s">
        <v>136</v>
      </c>
      <c r="B7" s="46">
        <f>'Calculated Data'!K11-'Calculated Data'!G11</f>
        <v>720.79</v>
      </c>
      <c r="C7" s="46">
        <f>'Calculated Data'!K26-'Calculated Data'!G26</f>
        <v>13152.884823556726</v>
      </c>
      <c r="D7" s="47">
        <f>C7/B7</f>
        <v>18.247873615833637</v>
      </c>
      <c r="F7" s="53" t="s">
        <v>137</v>
      </c>
      <c r="G7" s="54">
        <f>MAX('Calculated Data'!B31:K31)</f>
        <v>18.810883313698895</v>
      </c>
      <c r="H7" s="54">
        <f>MAX('Calculated Data'!B32:K32)</f>
        <v>3.6418453866553437</v>
      </c>
      <c r="I7" s="54">
        <f>MAX('Calculated Data'!B35:K35)</f>
        <v>9.4157653191850859</v>
      </c>
      <c r="J7" s="54">
        <f>MAX('Calculated Data'!B34:K34)</f>
        <v>1.2710497179394749</v>
      </c>
      <c r="K7" s="55">
        <f>MIN('Calculated Data'!B36:K36)</f>
        <v>4.6833002972207606E-3</v>
      </c>
      <c r="M7" s="57" t="s">
        <v>138</v>
      </c>
      <c r="N7" s="55">
        <f>('Profit &amp; Loss'!$L$6/'Data Sheet'!$B$6)/'Data Sheet'!$B$8</f>
        <v>0.51799164946766674</v>
      </c>
    </row>
    <row r="8" spans="1:14" ht="15" customHeight="1" x14ac:dyDescent="0.25">
      <c r="A8" s="123" t="s">
        <v>139</v>
      </c>
      <c r="B8" s="46">
        <f>'Calculated Data'!K11-'Calculated Data'!I11</f>
        <v>1006.5999999999999</v>
      </c>
      <c r="C8" s="46">
        <f>'Calculated Data'!K26-'Calculated Data'!I26</f>
        <v>13158.243382010849</v>
      </c>
      <c r="D8" s="47">
        <f>C8/B8</f>
        <v>13.071968390632675</v>
      </c>
      <c r="F8" s="53" t="s">
        <v>140</v>
      </c>
      <c r="G8" s="54">
        <f>'Data Sheet'!B8/'Profit &amp; Loss'!L13</f>
        <v>6.5143043807165943</v>
      </c>
      <c r="H8" s="54">
        <f>'Calculated Data'!L26/'Calculated Data'!K11</f>
        <v>0.96067036839836717</v>
      </c>
      <c r="I8" s="54">
        <f>'Calculated Data'!K35</f>
        <v>9.4157653191850859</v>
      </c>
      <c r="J8" s="54">
        <f>'Calculated Data'!L26/'Data Sheet'!K17</f>
        <v>0.33528600781895701</v>
      </c>
      <c r="K8" s="55">
        <f>'Data Sheet'!K31/'Calculated Data'!L26</f>
        <v>1.7754118522663089E-2</v>
      </c>
      <c r="M8" s="50"/>
      <c r="N8" s="58"/>
    </row>
    <row r="9" spans="1:14" ht="15" customHeight="1" x14ac:dyDescent="0.25">
      <c r="A9" s="123" t="s">
        <v>141</v>
      </c>
      <c r="B9" s="46">
        <f>'Calculated Data'!K11-'Calculated Data'!J11</f>
        <v>779.29</v>
      </c>
      <c r="C9" s="46">
        <f>'Calculated Data'!K26-'Calculated Data'!J26</f>
        <v>12359.26622908709</v>
      </c>
      <c r="D9" s="47">
        <f>C9/B9</f>
        <v>15.859649461801244</v>
      </c>
      <c r="F9" s="48"/>
      <c r="G9" s="59"/>
      <c r="H9" s="48"/>
      <c r="I9" s="48"/>
      <c r="J9" s="48"/>
      <c r="K9" s="48"/>
      <c r="M9" s="60" t="s">
        <v>121</v>
      </c>
      <c r="N9" s="48"/>
    </row>
    <row r="10" spans="1:14" ht="15" customHeight="1" x14ac:dyDescent="0.25">
      <c r="A10" s="98" t="s">
        <v>142</v>
      </c>
      <c r="B10" s="98"/>
      <c r="C10" s="98"/>
      <c r="D10" s="98"/>
      <c r="E10" s="98"/>
      <c r="F10" s="98"/>
      <c r="G10" s="98"/>
      <c r="H10" s="98"/>
      <c r="I10" s="98"/>
      <c r="J10" s="98"/>
    </row>
    <row r="11" spans="1:14" ht="15" customHeight="1" x14ac:dyDescent="0.25">
      <c r="A11" s="124"/>
      <c r="B11" s="61"/>
      <c r="C11" s="61"/>
      <c r="D11" s="61"/>
      <c r="E11" s="61"/>
      <c r="F11" s="61"/>
      <c r="G11" s="61"/>
      <c r="H11" s="61"/>
      <c r="I11" s="61"/>
      <c r="J11" s="61"/>
    </row>
    <row r="12" spans="1:14" x14ac:dyDescent="0.25">
      <c r="A12" s="45" t="str">
        <f>A1</f>
        <v>RAIN INDUSTRIES LTD</v>
      </c>
      <c r="B12" s="16" t="s">
        <v>143</v>
      </c>
      <c r="C12" s="16" t="s">
        <v>144</v>
      </c>
      <c r="D12" s="16" t="s">
        <v>82</v>
      </c>
      <c r="E12" s="16" t="s">
        <v>85</v>
      </c>
      <c r="F12" s="16" t="s">
        <v>145</v>
      </c>
      <c r="G12" s="16" t="s">
        <v>146</v>
      </c>
      <c r="H12" s="16" t="s">
        <v>147</v>
      </c>
      <c r="I12" s="16" t="s">
        <v>148</v>
      </c>
      <c r="J12" s="16" t="s">
        <v>149</v>
      </c>
      <c r="K12" s="16" t="s">
        <v>150</v>
      </c>
      <c r="L12" s="16" t="s">
        <v>151</v>
      </c>
    </row>
    <row r="13" spans="1:14" x14ac:dyDescent="0.25">
      <c r="A13" s="125" t="s">
        <v>152</v>
      </c>
      <c r="B13" s="62">
        <f>POWER('Data Sheet'!$K17/'Data Sheet'!$B17, 1/9)-1</f>
        <v>0.10933751657911706</v>
      </c>
      <c r="C13" s="62">
        <f>POWER('Calculated Data'!$K4/'Calculated Data'!$B4, 1/9)-1</f>
        <v>0.11594174851759798</v>
      </c>
      <c r="D13" s="62">
        <f>POWER('Calculated Data'!$K5/'Calculated Data'!$B5, 1/9)-1</f>
        <v>5.4095116468038551E-2</v>
      </c>
      <c r="E13" s="62">
        <f>POWER('Calculated Data'!$K8/'Calculated Data'!$B8, 1/9)-1</f>
        <v>7.3358904859263996E-2</v>
      </c>
      <c r="F13" s="62">
        <f>POWER('Calculated Data'!$K9/'Calculated Data'!$B9, 1/9)-1</f>
        <v>0.1104111728724575</v>
      </c>
      <c r="G13" s="62">
        <f>POWER('Calculated Data'!$K24/'Calculated Data'!$B24, 1/9)-1</f>
        <v>-1.993990345063789</v>
      </c>
      <c r="H13" s="62">
        <f>POWER('Calculated Data'!$K26/'Calculated Data'!$B26, 1/9)-1</f>
        <v>0.43207854097127574</v>
      </c>
      <c r="I13" s="62">
        <f>POWER('Calculated Data'!$K17/'Calculated Data'!$B17, 1/9)-1</f>
        <v>9.2105742947032887E-2</v>
      </c>
      <c r="J13" s="62">
        <f>POWER('Calculated Data'!$K19/'Calculated Data'!$C19, 1/8)-1</f>
        <v>-0.12092905851355606</v>
      </c>
      <c r="K13" s="62">
        <f>POWER('Calculated Data'!$K11/'Calculated Data'!$B11, 1/9)-1</f>
        <v>0.18751796765351592</v>
      </c>
      <c r="L13" s="62">
        <f>POWER('Calculated Data'!$K27/'Calculated Data'!$B27, 1/9)-1</f>
        <v>0.42564576048464331</v>
      </c>
    </row>
    <row r="14" spans="1:14" x14ac:dyDescent="0.25">
      <c r="A14" s="125" t="s">
        <v>153</v>
      </c>
      <c r="B14" s="62">
        <f>POWER('Data Sheet'!$K17/'Data Sheet'!$G17, 1/4)-1</f>
        <v>-9.2365178955274851E-3</v>
      </c>
      <c r="C14" s="62">
        <f>POWER('Calculated Data'!$K4/'Calculated Data'!$G4, 1/4)-1</f>
        <v>2.9752198793974616E-2</v>
      </c>
      <c r="D14" s="62">
        <f>POWER('Calculated Data'!$K5/'Calculated Data'!$G5, 1/4)-1</f>
        <v>0.13349439848369027</v>
      </c>
      <c r="E14" s="62">
        <f>POWER('Calculated Data'!$K8/'Calculated Data'!$G8, 1/4)-1</f>
        <v>0.187086869050755</v>
      </c>
      <c r="F14" s="62">
        <f>POWER('Calculated Data'!$K9/'Calculated Data'!$G9, 1/4)-1</f>
        <v>0.18925131440868093</v>
      </c>
      <c r="G14" s="62">
        <f>POWER('Calculated Data'!$K24/'Calculated Data'!$G24, 1/4)-1</f>
        <v>-0.27851940414256737</v>
      </c>
      <c r="H14" s="62">
        <f>POWER('Calculated Data'!$K26/'Calculated Data'!$G26, 1/4)-1</f>
        <v>0.85583222066986564</v>
      </c>
      <c r="I14" s="62">
        <f>POWER('Calculated Data'!$K17/'Calculated Data'!$G17, 1/4)-1</f>
        <v>9.2601792317653198E-2</v>
      </c>
      <c r="J14" s="62" t="e">
        <f>POWER('Calculated Data'!$K19/'Calculated Data'!$G19, 1/4)-1</f>
        <v>#NUM!</v>
      </c>
      <c r="K14" s="62">
        <f>POWER('Calculated Data'!$K11/'Calculated Data'!$G11, 1/4)-1</f>
        <v>5.1747432562222917E-2</v>
      </c>
      <c r="L14" s="62">
        <f>POWER('Calculated Data'!$K27/'Calculated Data'!$G27, 1/4)-1</f>
        <v>0.84532037225339085</v>
      </c>
    </row>
    <row r="15" spans="1:14" x14ac:dyDescent="0.25">
      <c r="A15" s="125" t="s">
        <v>154</v>
      </c>
      <c r="B15" s="62">
        <f>POWER('Data Sheet'!$K17/'Data Sheet'!$I17, 1/2)-1</f>
        <v>5.2328677074968022E-2</v>
      </c>
      <c r="C15" s="62">
        <f>POWER('Calculated Data'!$K4/'Calculated Data'!$I4, 1/2)-1</f>
        <v>6.6258210982318877E-2</v>
      </c>
      <c r="D15" s="62">
        <f>POWER('Calculated Data'!$K5/'Calculated Data'!$I5, 1/2)-1</f>
        <v>0.23817044091331119</v>
      </c>
      <c r="E15" s="62">
        <f>POWER('Calculated Data'!$K8/'Calculated Data'!$I8, 1/2)-1</f>
        <v>0.53674001201858346</v>
      </c>
      <c r="F15" s="62">
        <f>POWER('Calculated Data'!$K9/'Calculated Data'!$I9, 1/2)-1</f>
        <v>0.41431868882277545</v>
      </c>
      <c r="G15" s="62">
        <f>POWER('Calculated Data'!$K24/'Calculated Data'!$I24, 1/2)-1</f>
        <v>-0.54769020964897397</v>
      </c>
      <c r="H15" s="62">
        <f>POWER('Calculated Data'!$K26/'Calculated Data'!$I26, 1/2)-1</f>
        <v>2.4517590699845444</v>
      </c>
      <c r="I15" s="62">
        <f>POWER('Calculated Data'!$K17/'Calculated Data'!$I17, 1/2)-1</f>
        <v>-0.16269879598100079</v>
      </c>
      <c r="J15" s="62">
        <f>POWER('Calculated Data'!$K19/'Calculated Data'!$I19, 1/2)-1</f>
        <v>-0.38117740700673219</v>
      </c>
      <c r="K15" s="62">
        <f>POWER('Calculated Data'!$K11/'Calculated Data'!$I11, 1/2)-1</f>
        <v>0.15873739062202175</v>
      </c>
      <c r="L15" s="62">
        <f>POWER('Calculated Data'!$K27/'Calculated Data'!$I27, 1/2)-1</f>
        <v>2.4125618115706335</v>
      </c>
    </row>
    <row r="16" spans="1:14" x14ac:dyDescent="0.25">
      <c r="A16" s="125" t="s">
        <v>155</v>
      </c>
      <c r="B16" s="62">
        <f>('Data Sheet'!$K17-'Data Sheet'!$J17)/'Data Sheet'!$J17</f>
        <v>0.22062219572313344</v>
      </c>
      <c r="C16" s="62">
        <f>('Calculated Data'!$K4-'Calculated Data'!$J4)/'Calculated Data'!$J4</f>
        <v>0.12915672324196517</v>
      </c>
      <c r="D16" s="62">
        <f>('Calculated Data'!$K5-'Calculated Data'!$J5)/'Calculated Data'!$J5</f>
        <v>0.51104069709872246</v>
      </c>
      <c r="E16" s="62">
        <f>('Calculated Data'!$K8-'Calculated Data'!$J8)/'Calculated Data'!$J8</f>
        <v>1.6245617653124358</v>
      </c>
      <c r="F16" s="62">
        <f>('Calculated Data'!$K9-'Calculated Data'!$J9)/'Calculated Data'!$J9</f>
        <v>1.0002973535533748</v>
      </c>
      <c r="G16" s="62">
        <f>('Calculated Data'!$K24-'Calculated Data'!$J24)/'Calculated Data'!$J24</f>
        <v>-0.78119004375969459</v>
      </c>
      <c r="H16" s="62">
        <f>('Calculated Data'!$K26-'Calculated Data'!$J26)/'Calculated Data'!$J26</f>
        <v>6.1656489282268554</v>
      </c>
      <c r="I16" s="62">
        <f>('Calculated Data'!$K17-'Calculated Data'!$J17)/'Calculated Data'!$J17</f>
        <v>-0.44592947183660442</v>
      </c>
      <c r="J16" s="62">
        <f>('Calculated Data'!$K19-'Calculated Data'!$J19)/'Calculated Data'!$J19</f>
        <v>-0.57608887528979769</v>
      </c>
      <c r="K16" s="62">
        <f>('Calculated Data'!$K11-'Calculated Data'!$J11)/'Calculated Data'!$J11</f>
        <v>0.24623595097336015</v>
      </c>
      <c r="L16" s="62">
        <f>('Calculated Data'!$K27-'Calculated Data'!$J27)/'Calculated Data'!$J27</f>
        <v>6.0804199724971362</v>
      </c>
    </row>
    <row r="17" spans="1:13" x14ac:dyDescent="0.25">
      <c r="A17" s="89" t="s">
        <v>156</v>
      </c>
      <c r="B17" s="63"/>
    </row>
    <row r="18" spans="1:13" x14ac:dyDescent="0.25">
      <c r="A18" s="45" t="str">
        <f>A1</f>
        <v>RAIN INDUSTRIES LTD</v>
      </c>
      <c r="B18" s="16">
        <f>'Data Sheet'!B16</f>
        <v>39813</v>
      </c>
      <c r="C18" s="16">
        <f>'Data Sheet'!C16</f>
        <v>40178</v>
      </c>
      <c r="D18" s="16">
        <f>'Data Sheet'!D16</f>
        <v>40543</v>
      </c>
      <c r="E18" s="16">
        <f>'Data Sheet'!E16</f>
        <v>40908</v>
      </c>
      <c r="F18" s="16">
        <f>'Data Sheet'!F16</f>
        <v>41274</v>
      </c>
      <c r="G18" s="16">
        <f>'Data Sheet'!G16</f>
        <v>41639</v>
      </c>
      <c r="H18" s="16">
        <f>'Data Sheet'!H16</f>
        <v>42004</v>
      </c>
      <c r="I18" s="16">
        <f>'Data Sheet'!I16</f>
        <v>42369</v>
      </c>
      <c r="J18" s="16">
        <f>'Data Sheet'!J16</f>
        <v>42735</v>
      </c>
      <c r="K18" s="16">
        <f>'Data Sheet'!K16</f>
        <v>43100</v>
      </c>
      <c r="L18" s="16"/>
      <c r="M18" s="29" t="s">
        <v>157</v>
      </c>
    </row>
    <row r="19" spans="1:13" ht="30" x14ac:dyDescent="0.25">
      <c r="A19" s="125" t="s">
        <v>158</v>
      </c>
      <c r="B19" s="64">
        <f>'Calculated Data'!B15/'Calculated Data'!B11</f>
        <v>6.4065156819318414</v>
      </c>
      <c r="C19" s="64">
        <f>'Calculated Data'!C15/'Calculated Data'!C11</f>
        <v>4.0212739590218121</v>
      </c>
      <c r="D19" s="64">
        <f>'Calculated Data'!D15/'Calculated Data'!D11</f>
        <v>3.7664405928158757</v>
      </c>
      <c r="E19" s="64">
        <f>'Calculated Data'!E15/'Calculated Data'!E11</f>
        <v>3.2222971380074497</v>
      </c>
      <c r="F19" s="64">
        <f>'Calculated Data'!F15/'Calculated Data'!F11</f>
        <v>4.2189507263870327</v>
      </c>
      <c r="G19" s="64">
        <f>'Calculated Data'!G15/'Calculated Data'!G11</f>
        <v>4.5377019275217094</v>
      </c>
      <c r="H19" s="64">
        <f>'Calculated Data'!H15/'Calculated Data'!H11</f>
        <v>4.6015452613569234</v>
      </c>
      <c r="I19" s="64">
        <f>'Calculated Data'!I15/'Calculated Data'!I11</f>
        <v>4.4406468085106381</v>
      </c>
      <c r="J19" s="64">
        <f>'Calculated Data'!J15/'Calculated Data'!J11</f>
        <v>4.1327725835042228</v>
      </c>
      <c r="K19" s="64">
        <f>'Calculated Data'!K15/'Calculated Data'!K11</f>
        <v>3.6891306001369131</v>
      </c>
      <c r="L19" s="29" t="s">
        <v>121</v>
      </c>
    </row>
    <row r="20" spans="1:13" x14ac:dyDescent="0.25">
      <c r="A20" s="125" t="s">
        <v>159</v>
      </c>
      <c r="B20" s="64">
        <f>'Data Sheet'!B59/'Data Sheet'!B30</f>
        <v>9.3345303251690233</v>
      </c>
      <c r="C20" s="64">
        <f>'Data Sheet'!C59/'Data Sheet'!C30</f>
        <v>6.8295106344628698</v>
      </c>
      <c r="D20" s="64">
        <f>'Data Sheet'!D59/'Data Sheet'!D30</f>
        <v>13.202642073778664</v>
      </c>
      <c r="E20" s="64">
        <f>'Data Sheet'!E59/'Data Sheet'!E30</f>
        <v>5.6417665482141777</v>
      </c>
      <c r="F20" s="64">
        <f>'Data Sheet'!F59/'Data Sheet'!F30</f>
        <v>15.132386673948663</v>
      </c>
      <c r="G20" s="64">
        <f>'Data Sheet'!G59/'Data Sheet'!G30</f>
        <v>21.560216368033704</v>
      </c>
      <c r="H20" s="64">
        <f>'Data Sheet'!H59/'Data Sheet'!H30</f>
        <v>86.666666666666671</v>
      </c>
      <c r="I20" s="64">
        <f>'Data Sheet'!I59/'Data Sheet'!I30</f>
        <v>23.491340384734336</v>
      </c>
      <c r="J20" s="64">
        <f>'Data Sheet'!J59/'Data Sheet'!J30</f>
        <v>25.181068261497217</v>
      </c>
      <c r="K20" s="64">
        <f>'Data Sheet'!K59/'Data Sheet'!K30</f>
        <v>9.6024044316976394</v>
      </c>
    </row>
    <row r="21" spans="1:13" x14ac:dyDescent="0.25">
      <c r="A21" s="125" t="s">
        <v>160</v>
      </c>
      <c r="B21" s="64">
        <f>'Data Sheet'!B60/'Data Sheet'!B30</f>
        <v>1.9101760816265878</v>
      </c>
      <c r="C21" s="64">
        <f>'Data Sheet'!C60/'Data Sheet'!C30</f>
        <v>1.4098323720259553</v>
      </c>
      <c r="D21" s="64">
        <f>'Data Sheet'!D60/'Data Sheet'!D30</f>
        <v>2.8102359587902961</v>
      </c>
      <c r="E21" s="64">
        <f>'Data Sheet'!E60/'Data Sheet'!E30</f>
        <v>1.4552490513762573</v>
      </c>
      <c r="F21" s="64">
        <f>'Data Sheet'!F60/'Data Sheet'!F30</f>
        <v>2.811250682687056</v>
      </c>
      <c r="G21" s="64">
        <f>'Data Sheet'!G60/'Data Sheet'!G30</f>
        <v>8.0944529685590201</v>
      </c>
      <c r="H21" s="64">
        <f>'Data Sheet'!H60/'Data Sheet'!H30</f>
        <v>33.172483903761439</v>
      </c>
      <c r="I21" s="64">
        <f>'Data Sheet'!I60/'Data Sheet'!I30</f>
        <v>7.7664687326034523</v>
      </c>
      <c r="J21" s="64">
        <f>'Data Sheet'!J60/'Data Sheet'!J30</f>
        <v>8.896851584519144</v>
      </c>
      <c r="K21" s="64">
        <f>'Data Sheet'!K60/'Data Sheet'!K30</f>
        <v>4.2875103131261536</v>
      </c>
    </row>
    <row r="22" spans="1:13" x14ac:dyDescent="0.25">
      <c r="A22" s="125" t="s">
        <v>161</v>
      </c>
      <c r="B22" s="64">
        <f>('Data Sheet'!B59+'Data Sheet'!B60)/'Data Sheet'!B30</f>
        <v>11.244706406795611</v>
      </c>
      <c r="C22" s="64">
        <f>('Data Sheet'!C59+'Data Sheet'!C60)/'Data Sheet'!C30</f>
        <v>8.2393430064888253</v>
      </c>
      <c r="D22" s="64">
        <f>('Data Sheet'!D59+'Data Sheet'!D60)/'Data Sheet'!D30</f>
        <v>16.01287803256896</v>
      </c>
      <c r="E22" s="64">
        <f>('Data Sheet'!E59+'Data Sheet'!E60)/'Data Sheet'!E30</f>
        <v>7.0970155995904358</v>
      </c>
      <c r="F22" s="64">
        <f>('Data Sheet'!F59+'Data Sheet'!F60)/'Data Sheet'!F30</f>
        <v>17.943637356635719</v>
      </c>
      <c r="G22" s="64">
        <f>('Data Sheet'!G59+'Data Sheet'!G60)/'Data Sheet'!G30</f>
        <v>29.654669336592722</v>
      </c>
      <c r="H22" s="64">
        <f>('Data Sheet'!H59+'Data Sheet'!H60)/'Data Sheet'!H30</f>
        <v>119.8391505704281</v>
      </c>
      <c r="I22" s="64">
        <f>('Data Sheet'!I59+'Data Sheet'!I60)/'Data Sheet'!I30</f>
        <v>31.257809117337789</v>
      </c>
      <c r="J22" s="64">
        <f>('Data Sheet'!J59+'Data Sheet'!J60)/'Data Sheet'!J30</f>
        <v>34.077919846016364</v>
      </c>
      <c r="K22" s="64">
        <f>('Data Sheet'!K59+'Data Sheet'!K60)/'Data Sheet'!K30</f>
        <v>13.889914744823793</v>
      </c>
      <c r="L22" s="65"/>
    </row>
    <row r="23" spans="1:13" x14ac:dyDescent="0.25">
      <c r="A23" s="126" t="s">
        <v>162</v>
      </c>
      <c r="B23" s="64">
        <f>'Data Sheet'!B59/'Calculated Data'!B11</f>
        <v>4.4880926865280655</v>
      </c>
      <c r="C23" s="64">
        <f>'Data Sheet'!C59/'Calculated Data'!C11</f>
        <v>2.5043043621943162</v>
      </c>
      <c r="D23" s="64">
        <f>'Data Sheet'!D59/'Calculated Data'!D11</f>
        <v>2.2809344385832704</v>
      </c>
      <c r="E23" s="64">
        <f>'Data Sheet'!E59/'Calculated Data'!E11</f>
        <v>1.7666132302324484</v>
      </c>
      <c r="F23" s="64">
        <f>'Data Sheet'!F59/'Calculated Data'!F11</f>
        <v>2.7146339456120896</v>
      </c>
      <c r="G23" s="64">
        <f>'Data Sheet'!G59/'Calculated Data'!G11</f>
        <v>2.5720610180218468</v>
      </c>
      <c r="H23" s="64">
        <f>'Data Sheet'!H59/'Calculated Data'!H11</f>
        <v>2.6046072687030262</v>
      </c>
      <c r="I23" s="64">
        <f>'Data Sheet'!I59/'Calculated Data'!I11</f>
        <v>2.585766808510638</v>
      </c>
      <c r="J23" s="64">
        <f>'Data Sheet'!J59/'Calculated Data'!J11</f>
        <v>2.3148877815729856</v>
      </c>
      <c r="K23" s="64">
        <f>'Data Sheet'!K59/'Calculated Data'!K11</f>
        <v>1.8590552977865673</v>
      </c>
    </row>
    <row r="24" spans="1:13" x14ac:dyDescent="0.25">
      <c r="A24" s="126" t="s">
        <v>163</v>
      </c>
      <c r="B24" s="64">
        <f>'Calculated Data'!B5/'Data Sheet'!B27</f>
        <v>2.4674444418203718</v>
      </c>
      <c r="C24" s="64">
        <f>'Calculated Data'!C5/'Data Sheet'!C27</f>
        <v>3.7204938708678146</v>
      </c>
      <c r="D24" s="64">
        <f>'Calculated Data'!D5/'Data Sheet'!D27</f>
        <v>2.5909561940650021</v>
      </c>
      <c r="E24" s="64">
        <f>'Calculated Data'!E5/'Data Sheet'!E27</f>
        <v>5.1018895585600257</v>
      </c>
      <c r="F24" s="64">
        <f>'Calculated Data'!F5/'Data Sheet'!F27</f>
        <v>2.8318220839145836</v>
      </c>
      <c r="G24" s="64">
        <f>'Calculated Data'!G5/'Data Sheet'!G27</f>
        <v>1.7136790306543757</v>
      </c>
      <c r="H24" s="64">
        <f>'Calculated Data'!H5/'Data Sheet'!H27</f>
        <v>1.0930679013341507</v>
      </c>
      <c r="I24" s="64">
        <f>'Calculated Data'!I5/'Data Sheet'!I27</f>
        <v>1.8357448235392739</v>
      </c>
      <c r="J24" s="64">
        <f>'Calculated Data'!J5/'Data Sheet'!J27</f>
        <v>1.7609415867480385</v>
      </c>
      <c r="K24" s="64">
        <f>'Calculated Data'!K5/'Data Sheet'!K27</f>
        <v>2.8227420249886492</v>
      </c>
    </row>
    <row r="25" spans="1:13" s="44" customFormat="1" x14ac:dyDescent="0.25">
      <c r="A25" s="125" t="s">
        <v>164</v>
      </c>
      <c r="B25" s="66">
        <f>'Calculated Data'!B12/'Data Sheet'!B17</f>
        <v>0.21301845756201682</v>
      </c>
      <c r="C25" s="66">
        <f>'Calculated Data'!C12/'Data Sheet'!C17</f>
        <v>0.21308261541859952</v>
      </c>
      <c r="D25" s="66">
        <f>'Calculated Data'!D12/'Data Sheet'!D17</f>
        <v>0.33991509185057661</v>
      </c>
      <c r="E25" s="66">
        <f>'Calculated Data'!E12/'Data Sheet'!E17</f>
        <v>0.36393038848598691</v>
      </c>
      <c r="F25" s="66">
        <f>'Calculated Data'!F12/'Data Sheet'!F17</f>
        <v>0.96617868253627193</v>
      </c>
      <c r="G25" s="66">
        <f>'Calculated Data'!G12/'Data Sheet'!G17</f>
        <v>0.16758241758241754</v>
      </c>
      <c r="H25" s="66">
        <f>'Calculated Data'!H12/'Data Sheet'!H17</f>
        <v>0.1351545650611071</v>
      </c>
      <c r="I25" s="66">
        <f>'Calculated Data'!I12/'Data Sheet'!I17</f>
        <v>0.15317610651468574</v>
      </c>
      <c r="J25" s="66">
        <f>'Calculated Data'!J12/'Data Sheet'!J17</f>
        <v>0.1414921723276065</v>
      </c>
      <c r="K25" s="66">
        <f>'Calculated Data'!K12/'Data Sheet'!K17</f>
        <v>0.18677360951583699</v>
      </c>
      <c r="L25" s="29" t="s">
        <v>165</v>
      </c>
    </row>
    <row r="26" spans="1:13" s="44" customFormat="1" x14ac:dyDescent="0.25">
      <c r="A26" s="125" t="s">
        <v>166</v>
      </c>
      <c r="B26" s="64">
        <f t="shared" ref="B26:K26" si="0">365/B27</f>
        <v>69.288152307532968</v>
      </c>
      <c r="C26" s="64">
        <f t="shared" si="0"/>
        <v>48.081110558869014</v>
      </c>
      <c r="D26" s="64">
        <f t="shared" si="0"/>
        <v>72.492424626028381</v>
      </c>
      <c r="E26" s="64">
        <f t="shared" si="0"/>
        <v>71.154253513718132</v>
      </c>
      <c r="F26" s="64">
        <f t="shared" si="0"/>
        <v>67.173721727594611</v>
      </c>
      <c r="G26" s="64">
        <f t="shared" si="0"/>
        <v>62.249379267535694</v>
      </c>
      <c r="H26" s="64">
        <f t="shared" si="0"/>
        <v>46.960314138145954</v>
      </c>
      <c r="I26" s="64">
        <f t="shared" si="0"/>
        <v>57.978787412577809</v>
      </c>
      <c r="J26" s="64">
        <f t="shared" si="0"/>
        <v>49.98289620638181</v>
      </c>
      <c r="K26" s="64">
        <f t="shared" si="0"/>
        <v>64.550060438519964</v>
      </c>
    </row>
    <row r="27" spans="1:13" s="44" customFormat="1" x14ac:dyDescent="0.25">
      <c r="A27" s="125" t="s">
        <v>167</v>
      </c>
      <c r="B27" s="67">
        <f>'Balance Sheet'!B21</f>
        <v>5.2678558720971607</v>
      </c>
      <c r="C27" s="67">
        <f>'Balance Sheet'!C21</f>
        <v>7.5913387972414945</v>
      </c>
      <c r="D27" s="67">
        <f>'Balance Sheet'!D21</f>
        <v>5.035008856207396</v>
      </c>
      <c r="E27" s="67">
        <f>'Balance Sheet'!E21</f>
        <v>5.1297003618993786</v>
      </c>
      <c r="F27" s="67">
        <f>'Balance Sheet'!F21</f>
        <v>5.4336724333983106</v>
      </c>
      <c r="G27" s="67">
        <f>'Balance Sheet'!G21</f>
        <v>5.8635122838944493</v>
      </c>
      <c r="H27" s="67">
        <f>'Balance Sheet'!H21</f>
        <v>7.7725204078971393</v>
      </c>
      <c r="I27" s="67">
        <f>'Balance Sheet'!I21</f>
        <v>6.2954058939290194</v>
      </c>
      <c r="J27" s="67">
        <f>'Balance Sheet'!J21</f>
        <v>7.3024980083766504</v>
      </c>
      <c r="K27" s="67">
        <f>'Balance Sheet'!K21</f>
        <v>5.6545260766663494</v>
      </c>
    </row>
    <row r="28" spans="1:13" s="44" customFormat="1" x14ac:dyDescent="0.25">
      <c r="A28" s="125" t="s">
        <v>46</v>
      </c>
      <c r="B28" s="67">
        <f>'Balance Sheet'!B20</f>
        <v>39.179518815545954</v>
      </c>
      <c r="C28" s="67">
        <f>'Balance Sheet'!C20</f>
        <v>45.145267285177823</v>
      </c>
      <c r="D28" s="67">
        <f>'Balance Sheet'!D20</f>
        <v>52.751652990573753</v>
      </c>
      <c r="E28" s="67">
        <f>'Balance Sheet'!E20</f>
        <v>44.908667319444916</v>
      </c>
      <c r="F28" s="67">
        <f>'Balance Sheet'!F20</f>
        <v>38.527228393389322</v>
      </c>
      <c r="G28" s="67">
        <f>'Balance Sheet'!G20</f>
        <v>47.836210189562138</v>
      </c>
      <c r="H28" s="67">
        <f>'Balance Sheet'!H20</f>
        <v>41.98418404025881</v>
      </c>
      <c r="I28" s="67">
        <f>'Balance Sheet'!I20</f>
        <v>42.807279718641922</v>
      </c>
      <c r="J28" s="67">
        <f>'Balance Sheet'!J20</f>
        <v>40.97122220566029</v>
      </c>
      <c r="K28" s="67">
        <f>'Balance Sheet'!K20</f>
        <v>54.49642235818186</v>
      </c>
    </row>
    <row r="29" spans="1:13" s="44" customFormat="1" x14ac:dyDescent="0.25">
      <c r="A29" s="125" t="s">
        <v>168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29" t="s">
        <v>169</v>
      </c>
    </row>
    <row r="30" spans="1:13" s="44" customFormat="1" x14ac:dyDescent="0.25">
      <c r="A30" s="125" t="s">
        <v>170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3" s="44" customFormat="1" x14ac:dyDescent="0.25">
      <c r="A31" s="125" t="s">
        <v>171</v>
      </c>
      <c r="B31" s="64">
        <f>('Data Sheet'!B67+'Data Sheet'!B69)/'Data Sheet'!B60</f>
        <v>0.92398646458622347</v>
      </c>
      <c r="C31" s="64">
        <f>('Data Sheet'!C67+'Data Sheet'!C69)/'Data Sheet'!C60</f>
        <v>1.2043820116981494</v>
      </c>
      <c r="D31" s="64">
        <f>('Data Sheet'!D67+'Data Sheet'!D69)/'Data Sheet'!D60</f>
        <v>1.3395222327341532</v>
      </c>
      <c r="E31" s="64">
        <f>('Data Sheet'!E67+'Data Sheet'!E69)/'Data Sheet'!E60</f>
        <v>1.5745711152039401</v>
      </c>
      <c r="F31" s="64">
        <f>('Data Sheet'!F67+'Data Sheet'!F69)/'Data Sheet'!F60</f>
        <v>4.0646773128181222</v>
      </c>
      <c r="G31" s="64">
        <f>('Data Sheet'!G67+'Data Sheet'!G69)/'Data Sheet'!G60</f>
        <v>0.76520613257254477</v>
      </c>
      <c r="H31" s="64">
        <f>('Data Sheet'!H67+'Data Sheet'!H69)/'Data Sheet'!H60</f>
        <v>0.77320584589820074</v>
      </c>
      <c r="I31" s="64">
        <f>('Data Sheet'!I67+'Data Sheet'!I69)/'Data Sheet'!I60</f>
        <v>0.81923853441169781</v>
      </c>
      <c r="J31" s="64">
        <f>('Data Sheet'!J67+'Data Sheet'!J69)/'Data Sheet'!J60</f>
        <v>0.80476733180088467</v>
      </c>
      <c r="K31" s="64">
        <f>('Data Sheet'!K67+'Data Sheet'!K69)/'Data Sheet'!K60</f>
        <v>0.80297199059225999</v>
      </c>
      <c r="M31" s="44" t="s">
        <v>172</v>
      </c>
    </row>
    <row r="32" spans="1:13" s="44" customFormat="1" x14ac:dyDescent="0.25">
      <c r="A32" s="125" t="s">
        <v>173</v>
      </c>
      <c r="B32" s="64">
        <f>'Data Sheet'!B65/'Data Sheet'!B60</f>
        <v>2.2266533559787898</v>
      </c>
      <c r="C32" s="64">
        <f>'Data Sheet'!C65/'Data Sheet'!C60</f>
        <v>2.233259820372679</v>
      </c>
      <c r="D32" s="64">
        <f>'Data Sheet'!D65/'Data Sheet'!D60</f>
        <v>2.8854363765373701</v>
      </c>
      <c r="E32" s="64">
        <f>'Data Sheet'!E65/'Data Sheet'!E60</f>
        <v>3.1189909566872918</v>
      </c>
      <c r="F32" s="64">
        <f>'Data Sheet'!F65/'Data Sheet'!F60</f>
        <v>5.0182927303104483</v>
      </c>
      <c r="G32" s="64">
        <f>'Data Sheet'!G65/'Data Sheet'!G60</f>
        <v>1.6314480684709691</v>
      </c>
      <c r="H32" s="64">
        <f>'Data Sheet'!H65/'Data Sheet'!H60</f>
        <v>1.5486182050967732</v>
      </c>
      <c r="I32" s="64">
        <f>'Data Sheet'!I65/'Data Sheet'!I60</f>
        <v>1.6224608853899116</v>
      </c>
      <c r="J32" s="64">
        <f>'Data Sheet'!J65/'Data Sheet'!J60</f>
        <v>1.5060789275435107</v>
      </c>
      <c r="K32" s="64">
        <f>'Data Sheet'!K65/'Data Sheet'!K60</f>
        <v>1.6446989828644736</v>
      </c>
      <c r="L32" s="44" t="s">
        <v>121</v>
      </c>
    </row>
    <row r="33" spans="1:14" s="44" customFormat="1" x14ac:dyDescent="0.25">
      <c r="A33" s="127" t="s">
        <v>174</v>
      </c>
      <c r="B33" s="64">
        <f>'Calculated Data'!B17/'Calculated Data'!B8</f>
        <v>0.97280764753956261</v>
      </c>
      <c r="C33" s="64">
        <f>'Calculated Data'!C17/'Calculated Data'!C8</f>
        <v>2.1086878154289836</v>
      </c>
      <c r="D33" s="64">
        <f>'Calculated Data'!D17/'Calculated Data'!D8</f>
        <v>1.3208707211698238</v>
      </c>
      <c r="E33" s="64">
        <f>'Calculated Data'!E17/'Calculated Data'!E8</f>
        <v>1.2708847798590617</v>
      </c>
      <c r="F33" s="64">
        <f>'Calculated Data'!F17/'Calculated Data'!F8</f>
        <v>3.0627416712179136</v>
      </c>
      <c r="G33" s="64">
        <f>'Calculated Data'!G17/'Calculated Data'!G8</f>
        <v>1.584115673679557</v>
      </c>
      <c r="H33" s="64">
        <f>'Calculated Data'!H17/'Calculated Data'!H8</f>
        <v>14.58545125946007</v>
      </c>
      <c r="I33" s="64">
        <f>'Calculated Data'!I17/'Calculated Data'!I8</f>
        <v>3.8294983608585396</v>
      </c>
      <c r="J33" s="64">
        <f>'Calculated Data'!J17/'Calculated Data'!J8</f>
        <v>5.3851309548360486</v>
      </c>
      <c r="K33" s="64">
        <f>'Calculated Data'!K17/'Calculated Data'!K8</f>
        <v>1.1368535470605954</v>
      </c>
    </row>
    <row r="34" spans="1:14" x14ac:dyDescent="0.2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L34" s="29" t="s">
        <v>121</v>
      </c>
    </row>
    <row r="35" spans="1:14" x14ac:dyDescent="0.25">
      <c r="A35" s="128" t="s">
        <v>175</v>
      </c>
      <c r="B35" s="68">
        <f>'Calculated Data'!B4/'Data Sheet'!B17</f>
        <v>0.46717129644222499</v>
      </c>
      <c r="C35" s="68">
        <f>'Calculated Data'!C4/'Data Sheet'!C17</f>
        <v>0.52337640821736242</v>
      </c>
      <c r="D35" s="68">
        <f>'Calculated Data'!D4/'Data Sheet'!D17</f>
        <v>0.46356758139696025</v>
      </c>
      <c r="E35" s="68">
        <f>'Calculated Data'!E4/'Data Sheet'!E17</f>
        <v>0.43092249650360831</v>
      </c>
      <c r="F35" s="68">
        <f>'Calculated Data'!F4/'Data Sheet'!F17</f>
        <v>0.48786890759442819</v>
      </c>
      <c r="G35" s="68">
        <f>'Calculated Data'!G4/'Data Sheet'!G17</f>
        <v>0.42230441811447395</v>
      </c>
      <c r="H35" s="68">
        <f>'Calculated Data'!H4/'Data Sheet'!H17</f>
        <v>0.43196260004513098</v>
      </c>
      <c r="I35" s="68">
        <f>'Calculated Data'!I4/'Data Sheet'!I17</f>
        <v>0.48001477737415471</v>
      </c>
      <c r="J35" s="68">
        <f>'Calculated Data'!J4/'Data Sheet'!J17</f>
        <v>0.53272565450228881</v>
      </c>
      <c r="K35" s="68">
        <f>'Calculated Data'!K4/'Data Sheet'!K17</f>
        <v>0.49280666575817161</v>
      </c>
      <c r="L35" s="69"/>
      <c r="M35" s="69"/>
      <c r="N35" s="69"/>
    </row>
    <row r="36" spans="1:14" x14ac:dyDescent="0.25">
      <c r="A36" s="128" t="s">
        <v>176</v>
      </c>
      <c r="B36" s="68">
        <f>'Calculated Data'!B5/'Data Sheet'!B17</f>
        <v>0.23523147376810746</v>
      </c>
      <c r="C36" s="68">
        <f>'Calculated Data'!C5/'Data Sheet'!C17</f>
        <v>0.23214049039098741</v>
      </c>
      <c r="D36" s="68">
        <f>'Calculated Data'!D5/'Data Sheet'!D17</f>
        <v>0.14659314711815982</v>
      </c>
      <c r="E36" s="68">
        <f>'Calculated Data'!E5/'Data Sheet'!E17</f>
        <v>0.22263529303049637</v>
      </c>
      <c r="F36" s="68">
        <f>'Calculated Data'!F5/'Data Sheet'!F17</f>
        <v>0.19723465279010458</v>
      </c>
      <c r="G36" s="68">
        <f>'Calculated Data'!G5/'Data Sheet'!G17</f>
        <v>8.6704729162829716E-2</v>
      </c>
      <c r="H36" s="68">
        <f>'Calculated Data'!H5/'Data Sheet'!H17</f>
        <v>5.6838133458380125E-2</v>
      </c>
      <c r="I36" s="68">
        <f>'Calculated Data'!I5/'Data Sheet'!I17</f>
        <v>0.10729569153309378</v>
      </c>
      <c r="J36" s="68">
        <f>'Calculated Data'!J5/'Data Sheet'!J17</f>
        <v>0.11999010604676082</v>
      </c>
      <c r="K36" s="68">
        <f>'Calculated Data'!K5/'Data Sheet'!K17</f>
        <v>0.14853894523721456</v>
      </c>
      <c r="L36" s="69"/>
      <c r="M36" s="69"/>
      <c r="N36" s="69"/>
    </row>
    <row r="37" spans="1:14" x14ac:dyDescent="0.25">
      <c r="A37" s="125" t="s">
        <v>177</v>
      </c>
      <c r="B37" s="62">
        <f>'Calculated Data'!B6/'Data Sheet'!B17</f>
        <v>0.25910157287787566</v>
      </c>
      <c r="C37" s="62">
        <f>'Calculated Data'!C6/'Data Sheet'!C17</f>
        <v>0.26600673735365588</v>
      </c>
      <c r="D37" s="62">
        <f>'Calculated Data'!D6/'Data Sheet'!D17</f>
        <v>0.17742232076945014</v>
      </c>
      <c r="E37" s="62">
        <f>'Calculated Data'!E6/'Data Sheet'!E17</f>
        <v>0.24270555850747172</v>
      </c>
      <c r="F37" s="62">
        <f>'Calculated Data'!F6/'Data Sheet'!F17</f>
        <v>0.21965078149085851</v>
      </c>
      <c r="G37" s="62">
        <f>'Calculated Data'!G6/'Data Sheet'!G17</f>
        <v>0.1171291464587554</v>
      </c>
      <c r="H37" s="62">
        <f>'Calculated Data'!H6/'Data Sheet'!H17</f>
        <v>8.5945069445434757E-2</v>
      </c>
      <c r="I37" s="62">
        <f>'Calculated Data'!I6/'Data Sheet'!I17</f>
        <v>0.13941982147599313</v>
      </c>
      <c r="J37" s="62">
        <f>'Calculated Data'!J6/'Data Sheet'!J17</f>
        <v>0.17604539985180673</v>
      </c>
      <c r="K37" s="62">
        <f>'Calculated Data'!K6/'Data Sheet'!K17</f>
        <v>0.19505182846433067</v>
      </c>
      <c r="L37" s="69"/>
      <c r="M37" s="69"/>
      <c r="N37" s="69"/>
    </row>
    <row r="38" spans="1:14" x14ac:dyDescent="0.25">
      <c r="A38" s="125" t="s">
        <v>178</v>
      </c>
      <c r="B38" s="62">
        <f>'Calculated Data'!B7/'Data Sheet'!B17</f>
        <v>0.26394223625139029</v>
      </c>
      <c r="C38" s="62">
        <f>'Calculated Data'!C7/'Data Sheet'!C17</f>
        <v>0.24794289816655624</v>
      </c>
      <c r="D38" s="62">
        <f>'Calculated Data'!D7/'Data Sheet'!D17</f>
        <v>0.19147773759490871</v>
      </c>
      <c r="E38" s="62">
        <f>'Calculated Data'!E7/'Data Sheet'!E17</f>
        <v>0.23885997195778386</v>
      </c>
      <c r="F38" s="62">
        <f>'Calculated Data'!F7/'Data Sheet'!F17</f>
        <v>0.20731509076131133</v>
      </c>
      <c r="G38" s="62">
        <f>'Calculated Data'!G7/'Data Sheet'!G17</f>
        <v>0.11230056411620656</v>
      </c>
      <c r="H38" s="62">
        <f>'Calculated Data'!H7/'Data Sheet'!H17</f>
        <v>0.10098424024421035</v>
      </c>
      <c r="I38" s="62">
        <f>'Calculated Data'!I7/'Data Sheet'!I17</f>
        <v>0.13161564324204611</v>
      </c>
      <c r="J38" s="62">
        <f>'Calculated Data'!J7/'Data Sheet'!J17</f>
        <v>0.16519445506568245</v>
      </c>
      <c r="K38" s="62">
        <f>'Calculated Data'!K7/'Data Sheet'!K17</f>
        <v>0.20062668462419275</v>
      </c>
      <c r="L38" s="69"/>
      <c r="M38" s="69"/>
      <c r="N38" s="69"/>
    </row>
    <row r="39" spans="1:14" x14ac:dyDescent="0.25">
      <c r="A39" s="125" t="s">
        <v>179</v>
      </c>
      <c r="B39" s="62">
        <f>'Calculated Data'!B8/'Data Sheet'!B17</f>
        <v>9.0912161097277081E-2</v>
      </c>
      <c r="C39" s="62">
        <f>'Calculated Data'!C8/'Data Sheet'!C17</f>
        <v>0.12255356748398498</v>
      </c>
      <c r="D39" s="62">
        <f>'Calculated Data'!D8/'Data Sheet'!D17</f>
        <v>6.4152824008805287E-2</v>
      </c>
      <c r="E39" s="62">
        <f>'Calculated Data'!E8/'Data Sheet'!E17</f>
        <v>0.11801898980493068</v>
      </c>
      <c r="F39" s="62">
        <f>'Calculated Data'!F8/'Data Sheet'!F17</f>
        <v>8.5529573333084211E-2</v>
      </c>
      <c r="G39" s="62">
        <f>'Calculated Data'!G8/'Data Sheet'!G17</f>
        <v>3.2787122870921753E-2</v>
      </c>
      <c r="H39" s="62">
        <f>'Calculated Data'!H8/'Data Sheet'!H17</f>
        <v>7.4264713900914943E-3</v>
      </c>
      <c r="I39" s="62">
        <f>'Calculated Data'!I8/'Data Sheet'!I17</f>
        <v>3.1685120418940511E-2</v>
      </c>
      <c r="J39" s="62">
        <f>'Calculated Data'!J8/'Data Sheet'!J17</f>
        <v>3.1425182919321074E-2</v>
      </c>
      <c r="K39" s="62">
        <f>'Calculated Data'!K8/'Data Sheet'!K17</f>
        <v>6.7569911350938081E-2</v>
      </c>
      <c r="L39" s="69"/>
      <c r="M39" s="69"/>
      <c r="N39" s="69"/>
    </row>
    <row r="40" spans="1:14" x14ac:dyDescent="0.25">
      <c r="A40" s="125" t="s">
        <v>180</v>
      </c>
      <c r="B40" s="62">
        <f>'Calculated Data'!B17/'Data Sheet'!B17</f>
        <v>8.8440045569779857E-2</v>
      </c>
      <c r="C40" s="62">
        <f>'Calculated Data'!C17/'Data Sheet'!C17</f>
        <v>0.25842721449083278</v>
      </c>
      <c r="D40" s="62">
        <f>'Calculated Data'!D17/'Data Sheet'!D17</f>
        <v>8.4737586913591428E-2</v>
      </c>
      <c r="E40" s="62">
        <f>'Calculated Data'!E17/'Data Sheet'!E17</f>
        <v>0.14998853787742816</v>
      </c>
      <c r="F40" s="62">
        <f>'Calculated Data'!F17/'Data Sheet'!F17</f>
        <v>0.26195498836872544</v>
      </c>
      <c r="G40" s="62">
        <f>'Calculated Data'!G17/'Data Sheet'!G17</f>
        <v>5.1938595234684616E-2</v>
      </c>
      <c r="H40" s="62">
        <f>'Calculated Data'!H17/'Data Sheet'!H17</f>
        <v>0.10831843648995416</v>
      </c>
      <c r="I40" s="62">
        <f>'Calculated Data'!I17/'Data Sheet'!I17</f>
        <v>0.12133811670793812</v>
      </c>
      <c r="J40" s="62">
        <f>'Calculated Data'!J17/'Data Sheet'!J17</f>
        <v>0.16922872530022098</v>
      </c>
      <c r="K40" s="62">
        <f>'Calculated Data'!K17/'Data Sheet'!K17</f>
        <v>7.6817093393883942E-2</v>
      </c>
      <c r="L40" s="69"/>
      <c r="M40" s="69"/>
      <c r="N40" s="69"/>
    </row>
    <row r="41" spans="1:14" x14ac:dyDescent="0.25">
      <c r="A41" s="125" t="s">
        <v>181</v>
      </c>
      <c r="B41" s="62">
        <f>'Calculated Data'!B19/'Data Sheet'!B17</f>
        <v>0</v>
      </c>
      <c r="C41" s="62">
        <f>'Calculated Data'!C19/'Data Sheet'!C17</f>
        <v>0.27890987408880052</v>
      </c>
      <c r="D41" s="62">
        <f>'Calculated Data'!D19/'Data Sheet'!D17</f>
        <v>9.2490185993086935E-2</v>
      </c>
      <c r="E41" s="62">
        <f>'Calculated Data'!E19/'Data Sheet'!E17</f>
        <v>3.6842282970484544E-2</v>
      </c>
      <c r="F41" s="62">
        <f>'Calculated Data'!F19/'Data Sheet'!F17</f>
        <v>0.14839637888993737</v>
      </c>
      <c r="G41" s="62">
        <f>'Calculated Data'!G19/'Data Sheet'!G17</f>
        <v>-0.42428939775308488</v>
      </c>
      <c r="H41" s="62">
        <f>'Calculated Data'!H19/'Data Sheet'!H17</f>
        <v>0.12564603086855228</v>
      </c>
      <c r="I41" s="62">
        <f>'Calculated Data'!I19/'Data Sheet'!I17</f>
        <v>9.2176321119787893E-2</v>
      </c>
      <c r="J41" s="62">
        <f>'Calculated Data'!J19/'Data Sheet'!J17</f>
        <v>9.1781538056075834E-2</v>
      </c>
      <c r="K41" s="62">
        <f>'Calculated Data'!K19/'Data Sheet'!K17</f>
        <v>3.1874903767363939E-2</v>
      </c>
      <c r="L41" s="69"/>
      <c r="M41" s="69"/>
      <c r="N41" s="69"/>
    </row>
    <row r="42" spans="1:14" x14ac:dyDescent="0.25">
      <c r="A42" s="125" t="s">
        <v>182</v>
      </c>
      <c r="B42" s="62">
        <f>'Calculated Data'!B24/'Data Sheet'!B17</f>
        <v>2.9065919266827212E-2</v>
      </c>
      <c r="C42" s="62">
        <f>'Calculated Data'!C24/'Data Sheet'!C17</f>
        <v>2.787964055170131E-2</v>
      </c>
      <c r="D42" s="62">
        <f>'Calculated Data'!D24/'Data Sheet'!D17</f>
        <v>-4.0824319953352249E-2</v>
      </c>
      <c r="E42" s="62">
        <f>'Calculated Data'!E24/'Data Sheet'!E17</f>
        <v>2.1827383406959791E-2</v>
      </c>
      <c r="F42" s="62">
        <f>'Calculated Data'!F24/'Data Sheet'!F17</f>
        <v>-7.823181602943223E-2</v>
      </c>
      <c r="G42" s="62">
        <f>'Calculated Data'!G24/'Data Sheet'!G17</f>
        <v>-3.8479692564146538E-2</v>
      </c>
      <c r="H42" s="62">
        <f>'Calculated Data'!H24/'Data Sheet'!H17</f>
        <v>-3.7903138939328715E-2</v>
      </c>
      <c r="I42" s="62">
        <f>'Calculated Data'!I24/'Data Sheet'!I17</f>
        <v>-5.8570790556002048E-2</v>
      </c>
      <c r="J42" s="62">
        <f>'Calculated Data'!J24/'Data Sheet'!J17</f>
        <v>-6.0362113128529536E-2</v>
      </c>
      <c r="K42" s="62">
        <f>'Calculated Data'!K24/'Data Sheet'!K17</f>
        <v>-1.0820572801726906E-2</v>
      </c>
      <c r="L42" s="69"/>
      <c r="M42" s="69"/>
      <c r="N42" s="69"/>
    </row>
    <row r="43" spans="1:14" x14ac:dyDescent="0.25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7"/>
    </row>
    <row r="44" spans="1:14" ht="30" x14ac:dyDescent="0.25">
      <c r="A44" s="125" t="s">
        <v>183</v>
      </c>
      <c r="B44" s="64">
        <f>'Data Sheet'!B17/'Calculated Data'!B13</f>
        <v>0.96931353185731595</v>
      </c>
      <c r="C44" s="64">
        <f>'Data Sheet'!C17/'Calculated Data'!C13</f>
        <v>0.86005571268781655</v>
      </c>
      <c r="D44" s="64">
        <f>'Data Sheet'!D17/'Calculated Data'!D13</f>
        <v>0.8210915822734951</v>
      </c>
      <c r="E44" s="64">
        <f>'Data Sheet'!E17/'Calculated Data'!E13</f>
        <v>0.95927958950580439</v>
      </c>
      <c r="F44" s="64">
        <f>'Data Sheet'!F17/'Calculated Data'!F13</f>
        <v>0.56473576302824446</v>
      </c>
      <c r="G44" s="64">
        <f>'Data Sheet'!G17/'Calculated Data'!G13</f>
        <v>1.019849893172148</v>
      </c>
      <c r="H44" s="64">
        <f>'Data Sheet'!H17/'Calculated Data'!H13</f>
        <v>1.1254587184113309</v>
      </c>
      <c r="I44" s="64">
        <f>'Data Sheet'!I17/'Calculated Data'!I13</f>
        <v>0.97061372012840341</v>
      </c>
      <c r="J44" s="64">
        <f>'Data Sheet'!J17/'Calculated Data'!J13</f>
        <v>0.88521919218865175</v>
      </c>
      <c r="K44" s="64">
        <f>'Data Sheet'!K17/'Calculated Data'!K13</f>
        <v>1.0052608169655564</v>
      </c>
    </row>
    <row r="45" spans="1:14" s="44" customFormat="1" ht="30" x14ac:dyDescent="0.25">
      <c r="A45" s="125" t="s">
        <v>184</v>
      </c>
      <c r="B45" s="64">
        <f>'Data Sheet'!B17/'Data Sheet'!B62</f>
        <v>1.2402760053503263</v>
      </c>
      <c r="C45" s="64">
        <f>'Data Sheet'!C17/'Data Sheet'!C62</f>
        <v>1.0602308057121779</v>
      </c>
      <c r="D45" s="64">
        <f>'Data Sheet'!D17/'Data Sheet'!D62</f>
        <v>1.1587042784133896</v>
      </c>
      <c r="E45" s="64">
        <f>'Data Sheet'!E17/'Data Sheet'!E62</f>
        <v>1.523322640462365</v>
      </c>
      <c r="F45" s="64">
        <f>'Data Sheet'!F17/'Data Sheet'!F62</f>
        <v>1.4389321904936025</v>
      </c>
      <c r="G45" s="64">
        <f>'Data Sheet'!G17/'Data Sheet'!G62</f>
        <v>1.2662236497611272</v>
      </c>
      <c r="H45" s="64">
        <f>'Data Sheet'!H17/'Data Sheet'!H62</f>
        <v>1.3683605780212791</v>
      </c>
      <c r="I45" s="64">
        <f>'Data Sheet'!I17/'Data Sheet'!I62</f>
        <v>1.194971064828368</v>
      </c>
      <c r="J45" s="64">
        <f>'Data Sheet'!J17/'Data Sheet'!J62</f>
        <v>1.037610113644005</v>
      </c>
      <c r="K45" s="64">
        <f>'Data Sheet'!K17/'Data Sheet'!K62</f>
        <v>1.3004797650543691</v>
      </c>
    </row>
    <row r="46" spans="1:14" x14ac:dyDescent="0.25">
      <c r="A46" s="125" t="s">
        <v>185</v>
      </c>
      <c r="B46" s="64">
        <f>'Data Sheet'!B17/'Calculated Data'!B15</f>
        <v>0.8255159544413716</v>
      </c>
      <c r="C46" s="64">
        <f>'Data Sheet'!C17/'Calculated Data'!C15</f>
        <v>0.7440599093962833</v>
      </c>
      <c r="D46" s="64">
        <f>'Data Sheet'!D17/'Calculated Data'!D15</f>
        <v>0.7149983707986135</v>
      </c>
      <c r="E46" s="64">
        <f>'Data Sheet'!E17/'Calculated Data'!E15</f>
        <v>0.82339625733629684</v>
      </c>
      <c r="F46" s="64">
        <f>'Data Sheet'!F17/'Calculated Data'!F15</f>
        <v>0.49714501220115975</v>
      </c>
      <c r="G46" s="64">
        <f>'Data Sheet'!G17/'Calculated Data'!G15</f>
        <v>0.80184214592497682</v>
      </c>
      <c r="H46" s="64">
        <f>'Data Sheet'!H17/'Calculated Data'!H15</f>
        <v>0.87943540236397422</v>
      </c>
      <c r="I46" s="64">
        <f>'Data Sheet'!I17/'Calculated Data'!I15</f>
        <v>0.78231194995553655</v>
      </c>
      <c r="J46" s="64">
        <f>'Data Sheet'!J17/'Calculated Data'!J15</f>
        <v>0.70784223177750727</v>
      </c>
      <c r="K46" s="64">
        <f>'Data Sheet'!K17/'Calculated Data'!K15</f>
        <v>0.77666714775640366</v>
      </c>
    </row>
    <row r="47" spans="1:14" x14ac:dyDescent="0.25">
      <c r="A47" s="125" t="s">
        <v>186</v>
      </c>
      <c r="B47" s="62">
        <f>B39*B46</f>
        <v>7.5049439438546417E-2</v>
      </c>
      <c r="C47" s="62">
        <f t="shared" ref="C47:K47" si="1">C39*C46</f>
        <v>9.1187196318325156E-2</v>
      </c>
      <c r="D47" s="62">
        <f t="shared" si="1"/>
        <v>4.5869164648425956E-2</v>
      </c>
      <c r="E47" s="62">
        <f t="shared" si="1"/>
        <v>9.7176394499990493E-2</v>
      </c>
      <c r="F47" s="62">
        <f t="shared" si="1"/>
        <v>4.2520600778236141E-2</v>
      </c>
      <c r="G47" s="62">
        <f t="shared" si="1"/>
        <v>2.6290096961525785E-2</v>
      </c>
      <c r="H47" s="62">
        <f t="shared" si="1"/>
        <v>6.5311018550896563E-3</v>
      </c>
      <c r="I47" s="62">
        <f t="shared" si="1"/>
        <v>2.4787648339517337E-2</v>
      </c>
      <c r="J47" s="62">
        <f t="shared" si="1"/>
        <v>2.224407161162863E-2</v>
      </c>
      <c r="K47" s="62">
        <f t="shared" si="1"/>
        <v>5.2479330323086125E-2</v>
      </c>
      <c r="L47" s="29" t="s">
        <v>187</v>
      </c>
    </row>
    <row r="48" spans="1:14" ht="30" x14ac:dyDescent="0.25">
      <c r="A48" s="125" t="s">
        <v>188</v>
      </c>
      <c r="B48" s="62">
        <f t="shared" ref="B48:K48" si="2">B39*B46*B19</f>
        <v>0.48080541068324162</v>
      </c>
      <c r="C48" s="62">
        <f t="shared" si="2"/>
        <v>0.3666886979510906</v>
      </c>
      <c r="D48" s="62">
        <f t="shared" si="2"/>
        <v>0.17276348369038647</v>
      </c>
      <c r="E48" s="62">
        <f t="shared" si="2"/>
        <v>0.31313121787920223</v>
      </c>
      <c r="F48" s="62">
        <f t="shared" si="2"/>
        <v>0.1793923195397524</v>
      </c>
      <c r="G48" s="62">
        <f t="shared" si="2"/>
        <v>0.11929662365704818</v>
      </c>
      <c r="H48" s="62">
        <f t="shared" si="2"/>
        <v>3.005316079272722E-2</v>
      </c>
      <c r="I48" s="62">
        <f t="shared" si="2"/>
        <v>0.11007319148936168</v>
      </c>
      <c r="J48" s="62">
        <f t="shared" si="2"/>
        <v>9.1929689302043399E-2</v>
      </c>
      <c r="K48" s="62">
        <f t="shared" si="2"/>
        <v>0.19360310336959002</v>
      </c>
      <c r="L48" s="29" t="s">
        <v>189</v>
      </c>
    </row>
    <row r="49" spans="1:12" x14ac:dyDescent="0.25">
      <c r="A49" s="125" t="s">
        <v>190</v>
      </c>
      <c r="B49" s="62">
        <f>'Calculated Data'!B5/'Calculated Data'!B14</f>
        <v>0.22668425540408893</v>
      </c>
      <c r="C49" s="62">
        <f>'Calculated Data'!C5/'Calculated Data'!C14</f>
        <v>0.19820775601717275</v>
      </c>
      <c r="D49" s="62">
        <f>'Calculated Data'!D5/'Calculated Data'!D14</f>
        <v>0.12032400814614053</v>
      </c>
      <c r="E49" s="62">
        <f>'Calculated Data'!E5/'Calculated Data'!E14</f>
        <v>0.21351089266511125</v>
      </c>
      <c r="F49" s="62">
        <f>'Calculated Data'!F5/'Calculated Data'!F14</f>
        <v>0.11136654245599525</v>
      </c>
      <c r="G49" s="62">
        <f>'Calculated Data'!G5/'Calculated Data'!G14</f>
        <v>8.8317905550354098E-2</v>
      </c>
      <c r="H49" s="62">
        <f>'Calculated Data'!H5/'Calculated Data'!H14</f>
        <v>6.381011039348751E-2</v>
      </c>
      <c r="I49" s="62">
        <f>'Calculated Data'!I5/'Calculated Data'!I14</f>
        <v>0.10395046514873464</v>
      </c>
      <c r="J49" s="62">
        <f>'Calculated Data'!J5/'Calculated Data'!J14</f>
        <v>0.10588991124765157</v>
      </c>
      <c r="K49" s="62">
        <f>'Calculated Data'!K5/'Calculated Data'!K14</f>
        <v>0.14885956510943207</v>
      </c>
    </row>
    <row r="50" spans="1:12" ht="30" x14ac:dyDescent="0.25">
      <c r="A50" s="125" t="s">
        <v>191</v>
      </c>
      <c r="B50" s="62">
        <f>B36*B44*(1-'Calculated Data'!B20)</f>
        <v>0.14817398886120789</v>
      </c>
      <c r="C50" s="62">
        <f>C36*C44*(1-'Calculated Data'!C20)</f>
        <v>0.14397804412417362</v>
      </c>
      <c r="D50" s="62">
        <f>D36*D44*(1-'Calculated Data'!D20)</f>
        <v>8.6479494534262569E-2</v>
      </c>
      <c r="E50" s="62">
        <f>E36*E44*(1-'Calculated Data'!E20)</f>
        <v>0.14093856339461419</v>
      </c>
      <c r="F50" s="62">
        <f>F36*F44*(1-'Calculated Data'!F20)</f>
        <v>7.5819695681533336E-2</v>
      </c>
      <c r="G50" s="62">
        <f>G36*G44*(1-'Calculated Data'!G20)</f>
        <v>8.0756489649158034E-2</v>
      </c>
      <c r="H50" s="62">
        <f>H36*H44*(1-'Calculated Data'!H20)</f>
        <v>7.7341581825576489E-2</v>
      </c>
      <c r="I50" s="62">
        <f>I36*I44*(1-'Calculated Data'!I20)</f>
        <v>6.3150387087577295E-2</v>
      </c>
      <c r="J50" s="62">
        <f>J36*J44*(1-'Calculated Data'!J20)</f>
        <v>6.6566298977563068E-2</v>
      </c>
      <c r="K50" s="62">
        <f>K36*K44*(1-'Calculated Data'!K20)</f>
        <v>0.10912250214530073</v>
      </c>
      <c r="L50" s="29" t="s">
        <v>192</v>
      </c>
    </row>
    <row r="51" spans="1:12" x14ac:dyDescent="0.25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7"/>
    </row>
    <row r="52" spans="1:12" x14ac:dyDescent="0.25">
      <c r="A52" s="129" t="s">
        <v>117</v>
      </c>
      <c r="B52" s="70">
        <f>'Calculated Data'!B43</f>
        <v>1.8388317267658771</v>
      </c>
      <c r="C52" s="70">
        <f>'Calculated Data'!C43</f>
        <v>1.8191653854005567</v>
      </c>
      <c r="D52" s="70">
        <f>'Calculated Data'!D43</f>
        <v>1.553086470448783</v>
      </c>
      <c r="E52" s="70">
        <f>'Calculated Data'!E43</f>
        <v>2.0136741590782785</v>
      </c>
      <c r="F52" s="70">
        <f>'Calculated Data'!F43</f>
        <v>1.5212199950992444</v>
      </c>
      <c r="G52" s="70">
        <f>'Calculated Data'!G43</f>
        <v>1.2757803030112882</v>
      </c>
      <c r="H52" s="70">
        <f>'Calculated Data'!H43</f>
        <v>1.2532965068034758</v>
      </c>
      <c r="I52" s="70">
        <f>'Calculated Data'!I43</f>
        <v>1.2896526022276147</v>
      </c>
      <c r="J52" s="70">
        <f>'Calculated Data'!J43</f>
        <v>1.2278067483204289</v>
      </c>
      <c r="K52" s="70">
        <f>'Calculated Data'!K43</f>
        <v>1.9907538286979927</v>
      </c>
    </row>
    <row r="53" spans="1:12" x14ac:dyDescent="0.25">
      <c r="A53" s="130" t="s">
        <v>17</v>
      </c>
      <c r="B53" s="71">
        <f>'Data Sheet'!B31/'Data Sheet'!B30</f>
        <v>6.4909977958839987E-2</v>
      </c>
      <c r="C53" s="71">
        <f>'Data Sheet'!C31/'Data Sheet'!C30</f>
        <v>0.10213139870223505</v>
      </c>
      <c r="D53" s="71">
        <f>'Data Sheet'!D31/'Data Sheet'!D30</f>
        <v>0.14710036556995679</v>
      </c>
      <c r="E53" s="71">
        <f>'Data Sheet'!E31/'Data Sheet'!E30</f>
        <v>5.7896163343973982E-2</v>
      </c>
      <c r="F53" s="71">
        <f>'Data Sheet'!F31/'Data Sheet'!F30</f>
        <v>8.211906062261061E-2</v>
      </c>
      <c r="G53" s="71">
        <f>'Data Sheet'!G31/'Data Sheet'!G30</f>
        <v>8.7457415546251277E-2</v>
      </c>
      <c r="H53" s="71">
        <f>'Data Sheet'!H31/'Data Sheet'!H30</f>
        <v>0.37987123009149443</v>
      </c>
      <c r="I53" s="71">
        <f>'Data Sheet'!I31/'Data Sheet'!I30</f>
        <v>0.10400816478010765</v>
      </c>
      <c r="J53" s="71">
        <f>'Data Sheet'!J31/'Data Sheet'!J30</f>
        <v>0.11559084347288101</v>
      </c>
      <c r="K53" s="71">
        <f>'Data Sheet'!K31/'Data Sheet'!K30</f>
        <v>8.8097015414031088E-2</v>
      </c>
    </row>
    <row r="54" spans="1:12" x14ac:dyDescent="0.25">
      <c r="A54" s="130" t="s">
        <v>193</v>
      </c>
      <c r="B54" s="72">
        <f>'Data Sheet'!B69/'Data Sheet'!B61</f>
        <v>4.3848693014541883E-2</v>
      </c>
      <c r="C54" s="72">
        <f>'Data Sheet'!C69/'Data Sheet'!C61</f>
        <v>6.2804195301344665E-2</v>
      </c>
      <c r="D54" s="72">
        <f>'Data Sheet'!D69/'Data Sheet'!D61</f>
        <v>6.933347561056942E-2</v>
      </c>
      <c r="E54" s="72">
        <f>'Data Sheet'!E69/'Data Sheet'!E61</f>
        <v>0.12136075046421145</v>
      </c>
      <c r="F54" s="72">
        <f>'Data Sheet'!F69/'Data Sheet'!F61</f>
        <v>0.43339987385477691</v>
      </c>
      <c r="G54" s="72">
        <f>'Data Sheet'!G69/'Data Sheet'!G61</f>
        <v>5.7750973922531972E-2</v>
      </c>
      <c r="H54" s="72">
        <f>'Data Sheet'!H69/'Data Sheet'!H61</f>
        <v>6.6360067103696463E-2</v>
      </c>
      <c r="I54" s="72">
        <f>'Data Sheet'!I69/'Data Sheet'!I61</f>
        <v>6.5963938548342593E-2</v>
      </c>
      <c r="J54" s="72">
        <f>'Data Sheet'!J69/'Data Sheet'!J61</f>
        <v>7.9809991865095131E-2</v>
      </c>
      <c r="K54" s="72">
        <f>'Data Sheet'!K69/'Data Sheet'!K61</f>
        <v>6.471275506346949E-2</v>
      </c>
    </row>
    <row r="55" spans="1:12" x14ac:dyDescent="0.25">
      <c r="A55" s="130" t="s">
        <v>194</v>
      </c>
      <c r="B55" s="71">
        <f>'Calculated Data'!B5/'Calculated Data'!B13</f>
        <v>0.22801305064216582</v>
      </c>
      <c r="C55" s="71">
        <f>'Calculated Data'!C5/'Calculated Data'!C13</f>
        <v>0.19965375490691992</v>
      </c>
      <c r="D55" s="71">
        <f>'Calculated Data'!D5/'Calculated Data'!D13</f>
        <v>0.12036639911770111</v>
      </c>
      <c r="E55" s="71">
        <f>'Calculated Data'!E5/'Calculated Data'!E13</f>
        <v>0.21356949250779902</v>
      </c>
      <c r="F55" s="71">
        <f>'Calculated Data'!F5/'Calculated Data'!F13</f>
        <v>0.11138546213903057</v>
      </c>
      <c r="G55" s="71">
        <f>'Calculated Data'!G5/'Calculated Data'!G13</f>
        <v>8.8425808774231923E-2</v>
      </c>
      <c r="H55" s="71">
        <f>'Calculated Data'!H5/'Calculated Data'!H13</f>
        <v>6.3968972838960678E-2</v>
      </c>
      <c r="I55" s="71">
        <f>'Calculated Data'!I5/'Calculated Data'!I13</f>
        <v>0.10414267031268577</v>
      </c>
      <c r="J55" s="71">
        <f>'Calculated Data'!J5/'Calculated Data'!J13</f>
        <v>0.10621754474534427</v>
      </c>
      <c r="K55" s="71">
        <f>'Calculated Data'!K5/'Calculated Data'!K13</f>
        <v>0.14932038144036436</v>
      </c>
      <c r="L55" s="29" t="s">
        <v>195</v>
      </c>
    </row>
    <row r="56" spans="1:12" x14ac:dyDescent="0.25">
      <c r="A56" s="130" t="s">
        <v>196</v>
      </c>
      <c r="B56" s="73">
        <f>'Calculated Data'!B24</f>
        <v>129.09744306038374</v>
      </c>
      <c r="C56" s="73">
        <f>'Calculated Data'!C24</f>
        <v>100.96890622204147</v>
      </c>
      <c r="D56" s="73">
        <f>'Calculated Data'!D24</f>
        <v>-153.1846875177641</v>
      </c>
      <c r="E56" s="73">
        <f>'Calculated Data'!E24</f>
        <v>122.82770672914634</v>
      </c>
      <c r="F56" s="73">
        <f>'Calculated Data'!F24</f>
        <v>-418.69276779871984</v>
      </c>
      <c r="G56" s="73">
        <f>'Calculated Data'!G24</f>
        <v>-451.29291276771573</v>
      </c>
      <c r="H56" s="73">
        <f>'Calculated Data'!H24</f>
        <v>-451.83839188767553</v>
      </c>
      <c r="I56" s="73">
        <f>'Calculated Data'!I24</f>
        <v>-597.70261775798417</v>
      </c>
      <c r="J56" s="73">
        <f>'Calculated Data'!J24</f>
        <v>-558.84330852428957</v>
      </c>
      <c r="K56" s="73">
        <f>'Calculated Data'!K24</f>
        <v>-122.28047988338731</v>
      </c>
      <c r="L56" s="29" t="s">
        <v>197</v>
      </c>
    </row>
    <row r="57" spans="1:12" ht="15" customHeight="1" x14ac:dyDescent="0.25">
      <c r="A57" s="131" t="s">
        <v>101</v>
      </c>
      <c r="B57" s="74">
        <f>'Calculated Data'!B26</f>
        <v>566.98019358830459</v>
      </c>
      <c r="C57" s="74">
        <f>'Calculated Data'!C26</f>
        <v>1624.3077310490003</v>
      </c>
      <c r="D57" s="74">
        <f>'Calculated Data'!D26</f>
        <v>1275.1286738685001</v>
      </c>
      <c r="E57" s="74">
        <f>'Calculated Data'!E26</f>
        <v>1111.3558795800002</v>
      </c>
      <c r="F57" s="74">
        <f>'Calculated Data'!F26</f>
        <v>1246.2451644025878</v>
      </c>
      <c r="G57" s="74">
        <f>'Calculated Data'!G26</f>
        <v>1210.9175659506145</v>
      </c>
      <c r="H57" s="74">
        <f>'Calculated Data'!H26</f>
        <v>1369.2326853867789</v>
      </c>
      <c r="I57" s="74">
        <f>'Calculated Data'!I26</f>
        <v>1205.5590074964905</v>
      </c>
      <c r="J57" s="74">
        <f>'Calculated Data'!J26</f>
        <v>2004.5361604202499</v>
      </c>
      <c r="K57" s="74">
        <f>'Calculated Data'!K26</f>
        <v>14363.80238950734</v>
      </c>
    </row>
    <row r="58" spans="1:12" ht="15" customHeight="1" x14ac:dyDescent="0.25">
      <c r="A58" s="132" t="s">
        <v>198</v>
      </c>
      <c r="B58" s="75"/>
      <c r="C58" s="76">
        <f>C57-B57</f>
        <v>1057.3275374606956</v>
      </c>
      <c r="D58" s="76">
        <f t="shared" ref="D58:K58" si="3">D57-C57</f>
        <v>-349.17905718050019</v>
      </c>
      <c r="E58" s="76">
        <f t="shared" si="3"/>
        <v>-163.77279428849988</v>
      </c>
      <c r="F58" s="76">
        <f t="shared" si="3"/>
        <v>134.88928482258757</v>
      </c>
      <c r="G58" s="76">
        <f t="shared" si="3"/>
        <v>-35.327598451973245</v>
      </c>
      <c r="H58" s="76">
        <f t="shared" si="3"/>
        <v>158.31511943616442</v>
      </c>
      <c r="I58" s="76">
        <f t="shared" si="3"/>
        <v>-163.67367789028845</v>
      </c>
      <c r="J58" s="76">
        <f t="shared" si="3"/>
        <v>798.97715292375938</v>
      </c>
      <c r="K58" s="76">
        <f t="shared" si="3"/>
        <v>12359.26622908709</v>
      </c>
    </row>
    <row r="59" spans="1:12" x14ac:dyDescent="0.25">
      <c r="A59" s="133" t="s">
        <v>199</v>
      </c>
      <c r="B59" s="59"/>
      <c r="C59" s="59">
        <f t="shared" ref="C59:K59" si="4">C58-C56</f>
        <v>956.35863123865408</v>
      </c>
      <c r="D59" s="59">
        <f t="shared" si="4"/>
        <v>-195.99436966273609</v>
      </c>
      <c r="E59" s="59">
        <f t="shared" si="4"/>
        <v>-286.60050101764625</v>
      </c>
      <c r="F59" s="59">
        <f t="shared" si="4"/>
        <v>553.58205262130741</v>
      </c>
      <c r="G59" s="59">
        <f t="shared" si="4"/>
        <v>415.96531431574249</v>
      </c>
      <c r="H59" s="59">
        <f t="shared" si="4"/>
        <v>610.15351132383989</v>
      </c>
      <c r="I59" s="59">
        <f t="shared" si="4"/>
        <v>434.02893986769573</v>
      </c>
      <c r="J59" s="59">
        <f t="shared" si="4"/>
        <v>1357.8204614480489</v>
      </c>
      <c r="K59" s="59">
        <f t="shared" si="4"/>
        <v>12481.546708970478</v>
      </c>
    </row>
    <row r="60" spans="1:12" x14ac:dyDescent="0.25">
      <c r="A60" s="134"/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2" spans="1:12" x14ac:dyDescent="0.25">
      <c r="A62" s="135" t="s">
        <v>206</v>
      </c>
      <c r="B62" s="29">
        <f>'Data Sheet'!B57+'Data Sheet'!B58</f>
        <v>839.82</v>
      </c>
      <c r="C62" s="29">
        <f>'Data Sheet'!C57+'Data Sheet'!C58</f>
        <v>1210.3999999999999</v>
      </c>
      <c r="D62" s="29">
        <f>'Data Sheet'!D57+'Data Sheet'!D58</f>
        <v>1393.35</v>
      </c>
      <c r="E62" s="29">
        <f>'Data Sheet'!E57+'Data Sheet'!E58</f>
        <v>2120.9</v>
      </c>
      <c r="F62" s="29">
        <f>'Data Sheet'!F57+'Data Sheet'!F58</f>
        <v>2551.67</v>
      </c>
      <c r="G62" s="29">
        <f>'Data Sheet'!G57+'Data Sheet'!G58</f>
        <v>3223.31</v>
      </c>
      <c r="H62" s="29">
        <f>'Data Sheet'!H57+'Data Sheet'!H58</f>
        <v>2945.78</v>
      </c>
      <c r="I62" s="29">
        <f>'Data Sheet'!I57+'Data Sheet'!I58</f>
        <v>2937.5</v>
      </c>
      <c r="J62" s="29">
        <f>'Data Sheet'!J57+'Data Sheet'!J58</f>
        <v>3164.81</v>
      </c>
      <c r="K62" s="29">
        <f>'Data Sheet'!K57+'Data Sheet'!K58</f>
        <v>3944.1</v>
      </c>
    </row>
    <row r="63" spans="1:12" x14ac:dyDescent="0.25">
      <c r="A63" s="135" t="s">
        <v>207</v>
      </c>
      <c r="B63" s="29">
        <f>'Data Sheet'!B59</f>
        <v>3769.19</v>
      </c>
      <c r="C63" s="29">
        <f>'Data Sheet'!C59</f>
        <v>3031.21</v>
      </c>
      <c r="D63" s="29">
        <f>'Data Sheet'!D59</f>
        <v>3178.14</v>
      </c>
      <c r="E63" s="29">
        <f>'Data Sheet'!E59</f>
        <v>3746.81</v>
      </c>
      <c r="F63" s="29">
        <f>'Data Sheet'!F59</f>
        <v>6926.85</v>
      </c>
      <c r="G63" s="29">
        <f>'Data Sheet'!G59</f>
        <v>8290.5499999999993</v>
      </c>
      <c r="H63" s="29">
        <f>'Data Sheet'!H59</f>
        <v>7672.6</v>
      </c>
      <c r="I63" s="29">
        <f>'Data Sheet'!I59</f>
        <v>7595.69</v>
      </c>
      <c r="J63" s="29">
        <f>'Data Sheet'!J59</f>
        <v>7326.18</v>
      </c>
      <c r="K63" s="29">
        <f>'Data Sheet'!K59</f>
        <v>7332.3</v>
      </c>
    </row>
    <row r="64" spans="1:12" x14ac:dyDescent="0.25">
      <c r="A64" s="136" t="s">
        <v>208</v>
      </c>
      <c r="B64" s="65">
        <f>'Calculated Data'!B19</f>
        <v>0</v>
      </c>
      <c r="C64" s="65">
        <f>'Calculated Data'!C19</f>
        <v>1010.0999999999999</v>
      </c>
      <c r="D64" s="65">
        <f>'Calculated Data'!D19</f>
        <v>347.05000000000018</v>
      </c>
      <c r="E64" s="65">
        <f>'Calculated Data'!E19</f>
        <v>207.31999999999971</v>
      </c>
      <c r="F64" s="65">
        <f>'Calculated Data'!F19</f>
        <v>794.21000000000026</v>
      </c>
      <c r="G64" s="65">
        <f>'Calculated Data'!G19</f>
        <v>-4976.0999999999995</v>
      </c>
      <c r="H64" s="65">
        <f>'Calculated Data'!H19</f>
        <v>1497.809999999999</v>
      </c>
      <c r="I64" s="65">
        <f>'Calculated Data'!I19</f>
        <v>940.64000000000033</v>
      </c>
      <c r="J64" s="65">
        <f>'Calculated Data'!J19</f>
        <v>849.73000000000025</v>
      </c>
      <c r="K64" s="65">
        <f>'Calculated Data'!K19</f>
        <v>360.21000000000032</v>
      </c>
    </row>
    <row r="66" spans="1:13" x14ac:dyDescent="0.25">
      <c r="A66" s="135" t="s">
        <v>213</v>
      </c>
      <c r="B66" s="69">
        <f>'Data Sheet'!B30/'Data Sheet'!B17</f>
        <v>9.0912161097277081E-2</v>
      </c>
      <c r="C66" s="69">
        <f>'Data Sheet'!C30/'Data Sheet'!C17</f>
        <v>0.12255356748398498</v>
      </c>
      <c r="D66" s="69">
        <f>'Data Sheet'!D30/'Data Sheet'!D17</f>
        <v>6.4152824008805287E-2</v>
      </c>
      <c r="E66" s="69">
        <f>'Data Sheet'!E30/'Data Sheet'!E17</f>
        <v>0.11801898980493068</v>
      </c>
      <c r="F66" s="69">
        <f>'Data Sheet'!F30/'Data Sheet'!F17</f>
        <v>8.5529573333084211E-2</v>
      </c>
      <c r="G66" s="69">
        <f>'Data Sheet'!G30/'Data Sheet'!G17</f>
        <v>3.2787122870921753E-2</v>
      </c>
      <c r="H66" s="69">
        <f>'Data Sheet'!H30/'Data Sheet'!H17</f>
        <v>7.4264713900914943E-3</v>
      </c>
      <c r="I66" s="69">
        <f>'Data Sheet'!I30/'Data Sheet'!I17</f>
        <v>3.1685120418940511E-2</v>
      </c>
      <c r="J66" s="69">
        <f>'Data Sheet'!J30/'Data Sheet'!J17</f>
        <v>3.1425182919321074E-2</v>
      </c>
      <c r="K66" s="69">
        <f>'Data Sheet'!K30/'Data Sheet'!K17</f>
        <v>6.7569911350938081E-2</v>
      </c>
    </row>
    <row r="67" spans="1:13" x14ac:dyDescent="0.25">
      <c r="A67" s="135" t="s">
        <v>8</v>
      </c>
      <c r="B67" s="101">
        <f>'Profit &amp; Loss'!C6</f>
        <v>897.36000000000013</v>
      </c>
      <c r="C67" s="101">
        <f>'Profit &amp; Loss'!D6</f>
        <v>717.31</v>
      </c>
      <c r="D67" s="101">
        <f>'Profit &amp; Loss'!E6</f>
        <v>1341.4099999999999</v>
      </c>
      <c r="E67" s="101">
        <f>'Profit &amp; Loss'!F6</f>
        <v>1109.5500000000002</v>
      </c>
      <c r="F67" s="101">
        <f>'Profit &amp; Loss'!G6</f>
        <v>1309.4299999999985</v>
      </c>
      <c r="G67" s="101">
        <f>'Profit &amp; Loss'!H6</f>
        <v>1195.4099999999999</v>
      </c>
      <c r="H67" s="101">
        <f>'Profit &amp; Loss'!I6</f>
        <v>1336.6200000000026</v>
      </c>
      <c r="I67" s="101">
        <f>'Profit &amp; Loss'!J6</f>
        <v>1522.0900000000011</v>
      </c>
      <c r="J67" s="101">
        <f>'Profit &amp; Loss'!K6</f>
        <v>2259.9300000000003</v>
      </c>
      <c r="K67" s="101">
        <f>'Profit &amp; Loss'!L6</f>
        <v>1962.6599999999999</v>
      </c>
    </row>
    <row r="68" spans="1:13" x14ac:dyDescent="0.25">
      <c r="A68" s="135" t="s">
        <v>214</v>
      </c>
      <c r="B68" s="69">
        <f>B67/'Data Sheet'!B17</f>
        <v>0.2020380318538165</v>
      </c>
      <c r="C68" s="69">
        <f>C67/'Data Sheet'!C17</f>
        <v>0.19806439142920254</v>
      </c>
      <c r="D68" s="69">
        <f>D67/'Data Sheet'!D17</f>
        <v>0.35749102548043993</v>
      </c>
      <c r="E68" s="69">
        <f>E67/'Data Sheet'!E17</f>
        <v>0.19717516433485041</v>
      </c>
      <c r="F68" s="69">
        <f>F67/'Data Sheet'!F17</f>
        <v>0.24466409439550044</v>
      </c>
      <c r="G68" s="69">
        <f>G67/'Data Sheet'!G17</f>
        <v>0.10192716966459982</v>
      </c>
      <c r="H68" s="69">
        <f>H67/'Data Sheet'!H17</f>
        <v>0.11212436676182212</v>
      </c>
      <c r="I68" s="69">
        <f>I67/'Data Sheet'!I17</f>
        <v>0.1491544656969914</v>
      </c>
      <c r="J68" s="69">
        <f>J67/'Data Sheet'!J17</f>
        <v>0.24410089240001817</v>
      </c>
      <c r="K68" s="69">
        <f>K67/'Data Sheet'!K17</f>
        <v>0.17367535223357053</v>
      </c>
    </row>
    <row r="70" spans="1:13" x14ac:dyDescent="0.25">
      <c r="A70" s="141" t="s">
        <v>209</v>
      </c>
      <c r="B70" s="111">
        <f>SUM('Profit &amp; Loss'!I25:K25)/3 * SUM('Profit &amp; Loss'!M13:N13)/2</f>
        <v>148.58456759822053</v>
      </c>
      <c r="D70" s="120" t="s">
        <v>200</v>
      </c>
      <c r="E70" s="121"/>
      <c r="F70" s="110">
        <f>SUM('Calculated Data'!B$18:K$18)/SUM('Calculated Data'!B$8:K$8)</f>
        <v>1.9803159203673835</v>
      </c>
    </row>
    <row r="71" spans="1:13" x14ac:dyDescent="0.25">
      <c r="A71" s="138" t="s">
        <v>210</v>
      </c>
      <c r="B71" s="105">
        <v>80</v>
      </c>
      <c r="D71" s="120" t="s">
        <v>201</v>
      </c>
      <c r="E71" s="121"/>
      <c r="F71" s="110">
        <f>SUM('Calculated Data'!E$18:K$18)/SUM('Calculated Data'!E$8:K$8)</f>
        <v>2.7400531485468251</v>
      </c>
    </row>
    <row r="72" spans="1:13" x14ac:dyDescent="0.25">
      <c r="A72" s="141" t="s">
        <v>211</v>
      </c>
      <c r="B72" s="105">
        <f>SQRT(22.5*'Profit &amp; Loss'!L13*Customization!B71)</f>
        <v>176.42812840173949</v>
      </c>
      <c r="D72" s="120" t="s">
        <v>202</v>
      </c>
      <c r="E72" s="121"/>
      <c r="F72" s="110">
        <f>SUM('Calculated Data'!G$18:K$18)/SUM('Calculated Data'!G$8:K$8)</f>
        <v>3.7284878412473734</v>
      </c>
    </row>
    <row r="73" spans="1:13" x14ac:dyDescent="0.25">
      <c r="A73" s="141" t="s">
        <v>212</v>
      </c>
      <c r="B73" s="105">
        <f>(B70+B72)/2</f>
        <v>162.50634799997999</v>
      </c>
      <c r="D73" s="120" t="s">
        <v>203</v>
      </c>
      <c r="E73" s="121"/>
      <c r="F73" s="110">
        <f>SUM('Calculated Data'!I$18:K$18)/SUM('Calculated Data'!I$8:K$8)</f>
        <v>1.1049591035438751</v>
      </c>
    </row>
    <row r="74" spans="1:13" x14ac:dyDescent="0.25">
      <c r="A74" s="141" t="s">
        <v>232</v>
      </c>
      <c r="B74" s="105">
        <f>B73*0.75</f>
        <v>121.879760999985</v>
      </c>
      <c r="D74" s="118" t="s">
        <v>204</v>
      </c>
      <c r="E74" s="119"/>
      <c r="F74" s="110">
        <f>SUM('Calculated Data'!B$18:K$18)/SUM('Data Sheet'!B26:K26)</f>
        <v>3.0308726653300573</v>
      </c>
      <c r="M74"/>
    </row>
    <row r="75" spans="1:13" x14ac:dyDescent="0.25">
      <c r="A75" s="141" t="s">
        <v>43</v>
      </c>
      <c r="B75" s="105">
        <f>'Data Sheet'!B8</f>
        <v>112.65</v>
      </c>
      <c r="M75"/>
    </row>
    <row r="76" spans="1:13" x14ac:dyDescent="0.25">
      <c r="A76" s="142" t="s">
        <v>233</v>
      </c>
      <c r="B76" s="29">
        <f>B99</f>
        <v>430.30109002511972</v>
      </c>
      <c r="M76"/>
    </row>
    <row r="77" spans="1:13" ht="17.25" x14ac:dyDescent="0.3">
      <c r="D77" s="112" t="s">
        <v>216</v>
      </c>
      <c r="E77" s="112"/>
      <c r="F77" s="103" t="s">
        <v>217</v>
      </c>
      <c r="G77" s="103" t="s">
        <v>218</v>
      </c>
      <c r="M77"/>
    </row>
    <row r="78" spans="1:13" x14ac:dyDescent="0.25">
      <c r="A78" s="137" t="s">
        <v>215</v>
      </c>
      <c r="B78" s="106">
        <f>(I64+J64+K64)/3*10^6</f>
        <v>716860000.00000024</v>
      </c>
      <c r="D78" s="113" t="s">
        <v>219</v>
      </c>
      <c r="E78" s="114"/>
      <c r="F78" s="108">
        <f>'Profit &amp; Loss'!J23</f>
        <v>0.16123192507304851</v>
      </c>
      <c r="G78" s="108">
        <f>'Profit &amp; Loss'!H23</f>
        <v>0.10933751657911706</v>
      </c>
      <c r="M78"/>
    </row>
    <row r="79" spans="1:13" ht="17.25" x14ac:dyDescent="0.3">
      <c r="A79" s="137" t="s">
        <v>222</v>
      </c>
      <c r="B79" s="106">
        <f>'Data Sheet'!B6*10^6</f>
        <v>33634975.588104747</v>
      </c>
      <c r="D79" s="113" t="s">
        <v>220</v>
      </c>
      <c r="E79" s="114"/>
      <c r="F79" s="108">
        <f>'Profit &amp; Loss'!N23/2</f>
        <v>-8.8249311211010539E-3</v>
      </c>
      <c r="G79" s="109"/>
      <c r="M79"/>
    </row>
    <row r="80" spans="1:13" ht="17.25" x14ac:dyDescent="0.3">
      <c r="A80" s="139"/>
      <c r="B80" s="105"/>
      <c r="C80" s="105"/>
      <c r="D80" s="113" t="s">
        <v>221</v>
      </c>
      <c r="E80" s="114"/>
      <c r="F80" s="108">
        <v>0.12</v>
      </c>
      <c r="G80" s="109"/>
      <c r="M80"/>
    </row>
    <row r="81" spans="1:5" ht="17.25" x14ac:dyDescent="0.3">
      <c r="A81" s="140"/>
      <c r="B81" s="102"/>
      <c r="C81" s="102"/>
      <c r="D81" s="102"/>
    </row>
    <row r="82" spans="1:5" ht="17.25" x14ac:dyDescent="0.3">
      <c r="A82" s="140"/>
      <c r="B82" s="102"/>
      <c r="C82" s="102"/>
      <c r="D82" s="102"/>
    </row>
    <row r="83" spans="1:5" x14ac:dyDescent="0.25">
      <c r="A83" s="137" t="s">
        <v>223</v>
      </c>
      <c r="B83" s="104" t="s">
        <v>224</v>
      </c>
      <c r="C83" s="104" t="s">
        <v>225</v>
      </c>
      <c r="D83" s="104" t="s">
        <v>226</v>
      </c>
    </row>
    <row r="84" spans="1:5" x14ac:dyDescent="0.25">
      <c r="A84" s="137">
        <v>1</v>
      </c>
      <c r="B84" s="104">
        <f>(B78*C84)+B78</f>
        <v>832440717.80786586</v>
      </c>
      <c r="C84" s="107">
        <f>F78</f>
        <v>0.16123192507304851</v>
      </c>
      <c r="D84" s="104">
        <f>B84/((1+F80)^A84)</f>
        <v>743250640.89988017</v>
      </c>
    </row>
    <row r="85" spans="1:5" x14ac:dyDescent="0.25">
      <c r="A85" s="137">
        <v>2</v>
      </c>
      <c r="B85" s="104">
        <f>(B84*C85)+B84</f>
        <v>966656737.24921846</v>
      </c>
      <c r="C85" s="107">
        <f>F78</f>
        <v>0.16123192507304851</v>
      </c>
      <c r="D85" s="104">
        <f>B85/((1+F80)^A85)</f>
        <v>770612832.62852228</v>
      </c>
    </row>
    <row r="86" spans="1:5" x14ac:dyDescent="0.25">
      <c r="A86" s="137">
        <v>3</v>
      </c>
      <c r="B86" s="104">
        <f>(B85*C86)+B85</f>
        <v>1122512663.8807421</v>
      </c>
      <c r="C86" s="107">
        <f>F78</f>
        <v>0.16123192507304851</v>
      </c>
      <c r="D86" s="104">
        <f>B86/((1+F80)^A86)</f>
        <v>798982342.07072663</v>
      </c>
    </row>
    <row r="87" spans="1:5" x14ac:dyDescent="0.25">
      <c r="A87" s="137">
        <v>4</v>
      </c>
      <c r="B87" s="104">
        <f>(B86*C87)+B86</f>
        <v>1303497541.59711</v>
      </c>
      <c r="C87" s="107">
        <f>F78</f>
        <v>0.16123192507304851</v>
      </c>
      <c r="D87" s="104">
        <f>B87/((1+F80)^A87)</f>
        <v>828396252.8412168</v>
      </c>
    </row>
    <row r="88" spans="1:5" x14ac:dyDescent="0.25">
      <c r="A88" s="137">
        <v>5</v>
      </c>
      <c r="B88" s="104">
        <f>(B87*C88)+B87</f>
        <v>1513662959.5567982</v>
      </c>
      <c r="C88" s="107">
        <f>F78</f>
        <v>0.16123192507304851</v>
      </c>
      <c r="D88" s="104">
        <f>B88/((1+F80)^A88)</f>
        <v>858893013.75902319</v>
      </c>
    </row>
    <row r="89" spans="1:5" x14ac:dyDescent="0.25">
      <c r="A89" s="137">
        <v>6</v>
      </c>
      <c r="B89" s="104">
        <f>(B88*C89)+B88</f>
        <v>1679163108.4925351</v>
      </c>
      <c r="C89" s="107">
        <f>G78</f>
        <v>0.10933751657911706</v>
      </c>
      <c r="D89" s="104">
        <f>B89/((1+F80)^A89)</f>
        <v>850716288.29516804</v>
      </c>
    </row>
    <row r="90" spans="1:5" x14ac:dyDescent="0.25">
      <c r="A90" s="137">
        <v>7</v>
      </c>
      <c r="B90" s="104">
        <f>(B89*C90)+B89</f>
        <v>1862758632.7063794</v>
      </c>
      <c r="C90" s="107">
        <f>G78</f>
        <v>0.10933751657911706</v>
      </c>
      <c r="D90" s="104">
        <f>B90/((1+F80)^A90)</f>
        <v>842617405.86675525</v>
      </c>
      <c r="E90" s="91"/>
    </row>
    <row r="91" spans="1:5" x14ac:dyDescent="0.25">
      <c r="A91" s="137">
        <v>8</v>
      </c>
      <c r="B91" s="104">
        <f>(B90*C91)+B90</f>
        <v>2066428035.5928066</v>
      </c>
      <c r="C91" s="107">
        <f>G78</f>
        <v>0.10933751657911706</v>
      </c>
      <c r="D91" s="104">
        <f>B91/((1+F80)^A91)</f>
        <v>834595625.40228939</v>
      </c>
    </row>
    <row r="92" spans="1:5" x14ac:dyDescent="0.25">
      <c r="A92" s="137">
        <v>9</v>
      </c>
      <c r="B92" s="104">
        <f>(B91*C92)+B91</f>
        <v>2292366145.1939874</v>
      </c>
      <c r="C92" s="107">
        <f>G78</f>
        <v>0.10933751657911706</v>
      </c>
      <c r="D92" s="104">
        <f>B92/((1+F80)^A92)</f>
        <v>826650212.88533103</v>
      </c>
    </row>
    <row r="93" spans="1:5" x14ac:dyDescent="0.25">
      <c r="A93" s="137">
        <v>10</v>
      </c>
      <c r="B93" s="104">
        <f>(B92*C93)+B92</f>
        <v>2543007766.5995417</v>
      </c>
      <c r="C93" s="107">
        <f>G78</f>
        <v>0.10933751657911706</v>
      </c>
      <c r="D93" s="104">
        <f>B93/((1+F80)^A93)</f>
        <v>818780441.2873317</v>
      </c>
    </row>
    <row r="94" spans="1:5" x14ac:dyDescent="0.25">
      <c r="A94" s="137"/>
      <c r="B94" s="104"/>
      <c r="C94" s="104"/>
      <c r="D94" s="104"/>
    </row>
    <row r="95" spans="1:5" x14ac:dyDescent="0.25">
      <c r="A95" s="137" t="s">
        <v>227</v>
      </c>
      <c r="B95" s="104">
        <f>(B93*F79)+B93</f>
        <v>2520565898.2188759</v>
      </c>
      <c r="C95" s="104"/>
      <c r="D95" s="104"/>
    </row>
    <row r="96" spans="1:5" ht="30" x14ac:dyDescent="0.25">
      <c r="A96" s="137" t="s">
        <v>230</v>
      </c>
      <c r="B96" s="104">
        <f>SUM(D84:D93)</f>
        <v>8173495055.936245</v>
      </c>
      <c r="C96" s="104"/>
      <c r="D96" s="104"/>
    </row>
    <row r="97" spans="1:4" x14ac:dyDescent="0.25">
      <c r="A97" s="137" t="s">
        <v>228</v>
      </c>
      <c r="B97" s="104">
        <f>((B95)/(F80-F79))/(1+F80)^A93</f>
        <v>6299671602.5935192</v>
      </c>
      <c r="C97" s="104"/>
      <c r="D97" s="104"/>
    </row>
    <row r="98" spans="1:4" x14ac:dyDescent="0.25">
      <c r="A98" s="137" t="s">
        <v>231</v>
      </c>
      <c r="B98" s="104">
        <f>B96+B97</f>
        <v>14473166658.529764</v>
      </c>
      <c r="C98" s="104"/>
      <c r="D98" s="104"/>
    </row>
    <row r="99" spans="1:4" x14ac:dyDescent="0.25">
      <c r="A99" s="137" t="s">
        <v>229</v>
      </c>
      <c r="B99" s="104">
        <f>B98/B79</f>
        <v>430.30109002511972</v>
      </c>
      <c r="C99" s="104"/>
      <c r="D99" s="104"/>
    </row>
    <row r="100" spans="1:4" x14ac:dyDescent="0.25">
      <c r="A100" s="137"/>
      <c r="B100" s="104"/>
      <c r="C100" s="104"/>
      <c r="D100" s="104"/>
    </row>
    <row r="101" spans="1:4" x14ac:dyDescent="0.25">
      <c r="A101" s="137"/>
      <c r="B101" s="104"/>
      <c r="C101" s="104"/>
      <c r="D101" s="104"/>
    </row>
    <row r="102" spans="1:4" x14ac:dyDescent="0.25">
      <c r="A102" s="137"/>
      <c r="B102" s="104"/>
      <c r="C102" s="104"/>
      <c r="D102" s="104"/>
    </row>
  </sheetData>
  <mergeCells count="15">
    <mergeCell ref="D78:E78"/>
    <mergeCell ref="D79:E79"/>
    <mergeCell ref="D80:E80"/>
    <mergeCell ref="D77:E77"/>
    <mergeCell ref="D70:E70"/>
    <mergeCell ref="D71:E71"/>
    <mergeCell ref="D72:E72"/>
    <mergeCell ref="D73:E73"/>
    <mergeCell ref="D74:E74"/>
    <mergeCell ref="A51:K51"/>
    <mergeCell ref="F4:K4"/>
    <mergeCell ref="M4:N4"/>
    <mergeCell ref="A10:J10"/>
    <mergeCell ref="A34:K34"/>
    <mergeCell ref="A43:K43"/>
  </mergeCells>
  <hyperlinks>
    <hyperlink ref="C8" r:id="rId1" display=" http://www.screener.in/excel"/>
  </hyperlinks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="120" zoomScaleNormal="120" zoomScalePageLayoutView="12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57" sqref="B57"/>
    </sheetView>
  </sheetViews>
  <sheetFormatPr defaultColWidth="8.85546875" defaultRowHeight="15" x14ac:dyDescent="0.25"/>
  <cols>
    <col min="1" max="1" width="27.7109375" style="5" bestFit="1" customWidth="1"/>
    <col min="2" max="11" width="13.42578125" style="5" bestFit="1" customWidth="1"/>
    <col min="12" max="16384" width="8.85546875" style="5"/>
  </cols>
  <sheetData>
    <row r="1" spans="1:11" s="1" customFormat="1" x14ac:dyDescent="0.25">
      <c r="A1" s="1" t="s">
        <v>0</v>
      </c>
      <c r="B1" s="1" t="s">
        <v>54</v>
      </c>
      <c r="E1" s="99" t="str">
        <f>IF(B2&lt;&gt;B3, "A NEW VERSION OF THE WORKSHEET IS AVAILABLE", "")</f>
        <v/>
      </c>
      <c r="F1" s="99"/>
      <c r="G1" s="99"/>
      <c r="H1" s="99"/>
      <c r="I1" s="99"/>
      <c r="J1" s="99"/>
      <c r="K1" s="99"/>
    </row>
    <row r="2" spans="1:11" x14ac:dyDescent="0.25">
      <c r="A2" s="1" t="s">
        <v>52</v>
      </c>
      <c r="B2" s="5">
        <v>2.1</v>
      </c>
      <c r="E2" s="100" t="s">
        <v>36</v>
      </c>
      <c r="F2" s="100"/>
      <c r="G2" s="100"/>
      <c r="H2" s="100"/>
      <c r="I2" s="100"/>
      <c r="J2" s="100"/>
      <c r="K2" s="100"/>
    </row>
    <row r="3" spans="1:11" x14ac:dyDescent="0.25">
      <c r="A3" s="1" t="s">
        <v>53</v>
      </c>
      <c r="B3" s="5">
        <v>2.1</v>
      </c>
    </row>
    <row r="4" spans="1:11" x14ac:dyDescent="0.25">
      <c r="A4" s="1"/>
    </row>
    <row r="5" spans="1:11" x14ac:dyDescent="0.25">
      <c r="A5" s="1" t="s">
        <v>55</v>
      </c>
    </row>
    <row r="6" spans="1:11" x14ac:dyDescent="0.25">
      <c r="A6" s="5" t="s">
        <v>42</v>
      </c>
      <c r="B6" s="5">
        <f>IF(B9&gt;0, B9/B8, 0)</f>
        <v>33.634975588104744</v>
      </c>
    </row>
    <row r="7" spans="1:11" x14ac:dyDescent="0.25">
      <c r="A7" s="5" t="s">
        <v>31</v>
      </c>
      <c r="B7">
        <v>2</v>
      </c>
    </row>
    <row r="8" spans="1:11" x14ac:dyDescent="0.25">
      <c r="A8" s="5" t="s">
        <v>43</v>
      </c>
      <c r="B8">
        <v>112.65</v>
      </c>
    </row>
    <row r="9" spans="1:11" x14ac:dyDescent="0.25">
      <c r="A9" s="5" t="s">
        <v>70</v>
      </c>
      <c r="B9">
        <v>3788.98</v>
      </c>
    </row>
    <row r="15" spans="1:11" x14ac:dyDescent="0.25">
      <c r="A15" s="1" t="s">
        <v>37</v>
      </c>
    </row>
    <row r="16" spans="1:11" s="24" customFormat="1" x14ac:dyDescent="0.25">
      <c r="A16" s="23" t="s">
        <v>38</v>
      </c>
      <c r="B16" s="16">
        <v>39813</v>
      </c>
      <c r="C16" s="16">
        <v>40178</v>
      </c>
      <c r="D16" s="16">
        <v>40543</v>
      </c>
      <c r="E16" s="16">
        <v>40908</v>
      </c>
      <c r="F16" s="16">
        <v>41274</v>
      </c>
      <c r="G16" s="16">
        <v>41639</v>
      </c>
      <c r="H16" s="16">
        <v>42004</v>
      </c>
      <c r="I16" s="16">
        <v>42369</v>
      </c>
      <c r="J16" s="16">
        <v>42735</v>
      </c>
      <c r="K16" s="16">
        <v>43100</v>
      </c>
    </row>
    <row r="17" spans="1:11" s="9" customFormat="1" x14ac:dyDescent="0.25">
      <c r="A17" s="9" t="s">
        <v>6</v>
      </c>
      <c r="B17">
        <v>4441.54</v>
      </c>
      <c r="C17">
        <v>3621.6</v>
      </c>
      <c r="D17">
        <v>3752.29</v>
      </c>
      <c r="E17">
        <v>5627.23</v>
      </c>
      <c r="F17">
        <v>5351.95</v>
      </c>
      <c r="G17">
        <v>11728.08</v>
      </c>
      <c r="H17">
        <v>11920.87</v>
      </c>
      <c r="I17">
        <v>10204.790000000001</v>
      </c>
      <c r="J17">
        <v>9258.18</v>
      </c>
      <c r="K17">
        <v>11300.74</v>
      </c>
    </row>
    <row r="18" spans="1:11" s="9" customFormat="1" x14ac:dyDescent="0.25">
      <c r="A18" s="5" t="s">
        <v>71</v>
      </c>
      <c r="B18">
        <v>2366.58</v>
      </c>
      <c r="C18">
        <v>1726.14</v>
      </c>
      <c r="D18">
        <v>2012.85</v>
      </c>
      <c r="E18">
        <v>3202.33</v>
      </c>
      <c r="F18">
        <v>2740.9</v>
      </c>
      <c r="G18">
        <v>6775.26</v>
      </c>
      <c r="H18">
        <v>6771.5</v>
      </c>
      <c r="I18">
        <v>5306.34</v>
      </c>
      <c r="J18">
        <v>4326.1099999999997</v>
      </c>
      <c r="K18">
        <v>5731.66</v>
      </c>
    </row>
    <row r="19" spans="1:11" s="9" customFormat="1" x14ac:dyDescent="0.25">
      <c r="A19" s="5" t="s">
        <v>72</v>
      </c>
      <c r="B19">
        <v>82.88</v>
      </c>
      <c r="C19">
        <v>-46.12</v>
      </c>
      <c r="D19">
        <v>72.16</v>
      </c>
      <c r="E19">
        <v>170.68</v>
      </c>
      <c r="F19">
        <v>-93.32</v>
      </c>
      <c r="G19">
        <v>67.319999999999993</v>
      </c>
      <c r="H19">
        <v>-118.93</v>
      </c>
      <c r="I19">
        <v>17.350000000000001</v>
      </c>
      <c r="J19">
        <v>-91.43</v>
      </c>
      <c r="K19">
        <v>301.94</v>
      </c>
    </row>
    <row r="20" spans="1:11" s="9" customFormat="1" x14ac:dyDescent="0.25">
      <c r="A20" s="5" t="s">
        <v>73</v>
      </c>
      <c r="B20">
        <v>211.85</v>
      </c>
      <c r="C20">
        <v>208.03</v>
      </c>
      <c r="D20">
        <v>222.56</v>
      </c>
      <c r="E20">
        <v>251.6</v>
      </c>
      <c r="F20">
        <v>338.87</v>
      </c>
      <c r="G20">
        <v>603.69000000000005</v>
      </c>
      <c r="H20">
        <v>605.17999999999995</v>
      </c>
      <c r="I20">
        <v>541.09</v>
      </c>
      <c r="J20">
        <v>537.41</v>
      </c>
      <c r="K20">
        <v>558.46</v>
      </c>
    </row>
    <row r="21" spans="1:11" s="9" customFormat="1" x14ac:dyDescent="0.25">
      <c r="A21" s="5" t="s">
        <v>74</v>
      </c>
      <c r="B21">
        <v>333.85</v>
      </c>
      <c r="C21">
        <v>246.11</v>
      </c>
      <c r="D21">
        <v>285.25</v>
      </c>
      <c r="E21">
        <v>295.45999999999998</v>
      </c>
      <c r="F21">
        <v>250.39</v>
      </c>
      <c r="G21">
        <v>588.26</v>
      </c>
      <c r="H21">
        <v>677.19</v>
      </c>
      <c r="I21">
        <v>592.73</v>
      </c>
      <c r="J21">
        <v>459.25</v>
      </c>
      <c r="K21">
        <v>494.61</v>
      </c>
    </row>
    <row r="22" spans="1:11" s="9" customFormat="1" x14ac:dyDescent="0.25">
      <c r="A22" s="5" t="s">
        <v>75</v>
      </c>
      <c r="B22">
        <v>142.69</v>
      </c>
      <c r="C22">
        <v>168.54</v>
      </c>
      <c r="D22">
        <v>161.72</v>
      </c>
      <c r="E22">
        <v>193.9</v>
      </c>
      <c r="F22">
        <v>239.77</v>
      </c>
      <c r="G22">
        <v>885.59</v>
      </c>
      <c r="H22">
        <v>976.7</v>
      </c>
      <c r="I22">
        <v>961.05</v>
      </c>
      <c r="J22">
        <v>970.93</v>
      </c>
      <c r="K22">
        <v>1062.4100000000001</v>
      </c>
    </row>
    <row r="23" spans="1:11" s="9" customFormat="1" x14ac:dyDescent="0.25">
      <c r="A23" s="5" t="s">
        <v>76</v>
      </c>
      <c r="B23">
        <v>247.46</v>
      </c>
      <c r="C23">
        <v>272.08</v>
      </c>
      <c r="D23">
        <v>336.9</v>
      </c>
      <c r="E23">
        <v>414.62</v>
      </c>
      <c r="F23">
        <v>506.81</v>
      </c>
      <c r="G23">
        <v>1187.98</v>
      </c>
      <c r="H23">
        <v>1335.63</v>
      </c>
      <c r="I23">
        <v>1274.93</v>
      </c>
      <c r="J23">
        <v>1165.0999999999999</v>
      </c>
      <c r="K23">
        <v>1183.93</v>
      </c>
    </row>
    <row r="24" spans="1:11" s="9" customFormat="1" x14ac:dyDescent="0.25">
      <c r="A24" s="5" t="s">
        <v>77</v>
      </c>
      <c r="B24">
        <v>50.44</v>
      </c>
      <c r="C24">
        <v>57.22</v>
      </c>
      <c r="D24">
        <v>87.86</v>
      </c>
      <c r="E24">
        <v>98.59</v>
      </c>
      <c r="F24">
        <v>72.34</v>
      </c>
      <c r="G24">
        <v>445.19</v>
      </c>
      <c r="H24">
        <v>240.33</v>
      </c>
      <c r="I24">
        <v>209.38</v>
      </c>
      <c r="J24">
        <v>185.86</v>
      </c>
      <c r="K24">
        <v>311.68</v>
      </c>
    </row>
    <row r="25" spans="1:11" s="9" customFormat="1" x14ac:dyDescent="0.25">
      <c r="A25" s="9" t="s">
        <v>9</v>
      </c>
      <c r="B25">
        <v>-21.5</v>
      </c>
      <c r="C25">
        <v>65.42</v>
      </c>
      <c r="D25">
        <v>-52.74</v>
      </c>
      <c r="E25">
        <v>21.64</v>
      </c>
      <c r="F25">
        <v>66.02</v>
      </c>
      <c r="G25">
        <v>56.63</v>
      </c>
      <c r="H25">
        <v>-179.28</v>
      </c>
      <c r="I25">
        <v>79.64</v>
      </c>
      <c r="J25">
        <v>100.46</v>
      </c>
      <c r="K25">
        <v>-63</v>
      </c>
    </row>
    <row r="26" spans="1:11" s="9" customFormat="1" x14ac:dyDescent="0.25">
      <c r="A26" s="9" t="s">
        <v>10</v>
      </c>
      <c r="B26">
        <v>106.02</v>
      </c>
      <c r="C26">
        <v>122.65</v>
      </c>
      <c r="D26">
        <v>115.68</v>
      </c>
      <c r="E26">
        <v>112.94</v>
      </c>
      <c r="F26">
        <v>119.97</v>
      </c>
      <c r="G26">
        <v>356.82</v>
      </c>
      <c r="H26">
        <v>346.98</v>
      </c>
      <c r="I26">
        <v>327.82</v>
      </c>
      <c r="J26">
        <v>518.97</v>
      </c>
      <c r="K26">
        <v>525.63</v>
      </c>
    </row>
    <row r="27" spans="1:11" s="9" customFormat="1" x14ac:dyDescent="0.25">
      <c r="A27" s="9" t="s">
        <v>11</v>
      </c>
      <c r="B27">
        <v>423.43</v>
      </c>
      <c r="C27">
        <v>225.97</v>
      </c>
      <c r="D27">
        <v>212.3</v>
      </c>
      <c r="E27">
        <v>245.56</v>
      </c>
      <c r="F27">
        <v>372.76</v>
      </c>
      <c r="G27">
        <v>593.39</v>
      </c>
      <c r="H27">
        <v>619.87</v>
      </c>
      <c r="I27">
        <v>596.45000000000005</v>
      </c>
      <c r="J27">
        <v>630.85</v>
      </c>
      <c r="K27">
        <v>594.66999999999996</v>
      </c>
    </row>
    <row r="28" spans="1:11" s="9" customFormat="1" x14ac:dyDescent="0.25">
      <c r="A28" s="9" t="s">
        <v>12</v>
      </c>
      <c r="B28">
        <v>621.36</v>
      </c>
      <c r="C28">
        <v>614.75</v>
      </c>
      <c r="D28">
        <v>337.76</v>
      </c>
      <c r="E28">
        <v>1007.26</v>
      </c>
      <c r="F28">
        <v>682.83</v>
      </c>
      <c r="G28">
        <v>423.49</v>
      </c>
      <c r="H28">
        <v>57.69</v>
      </c>
      <c r="I28">
        <v>498.48</v>
      </c>
      <c r="J28">
        <v>480.04</v>
      </c>
      <c r="K28">
        <v>1083.93</v>
      </c>
    </row>
    <row r="29" spans="1:11" s="9" customFormat="1" x14ac:dyDescent="0.25">
      <c r="A29" s="9" t="s">
        <v>13</v>
      </c>
      <c r="B29">
        <v>217.57</v>
      </c>
      <c r="C29">
        <v>171.43</v>
      </c>
      <c r="D29">
        <v>95.09</v>
      </c>
      <c r="E29">
        <v>342.55</v>
      </c>
      <c r="F29">
        <v>218.03</v>
      </c>
      <c r="G29">
        <v>36.729999999999997</v>
      </c>
      <c r="H29">
        <v>-12.06</v>
      </c>
      <c r="I29">
        <v>196.21</v>
      </c>
      <c r="J29">
        <v>179.2</v>
      </c>
      <c r="K29">
        <v>291.8</v>
      </c>
    </row>
    <row r="30" spans="1:11" s="9" customFormat="1" x14ac:dyDescent="0.25">
      <c r="A30" s="9" t="s">
        <v>14</v>
      </c>
      <c r="B30">
        <v>403.79</v>
      </c>
      <c r="C30">
        <v>443.84</v>
      </c>
      <c r="D30">
        <v>240.72</v>
      </c>
      <c r="E30">
        <v>664.12</v>
      </c>
      <c r="F30">
        <v>457.75</v>
      </c>
      <c r="G30">
        <v>384.53</v>
      </c>
      <c r="H30">
        <v>88.53</v>
      </c>
      <c r="I30">
        <v>323.33999999999997</v>
      </c>
      <c r="J30">
        <v>290.94</v>
      </c>
      <c r="K30">
        <v>763.59</v>
      </c>
    </row>
    <row r="31" spans="1:11" s="9" customFormat="1" x14ac:dyDescent="0.25">
      <c r="A31" s="9" t="s">
        <v>61</v>
      </c>
      <c r="B31">
        <v>26.21</v>
      </c>
      <c r="C31">
        <v>45.33</v>
      </c>
      <c r="D31">
        <v>35.409999999999997</v>
      </c>
      <c r="E31">
        <v>38.450000000000003</v>
      </c>
      <c r="F31">
        <v>37.590000000000003</v>
      </c>
      <c r="G31">
        <v>33.630000000000003</v>
      </c>
      <c r="H31">
        <v>33.630000000000003</v>
      </c>
      <c r="I31">
        <v>33.630000000000003</v>
      </c>
      <c r="J31">
        <v>33.630000000000003</v>
      </c>
      <c r="K31">
        <v>67.27</v>
      </c>
    </row>
    <row r="32" spans="1:11" s="9" customFormat="1" x14ac:dyDescent="0.25"/>
    <row r="33" spans="1:11" x14ac:dyDescent="0.25">
      <c r="A33" s="9"/>
    </row>
    <row r="34" spans="1:11" x14ac:dyDescent="0.25">
      <c r="A34" s="9"/>
    </row>
    <row r="35" spans="1:11" x14ac:dyDescent="0.25">
      <c r="A35" s="9"/>
    </row>
    <row r="36" spans="1:11" x14ac:dyDescent="0.25">
      <c r="A36" s="9"/>
    </row>
    <row r="37" spans="1:11" x14ac:dyDescent="0.25">
      <c r="A37" s="9"/>
    </row>
    <row r="38" spans="1:11" x14ac:dyDescent="0.25">
      <c r="A38" s="9"/>
    </row>
    <row r="39" spans="1:11" x14ac:dyDescent="0.25">
      <c r="A39" s="9"/>
    </row>
    <row r="40" spans="1:11" x14ac:dyDescent="0.25">
      <c r="A40" s="1" t="s">
        <v>39</v>
      </c>
    </row>
    <row r="41" spans="1:11" s="24" customFormat="1" x14ac:dyDescent="0.25">
      <c r="A41" s="23" t="s">
        <v>38</v>
      </c>
      <c r="B41" s="16">
        <v>42643</v>
      </c>
      <c r="C41" s="16">
        <v>42735</v>
      </c>
      <c r="D41" s="16">
        <v>42825</v>
      </c>
      <c r="E41" s="16">
        <v>42916</v>
      </c>
      <c r="F41" s="16">
        <v>43008</v>
      </c>
      <c r="G41" s="16">
        <v>43100</v>
      </c>
      <c r="H41" s="16">
        <v>43190</v>
      </c>
      <c r="I41" s="16">
        <v>43281</v>
      </c>
      <c r="J41" s="16">
        <v>43373</v>
      </c>
      <c r="K41" s="16">
        <v>43465</v>
      </c>
    </row>
    <row r="42" spans="1:11" s="9" customFormat="1" x14ac:dyDescent="0.25">
      <c r="A42" s="9" t="s">
        <v>6</v>
      </c>
      <c r="B42">
        <v>2234.44</v>
      </c>
      <c r="C42">
        <v>2373.4499999999998</v>
      </c>
      <c r="D42">
        <v>2468</v>
      </c>
      <c r="E42">
        <v>2637.12</v>
      </c>
      <c r="F42">
        <v>3050.81</v>
      </c>
      <c r="G42">
        <v>3146.13</v>
      </c>
      <c r="H42">
        <v>3306.2</v>
      </c>
      <c r="I42">
        <v>3803.25</v>
      </c>
      <c r="J42">
        <v>3492.55</v>
      </c>
      <c r="K42">
        <v>3444.07</v>
      </c>
    </row>
    <row r="43" spans="1:11" s="9" customFormat="1" x14ac:dyDescent="0.25">
      <c r="A43" s="9" t="s">
        <v>7</v>
      </c>
      <c r="B43">
        <v>1780.83</v>
      </c>
      <c r="C43">
        <v>1938.76</v>
      </c>
      <c r="D43">
        <v>2026.64</v>
      </c>
      <c r="E43">
        <v>2169.3000000000002</v>
      </c>
      <c r="F43">
        <v>2376.98</v>
      </c>
      <c r="G43">
        <v>2457.5500000000002</v>
      </c>
      <c r="H43">
        <v>2665.32</v>
      </c>
      <c r="I43">
        <v>3110.87</v>
      </c>
      <c r="J43">
        <v>2981.19</v>
      </c>
      <c r="K43">
        <v>3326.03</v>
      </c>
    </row>
    <row r="44" spans="1:11" s="9" customFormat="1" x14ac:dyDescent="0.25">
      <c r="A44" s="9" t="s">
        <v>9</v>
      </c>
      <c r="B44">
        <v>-6.53</v>
      </c>
      <c r="C44">
        <v>40.49</v>
      </c>
      <c r="D44">
        <v>-46.44</v>
      </c>
      <c r="E44">
        <v>47.49</v>
      </c>
      <c r="F44">
        <v>25.57</v>
      </c>
      <c r="G44">
        <v>-93.97</v>
      </c>
      <c r="H44">
        <v>6.08</v>
      </c>
      <c r="I44">
        <v>9.33</v>
      </c>
      <c r="J44">
        <v>13.33</v>
      </c>
      <c r="K44">
        <v>15.86</v>
      </c>
    </row>
    <row r="45" spans="1:11" s="9" customFormat="1" x14ac:dyDescent="0.25">
      <c r="A45" s="9" t="s">
        <v>10</v>
      </c>
      <c r="B45">
        <v>129.30000000000001</v>
      </c>
      <c r="C45">
        <v>136.94999999999999</v>
      </c>
      <c r="D45">
        <v>136.63999999999999</v>
      </c>
      <c r="E45">
        <v>129.47</v>
      </c>
      <c r="F45">
        <v>133.53</v>
      </c>
      <c r="G45">
        <v>125.99</v>
      </c>
      <c r="H45">
        <v>122.99</v>
      </c>
      <c r="I45">
        <v>131.57</v>
      </c>
      <c r="J45">
        <v>131.41</v>
      </c>
      <c r="K45">
        <v>169.12</v>
      </c>
    </row>
    <row r="46" spans="1:11" s="9" customFormat="1" x14ac:dyDescent="0.25">
      <c r="A46" s="9" t="s">
        <v>11</v>
      </c>
      <c r="B46">
        <v>151.52000000000001</v>
      </c>
      <c r="C46">
        <v>166.27</v>
      </c>
      <c r="D46">
        <v>153.56</v>
      </c>
      <c r="E46">
        <v>148.32</v>
      </c>
      <c r="F46">
        <v>146.30000000000001</v>
      </c>
      <c r="G46">
        <v>146.5</v>
      </c>
      <c r="H46">
        <v>117.98</v>
      </c>
      <c r="I46">
        <v>111.79</v>
      </c>
      <c r="J46">
        <v>112.61</v>
      </c>
      <c r="K46">
        <v>114.14</v>
      </c>
    </row>
    <row r="47" spans="1:11" s="9" customFormat="1" x14ac:dyDescent="0.25">
      <c r="A47" s="9" t="s">
        <v>12</v>
      </c>
      <c r="B47">
        <v>166.26</v>
      </c>
      <c r="C47">
        <v>171.96</v>
      </c>
      <c r="D47">
        <v>104.72</v>
      </c>
      <c r="E47">
        <v>237.52</v>
      </c>
      <c r="F47">
        <v>419.57</v>
      </c>
      <c r="G47">
        <v>322.12</v>
      </c>
      <c r="H47">
        <v>405.99</v>
      </c>
      <c r="I47">
        <v>458.35</v>
      </c>
      <c r="J47">
        <v>280.67</v>
      </c>
      <c r="K47">
        <v>-149.36000000000001</v>
      </c>
    </row>
    <row r="48" spans="1:11" s="9" customFormat="1" x14ac:dyDescent="0.25">
      <c r="A48" s="9" t="s">
        <v>13</v>
      </c>
      <c r="B48">
        <v>35.17</v>
      </c>
      <c r="C48">
        <v>82.15</v>
      </c>
      <c r="D48">
        <v>40.04</v>
      </c>
      <c r="E48">
        <v>81.89</v>
      </c>
      <c r="F48">
        <v>166.16</v>
      </c>
      <c r="G48">
        <v>3.73</v>
      </c>
      <c r="H48">
        <v>140.28</v>
      </c>
      <c r="I48">
        <v>154.58000000000001</v>
      </c>
      <c r="J48">
        <v>91</v>
      </c>
      <c r="K48">
        <v>-21.54</v>
      </c>
    </row>
    <row r="49" spans="1:11" s="9" customFormat="1" x14ac:dyDescent="0.25">
      <c r="A49" s="9" t="s">
        <v>14</v>
      </c>
      <c r="B49">
        <v>126.83</v>
      </c>
      <c r="C49">
        <v>87.6</v>
      </c>
      <c r="D49">
        <v>64.680000000000007</v>
      </c>
      <c r="E49">
        <v>151.53</v>
      </c>
      <c r="F49">
        <v>245.65</v>
      </c>
      <c r="G49">
        <v>307.19</v>
      </c>
      <c r="H49">
        <v>251.17</v>
      </c>
      <c r="I49">
        <v>294.81</v>
      </c>
      <c r="J49">
        <v>174.79</v>
      </c>
      <c r="K49">
        <v>-139.13</v>
      </c>
    </row>
    <row r="50" spans="1:11" x14ac:dyDescent="0.25">
      <c r="A50" s="9" t="s">
        <v>8</v>
      </c>
      <c r="B50">
        <v>453.61</v>
      </c>
      <c r="C50">
        <v>434.69</v>
      </c>
      <c r="D50">
        <v>441.36</v>
      </c>
      <c r="E50">
        <v>467.82</v>
      </c>
      <c r="F50">
        <v>673.83</v>
      </c>
      <c r="G50">
        <v>688.58</v>
      </c>
      <c r="H50">
        <v>640.88</v>
      </c>
      <c r="I50">
        <v>692.38</v>
      </c>
      <c r="J50">
        <v>511.36</v>
      </c>
      <c r="K50">
        <v>118.04</v>
      </c>
    </row>
    <row r="51" spans="1:11" x14ac:dyDescent="0.25">
      <c r="A51" s="9"/>
    </row>
    <row r="52" spans="1:11" x14ac:dyDescent="0.25">
      <c r="A52" s="9"/>
    </row>
    <row r="53" spans="1:11" x14ac:dyDescent="0.25">
      <c r="A53" s="9"/>
    </row>
    <row r="54" spans="1:11" x14ac:dyDescent="0.25">
      <c r="A54" s="9"/>
    </row>
    <row r="55" spans="1:11" x14ac:dyDescent="0.25">
      <c r="A55" s="1" t="s">
        <v>40</v>
      </c>
    </row>
    <row r="56" spans="1:11" s="24" customFormat="1" x14ac:dyDescent="0.25">
      <c r="A56" s="23" t="s">
        <v>38</v>
      </c>
      <c r="B56" s="16">
        <v>39813</v>
      </c>
      <c r="C56" s="16">
        <v>40178</v>
      </c>
      <c r="D56" s="16">
        <v>40543</v>
      </c>
      <c r="E56" s="16">
        <v>40908</v>
      </c>
      <c r="F56" s="16">
        <v>41274</v>
      </c>
      <c r="G56" s="16">
        <v>41639</v>
      </c>
      <c r="H56" s="16">
        <v>42004</v>
      </c>
      <c r="I56" s="16">
        <v>42369</v>
      </c>
      <c r="J56" s="16">
        <v>42735</v>
      </c>
      <c r="K56" s="16">
        <v>43100</v>
      </c>
    </row>
    <row r="57" spans="1:11" x14ac:dyDescent="0.25">
      <c r="A57" s="9" t="s">
        <v>24</v>
      </c>
      <c r="B57">
        <v>70.83</v>
      </c>
      <c r="C57">
        <v>70.83</v>
      </c>
      <c r="D57">
        <v>70.83</v>
      </c>
      <c r="E57">
        <v>69.900000000000006</v>
      </c>
      <c r="F57">
        <v>68.34</v>
      </c>
      <c r="G57">
        <v>67.27</v>
      </c>
      <c r="H57">
        <v>67.27</v>
      </c>
      <c r="I57">
        <v>67.27</v>
      </c>
      <c r="J57">
        <v>67.27</v>
      </c>
      <c r="K57">
        <v>67.27</v>
      </c>
    </row>
    <row r="58" spans="1:11" x14ac:dyDescent="0.25">
      <c r="A58" s="9" t="s">
        <v>25</v>
      </c>
      <c r="B58">
        <v>768.99</v>
      </c>
      <c r="C58">
        <v>1139.57</v>
      </c>
      <c r="D58">
        <v>1322.52</v>
      </c>
      <c r="E58">
        <v>2051</v>
      </c>
      <c r="F58">
        <v>2483.33</v>
      </c>
      <c r="G58">
        <v>3156.04</v>
      </c>
      <c r="H58">
        <v>2878.51</v>
      </c>
      <c r="I58">
        <v>2870.23</v>
      </c>
      <c r="J58">
        <v>3097.54</v>
      </c>
      <c r="K58">
        <v>3876.83</v>
      </c>
    </row>
    <row r="59" spans="1:11" x14ac:dyDescent="0.25">
      <c r="A59" s="9" t="s">
        <v>62</v>
      </c>
      <c r="B59">
        <v>3769.19</v>
      </c>
      <c r="C59">
        <v>3031.21</v>
      </c>
      <c r="D59">
        <v>3178.14</v>
      </c>
      <c r="E59">
        <v>3746.81</v>
      </c>
      <c r="F59">
        <v>6926.85</v>
      </c>
      <c r="G59">
        <v>8290.5499999999993</v>
      </c>
      <c r="H59">
        <v>7672.6</v>
      </c>
      <c r="I59">
        <v>7595.69</v>
      </c>
      <c r="J59">
        <v>7326.18</v>
      </c>
      <c r="K59">
        <v>7332.3</v>
      </c>
    </row>
    <row r="60" spans="1:11" x14ac:dyDescent="0.25">
      <c r="A60" s="9" t="s">
        <v>63</v>
      </c>
      <c r="B60">
        <v>771.31</v>
      </c>
      <c r="C60">
        <v>625.74</v>
      </c>
      <c r="D60">
        <v>676.48</v>
      </c>
      <c r="E60">
        <v>966.46</v>
      </c>
      <c r="F60">
        <v>1286.8499999999999</v>
      </c>
      <c r="G60">
        <v>3112.56</v>
      </c>
      <c r="H60">
        <v>2936.76</v>
      </c>
      <c r="I60">
        <v>2511.21</v>
      </c>
      <c r="J60">
        <v>2588.4499999999998</v>
      </c>
      <c r="K60">
        <v>3273.9</v>
      </c>
    </row>
    <row r="61" spans="1:11" s="1" customFormat="1" x14ac:dyDescent="0.25">
      <c r="A61" s="1" t="s">
        <v>26</v>
      </c>
      <c r="B61">
        <v>5380.32</v>
      </c>
      <c r="C61">
        <v>4867.3500000000004</v>
      </c>
      <c r="D61">
        <v>5247.97</v>
      </c>
      <c r="E61">
        <v>6834.17</v>
      </c>
      <c r="F61">
        <v>10765.37</v>
      </c>
      <c r="G61">
        <v>14626.42</v>
      </c>
      <c r="H61">
        <v>13555.14</v>
      </c>
      <c r="I61">
        <v>13044.4</v>
      </c>
      <c r="J61">
        <v>13079.44</v>
      </c>
      <c r="K61">
        <v>14550.3</v>
      </c>
    </row>
    <row r="62" spans="1:11" x14ac:dyDescent="0.25">
      <c r="A62" s="9" t="s">
        <v>27</v>
      </c>
      <c r="B62">
        <v>3581.09</v>
      </c>
      <c r="C62">
        <v>3415.86</v>
      </c>
      <c r="D62">
        <v>3238.35</v>
      </c>
      <c r="E62">
        <v>3694.05</v>
      </c>
      <c r="F62">
        <v>3719.39</v>
      </c>
      <c r="G62">
        <v>9262.25</v>
      </c>
      <c r="H62">
        <v>8711.7900000000009</v>
      </c>
      <c r="I62">
        <v>8539.7800000000007</v>
      </c>
      <c r="J62">
        <v>8922.6</v>
      </c>
      <c r="K62">
        <v>8689.67</v>
      </c>
    </row>
    <row r="63" spans="1:11" x14ac:dyDescent="0.25">
      <c r="A63" s="9" t="s">
        <v>28</v>
      </c>
      <c r="B63">
        <v>54.93</v>
      </c>
      <c r="C63">
        <v>23.33</v>
      </c>
      <c r="D63">
        <v>56.07</v>
      </c>
      <c r="E63">
        <v>124.13</v>
      </c>
      <c r="F63">
        <v>586.58000000000004</v>
      </c>
      <c r="G63">
        <v>272.14</v>
      </c>
      <c r="H63">
        <v>269.06</v>
      </c>
      <c r="I63">
        <v>410.84</v>
      </c>
      <c r="J63">
        <v>226.07</v>
      </c>
      <c r="K63">
        <v>441.25</v>
      </c>
    </row>
    <row r="64" spans="1:11" x14ac:dyDescent="0.25">
      <c r="A64" s="9" t="s">
        <v>29</v>
      </c>
      <c r="B64">
        <v>26.86</v>
      </c>
      <c r="C64">
        <v>30.72</v>
      </c>
      <c r="D64">
        <v>1.61</v>
      </c>
      <c r="E64">
        <v>1.61</v>
      </c>
      <c r="F64">
        <v>1.61</v>
      </c>
      <c r="G64">
        <v>14.05</v>
      </c>
      <c r="H64">
        <v>26.37</v>
      </c>
      <c r="I64">
        <v>19.440000000000001</v>
      </c>
      <c r="J64">
        <v>32.36</v>
      </c>
      <c r="K64">
        <v>34.799999999999997</v>
      </c>
    </row>
    <row r="65" spans="1:11" x14ac:dyDescent="0.25">
      <c r="A65" s="9" t="s">
        <v>64</v>
      </c>
      <c r="B65">
        <v>1717.44</v>
      </c>
      <c r="C65">
        <v>1397.44</v>
      </c>
      <c r="D65">
        <v>1951.94</v>
      </c>
      <c r="E65">
        <v>3014.38</v>
      </c>
      <c r="F65">
        <v>6457.79</v>
      </c>
      <c r="G65">
        <v>5077.9799999999996</v>
      </c>
      <c r="H65">
        <v>4547.92</v>
      </c>
      <c r="I65">
        <v>4074.34</v>
      </c>
      <c r="J65">
        <v>3898.41</v>
      </c>
      <c r="K65">
        <v>5384.58</v>
      </c>
    </row>
    <row r="66" spans="1:11" s="1" customFormat="1" x14ac:dyDescent="0.25">
      <c r="A66" s="1" t="s">
        <v>26</v>
      </c>
      <c r="B66">
        <v>5380.32</v>
      </c>
      <c r="C66">
        <v>4867.3500000000004</v>
      </c>
      <c r="D66">
        <v>5247.97</v>
      </c>
      <c r="E66">
        <v>6834.17</v>
      </c>
      <c r="F66">
        <v>10765.37</v>
      </c>
      <c r="G66">
        <v>14626.42</v>
      </c>
      <c r="H66">
        <v>13555.14</v>
      </c>
      <c r="I66">
        <v>13044.4</v>
      </c>
      <c r="J66">
        <v>13079.44</v>
      </c>
      <c r="K66">
        <v>14550.3</v>
      </c>
    </row>
    <row r="67" spans="1:11" s="9" customFormat="1" x14ac:dyDescent="0.25">
      <c r="A67" s="9" t="s">
        <v>69</v>
      </c>
      <c r="B67">
        <v>476.76</v>
      </c>
      <c r="C67">
        <v>447.94</v>
      </c>
      <c r="D67">
        <v>542.29999999999995</v>
      </c>
      <c r="E67">
        <v>692.36</v>
      </c>
      <c r="F67">
        <v>564.91999999999996</v>
      </c>
      <c r="G67">
        <v>1537.06</v>
      </c>
      <c r="H67">
        <v>1371.2</v>
      </c>
      <c r="I67">
        <v>1196.82</v>
      </c>
      <c r="J67">
        <v>1039.23</v>
      </c>
      <c r="K67">
        <v>1687.26</v>
      </c>
    </row>
    <row r="68" spans="1:11" x14ac:dyDescent="0.25">
      <c r="A68" s="9" t="s">
        <v>45</v>
      </c>
      <c r="B68">
        <v>843.14</v>
      </c>
      <c r="C68">
        <v>477.07</v>
      </c>
      <c r="D68">
        <v>745.24</v>
      </c>
      <c r="E68">
        <v>1096.99</v>
      </c>
      <c r="F68">
        <v>984.96</v>
      </c>
      <c r="G68">
        <v>2000.18</v>
      </c>
      <c r="H68">
        <v>1533.72</v>
      </c>
      <c r="I68">
        <v>1620.99</v>
      </c>
      <c r="J68">
        <v>1267.81</v>
      </c>
      <c r="K68">
        <v>1998.53</v>
      </c>
    </row>
    <row r="69" spans="1:11" x14ac:dyDescent="0.25">
      <c r="A69" s="5" t="s">
        <v>78</v>
      </c>
      <c r="B69">
        <v>235.92</v>
      </c>
      <c r="C69">
        <v>305.69</v>
      </c>
      <c r="D69">
        <v>363.86</v>
      </c>
      <c r="E69">
        <v>829.4</v>
      </c>
      <c r="F69">
        <v>4665.71</v>
      </c>
      <c r="G69">
        <v>844.69</v>
      </c>
      <c r="H69">
        <v>899.52</v>
      </c>
      <c r="I69">
        <v>860.46</v>
      </c>
      <c r="J69">
        <v>1043.8699999999999</v>
      </c>
      <c r="K69">
        <v>941.59</v>
      </c>
    </row>
    <row r="70" spans="1:11" x14ac:dyDescent="0.25">
      <c r="A70" s="5" t="s">
        <v>65</v>
      </c>
      <c r="B70">
        <v>70834579</v>
      </c>
      <c r="C70">
        <v>70834579</v>
      </c>
      <c r="D70">
        <v>70834579</v>
      </c>
      <c r="E70">
        <v>349482981</v>
      </c>
      <c r="F70">
        <v>341701602</v>
      </c>
      <c r="G70">
        <v>336345679</v>
      </c>
      <c r="H70">
        <v>336345679</v>
      </c>
      <c r="I70">
        <v>336345679</v>
      </c>
      <c r="J70">
        <v>336345679</v>
      </c>
      <c r="K70">
        <v>336345679</v>
      </c>
    </row>
    <row r="71" spans="1:11" x14ac:dyDescent="0.25">
      <c r="A71" s="5" t="s">
        <v>66</v>
      </c>
    </row>
    <row r="72" spans="1:11" x14ac:dyDescent="0.25">
      <c r="A72" s="5" t="s">
        <v>79</v>
      </c>
      <c r="B72">
        <v>10</v>
      </c>
      <c r="C72">
        <v>10</v>
      </c>
      <c r="D72">
        <v>10</v>
      </c>
      <c r="E72">
        <v>2</v>
      </c>
      <c r="F72">
        <v>2</v>
      </c>
      <c r="G72">
        <v>2</v>
      </c>
      <c r="H72">
        <v>2</v>
      </c>
      <c r="I72">
        <v>2</v>
      </c>
      <c r="J72">
        <v>2</v>
      </c>
      <c r="K72">
        <v>2</v>
      </c>
    </row>
    <row r="74" spans="1:11" x14ac:dyDescent="0.25">
      <c r="A74" s="9"/>
    </row>
    <row r="75" spans="1:11" x14ac:dyDescent="0.25">
      <c r="A75" s="9"/>
    </row>
    <row r="76" spans="1:11" x14ac:dyDescent="0.25">
      <c r="A76" s="9"/>
    </row>
    <row r="77" spans="1:11" x14ac:dyDescent="0.25">
      <c r="A77" s="9"/>
    </row>
    <row r="78" spans="1:11" x14ac:dyDescent="0.25">
      <c r="A78" s="9"/>
    </row>
    <row r="79" spans="1:11" x14ac:dyDescent="0.25">
      <c r="A79" s="9"/>
    </row>
    <row r="80" spans="1:11" x14ac:dyDescent="0.25">
      <c r="A80" s="1" t="s">
        <v>41</v>
      </c>
    </row>
    <row r="81" spans="1:11" s="24" customFormat="1" x14ac:dyDescent="0.25">
      <c r="A81" s="23" t="s">
        <v>38</v>
      </c>
      <c r="B81" s="16">
        <v>39813</v>
      </c>
      <c r="C81" s="16">
        <v>40178</v>
      </c>
      <c r="D81" s="16">
        <v>40543</v>
      </c>
      <c r="E81" s="16">
        <v>40908</v>
      </c>
      <c r="F81" s="16">
        <v>41274</v>
      </c>
      <c r="G81" s="16">
        <v>41639</v>
      </c>
      <c r="H81" s="16">
        <v>42004</v>
      </c>
      <c r="I81" s="16">
        <v>42369</v>
      </c>
      <c r="J81" s="16">
        <v>42735</v>
      </c>
      <c r="K81" s="16">
        <v>43100</v>
      </c>
    </row>
    <row r="82" spans="1:11" s="1" customFormat="1" x14ac:dyDescent="0.25">
      <c r="A82" s="9" t="s">
        <v>32</v>
      </c>
      <c r="B82">
        <v>392.81</v>
      </c>
      <c r="C82">
        <v>935.92</v>
      </c>
      <c r="D82">
        <v>317.95999999999998</v>
      </c>
      <c r="E82">
        <v>844.02</v>
      </c>
      <c r="F82">
        <v>1401.97</v>
      </c>
      <c r="G82">
        <v>609.14</v>
      </c>
      <c r="H82">
        <v>1291.25</v>
      </c>
      <c r="I82">
        <v>1238.23</v>
      </c>
      <c r="J82">
        <v>1566.75</v>
      </c>
      <c r="K82">
        <v>868.09</v>
      </c>
    </row>
    <row r="83" spans="1:11" s="9" customFormat="1" x14ac:dyDescent="0.25">
      <c r="A83" s="9" t="s">
        <v>33</v>
      </c>
      <c r="B83">
        <v>-167.49</v>
      </c>
      <c r="C83">
        <v>11.14</v>
      </c>
      <c r="D83">
        <v>-111.39</v>
      </c>
      <c r="E83">
        <v>-128.41</v>
      </c>
      <c r="F83">
        <v>-4152.67</v>
      </c>
      <c r="G83">
        <v>-95.24</v>
      </c>
      <c r="H83">
        <v>-381.64</v>
      </c>
      <c r="I83">
        <v>-531.09</v>
      </c>
      <c r="J83">
        <v>-504.06</v>
      </c>
      <c r="K83">
        <v>-539.16999999999996</v>
      </c>
    </row>
    <row r="84" spans="1:11" s="9" customFormat="1" x14ac:dyDescent="0.25">
      <c r="A84" s="9" t="s">
        <v>34</v>
      </c>
      <c r="B84">
        <v>-69.150000000000006</v>
      </c>
      <c r="C84">
        <v>-876.41</v>
      </c>
      <c r="D84">
        <v>-149.1</v>
      </c>
      <c r="E84">
        <v>-250.07</v>
      </c>
      <c r="F84">
        <v>2779.81</v>
      </c>
      <c r="G84">
        <v>-506.57</v>
      </c>
      <c r="H84">
        <v>-883.41</v>
      </c>
      <c r="I84">
        <v>-795.41</v>
      </c>
      <c r="J84">
        <v>-886.61</v>
      </c>
      <c r="K84">
        <v>-520.48</v>
      </c>
    </row>
    <row r="85" spans="1:11" s="1" customFormat="1" x14ac:dyDescent="0.25">
      <c r="A85" s="9" t="s">
        <v>35</v>
      </c>
      <c r="B85">
        <v>156.16999999999999</v>
      </c>
      <c r="C85">
        <v>70.650000000000006</v>
      </c>
      <c r="D85">
        <v>57.47</v>
      </c>
      <c r="E85">
        <v>465.54</v>
      </c>
      <c r="F85">
        <v>29.11</v>
      </c>
      <c r="G85">
        <v>7.33</v>
      </c>
      <c r="H85">
        <v>26.2</v>
      </c>
      <c r="I85">
        <v>-88.27</v>
      </c>
      <c r="J85">
        <v>176.08</v>
      </c>
      <c r="K85">
        <v>-191.57</v>
      </c>
    </row>
    <row r="86" spans="1:11" x14ac:dyDescent="0.25">
      <c r="A86" s="9"/>
    </row>
    <row r="87" spans="1:11" x14ac:dyDescent="0.25">
      <c r="A87" s="9"/>
    </row>
    <row r="88" spans="1:11" x14ac:dyDescent="0.25">
      <c r="A88" s="9"/>
    </row>
    <row r="89" spans="1:11" x14ac:dyDescent="0.25">
      <c r="A89" s="9"/>
    </row>
    <row r="90" spans="1:11" s="1" customFormat="1" x14ac:dyDescent="0.25">
      <c r="A90" s="1" t="s">
        <v>68</v>
      </c>
      <c r="B90">
        <v>16.008571</v>
      </c>
      <c r="C90">
        <v>45.862000000000002</v>
      </c>
      <c r="D90">
        <v>36.003</v>
      </c>
      <c r="E90">
        <v>31.8</v>
      </c>
      <c r="F90">
        <v>36.471738999999999</v>
      </c>
      <c r="G90">
        <v>36.002173999999997</v>
      </c>
      <c r="H90">
        <v>40.709091000000001</v>
      </c>
      <c r="I90">
        <v>35.842857000000002</v>
      </c>
      <c r="J90">
        <v>59.597499999999997</v>
      </c>
      <c r="K90">
        <v>427.05476199999998</v>
      </c>
    </row>
    <row r="92" spans="1:11" s="1" customFormat="1" x14ac:dyDescent="0.25">
      <c r="A92" s="1" t="s">
        <v>67</v>
      </c>
    </row>
    <row r="93" spans="1:11" x14ac:dyDescent="0.25">
      <c r="A93" s="5" t="s">
        <v>80</v>
      </c>
      <c r="B93" s="27">
        <f>IF($B7&gt;0,(B70*B72/$B7)+SUM(C71:$K71),0)/10000000</f>
        <v>35.417289500000003</v>
      </c>
      <c r="C93" s="27">
        <f>IF($B7&gt;0,(C70*C72/$B7)+SUM(D71:$K71),0)/10000000</f>
        <v>35.417289500000003</v>
      </c>
      <c r="D93" s="27">
        <f>IF($B7&gt;0,(D70*D72/$B7)+SUM(E71:$K71),0)/10000000</f>
        <v>35.417289500000003</v>
      </c>
      <c r="E93" s="27">
        <f>IF($B7&gt;0,(E70*E72/$B7)+SUM(F71:$K71),0)/10000000</f>
        <v>34.948298100000002</v>
      </c>
      <c r="F93" s="27">
        <f>IF($B7&gt;0,(F70*F72/$B7)+SUM(G71:$K71),0)/10000000</f>
        <v>34.170160199999998</v>
      </c>
      <c r="G93" s="27">
        <f>IF($B7&gt;0,(G70*G72/$B7)+SUM(H71:$K71),0)/10000000</f>
        <v>33.6345679</v>
      </c>
      <c r="H93" s="27">
        <f>IF($B7&gt;0,(H70*H72/$B7)+SUM(I71:$K71),0)/10000000</f>
        <v>33.6345679</v>
      </c>
      <c r="I93" s="27">
        <f>IF($B7&gt;0,(I70*I72/$B7)+SUM(J71:$K71),0)/10000000</f>
        <v>33.6345679</v>
      </c>
      <c r="J93" s="27">
        <f>IF($B7&gt;0,(J70*J72/$B7)+SUM(K71:$K71),0)/10000000</f>
        <v>33.6345679</v>
      </c>
      <c r="K93" s="27">
        <f>IF($B7&gt;0,(K70*K72/$B7),0)/10000000</f>
        <v>33.6345679</v>
      </c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15" workbookViewId="0">
      <selection activeCell="C19" sqref="C19"/>
    </sheetView>
  </sheetViews>
  <sheetFormatPr defaultColWidth="8.85546875" defaultRowHeight="12.75" x14ac:dyDescent="0.2"/>
  <cols>
    <col min="1" max="1" width="18.140625" style="89" customWidth="1"/>
    <col min="2" max="2" width="9.7109375" style="31" customWidth="1"/>
    <col min="3" max="3" width="10.28515625" style="31" customWidth="1"/>
    <col min="4" max="11" width="8.85546875" style="31"/>
    <col min="12" max="12" width="9.140625" style="31" customWidth="1"/>
    <col min="13" max="13" width="16" style="89" customWidth="1"/>
    <col min="14" max="15" width="8.85546875" style="31"/>
    <col min="16" max="16" width="9.7109375" style="31" customWidth="1"/>
    <col min="17" max="16384" width="8.85546875" style="31"/>
  </cols>
  <sheetData>
    <row r="1" spans="1:22" s="29" customFormat="1" ht="15" x14ac:dyDescent="0.25">
      <c r="A1" s="81" t="str">
        <f>'Data Sheet'!A1</f>
        <v>COMPANY NAME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91"/>
    </row>
    <row r="2" spans="1:22" s="29" customFormat="1" ht="15" x14ac:dyDescent="0.25">
      <c r="A2" s="8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91"/>
    </row>
    <row r="3" spans="1:22" ht="15" x14ac:dyDescent="0.25">
      <c r="A3" s="45" t="str">
        <f>A1</f>
        <v>COMPANY NAME</v>
      </c>
      <c r="B3" s="16">
        <f>'Data Sheet'!B16</f>
        <v>39813</v>
      </c>
      <c r="C3" s="16">
        <f>'Data Sheet'!C16</f>
        <v>40178</v>
      </c>
      <c r="D3" s="16">
        <f>'Data Sheet'!D16</f>
        <v>40543</v>
      </c>
      <c r="E3" s="16">
        <f>'Data Sheet'!E16</f>
        <v>40908</v>
      </c>
      <c r="F3" s="16">
        <f>'Data Sheet'!F16</f>
        <v>41274</v>
      </c>
      <c r="G3" s="16">
        <f>'Data Sheet'!G16</f>
        <v>41639</v>
      </c>
      <c r="H3" s="16">
        <f>'Data Sheet'!H16</f>
        <v>42004</v>
      </c>
      <c r="I3" s="16">
        <f>'Data Sheet'!I16</f>
        <v>42369</v>
      </c>
      <c r="J3" s="16">
        <f>'Data Sheet'!J16</f>
        <v>42735</v>
      </c>
      <c r="K3" s="16">
        <f>'Data Sheet'!K16</f>
        <v>43100</v>
      </c>
      <c r="L3" s="30"/>
      <c r="M3" s="95" t="s">
        <v>205</v>
      </c>
      <c r="N3" s="78">
        <f t="shared" ref="N3:U3" si="0">C3</f>
        <v>40178</v>
      </c>
      <c r="O3" s="78">
        <f t="shared" si="0"/>
        <v>40543</v>
      </c>
      <c r="P3" s="78">
        <f t="shared" si="0"/>
        <v>40908</v>
      </c>
      <c r="Q3" s="78">
        <f t="shared" si="0"/>
        <v>41274</v>
      </c>
      <c r="R3" s="78">
        <f t="shared" si="0"/>
        <v>41639</v>
      </c>
      <c r="S3" s="78">
        <f t="shared" si="0"/>
        <v>42004</v>
      </c>
      <c r="T3" s="78">
        <f t="shared" si="0"/>
        <v>42369</v>
      </c>
      <c r="U3" s="78">
        <f t="shared" si="0"/>
        <v>42735</v>
      </c>
      <c r="V3" s="78">
        <f>K3</f>
        <v>43100</v>
      </c>
    </row>
    <row r="4" spans="1:22" x14ac:dyDescent="0.2">
      <c r="A4" s="83" t="s">
        <v>81</v>
      </c>
      <c r="B4" s="32">
        <f>'Data Sheet'!B17-'Data Sheet'!B18</f>
        <v>2074.96</v>
      </c>
      <c r="C4" s="32">
        <f>'Data Sheet'!C17-'Data Sheet'!C18</f>
        <v>1895.4599999999998</v>
      </c>
      <c r="D4" s="32">
        <f>'Data Sheet'!D17-'Data Sheet'!D18</f>
        <v>1739.44</v>
      </c>
      <c r="E4" s="32">
        <f>'Data Sheet'!E17-'Data Sheet'!E18</f>
        <v>2424.8999999999996</v>
      </c>
      <c r="F4" s="32">
        <f>'Data Sheet'!F17-'Data Sheet'!F18</f>
        <v>2611.0499999999997</v>
      </c>
      <c r="G4" s="32">
        <f>'Data Sheet'!G17-'Data Sheet'!G18</f>
        <v>4952.82</v>
      </c>
      <c r="H4" s="32">
        <f>'Data Sheet'!H17-'Data Sheet'!H18</f>
        <v>5149.3700000000008</v>
      </c>
      <c r="I4" s="32">
        <f>'Data Sheet'!I17-'Data Sheet'!I18</f>
        <v>4898.4500000000007</v>
      </c>
      <c r="J4" s="32">
        <f>'Data Sheet'!J17-'Data Sheet'!J18</f>
        <v>4932.0700000000006</v>
      </c>
      <c r="K4" s="32">
        <f>'Data Sheet'!K17-'Data Sheet'!K18</f>
        <v>5569.08</v>
      </c>
      <c r="L4" s="92"/>
      <c r="M4" s="95" t="str">
        <f>A4</f>
        <v>Gross Profit</v>
      </c>
      <c r="N4" s="80">
        <f>(C4-B4)/B4</f>
        <v>-8.6507691714539189E-2</v>
      </c>
      <c r="O4" s="80">
        <f t="shared" ref="O4:V9" si="1">(D4-C4)/C4</f>
        <v>-8.2312472961708377E-2</v>
      </c>
      <c r="P4" s="80">
        <f t="shared" si="1"/>
        <v>0.3940693556546932</v>
      </c>
      <c r="Q4" s="80">
        <f t="shared" si="1"/>
        <v>7.6766052208338542E-2</v>
      </c>
      <c r="R4" s="80">
        <f t="shared" si="1"/>
        <v>0.8968690756592177</v>
      </c>
      <c r="S4" s="80">
        <f t="shared" si="1"/>
        <v>3.968446258898993E-2</v>
      </c>
      <c r="T4" s="80">
        <f t="shared" si="1"/>
        <v>-4.8728291033660436E-2</v>
      </c>
      <c r="U4" s="80">
        <f t="shared" si="1"/>
        <v>6.8633955639028441E-3</v>
      </c>
      <c r="V4" s="80">
        <f t="shared" si="1"/>
        <v>0.12915672324196517</v>
      </c>
    </row>
    <row r="5" spans="1:22" x14ac:dyDescent="0.2">
      <c r="A5" s="83" t="s">
        <v>82</v>
      </c>
      <c r="B5" s="32">
        <f>'Data Sheet'!B28+'Data Sheet'!B27</f>
        <v>1044.79</v>
      </c>
      <c r="C5" s="32">
        <f>'Data Sheet'!C28+'Data Sheet'!C27</f>
        <v>840.72</v>
      </c>
      <c r="D5" s="32">
        <f>'Data Sheet'!D28+'Data Sheet'!D27</f>
        <v>550.05999999999995</v>
      </c>
      <c r="E5" s="32">
        <f>'Data Sheet'!E28+'Data Sheet'!E27</f>
        <v>1252.82</v>
      </c>
      <c r="F5" s="32">
        <f>'Data Sheet'!F28+'Data Sheet'!F27</f>
        <v>1055.5900000000001</v>
      </c>
      <c r="G5" s="32">
        <f>'Data Sheet'!G28+'Data Sheet'!G27</f>
        <v>1016.88</v>
      </c>
      <c r="H5" s="32">
        <f>'Data Sheet'!H28+'Data Sheet'!H27</f>
        <v>677.56</v>
      </c>
      <c r="I5" s="32">
        <f>'Data Sheet'!I28+'Data Sheet'!I27</f>
        <v>1094.93</v>
      </c>
      <c r="J5" s="32">
        <f>'Data Sheet'!J28+'Data Sheet'!J27</f>
        <v>1110.8900000000001</v>
      </c>
      <c r="K5" s="32">
        <f>'Data Sheet'!K28+'Data Sheet'!K27</f>
        <v>1678.6</v>
      </c>
      <c r="L5" s="93"/>
      <c r="M5" s="95" t="str">
        <f t="shared" ref="M5:M43" si="2">A5</f>
        <v>EBIT</v>
      </c>
      <c r="N5" s="80">
        <f t="shared" ref="N5:N9" si="3">(C5-B5)/B5</f>
        <v>-0.19532154787086395</v>
      </c>
      <c r="O5" s="80">
        <f t="shared" si="1"/>
        <v>-0.34572747169093165</v>
      </c>
      <c r="P5" s="80">
        <f t="shared" si="1"/>
        <v>1.2776060793367998</v>
      </c>
      <c r="Q5" s="80">
        <f t="shared" si="1"/>
        <v>-0.15742884053575118</v>
      </c>
      <c r="R5" s="80">
        <f t="shared" si="1"/>
        <v>-3.6671434932123402E-2</v>
      </c>
      <c r="S5" s="80">
        <f t="shared" si="1"/>
        <v>-0.33368735740697036</v>
      </c>
      <c r="T5" s="80">
        <f t="shared" si="1"/>
        <v>0.61598972784698058</v>
      </c>
      <c r="U5" s="80">
        <f t="shared" si="1"/>
        <v>1.4576274282374247E-2</v>
      </c>
      <c r="V5" s="80">
        <f t="shared" si="1"/>
        <v>0.51104069709872246</v>
      </c>
    </row>
    <row r="6" spans="1:22" x14ac:dyDescent="0.2">
      <c r="A6" s="83" t="s">
        <v>83</v>
      </c>
      <c r="B6" s="32">
        <f>'Calculated Data'!B5+'Data Sheet'!B26</f>
        <v>1150.81</v>
      </c>
      <c r="C6" s="32">
        <f>'Calculated Data'!C5+'Data Sheet'!C26</f>
        <v>963.37</v>
      </c>
      <c r="D6" s="32">
        <f>'Calculated Data'!D5+'Data Sheet'!D26</f>
        <v>665.74</v>
      </c>
      <c r="E6" s="32">
        <f>'Calculated Data'!E5+'Data Sheet'!E26</f>
        <v>1365.76</v>
      </c>
      <c r="F6" s="32">
        <f>'Calculated Data'!F5+'Data Sheet'!F26</f>
        <v>1175.5600000000002</v>
      </c>
      <c r="G6" s="32">
        <f>'Calculated Data'!G5+'Data Sheet'!G26</f>
        <v>1373.7</v>
      </c>
      <c r="H6" s="32">
        <f>'Calculated Data'!H5+'Data Sheet'!H26</f>
        <v>1024.54</v>
      </c>
      <c r="I6" s="32">
        <f>'Calculated Data'!I5+'Data Sheet'!I26</f>
        <v>1422.75</v>
      </c>
      <c r="J6" s="32">
        <f>'Calculated Data'!J5+'Data Sheet'!J26</f>
        <v>1629.8600000000001</v>
      </c>
      <c r="K6" s="32">
        <f>'Calculated Data'!K5+'Data Sheet'!K26</f>
        <v>2204.23</v>
      </c>
      <c r="L6" s="92"/>
      <c r="M6" s="95" t="str">
        <f t="shared" si="2"/>
        <v>EBITDA</v>
      </c>
      <c r="N6" s="80">
        <f t="shared" si="3"/>
        <v>-0.16287658258096466</v>
      </c>
      <c r="O6" s="80">
        <f t="shared" si="1"/>
        <v>-0.30894671829099929</v>
      </c>
      <c r="P6" s="80">
        <f t="shared" si="1"/>
        <v>1.0514915732868686</v>
      </c>
      <c r="Q6" s="80">
        <f t="shared" si="1"/>
        <v>-0.13926312089971871</v>
      </c>
      <c r="R6" s="80">
        <f t="shared" si="1"/>
        <v>0.16854945727993453</v>
      </c>
      <c r="S6" s="80">
        <f t="shared" si="1"/>
        <v>-0.25417485622770625</v>
      </c>
      <c r="T6" s="80">
        <f t="shared" si="1"/>
        <v>0.3886719893806001</v>
      </c>
      <c r="U6" s="80">
        <f t="shared" si="1"/>
        <v>0.14557019855912853</v>
      </c>
      <c r="V6" s="80">
        <f t="shared" si="1"/>
        <v>0.3524045010000858</v>
      </c>
    </row>
    <row r="7" spans="1:22" ht="35.25" customHeight="1" x14ac:dyDescent="0.2">
      <c r="A7" s="83" t="s">
        <v>84</v>
      </c>
      <c r="B7" s="32">
        <f>B6-'Data Sheet'!B25</f>
        <v>1172.31</v>
      </c>
      <c r="C7" s="32">
        <f>C6-'Data Sheet'!C25</f>
        <v>897.95</v>
      </c>
      <c r="D7" s="32">
        <f>D6-'Data Sheet'!D25</f>
        <v>718.48</v>
      </c>
      <c r="E7" s="32">
        <f>E6-'Data Sheet'!E25</f>
        <v>1344.12</v>
      </c>
      <c r="F7" s="32">
        <f>F6-'Data Sheet'!F25</f>
        <v>1109.5400000000002</v>
      </c>
      <c r="G7" s="32">
        <f>G6-'Data Sheet'!G25</f>
        <v>1317.07</v>
      </c>
      <c r="H7" s="32">
        <f>H6-'Data Sheet'!H25</f>
        <v>1203.82</v>
      </c>
      <c r="I7" s="32">
        <f>I6-'Data Sheet'!I25</f>
        <v>1343.11</v>
      </c>
      <c r="J7" s="32">
        <f>J6-'Data Sheet'!J25</f>
        <v>1529.4</v>
      </c>
      <c r="K7" s="32">
        <f>K6-'Data Sheet'!K25</f>
        <v>2267.23</v>
      </c>
      <c r="L7" s="92"/>
      <c r="M7" s="95" t="str">
        <f t="shared" si="2"/>
        <v>Operating Profit (excl Other Income)</v>
      </c>
      <c r="N7" s="80">
        <f t="shared" si="3"/>
        <v>-0.23403366003872689</v>
      </c>
      <c r="O7" s="80">
        <f t="shared" si="1"/>
        <v>-0.19986636226961413</v>
      </c>
      <c r="P7" s="80">
        <f t="shared" si="1"/>
        <v>0.87078276361206974</v>
      </c>
      <c r="Q7" s="80">
        <f t="shared" si="1"/>
        <v>-0.17452310805582813</v>
      </c>
      <c r="R7" s="80">
        <f t="shared" si="1"/>
        <v>0.18704147664797999</v>
      </c>
      <c r="S7" s="80">
        <f t="shared" si="1"/>
        <v>-8.5986318115210278E-2</v>
      </c>
      <c r="T7" s="80">
        <f t="shared" si="1"/>
        <v>0.11570666710970076</v>
      </c>
      <c r="U7" s="80">
        <f t="shared" si="1"/>
        <v>0.13870047873964172</v>
      </c>
      <c r="V7" s="80">
        <f t="shared" si="1"/>
        <v>0.48243101870014377</v>
      </c>
    </row>
    <row r="8" spans="1:22" x14ac:dyDescent="0.2">
      <c r="A8" s="84" t="s">
        <v>85</v>
      </c>
      <c r="B8" s="33">
        <f>'Data Sheet'!B30</f>
        <v>403.79</v>
      </c>
      <c r="C8" s="33">
        <f>'Data Sheet'!C30</f>
        <v>443.84</v>
      </c>
      <c r="D8" s="33">
        <f>'Data Sheet'!D30</f>
        <v>240.72</v>
      </c>
      <c r="E8" s="33">
        <f>'Data Sheet'!E30</f>
        <v>664.12</v>
      </c>
      <c r="F8" s="33">
        <f>'Data Sheet'!F30</f>
        <v>457.75</v>
      </c>
      <c r="G8" s="33">
        <f>'Data Sheet'!G30</f>
        <v>384.53</v>
      </c>
      <c r="H8" s="33">
        <f>'Data Sheet'!H30</f>
        <v>88.53</v>
      </c>
      <c r="I8" s="33">
        <f>'Data Sheet'!I30</f>
        <v>323.33999999999997</v>
      </c>
      <c r="J8" s="33">
        <f>'Data Sheet'!J30</f>
        <v>290.94</v>
      </c>
      <c r="K8" s="33">
        <f>'Data Sheet'!K30</f>
        <v>763.59</v>
      </c>
      <c r="L8" s="79"/>
      <c r="M8" s="95" t="str">
        <f t="shared" si="2"/>
        <v>PAT</v>
      </c>
      <c r="N8" s="80">
        <f t="shared" si="3"/>
        <v>9.9185220040119745E-2</v>
      </c>
      <c r="O8" s="80">
        <f t="shared" si="1"/>
        <v>-0.45764239365537129</v>
      </c>
      <c r="P8" s="80">
        <f t="shared" si="1"/>
        <v>1.7588899966766367</v>
      </c>
      <c r="Q8" s="80">
        <f t="shared" si="1"/>
        <v>-0.31074203457206528</v>
      </c>
      <c r="R8" s="80">
        <f t="shared" si="1"/>
        <v>-0.15995630802839983</v>
      </c>
      <c r="S8" s="80">
        <f t="shared" si="1"/>
        <v>-0.76977088913738856</v>
      </c>
      <c r="T8" s="80">
        <f t="shared" si="1"/>
        <v>2.6523212470349029</v>
      </c>
      <c r="U8" s="80">
        <f t="shared" si="1"/>
        <v>-0.10020411950269061</v>
      </c>
      <c r="V8" s="80">
        <f t="shared" si="1"/>
        <v>1.6245617653124358</v>
      </c>
    </row>
    <row r="9" spans="1:22" x14ac:dyDescent="0.2">
      <c r="A9" s="85" t="s">
        <v>86</v>
      </c>
      <c r="B9" s="34">
        <f>'Data Sheet'!B31</f>
        <v>26.21</v>
      </c>
      <c r="C9" s="34">
        <f>'Data Sheet'!C31</f>
        <v>45.33</v>
      </c>
      <c r="D9" s="34">
        <f>'Data Sheet'!D31</f>
        <v>35.409999999999997</v>
      </c>
      <c r="E9" s="34">
        <f>'Data Sheet'!E31</f>
        <v>38.450000000000003</v>
      </c>
      <c r="F9" s="34">
        <f>'Data Sheet'!F31</f>
        <v>37.590000000000003</v>
      </c>
      <c r="G9" s="34">
        <f>'Data Sheet'!G31</f>
        <v>33.630000000000003</v>
      </c>
      <c r="H9" s="34">
        <f>'Data Sheet'!H31</f>
        <v>33.630000000000003</v>
      </c>
      <c r="I9" s="34">
        <f>'Data Sheet'!I31</f>
        <v>33.630000000000003</v>
      </c>
      <c r="J9" s="34">
        <f>'Data Sheet'!J31</f>
        <v>33.630000000000003</v>
      </c>
      <c r="K9" s="34">
        <f>'Data Sheet'!K31</f>
        <v>67.27</v>
      </c>
      <c r="L9" s="79"/>
      <c r="M9" s="95" t="str">
        <f t="shared" si="2"/>
        <v>Dividend</v>
      </c>
      <c r="N9" s="80">
        <f t="shared" si="3"/>
        <v>0.72949256009156793</v>
      </c>
      <c r="O9" s="80">
        <f t="shared" si="1"/>
        <v>-0.21883962056033537</v>
      </c>
      <c r="P9" s="80">
        <f t="shared" si="1"/>
        <v>8.5851454391415033E-2</v>
      </c>
      <c r="Q9" s="80">
        <f t="shared" si="1"/>
        <v>-2.2366710013003884E-2</v>
      </c>
      <c r="R9" s="80">
        <f t="shared" si="1"/>
        <v>-0.10534716679968079</v>
      </c>
      <c r="S9" s="80">
        <f t="shared" si="1"/>
        <v>0</v>
      </c>
      <c r="T9" s="80">
        <f t="shared" si="1"/>
        <v>0</v>
      </c>
      <c r="U9" s="80">
        <f t="shared" si="1"/>
        <v>0</v>
      </c>
      <c r="V9" s="80">
        <f t="shared" si="1"/>
        <v>1.0002973535533748</v>
      </c>
    </row>
    <row r="10" spans="1:22" ht="15" x14ac:dyDescent="0.25">
      <c r="A10" s="45"/>
      <c r="B10" s="16">
        <f>B3</f>
        <v>39813</v>
      </c>
      <c r="C10" s="16">
        <f t="shared" ref="C10:K10" si="4">C3</f>
        <v>40178</v>
      </c>
      <c r="D10" s="16">
        <f t="shared" si="4"/>
        <v>40543</v>
      </c>
      <c r="E10" s="16">
        <f t="shared" si="4"/>
        <v>40908</v>
      </c>
      <c r="F10" s="16">
        <f t="shared" si="4"/>
        <v>41274</v>
      </c>
      <c r="G10" s="16">
        <f t="shared" si="4"/>
        <v>41639</v>
      </c>
      <c r="H10" s="16">
        <f t="shared" si="4"/>
        <v>42004</v>
      </c>
      <c r="I10" s="16">
        <f t="shared" si="4"/>
        <v>42369</v>
      </c>
      <c r="J10" s="16">
        <f t="shared" si="4"/>
        <v>42735</v>
      </c>
      <c r="K10" s="16">
        <f t="shared" si="4"/>
        <v>43100</v>
      </c>
      <c r="L10" s="79"/>
      <c r="M10" s="95" t="s">
        <v>205</v>
      </c>
      <c r="N10" s="80"/>
      <c r="O10" s="80"/>
      <c r="P10" s="80"/>
      <c r="Q10" s="80"/>
      <c r="R10" s="80"/>
      <c r="S10" s="80"/>
      <c r="T10" s="80"/>
      <c r="U10" s="80"/>
      <c r="V10" s="80"/>
    </row>
    <row r="11" spans="1:22" x14ac:dyDescent="0.2">
      <c r="A11" s="86" t="s">
        <v>87</v>
      </c>
      <c r="B11" s="32">
        <f>'Data Sheet'!B57+'Data Sheet'!B58</f>
        <v>839.82</v>
      </c>
      <c r="C11" s="32">
        <f>'Data Sheet'!C57+'Data Sheet'!C58</f>
        <v>1210.3999999999999</v>
      </c>
      <c r="D11" s="32">
        <f>'Data Sheet'!D57+'Data Sheet'!D58</f>
        <v>1393.35</v>
      </c>
      <c r="E11" s="32">
        <f>'Data Sheet'!E57+'Data Sheet'!E58</f>
        <v>2120.9</v>
      </c>
      <c r="F11" s="32">
        <f>'Data Sheet'!F57+'Data Sheet'!F58</f>
        <v>2551.67</v>
      </c>
      <c r="G11" s="32">
        <f>'Data Sheet'!G57+'Data Sheet'!G58</f>
        <v>3223.31</v>
      </c>
      <c r="H11" s="32">
        <f>'Data Sheet'!H57+'Data Sheet'!H58</f>
        <v>2945.78</v>
      </c>
      <c r="I11" s="32">
        <f>'Data Sheet'!I57+'Data Sheet'!I58</f>
        <v>2937.5</v>
      </c>
      <c r="J11" s="32">
        <f>'Data Sheet'!J57+'Data Sheet'!J58</f>
        <v>3164.81</v>
      </c>
      <c r="K11" s="32">
        <f>'Data Sheet'!K57+'Data Sheet'!K58</f>
        <v>3944.1</v>
      </c>
      <c r="L11" s="79"/>
      <c r="M11" s="95" t="str">
        <f t="shared" si="2"/>
        <v>Networth</v>
      </c>
      <c r="N11" s="80">
        <f t="shared" ref="N11:V15" si="5">(C11-B11)/B11</f>
        <v>0.44126122264294704</v>
      </c>
      <c r="O11" s="80">
        <f t="shared" si="5"/>
        <v>0.15114838070059489</v>
      </c>
      <c r="P11" s="80">
        <f t="shared" si="5"/>
        <v>0.52215882585136553</v>
      </c>
      <c r="Q11" s="80">
        <f t="shared" si="5"/>
        <v>0.20310717148380403</v>
      </c>
      <c r="R11" s="80">
        <f t="shared" si="5"/>
        <v>0.26321585471475539</v>
      </c>
      <c r="S11" s="80">
        <f t="shared" si="5"/>
        <v>-8.6100933512445202E-2</v>
      </c>
      <c r="T11" s="80">
        <f t="shared" si="5"/>
        <v>-2.8108005350026815E-3</v>
      </c>
      <c r="U11" s="80">
        <f t="shared" si="5"/>
        <v>7.7382127659574446E-2</v>
      </c>
      <c r="V11" s="80">
        <f t="shared" si="5"/>
        <v>0.24623595097336015</v>
      </c>
    </row>
    <row r="12" spans="1:22" x14ac:dyDescent="0.2">
      <c r="A12" s="83" t="s">
        <v>30</v>
      </c>
      <c r="B12" s="32">
        <f>'Data Sheet'!B65-'Data Sheet'!B60</f>
        <v>946.13000000000011</v>
      </c>
      <c r="C12" s="32">
        <f>'Data Sheet'!C65-'Data Sheet'!C60</f>
        <v>771.7</v>
      </c>
      <c r="D12" s="32">
        <f>'Data Sheet'!D65-'Data Sheet'!D60</f>
        <v>1275.46</v>
      </c>
      <c r="E12" s="32">
        <f>'Data Sheet'!E65-'Data Sheet'!E60</f>
        <v>2047.92</v>
      </c>
      <c r="F12" s="32">
        <f>'Data Sheet'!F65-'Data Sheet'!F60</f>
        <v>5170.9400000000005</v>
      </c>
      <c r="G12" s="32">
        <f>'Data Sheet'!G65-'Data Sheet'!G60</f>
        <v>1965.4199999999996</v>
      </c>
      <c r="H12" s="32">
        <f>'Data Sheet'!H65-'Data Sheet'!H60</f>
        <v>1611.1599999999999</v>
      </c>
      <c r="I12" s="32">
        <f>'Data Sheet'!I65-'Data Sheet'!I60</f>
        <v>1563.13</v>
      </c>
      <c r="J12" s="32">
        <f>'Data Sheet'!J65-'Data Sheet'!J60</f>
        <v>1309.96</v>
      </c>
      <c r="K12" s="32">
        <f>'Data Sheet'!K65-'Data Sheet'!K60</f>
        <v>2110.6799999999998</v>
      </c>
      <c r="L12" s="79"/>
      <c r="M12" s="95" t="str">
        <f t="shared" si="2"/>
        <v>Working Capital</v>
      </c>
      <c r="N12" s="80">
        <f t="shared" si="5"/>
        <v>-0.18436155707989393</v>
      </c>
      <c r="O12" s="80">
        <f t="shared" si="5"/>
        <v>0.65279253595956976</v>
      </c>
      <c r="P12" s="80">
        <f t="shared" si="5"/>
        <v>0.60563247769432205</v>
      </c>
      <c r="Q12" s="80">
        <f t="shared" si="5"/>
        <v>1.5249716785811946</v>
      </c>
      <c r="R12" s="80">
        <f t="shared" si="5"/>
        <v>-0.61991049983175217</v>
      </c>
      <c r="S12" s="80">
        <f t="shared" si="5"/>
        <v>-0.18024646131615626</v>
      </c>
      <c r="T12" s="80">
        <f t="shared" si="5"/>
        <v>-2.9810819533751923E-2</v>
      </c>
      <c r="U12" s="80">
        <f t="shared" si="5"/>
        <v>-0.16196349631828449</v>
      </c>
      <c r="V12" s="80">
        <f t="shared" si="5"/>
        <v>0.61125530550551144</v>
      </c>
    </row>
    <row r="13" spans="1:22" x14ac:dyDescent="0.2">
      <c r="A13" s="83" t="s">
        <v>88</v>
      </c>
      <c r="B13" s="32">
        <f>'Data Sheet'!B62+'Data Sheet'!B63+'Calculated Data'!B12</f>
        <v>4582.1499999999996</v>
      </c>
      <c r="C13" s="32">
        <f>'Data Sheet'!C62+'Data Sheet'!C63+'Calculated Data'!C12</f>
        <v>4210.8900000000003</v>
      </c>
      <c r="D13" s="32">
        <f>'Data Sheet'!D62+'Data Sheet'!D63+'Calculated Data'!D12</f>
        <v>4569.88</v>
      </c>
      <c r="E13" s="32">
        <f>'Data Sheet'!E62+'Data Sheet'!E63+'Calculated Data'!E12</f>
        <v>5866.1</v>
      </c>
      <c r="F13" s="32">
        <f>'Data Sheet'!F62+'Data Sheet'!F63+'Calculated Data'!F12</f>
        <v>9476.91</v>
      </c>
      <c r="G13" s="32">
        <f>'Data Sheet'!G62+'Data Sheet'!G63+'Calculated Data'!G12</f>
        <v>11499.81</v>
      </c>
      <c r="H13" s="32">
        <f>'Data Sheet'!H62+'Data Sheet'!H63+'Calculated Data'!H12</f>
        <v>10592.01</v>
      </c>
      <c r="I13" s="32">
        <f>'Data Sheet'!I62+'Data Sheet'!I63+'Calculated Data'!I12</f>
        <v>10513.75</v>
      </c>
      <c r="J13" s="32">
        <f>'Data Sheet'!J62+'Data Sheet'!J63+'Calculated Data'!J12</f>
        <v>10458.630000000001</v>
      </c>
      <c r="K13" s="32">
        <f>'Data Sheet'!K62+'Data Sheet'!K63+'Calculated Data'!K12</f>
        <v>11241.6</v>
      </c>
      <c r="L13" s="79"/>
      <c r="M13" s="95" t="str">
        <f t="shared" si="2"/>
        <v>Invested Capital</v>
      </c>
      <c r="N13" s="80">
        <f t="shared" si="5"/>
        <v>-8.1023100509585971E-2</v>
      </c>
      <c r="O13" s="80">
        <f t="shared" si="5"/>
        <v>8.5252761292743284E-2</v>
      </c>
      <c r="P13" s="80">
        <f t="shared" si="5"/>
        <v>0.28364420947596003</v>
      </c>
      <c r="Q13" s="80">
        <f t="shared" si="5"/>
        <v>0.61553843268952102</v>
      </c>
      <c r="R13" s="80">
        <f t="shared" si="5"/>
        <v>0.2134556516839349</v>
      </c>
      <c r="S13" s="80">
        <f t="shared" si="5"/>
        <v>-7.8940434668050979E-2</v>
      </c>
      <c r="T13" s="80">
        <f t="shared" si="5"/>
        <v>-7.388588190532318E-3</v>
      </c>
      <c r="U13" s="80">
        <f t="shared" si="5"/>
        <v>-5.242658423492948E-3</v>
      </c>
      <c r="V13" s="80">
        <f t="shared" si="5"/>
        <v>7.4863533751552469E-2</v>
      </c>
    </row>
    <row r="14" spans="1:22" x14ac:dyDescent="0.2">
      <c r="A14" s="83" t="s">
        <v>89</v>
      </c>
      <c r="B14" s="32">
        <f>B11+'Data Sheet'!B59</f>
        <v>4609.01</v>
      </c>
      <c r="C14" s="32">
        <f>C11+'Data Sheet'!C59</f>
        <v>4241.6099999999997</v>
      </c>
      <c r="D14" s="32">
        <f>D11+'Data Sheet'!D59</f>
        <v>4571.49</v>
      </c>
      <c r="E14" s="32">
        <f>E11+'Data Sheet'!E59</f>
        <v>5867.71</v>
      </c>
      <c r="F14" s="32">
        <f>F11+'Data Sheet'!F59</f>
        <v>9478.52</v>
      </c>
      <c r="G14" s="32">
        <f>G11+'Data Sheet'!G59</f>
        <v>11513.859999999999</v>
      </c>
      <c r="H14" s="32">
        <f>H11+'Data Sheet'!H59</f>
        <v>10618.380000000001</v>
      </c>
      <c r="I14" s="32">
        <f>I11+'Data Sheet'!I59</f>
        <v>10533.189999999999</v>
      </c>
      <c r="J14" s="32">
        <f>J11+'Data Sheet'!J59</f>
        <v>10490.99</v>
      </c>
      <c r="K14" s="32">
        <f>K11+'Data Sheet'!K59</f>
        <v>11276.4</v>
      </c>
      <c r="L14" s="79"/>
      <c r="M14" s="95" t="str">
        <f t="shared" si="2"/>
        <v>Capital Employed</v>
      </c>
      <c r="N14" s="80">
        <f t="shared" si="5"/>
        <v>-7.9713430866932486E-2</v>
      </c>
      <c r="O14" s="80">
        <f t="shared" si="5"/>
        <v>7.777235530847959E-2</v>
      </c>
      <c r="P14" s="80">
        <f t="shared" si="5"/>
        <v>0.28354431487326898</v>
      </c>
      <c r="Q14" s="80">
        <f t="shared" si="5"/>
        <v>0.61536953939441463</v>
      </c>
      <c r="R14" s="80">
        <f t="shared" si="5"/>
        <v>0.21473183577182917</v>
      </c>
      <c r="S14" s="80">
        <f t="shared" si="5"/>
        <v>-7.7774091399408871E-2</v>
      </c>
      <c r="T14" s="80">
        <f t="shared" si="5"/>
        <v>-8.0228810797882844E-3</v>
      </c>
      <c r="U14" s="80">
        <f t="shared" si="5"/>
        <v>-4.0063836311695616E-3</v>
      </c>
      <c r="V14" s="80">
        <f t="shared" si="5"/>
        <v>7.4865193847291803E-2</v>
      </c>
    </row>
    <row r="15" spans="1:22" ht="15" x14ac:dyDescent="0.25">
      <c r="A15" s="83" t="s">
        <v>90</v>
      </c>
      <c r="B15" s="35">
        <f>'Data Sheet'!B61</f>
        <v>5380.32</v>
      </c>
      <c r="C15" s="35">
        <f>'Data Sheet'!C61</f>
        <v>4867.3500000000004</v>
      </c>
      <c r="D15" s="35">
        <f>'Data Sheet'!D61</f>
        <v>5247.97</v>
      </c>
      <c r="E15" s="35">
        <f>'Data Sheet'!E61</f>
        <v>6834.17</v>
      </c>
      <c r="F15" s="35">
        <f>'Data Sheet'!F61</f>
        <v>10765.37</v>
      </c>
      <c r="G15" s="35">
        <f>'Data Sheet'!G61</f>
        <v>14626.42</v>
      </c>
      <c r="H15" s="35">
        <f>'Data Sheet'!H61</f>
        <v>13555.14</v>
      </c>
      <c r="I15" s="35">
        <f>'Data Sheet'!I61</f>
        <v>13044.4</v>
      </c>
      <c r="J15" s="35">
        <f>'Data Sheet'!J61</f>
        <v>13079.44</v>
      </c>
      <c r="K15" s="35">
        <f>'Data Sheet'!K61</f>
        <v>14550.3</v>
      </c>
      <c r="L15" s="79"/>
      <c r="M15" s="95" t="str">
        <f t="shared" si="2"/>
        <v>Total Assets</v>
      </c>
      <c r="N15" s="80">
        <f t="shared" si="5"/>
        <v>-9.5341912748683977E-2</v>
      </c>
      <c r="O15" s="80">
        <f t="shared" si="5"/>
        <v>7.8198609099407249E-2</v>
      </c>
      <c r="P15" s="80">
        <f t="shared" si="5"/>
        <v>0.30225020341198594</v>
      </c>
      <c r="Q15" s="80">
        <f t="shared" si="5"/>
        <v>0.57522713072692089</v>
      </c>
      <c r="R15" s="80">
        <f t="shared" si="5"/>
        <v>0.35865464912028094</v>
      </c>
      <c r="S15" s="80">
        <f t="shared" si="5"/>
        <v>-7.3242803091939146E-2</v>
      </c>
      <c r="T15" s="80">
        <f t="shared" si="5"/>
        <v>-3.7678696051829774E-2</v>
      </c>
      <c r="U15" s="80">
        <f t="shared" si="5"/>
        <v>2.6862101744810703E-3</v>
      </c>
      <c r="V15" s="80">
        <f t="shared" si="5"/>
        <v>0.11245588496143556</v>
      </c>
    </row>
    <row r="16" spans="1:22" ht="15" x14ac:dyDescent="0.25">
      <c r="A16" s="45"/>
      <c r="B16" s="16">
        <f>B3</f>
        <v>39813</v>
      </c>
      <c r="C16" s="16">
        <f t="shared" ref="C16:K16" si="6">C3</f>
        <v>40178</v>
      </c>
      <c r="D16" s="16">
        <f t="shared" si="6"/>
        <v>40543</v>
      </c>
      <c r="E16" s="16">
        <f t="shared" si="6"/>
        <v>40908</v>
      </c>
      <c r="F16" s="16">
        <f t="shared" si="6"/>
        <v>41274</v>
      </c>
      <c r="G16" s="16">
        <f t="shared" si="6"/>
        <v>41639</v>
      </c>
      <c r="H16" s="16">
        <f t="shared" si="6"/>
        <v>42004</v>
      </c>
      <c r="I16" s="16">
        <f t="shared" si="6"/>
        <v>42369</v>
      </c>
      <c r="J16" s="16">
        <f t="shared" si="6"/>
        <v>42735</v>
      </c>
      <c r="K16" s="16">
        <f t="shared" si="6"/>
        <v>43100</v>
      </c>
      <c r="L16" s="79"/>
      <c r="M16" s="95" t="s">
        <v>205</v>
      </c>
      <c r="N16" s="80"/>
      <c r="O16" s="80"/>
      <c r="P16" s="80"/>
      <c r="Q16" s="80"/>
      <c r="R16" s="80"/>
      <c r="S16" s="80"/>
      <c r="T16" s="80"/>
      <c r="U16" s="80"/>
      <c r="V16" s="80"/>
    </row>
    <row r="17" spans="1:22" ht="25.5" x14ac:dyDescent="0.2">
      <c r="A17" s="86" t="s">
        <v>91</v>
      </c>
      <c r="B17" s="32">
        <f>'Data Sheet'!B82</f>
        <v>392.81</v>
      </c>
      <c r="C17" s="32">
        <f>'Data Sheet'!C82</f>
        <v>935.92</v>
      </c>
      <c r="D17" s="32">
        <f>'Data Sheet'!D82</f>
        <v>317.95999999999998</v>
      </c>
      <c r="E17" s="32">
        <f>'Data Sheet'!E82</f>
        <v>844.02</v>
      </c>
      <c r="F17" s="32">
        <f>'Data Sheet'!F82</f>
        <v>1401.97</v>
      </c>
      <c r="G17" s="32">
        <f>'Data Sheet'!G82</f>
        <v>609.14</v>
      </c>
      <c r="H17" s="32">
        <f>'Data Sheet'!H82</f>
        <v>1291.25</v>
      </c>
      <c r="I17" s="32">
        <f>'Data Sheet'!I82</f>
        <v>1238.23</v>
      </c>
      <c r="J17" s="32">
        <f>'Data Sheet'!J82</f>
        <v>1566.75</v>
      </c>
      <c r="K17" s="32">
        <f>'Data Sheet'!K82</f>
        <v>868.09</v>
      </c>
      <c r="L17" s="79"/>
      <c r="M17" s="95" t="str">
        <f t="shared" si="2"/>
        <v>Operating Cash Flow</v>
      </c>
      <c r="N17" s="80">
        <f t="shared" ref="N17:V17" si="7">(C17-B17)/B17</f>
        <v>1.3826277335098391</v>
      </c>
      <c r="O17" s="80">
        <f t="shared" si="7"/>
        <v>-0.66027010855628698</v>
      </c>
      <c r="P17" s="80">
        <f t="shared" si="7"/>
        <v>1.6544848408604855</v>
      </c>
      <c r="Q17" s="80">
        <f t="shared" si="7"/>
        <v>0.66106253406317395</v>
      </c>
      <c r="R17" s="80">
        <f t="shared" si="7"/>
        <v>-0.56551138754752239</v>
      </c>
      <c r="S17" s="80">
        <f t="shared" si="7"/>
        <v>1.1197918376727847</v>
      </c>
      <c r="T17" s="80">
        <f t="shared" si="7"/>
        <v>-4.1060987415295243E-2</v>
      </c>
      <c r="U17" s="80">
        <f t="shared" si="7"/>
        <v>0.26531419849301019</v>
      </c>
      <c r="V17" s="80">
        <f t="shared" si="7"/>
        <v>-0.44592947183660442</v>
      </c>
    </row>
    <row r="18" spans="1:22" x14ac:dyDescent="0.2">
      <c r="A18" s="86" t="s">
        <v>92</v>
      </c>
      <c r="B18" s="32">
        <v>0</v>
      </c>
      <c r="C18" s="32">
        <f>('Data Sheet'!C62-'Data Sheet'!B62)+('Data Sheet'!C63-'Data Sheet'!B63)+'Data Sheet'!C26</f>
        <v>-74.180000000000007</v>
      </c>
      <c r="D18" s="32">
        <f>('Data Sheet'!D62-'Data Sheet'!C62)+('Data Sheet'!D63-'Data Sheet'!C63)+'Data Sheet'!D26</f>
        <v>-29.090000000000202</v>
      </c>
      <c r="E18" s="32">
        <f>('Data Sheet'!E62-'Data Sheet'!D62)+('Data Sheet'!E63-'Data Sheet'!D63)+'Data Sheet'!E26</f>
        <v>636.70000000000027</v>
      </c>
      <c r="F18" s="32">
        <f>('Data Sheet'!F62-'Data Sheet'!E62)+('Data Sheet'!F63-'Data Sheet'!E63)+'Data Sheet'!F26</f>
        <v>607.75999999999976</v>
      </c>
      <c r="G18" s="32">
        <f>('Data Sheet'!G62-'Data Sheet'!F62)+('Data Sheet'!G63-'Data Sheet'!F63)+'Data Sheet'!G26</f>
        <v>5585.24</v>
      </c>
      <c r="H18" s="32">
        <f>('Data Sheet'!H62-'Data Sheet'!G62)+('Data Sheet'!H63-'Data Sheet'!G63)+'Data Sheet'!H26</f>
        <v>-206.55999999999904</v>
      </c>
      <c r="I18" s="32">
        <f>('Data Sheet'!I62-'Data Sheet'!H62)+('Data Sheet'!I63-'Data Sheet'!H63)+'Data Sheet'!I26</f>
        <v>297.58999999999975</v>
      </c>
      <c r="J18" s="32">
        <f>('Data Sheet'!J62-'Data Sheet'!I62)+('Data Sheet'!J63-'Data Sheet'!I63)+'Data Sheet'!J26</f>
        <v>717.01999999999975</v>
      </c>
      <c r="K18" s="32">
        <f>('Data Sheet'!K62-'Data Sheet'!J62)+('Data Sheet'!K63-'Data Sheet'!J63)+'Data Sheet'!K26</f>
        <v>507.87999999999971</v>
      </c>
      <c r="L18" s="79" t="s">
        <v>93</v>
      </c>
      <c r="M18" s="95" t="str">
        <f t="shared" si="2"/>
        <v>Capex</v>
      </c>
      <c r="N18" s="80">
        <f>IF(B18=0,0,(C18-B18)/B18)</f>
        <v>0</v>
      </c>
      <c r="O18" s="80">
        <f t="shared" ref="O18:V24" si="8">(D18-C18)/C18</f>
        <v>-0.60784578053383387</v>
      </c>
      <c r="P18" s="80">
        <f t="shared" si="8"/>
        <v>-22.887246476452244</v>
      </c>
      <c r="Q18" s="80">
        <f t="shared" si="8"/>
        <v>-4.545311763782079E-2</v>
      </c>
      <c r="R18" s="80">
        <f t="shared" si="8"/>
        <v>8.1898775832565516</v>
      </c>
      <c r="S18" s="80">
        <f t="shared" si="8"/>
        <v>-1.0369831914116492</v>
      </c>
      <c r="T18" s="80">
        <f t="shared" si="8"/>
        <v>-2.4406951975213067</v>
      </c>
      <c r="U18" s="80">
        <f t="shared" si="8"/>
        <v>1.4094223596223003</v>
      </c>
      <c r="V18" s="80">
        <f t="shared" si="8"/>
        <v>-0.29167945106133736</v>
      </c>
    </row>
    <row r="19" spans="1:22" x14ac:dyDescent="0.2">
      <c r="A19" s="86" t="s">
        <v>94</v>
      </c>
      <c r="B19" s="36">
        <v>0</v>
      </c>
      <c r="C19" s="36">
        <f>C17-C18</f>
        <v>1010.0999999999999</v>
      </c>
      <c r="D19" s="36">
        <f t="shared" ref="D19:K19" si="9">D17-D18</f>
        <v>347.05000000000018</v>
      </c>
      <c r="E19" s="36">
        <f t="shared" si="9"/>
        <v>207.31999999999971</v>
      </c>
      <c r="F19" s="36">
        <f t="shared" si="9"/>
        <v>794.21000000000026</v>
      </c>
      <c r="G19" s="36">
        <f t="shared" si="9"/>
        <v>-4976.0999999999995</v>
      </c>
      <c r="H19" s="36">
        <f t="shared" si="9"/>
        <v>1497.809999999999</v>
      </c>
      <c r="I19" s="36">
        <f t="shared" si="9"/>
        <v>940.64000000000033</v>
      </c>
      <c r="J19" s="36">
        <f t="shared" si="9"/>
        <v>849.73000000000025</v>
      </c>
      <c r="K19" s="36">
        <f t="shared" si="9"/>
        <v>360.21000000000032</v>
      </c>
      <c r="L19" s="79"/>
      <c r="M19" s="95" t="str">
        <f t="shared" si="2"/>
        <v>Free Cash Flow</v>
      </c>
      <c r="N19" s="80">
        <f>IF(B19=0,0,(C19-B19)/B19)</f>
        <v>0</v>
      </c>
      <c r="O19" s="80">
        <f t="shared" si="8"/>
        <v>-0.65642015642015616</v>
      </c>
      <c r="P19" s="80">
        <f t="shared" si="8"/>
        <v>-0.40262210056187986</v>
      </c>
      <c r="Q19" s="80">
        <f t="shared" si="8"/>
        <v>2.8308412116534893</v>
      </c>
      <c r="R19" s="80">
        <f t="shared" si="8"/>
        <v>-7.2654713488875711</v>
      </c>
      <c r="S19" s="80">
        <f t="shared" si="8"/>
        <v>-1.3010007837463071</v>
      </c>
      <c r="T19" s="80">
        <f t="shared" si="8"/>
        <v>-0.37198977173339681</v>
      </c>
      <c r="U19" s="80">
        <f t="shared" si="8"/>
        <v>-9.6646963769348587E-2</v>
      </c>
      <c r="V19" s="80">
        <f t="shared" si="8"/>
        <v>-0.57608887528979769</v>
      </c>
    </row>
    <row r="20" spans="1:22" x14ac:dyDescent="0.2">
      <c r="A20" s="86" t="s">
        <v>95</v>
      </c>
      <c r="B20" s="37">
        <f>'Data Sheet'!B29/'Data Sheet'!B28</f>
        <v>0.35015128106089866</v>
      </c>
      <c r="C20" s="37">
        <f>'Data Sheet'!C29/'Data Sheet'!C28</f>
        <v>0.27886132574217165</v>
      </c>
      <c r="D20" s="37">
        <f>'Data Sheet'!D29/'Data Sheet'!D28</f>
        <v>0.28153126480341073</v>
      </c>
      <c r="E20" s="37">
        <f>'Data Sheet'!E29/'Data Sheet'!E28</f>
        <v>0.34008101185394041</v>
      </c>
      <c r="F20" s="37">
        <f>'Data Sheet'!F29/'Data Sheet'!F28</f>
        <v>0.3193034869586866</v>
      </c>
      <c r="G20" s="37">
        <f>'Data Sheet'!G29/'Data Sheet'!G28</f>
        <v>8.6731681975961636E-2</v>
      </c>
      <c r="H20" s="37">
        <f>'Data Sheet'!H29/'Data Sheet'!H28</f>
        <v>-0.2090483619344774</v>
      </c>
      <c r="I20" s="37">
        <f>'Data Sheet'!I29/'Data Sheet'!I28</f>
        <v>0.39361659444711922</v>
      </c>
      <c r="J20" s="37">
        <f>'Data Sheet'!J29/'Data Sheet'!J28</f>
        <v>0.37330222481459874</v>
      </c>
      <c r="K20" s="37">
        <f>'Data Sheet'!K29/'Data Sheet'!K28</f>
        <v>0.26920557600583062</v>
      </c>
      <c r="L20" s="79"/>
      <c r="M20" s="95" t="str">
        <f t="shared" si="2"/>
        <v>Tax Rate</v>
      </c>
      <c r="N20" s="80">
        <f>(C20-B20)/B20</f>
        <v>-0.20359758531435498</v>
      </c>
      <c r="O20" s="80">
        <f t="shared" si="8"/>
        <v>9.5744329341231043E-3</v>
      </c>
      <c r="P20" s="80">
        <f t="shared" si="8"/>
        <v>0.20796889855701864</v>
      </c>
      <c r="Q20" s="80">
        <f t="shared" si="8"/>
        <v>-6.1095810030633045E-2</v>
      </c>
      <c r="R20" s="80">
        <f t="shared" si="8"/>
        <v>-0.72837226801978672</v>
      </c>
      <c r="S20" s="80">
        <f t="shared" si="8"/>
        <v>-3.4102883418358796</v>
      </c>
      <c r="T20" s="80">
        <f t="shared" si="8"/>
        <v>-2.8828972913477866</v>
      </c>
      <c r="U20" s="80">
        <f t="shared" si="8"/>
        <v>-5.1609535571167674E-2</v>
      </c>
      <c r="V20" s="80">
        <f t="shared" si="8"/>
        <v>-0.27885354516830946</v>
      </c>
    </row>
    <row r="21" spans="1:22" x14ac:dyDescent="0.2">
      <c r="A21" s="86" t="s">
        <v>96</v>
      </c>
      <c r="B21" s="36">
        <f t="shared" ref="B21:K21" si="10">B5*(1-B20)</f>
        <v>678.95544306038369</v>
      </c>
      <c r="C21" s="36">
        <f t="shared" si="10"/>
        <v>606.27570622204144</v>
      </c>
      <c r="D21" s="36">
        <f t="shared" si="10"/>
        <v>395.20091248223588</v>
      </c>
      <c r="E21" s="36">
        <f t="shared" si="10"/>
        <v>826.75970672914639</v>
      </c>
      <c r="F21" s="36">
        <f t="shared" si="10"/>
        <v>718.53643220128015</v>
      </c>
      <c r="G21" s="36">
        <f t="shared" si="10"/>
        <v>928.68428723228419</v>
      </c>
      <c r="H21" s="36">
        <f t="shared" si="10"/>
        <v>819.20280811232442</v>
      </c>
      <c r="I21" s="36">
        <f t="shared" si="10"/>
        <v>663.94738224201569</v>
      </c>
      <c r="J21" s="36">
        <f t="shared" si="10"/>
        <v>696.19229147571048</v>
      </c>
      <c r="K21" s="36">
        <f t="shared" si="10"/>
        <v>1226.7115201166127</v>
      </c>
      <c r="L21" s="79"/>
      <c r="M21" s="95" t="str">
        <f t="shared" si="2"/>
        <v>NOPLAT</v>
      </c>
      <c r="N21" s="80">
        <f>(C21-B21)/B21</f>
        <v>-0.10704640132309595</v>
      </c>
      <c r="O21" s="80">
        <f t="shared" si="8"/>
        <v>-0.3481498459753587</v>
      </c>
      <c r="P21" s="80">
        <f t="shared" si="8"/>
        <v>1.0919984762593606</v>
      </c>
      <c r="Q21" s="80">
        <f t="shared" si="8"/>
        <v>-0.13090051879284573</v>
      </c>
      <c r="R21" s="80">
        <f t="shared" si="8"/>
        <v>0.29246652725346617</v>
      </c>
      <c r="S21" s="80">
        <f t="shared" si="8"/>
        <v>-0.11788880314346921</v>
      </c>
      <c r="T21" s="80">
        <f t="shared" si="8"/>
        <v>-0.18952013388242803</v>
      </c>
      <c r="U21" s="80">
        <f t="shared" si="8"/>
        <v>4.8565458794054224E-2</v>
      </c>
      <c r="V21" s="80">
        <f t="shared" si="8"/>
        <v>0.76202973680786812</v>
      </c>
    </row>
    <row r="22" spans="1:22" x14ac:dyDescent="0.2">
      <c r="A22" s="86" t="s">
        <v>97</v>
      </c>
      <c r="B22" s="37">
        <f>(B5/B13)*(1-B20)</f>
        <v>0.14817398886120789</v>
      </c>
      <c r="C22" s="37">
        <f t="shared" ref="C22:K22" si="11">(C5/C13)*(1-C20)</f>
        <v>0.14397804412417362</v>
      </c>
      <c r="D22" s="37">
        <f t="shared" si="11"/>
        <v>8.6479494534262583E-2</v>
      </c>
      <c r="E22" s="37">
        <f t="shared" si="11"/>
        <v>0.14093856339461419</v>
      </c>
      <c r="F22" s="37">
        <f t="shared" si="11"/>
        <v>7.5819695681533336E-2</v>
      </c>
      <c r="G22" s="37">
        <f t="shared" si="11"/>
        <v>8.0756489649158048E-2</v>
      </c>
      <c r="H22" s="37">
        <f t="shared" si="11"/>
        <v>7.7341581825576489E-2</v>
      </c>
      <c r="I22" s="37">
        <f t="shared" si="11"/>
        <v>6.3150387087577295E-2</v>
      </c>
      <c r="J22" s="37">
        <f t="shared" si="11"/>
        <v>6.6566298977563068E-2</v>
      </c>
      <c r="K22" s="37">
        <f t="shared" si="11"/>
        <v>0.10912250214530073</v>
      </c>
      <c r="L22" s="79"/>
      <c r="M22" s="95" t="str">
        <f t="shared" si="2"/>
        <v>RoIC</v>
      </c>
      <c r="N22" s="80">
        <f>(C22-B22)/B22</f>
        <v>-2.8317687667600996E-2</v>
      </c>
      <c r="O22" s="80">
        <f t="shared" si="8"/>
        <v>-0.39935637367265187</v>
      </c>
      <c r="P22" s="80">
        <f t="shared" si="8"/>
        <v>0.62973389418661896</v>
      </c>
      <c r="Q22" s="80">
        <f t="shared" si="8"/>
        <v>-0.46203726038241494</v>
      </c>
      <c r="R22" s="80">
        <f t="shared" si="8"/>
        <v>6.5112289402489892E-2</v>
      </c>
      <c r="S22" s="80">
        <f t="shared" si="8"/>
        <v>-4.228648172323278E-2</v>
      </c>
      <c r="T22" s="80">
        <f t="shared" si="8"/>
        <v>-0.18348725747559294</v>
      </c>
      <c r="U22" s="80">
        <f t="shared" si="8"/>
        <v>5.4091701532226054E-2</v>
      </c>
      <c r="V22" s="80">
        <f t="shared" si="8"/>
        <v>0.6393055317989319</v>
      </c>
    </row>
    <row r="23" spans="1:22" x14ac:dyDescent="0.2">
      <c r="A23" s="83" t="s">
        <v>98</v>
      </c>
      <c r="B23" s="38">
        <v>0.12</v>
      </c>
      <c r="C23" s="38">
        <v>0.12</v>
      </c>
      <c r="D23" s="38">
        <v>0.12</v>
      </c>
      <c r="E23" s="38">
        <v>0.12</v>
      </c>
      <c r="F23" s="38">
        <v>0.12</v>
      </c>
      <c r="G23" s="38">
        <v>0.12</v>
      </c>
      <c r="H23" s="38">
        <v>0.12</v>
      </c>
      <c r="I23" s="38">
        <v>0.12</v>
      </c>
      <c r="J23" s="38">
        <v>0.12</v>
      </c>
      <c r="K23" s="38">
        <v>0.12</v>
      </c>
      <c r="L23" s="79"/>
      <c r="M23" s="95" t="str">
        <f t="shared" si="2"/>
        <v>WACC</v>
      </c>
      <c r="N23" s="80">
        <f>(C23-B23)/B23</f>
        <v>0</v>
      </c>
      <c r="O23" s="80">
        <f t="shared" si="8"/>
        <v>0</v>
      </c>
      <c r="P23" s="80">
        <f t="shared" si="8"/>
        <v>0</v>
      </c>
      <c r="Q23" s="80">
        <f t="shared" si="8"/>
        <v>0</v>
      </c>
      <c r="R23" s="80">
        <f t="shared" si="8"/>
        <v>0</v>
      </c>
      <c r="S23" s="80">
        <f t="shared" si="8"/>
        <v>0</v>
      </c>
      <c r="T23" s="80">
        <f t="shared" si="8"/>
        <v>0</v>
      </c>
      <c r="U23" s="80">
        <f t="shared" si="8"/>
        <v>0</v>
      </c>
      <c r="V23" s="80">
        <f t="shared" si="8"/>
        <v>0</v>
      </c>
    </row>
    <row r="24" spans="1:22" ht="25.5" x14ac:dyDescent="0.2">
      <c r="A24" s="83" t="s">
        <v>99</v>
      </c>
      <c r="B24" s="36">
        <f>B13*(B22-B23)</f>
        <v>129.09744306038374</v>
      </c>
      <c r="C24" s="36">
        <f t="shared" ref="C24:K24" si="12">C13*(C22-C23)</f>
        <v>100.96890622204147</v>
      </c>
      <c r="D24" s="36">
        <f t="shared" si="12"/>
        <v>-153.1846875177641</v>
      </c>
      <c r="E24" s="36">
        <f t="shared" si="12"/>
        <v>122.82770672914634</v>
      </c>
      <c r="F24" s="36">
        <f t="shared" si="12"/>
        <v>-418.69276779871984</v>
      </c>
      <c r="G24" s="36">
        <f t="shared" si="12"/>
        <v>-451.29291276771573</v>
      </c>
      <c r="H24" s="36">
        <f t="shared" si="12"/>
        <v>-451.83839188767553</v>
      </c>
      <c r="I24" s="36">
        <f t="shared" si="12"/>
        <v>-597.70261775798417</v>
      </c>
      <c r="J24" s="36">
        <f t="shared" si="12"/>
        <v>-558.84330852428957</v>
      </c>
      <c r="K24" s="36">
        <f t="shared" si="12"/>
        <v>-122.28047988338731</v>
      </c>
      <c r="L24" s="79"/>
      <c r="M24" s="95" t="str">
        <f t="shared" si="2"/>
        <v>EPA (Economic Profit Added)</v>
      </c>
      <c r="N24" s="80">
        <f>(C24-B24)/B24</f>
        <v>-0.21788608799312542</v>
      </c>
      <c r="O24" s="80">
        <f t="shared" si="8"/>
        <v>-2.5171471421201148</v>
      </c>
      <c r="P24" s="80">
        <f t="shared" si="8"/>
        <v>-1.8018275763685754</v>
      </c>
      <c r="Q24" s="80">
        <f t="shared" si="8"/>
        <v>-4.4087811207124519</v>
      </c>
      <c r="R24" s="80">
        <f t="shared" si="8"/>
        <v>7.7861734131189755E-2</v>
      </c>
      <c r="S24" s="80">
        <f t="shared" si="8"/>
        <v>1.2087030496766436E-3</v>
      </c>
      <c r="T24" s="80">
        <f t="shared" si="8"/>
        <v>0.32282388679041168</v>
      </c>
      <c r="U24" s="80">
        <f t="shared" si="8"/>
        <v>-6.5014453808915948E-2</v>
      </c>
      <c r="V24" s="80">
        <f t="shared" si="8"/>
        <v>-0.78119004375969459</v>
      </c>
    </row>
    <row r="25" spans="1:22" ht="15" x14ac:dyDescent="0.25">
      <c r="A25" s="45"/>
      <c r="B25" s="16">
        <f>B3</f>
        <v>39813</v>
      </c>
      <c r="C25" s="16">
        <f t="shared" ref="C25:K25" si="13">C3</f>
        <v>40178</v>
      </c>
      <c r="D25" s="16">
        <f t="shared" si="13"/>
        <v>40543</v>
      </c>
      <c r="E25" s="16">
        <f t="shared" si="13"/>
        <v>40908</v>
      </c>
      <c r="F25" s="16">
        <f t="shared" si="13"/>
        <v>41274</v>
      </c>
      <c r="G25" s="16">
        <f t="shared" si="13"/>
        <v>41639</v>
      </c>
      <c r="H25" s="16">
        <f t="shared" si="13"/>
        <v>42004</v>
      </c>
      <c r="I25" s="16">
        <f t="shared" si="13"/>
        <v>42369</v>
      </c>
      <c r="J25" s="16">
        <f t="shared" si="13"/>
        <v>42735</v>
      </c>
      <c r="K25" s="16">
        <f t="shared" si="13"/>
        <v>43100</v>
      </c>
      <c r="L25" s="16" t="s">
        <v>100</v>
      </c>
      <c r="M25" s="95" t="s">
        <v>205</v>
      </c>
      <c r="N25" s="80"/>
      <c r="O25" s="80"/>
      <c r="P25" s="80"/>
      <c r="Q25" s="80"/>
      <c r="R25" s="80"/>
      <c r="S25" s="80"/>
      <c r="T25" s="80"/>
      <c r="U25" s="80"/>
      <c r="V25" s="80"/>
    </row>
    <row r="26" spans="1:22" x14ac:dyDescent="0.2">
      <c r="A26" s="85" t="s">
        <v>101</v>
      </c>
      <c r="B26" s="39">
        <f>'Data Sheet'!B90*'Data Sheet'!B93</f>
        <v>566.98019358830459</v>
      </c>
      <c r="C26" s="39">
        <f>'Data Sheet'!C90*'Data Sheet'!C93</f>
        <v>1624.3077310490003</v>
      </c>
      <c r="D26" s="39">
        <f>'Data Sheet'!D90*'Data Sheet'!D93</f>
        <v>1275.1286738685001</v>
      </c>
      <c r="E26" s="39">
        <f>'Data Sheet'!E90*'Data Sheet'!E93</f>
        <v>1111.3558795800002</v>
      </c>
      <c r="F26" s="39">
        <f>'Data Sheet'!F90*'Data Sheet'!F93</f>
        <v>1246.2451644025878</v>
      </c>
      <c r="G26" s="39">
        <f>'Data Sheet'!G90*'Data Sheet'!G93</f>
        <v>1210.9175659506145</v>
      </c>
      <c r="H26" s="39">
        <f>'Data Sheet'!H90*'Data Sheet'!H93</f>
        <v>1369.2326853867789</v>
      </c>
      <c r="I26" s="39">
        <f>'Data Sheet'!I90*'Data Sheet'!I93</f>
        <v>1205.5590074964905</v>
      </c>
      <c r="J26" s="39">
        <f>'Data Sheet'!J90*'Data Sheet'!J93</f>
        <v>2004.5361604202499</v>
      </c>
      <c r="K26" s="39">
        <f>'Data Sheet'!K90*'Data Sheet'!K93</f>
        <v>14363.80238950734</v>
      </c>
      <c r="L26" s="94">
        <f>'Data Sheet'!B9</f>
        <v>3788.98</v>
      </c>
      <c r="M26" s="95" t="str">
        <f t="shared" si="2"/>
        <v>MktCap</v>
      </c>
      <c r="N26" s="80">
        <f t="shared" ref="N26:V29" si="14">(C26-B26)/B26</f>
        <v>1.8648403408399161</v>
      </c>
      <c r="O26" s="80">
        <f t="shared" si="14"/>
        <v>-0.21497099995639099</v>
      </c>
      <c r="P26" s="80">
        <f t="shared" si="14"/>
        <v>-0.12843628854462513</v>
      </c>
      <c r="Q26" s="80">
        <f t="shared" si="14"/>
        <v>0.12137361874898657</v>
      </c>
      <c r="R26" s="80">
        <f t="shared" si="14"/>
        <v>-2.8347230112550307E-2</v>
      </c>
      <c r="S26" s="80">
        <f t="shared" si="14"/>
        <v>0.1307397992132365</v>
      </c>
      <c r="T26" s="80">
        <f t="shared" si="14"/>
        <v>-0.11953678847803297</v>
      </c>
      <c r="U26" s="80">
        <f t="shared" si="14"/>
        <v>0.66274412779092884</v>
      </c>
      <c r="V26" s="80">
        <f t="shared" si="14"/>
        <v>6.1656489282268554</v>
      </c>
    </row>
    <row r="27" spans="1:22" x14ac:dyDescent="0.2">
      <c r="A27" s="87" t="s">
        <v>102</v>
      </c>
      <c r="B27" s="36">
        <f>B26+'Data Sheet'!B31</f>
        <v>593.19019358830462</v>
      </c>
      <c r="C27" s="36">
        <f>C26+'Data Sheet'!C31</f>
        <v>1669.6377310490002</v>
      </c>
      <c r="D27" s="36">
        <f>D26+'Data Sheet'!D31</f>
        <v>1310.5386738685002</v>
      </c>
      <c r="E27" s="36">
        <f>E26+'Data Sheet'!E31</f>
        <v>1149.8058795800002</v>
      </c>
      <c r="F27" s="36">
        <f>F26+'Data Sheet'!F31</f>
        <v>1283.8351644025877</v>
      </c>
      <c r="G27" s="36">
        <f>G26+'Data Sheet'!G31</f>
        <v>1244.5475659506146</v>
      </c>
      <c r="H27" s="36">
        <f>H26+'Data Sheet'!H31</f>
        <v>1402.862685386779</v>
      </c>
      <c r="I27" s="36">
        <f>I26+'Data Sheet'!I31</f>
        <v>1239.1890074964906</v>
      </c>
      <c r="J27" s="36">
        <f>J26+'Data Sheet'!J31</f>
        <v>2038.16616042025</v>
      </c>
      <c r="K27" s="36">
        <f>K26+'Data Sheet'!K31</f>
        <v>14431.072389507341</v>
      </c>
      <c r="M27" s="95" t="str">
        <f t="shared" si="2"/>
        <v>MktCap+Dividend</v>
      </c>
      <c r="N27" s="80">
        <f t="shared" si="14"/>
        <v>1.8146752072030861</v>
      </c>
      <c r="O27" s="80">
        <f t="shared" si="14"/>
        <v>-0.21507603146635004</v>
      </c>
      <c r="P27" s="80">
        <f t="shared" si="14"/>
        <v>-0.12264635717620027</v>
      </c>
      <c r="Q27" s="80">
        <f t="shared" si="14"/>
        <v>0.116566880725593</v>
      </c>
      <c r="R27" s="80">
        <f t="shared" si="14"/>
        <v>-3.0601746658228447E-2</v>
      </c>
      <c r="S27" s="80">
        <f t="shared" si="14"/>
        <v>0.12720696562147032</v>
      </c>
      <c r="T27" s="80">
        <f t="shared" si="14"/>
        <v>-0.11667120352920533</v>
      </c>
      <c r="U27" s="80">
        <f t="shared" si="14"/>
        <v>0.64475810234785513</v>
      </c>
      <c r="V27" s="80">
        <f t="shared" si="14"/>
        <v>6.0804199724971362</v>
      </c>
    </row>
    <row r="28" spans="1:22" x14ac:dyDescent="0.2">
      <c r="A28" s="83" t="s">
        <v>103</v>
      </c>
      <c r="B28" s="32">
        <f>'Data Sheet'!B30-'Data Sheet'!B31</f>
        <v>377.58000000000004</v>
      </c>
      <c r="C28" s="32">
        <f>'Data Sheet'!C30-'Data Sheet'!C31</f>
        <v>398.51</v>
      </c>
      <c r="D28" s="32">
        <f>'Data Sheet'!D30-'Data Sheet'!D31</f>
        <v>205.31</v>
      </c>
      <c r="E28" s="32">
        <f>'Data Sheet'!E30-'Data Sheet'!E31</f>
        <v>625.66999999999996</v>
      </c>
      <c r="F28" s="32">
        <f>'Data Sheet'!F30-'Data Sheet'!F31</f>
        <v>420.15999999999997</v>
      </c>
      <c r="G28" s="32">
        <f>'Data Sheet'!G30-'Data Sheet'!G31</f>
        <v>350.9</v>
      </c>
      <c r="H28" s="32">
        <f>'Data Sheet'!H30-'Data Sheet'!H31</f>
        <v>54.9</v>
      </c>
      <c r="I28" s="32">
        <f>'Data Sheet'!I30-'Data Sheet'!I31</f>
        <v>289.70999999999998</v>
      </c>
      <c r="J28" s="32">
        <f>'Data Sheet'!J30-'Data Sheet'!J31</f>
        <v>257.31</v>
      </c>
      <c r="K28" s="32">
        <f>'Data Sheet'!K30-'Data Sheet'!K31</f>
        <v>696.32</v>
      </c>
      <c r="M28" s="95" t="str">
        <f t="shared" si="2"/>
        <v>Retained Profit</v>
      </c>
      <c r="N28" s="80">
        <f t="shared" si="14"/>
        <v>5.543196143863538E-2</v>
      </c>
      <c r="O28" s="80">
        <f t="shared" si="14"/>
        <v>-0.48480590198489371</v>
      </c>
      <c r="P28" s="80">
        <f t="shared" si="14"/>
        <v>2.0474404558959618</v>
      </c>
      <c r="Q28" s="80">
        <f t="shared" si="14"/>
        <v>-0.32846388671344318</v>
      </c>
      <c r="R28" s="80">
        <f t="shared" si="14"/>
        <v>-0.16484196496572734</v>
      </c>
      <c r="S28" s="80">
        <f t="shared" si="14"/>
        <v>-0.8435451695639784</v>
      </c>
      <c r="T28" s="80">
        <f t="shared" si="14"/>
        <v>4.2770491803278681</v>
      </c>
      <c r="U28" s="80">
        <f t="shared" si="14"/>
        <v>-0.11183597390493935</v>
      </c>
      <c r="V28" s="80">
        <f t="shared" si="14"/>
        <v>1.7061521122381564</v>
      </c>
    </row>
    <row r="29" spans="1:22" x14ac:dyDescent="0.2">
      <c r="A29" s="88" t="s">
        <v>104</v>
      </c>
      <c r="B29" s="40">
        <f>B26+'Data Sheet'!B59-'Data Sheet'!B69</f>
        <v>4100.2501935883047</v>
      </c>
      <c r="C29" s="40">
        <f>C26+'Data Sheet'!C59-'Data Sheet'!C69</f>
        <v>4349.8277310490002</v>
      </c>
      <c r="D29" s="40">
        <f>D26+'Data Sheet'!D59-'Data Sheet'!D69</f>
        <v>4089.4086738684996</v>
      </c>
      <c r="E29" s="40">
        <f>E26+'Data Sheet'!E59-'Data Sheet'!E69</f>
        <v>4028.7658795800003</v>
      </c>
      <c r="F29" s="40">
        <f>F26+'Data Sheet'!F59-'Data Sheet'!F69</f>
        <v>3507.3851644025881</v>
      </c>
      <c r="G29" s="40">
        <f>G26+'Data Sheet'!G59-'Data Sheet'!G69</f>
        <v>8656.7775659506133</v>
      </c>
      <c r="H29" s="40">
        <f>H26+'Data Sheet'!H59-'Data Sheet'!H69</f>
        <v>8142.3126853867798</v>
      </c>
      <c r="I29" s="40">
        <f>I26+'Data Sheet'!I59-'Data Sheet'!I69</f>
        <v>7940.7890074964898</v>
      </c>
      <c r="J29" s="40">
        <f>J26+'Data Sheet'!J59-'Data Sheet'!J69</f>
        <v>8286.8461604202494</v>
      </c>
      <c r="K29" s="40">
        <f>K26+'Data Sheet'!K59-'Data Sheet'!K69</f>
        <v>20754.512389507341</v>
      </c>
      <c r="M29" s="95" t="str">
        <f t="shared" si="2"/>
        <v>EV</v>
      </c>
      <c r="N29" s="80">
        <f t="shared" si="14"/>
        <v>6.0868855722747875E-2</v>
      </c>
      <c r="O29" s="80">
        <f t="shared" si="14"/>
        <v>-5.9868820855049874E-2</v>
      </c>
      <c r="P29" s="80">
        <f t="shared" si="14"/>
        <v>-1.4829233056605329E-2</v>
      </c>
      <c r="Q29" s="80">
        <f t="shared" si="14"/>
        <v>-0.12941449832566748</v>
      </c>
      <c r="R29" s="80">
        <f t="shared" si="14"/>
        <v>1.468157091445393</v>
      </c>
      <c r="S29" s="80">
        <f t="shared" si="14"/>
        <v>-5.9429144002424113E-2</v>
      </c>
      <c r="T29" s="80">
        <f t="shared" si="14"/>
        <v>-2.4750176722145505E-2</v>
      </c>
      <c r="U29" s="80">
        <f t="shared" si="14"/>
        <v>4.3579693730316317E-2</v>
      </c>
      <c r="V29" s="80">
        <f t="shared" si="14"/>
        <v>1.5045128131659224</v>
      </c>
    </row>
    <row r="30" spans="1:22" ht="15" x14ac:dyDescent="0.25">
      <c r="A30" s="45"/>
      <c r="B30" s="16">
        <f>B3</f>
        <v>39813</v>
      </c>
      <c r="C30" s="16">
        <f t="shared" ref="C30:K30" si="15">C3</f>
        <v>40178</v>
      </c>
      <c r="D30" s="16">
        <f t="shared" si="15"/>
        <v>40543</v>
      </c>
      <c r="E30" s="16">
        <f t="shared" si="15"/>
        <v>40908</v>
      </c>
      <c r="F30" s="16">
        <f t="shared" si="15"/>
        <v>41274</v>
      </c>
      <c r="G30" s="16">
        <f t="shared" si="15"/>
        <v>41639</v>
      </c>
      <c r="H30" s="16">
        <f t="shared" si="15"/>
        <v>42004</v>
      </c>
      <c r="I30" s="16">
        <f t="shared" si="15"/>
        <v>42369</v>
      </c>
      <c r="J30" s="16">
        <f t="shared" si="15"/>
        <v>42735</v>
      </c>
      <c r="K30" s="16">
        <f t="shared" si="15"/>
        <v>43100</v>
      </c>
      <c r="M30" s="95" t="s">
        <v>205</v>
      </c>
      <c r="N30" s="80"/>
      <c r="O30" s="80"/>
      <c r="P30" s="80"/>
      <c r="Q30" s="80"/>
      <c r="R30" s="80"/>
      <c r="S30" s="80"/>
      <c r="T30" s="80"/>
      <c r="U30" s="80"/>
      <c r="V30" s="80"/>
    </row>
    <row r="31" spans="1:22" x14ac:dyDescent="0.2">
      <c r="A31" s="89" t="s">
        <v>105</v>
      </c>
      <c r="B31" s="41">
        <f>B26/'Data Sheet'!B30</f>
        <v>1.4041461987377215</v>
      </c>
      <c r="C31" s="41">
        <f>C26/'Data Sheet'!C30</f>
        <v>3.659669545442052</v>
      </c>
      <c r="D31" s="41">
        <f>D26/'Data Sheet'!D30</f>
        <v>5.2971447069977566</v>
      </c>
      <c r="E31" s="41">
        <f>E26/'Data Sheet'!E30</f>
        <v>1.6734263078660485</v>
      </c>
      <c r="F31" s="41">
        <f>F26/'Data Sheet'!F30</f>
        <v>2.7225454164993725</v>
      </c>
      <c r="G31" s="41">
        <f>G26/'Data Sheet'!G30</f>
        <v>3.1490847682901584</v>
      </c>
      <c r="H31" s="41">
        <f>H26/'Data Sheet'!H30</f>
        <v>15.466312949133389</v>
      </c>
      <c r="I31" s="41">
        <f>I26/'Data Sheet'!I30</f>
        <v>3.7284561374914658</v>
      </c>
      <c r="J31" s="41">
        <f>J26/'Data Sheet'!J30</f>
        <v>6.8898610037129648</v>
      </c>
      <c r="K31" s="41">
        <f>K26/'Data Sheet'!K30</f>
        <v>18.810883313698895</v>
      </c>
      <c r="M31" s="95" t="str">
        <f t="shared" si="2"/>
        <v>Price/Earnings</v>
      </c>
      <c r="N31" s="80">
        <f t="shared" ref="N31:N43" si="16">(C31-B31)/B31</f>
        <v>1.6063308427085208</v>
      </c>
      <c r="O31" s="80">
        <f t="shared" ref="O31:O43" si="17">(D31-C31)/C31</f>
        <v>0.44743798346358993</v>
      </c>
      <c r="P31" s="80">
        <f t="shared" ref="P31:P43" si="18">(E31-D31)/D31</f>
        <v>-0.68408899502870291</v>
      </c>
      <c r="Q31" s="80">
        <f t="shared" ref="Q31:Q43" si="19">(F31-E31)/E31</f>
        <v>0.62692877702583727</v>
      </c>
      <c r="R31" s="80">
        <f t="shared" ref="R31:R43" si="20">(G31-F31)/F31</f>
        <v>0.15666932467162542</v>
      </c>
      <c r="S31" s="80">
        <f t="shared" ref="S31:S43" si="21">(H31-G31)/G31</f>
        <v>3.9113676154011725</v>
      </c>
      <c r="T31" s="80">
        <f t="shared" ref="T31:T43" si="22">(I31-H31)/H31</f>
        <v>-0.75893051241405407</v>
      </c>
      <c r="U31" s="80">
        <f t="shared" ref="U31:U43" si="23">(J31-I31)/I31</f>
        <v>0.84791258087550325</v>
      </c>
      <c r="V31" s="80">
        <f t="shared" ref="V31:V43" si="24">(K31-J31)/J31</f>
        <v>1.7302268222191504</v>
      </c>
    </row>
    <row r="32" spans="1:22" x14ac:dyDescent="0.2">
      <c r="A32" s="90" t="s">
        <v>106</v>
      </c>
      <c r="B32" s="42">
        <f t="shared" ref="B32:K32" si="25">B26/B11</f>
        <v>0.67512108974340279</v>
      </c>
      <c r="C32" s="42">
        <f t="shared" si="25"/>
        <v>1.3419594605494056</v>
      </c>
      <c r="D32" s="42">
        <f t="shared" si="25"/>
        <v>0.91515317319302414</v>
      </c>
      <c r="E32" s="42">
        <f t="shared" si="25"/>
        <v>0.52400201781319256</v>
      </c>
      <c r="F32" s="42">
        <f t="shared" si="25"/>
        <v>0.48840373731814368</v>
      </c>
      <c r="G32" s="42">
        <f t="shared" si="25"/>
        <v>0.37567518046685383</v>
      </c>
      <c r="H32" s="42">
        <f t="shared" si="25"/>
        <v>0.4648115899309449</v>
      </c>
      <c r="I32" s="42">
        <f t="shared" si="25"/>
        <v>0.41040306638178398</v>
      </c>
      <c r="J32" s="42">
        <f t="shared" si="25"/>
        <v>0.63338278140559778</v>
      </c>
      <c r="K32" s="42">
        <f t="shared" si="25"/>
        <v>3.6418453866553437</v>
      </c>
      <c r="M32" s="95" t="str">
        <f t="shared" si="2"/>
        <v>Price/Book</v>
      </c>
      <c r="N32" s="80">
        <f t="shared" si="16"/>
        <v>0.98773150615018113</v>
      </c>
      <c r="O32" s="80">
        <f t="shared" si="17"/>
        <v>-0.31804707959035111</v>
      </c>
      <c r="P32" s="80">
        <f t="shared" si="18"/>
        <v>-0.42741605103666069</v>
      </c>
      <c r="Q32" s="80">
        <f t="shared" si="19"/>
        <v>-6.7935388194897584E-2</v>
      </c>
      <c r="R32" s="80">
        <f t="shared" si="20"/>
        <v>-0.23081018476699136</v>
      </c>
      <c r="S32" s="80">
        <f t="shared" si="21"/>
        <v>0.23726989191386216</v>
      </c>
      <c r="T32" s="80">
        <f t="shared" si="22"/>
        <v>-0.11705500621713019</v>
      </c>
      <c r="U32" s="80">
        <f t="shared" si="23"/>
        <v>0.54331883284805527</v>
      </c>
      <c r="V32" s="80">
        <f t="shared" si="24"/>
        <v>4.749833266028153</v>
      </c>
    </row>
    <row r="33" spans="1:22" x14ac:dyDescent="0.2">
      <c r="A33" s="90" t="s">
        <v>107</v>
      </c>
      <c r="B33" s="42">
        <f t="shared" ref="B33:K33" si="26">B26/B17</f>
        <v>1.4433955184142577</v>
      </c>
      <c r="C33" s="42">
        <f t="shared" si="26"/>
        <v>1.7355198425602618</v>
      </c>
      <c r="D33" s="42">
        <f t="shared" si="26"/>
        <v>4.0103430427365083</v>
      </c>
      <c r="E33" s="42">
        <f t="shared" si="26"/>
        <v>1.3167411667732996</v>
      </c>
      <c r="F33" s="42">
        <f t="shared" si="26"/>
        <v>0.8889242739877371</v>
      </c>
      <c r="G33" s="42">
        <f t="shared" si="26"/>
        <v>1.9879133958541788</v>
      </c>
      <c r="H33" s="42">
        <f t="shared" si="26"/>
        <v>1.0603931735812422</v>
      </c>
      <c r="I33" s="42">
        <f t="shared" si="26"/>
        <v>0.97361476260185142</v>
      </c>
      <c r="J33" s="42">
        <f t="shared" si="26"/>
        <v>1.2794231118048507</v>
      </c>
      <c r="K33" s="42">
        <f t="shared" si="26"/>
        <v>16.546443789822874</v>
      </c>
      <c r="M33" s="95" t="str">
        <f t="shared" si="2"/>
        <v>Price/CashFlow</v>
      </c>
      <c r="N33" s="80">
        <f t="shared" si="16"/>
        <v>0.2023868859361137</v>
      </c>
      <c r="O33" s="80">
        <f t="shared" si="17"/>
        <v>1.3107445644760809</v>
      </c>
      <c r="P33" s="80">
        <f t="shared" si="18"/>
        <v>-0.67166370738329539</v>
      </c>
      <c r="Q33" s="80">
        <f t="shared" si="19"/>
        <v>-0.32490583842983833</v>
      </c>
      <c r="R33" s="80">
        <f t="shared" si="20"/>
        <v>1.2363135466380599</v>
      </c>
      <c r="S33" s="80">
        <f t="shared" si="21"/>
        <v>-0.4665797937713449</v>
      </c>
      <c r="T33" s="80">
        <f t="shared" si="22"/>
        <v>-8.1836070941796027E-2</v>
      </c>
      <c r="U33" s="80">
        <f t="shared" si="23"/>
        <v>0.31409584257511519</v>
      </c>
      <c r="V33" s="80">
        <f t="shared" si="24"/>
        <v>11.932737916920395</v>
      </c>
    </row>
    <row r="34" spans="1:22" x14ac:dyDescent="0.2">
      <c r="A34" s="90" t="s">
        <v>108</v>
      </c>
      <c r="B34" s="42">
        <f>B26/'Data Sheet'!B17</f>
        <v>0.12765396542377297</v>
      </c>
      <c r="C34" s="42">
        <f>C26/'Data Sheet'!C17</f>
        <v>0.44850555860641717</v>
      </c>
      <c r="D34" s="42">
        <f>D26/'Data Sheet'!D17</f>
        <v>0.33982679213720157</v>
      </c>
      <c r="E34" s="42">
        <f>E26/'Data Sheet'!E17</f>
        <v>0.19749608236734598</v>
      </c>
      <c r="F34" s="42">
        <f>F26/'Data Sheet'!F17</f>
        <v>0.23285814785313536</v>
      </c>
      <c r="G34" s="42">
        <f>G26/'Data Sheet'!G17</f>
        <v>0.10324942922887757</v>
      </c>
      <c r="H34" s="42">
        <f>H26/'Data Sheet'!H17</f>
        <v>0.11486013062694073</v>
      </c>
      <c r="I34" s="42">
        <f>I26/'Data Sheet'!I17</f>
        <v>0.11813658169315491</v>
      </c>
      <c r="J34" s="42">
        <f>J26/'Data Sheet'!J17</f>
        <v>0.216515142330377</v>
      </c>
      <c r="K34" s="42">
        <f>K26/'Data Sheet'!K17</f>
        <v>1.2710497179394749</v>
      </c>
      <c r="M34" s="95" t="str">
        <f t="shared" si="2"/>
        <v>Price/Sales</v>
      </c>
      <c r="N34" s="80">
        <f t="shared" si="16"/>
        <v>2.5134479145830912</v>
      </c>
      <c r="O34" s="80">
        <f t="shared" si="17"/>
        <v>-0.24231308705938662</v>
      </c>
      <c r="P34" s="80">
        <f t="shared" si="18"/>
        <v>-0.41883310281312675</v>
      </c>
      <c r="Q34" s="80">
        <f t="shared" si="19"/>
        <v>0.17905198453514309</v>
      </c>
      <c r="R34" s="80">
        <f t="shared" si="20"/>
        <v>-0.55659945687622037</v>
      </c>
      <c r="S34" s="80">
        <f t="shared" si="21"/>
        <v>0.11245293542810002</v>
      </c>
      <c r="T34" s="80">
        <f t="shared" si="22"/>
        <v>2.852557321962236E-2</v>
      </c>
      <c r="U34" s="80">
        <f t="shared" si="23"/>
        <v>0.83275272762460795</v>
      </c>
      <c r="V34" s="80">
        <f t="shared" si="24"/>
        <v>4.8704887993468855</v>
      </c>
    </row>
    <row r="35" spans="1:22" x14ac:dyDescent="0.2">
      <c r="A35" s="90" t="s">
        <v>109</v>
      </c>
      <c r="B35" s="42">
        <f t="shared" ref="B35:K35" si="27">B29/B6</f>
        <v>3.5629254121777745</v>
      </c>
      <c r="C35" s="42">
        <f t="shared" si="27"/>
        <v>4.5152202487611204</v>
      </c>
      <c r="D35" s="42">
        <f t="shared" si="27"/>
        <v>6.1426512961043347</v>
      </c>
      <c r="E35" s="42">
        <f t="shared" si="27"/>
        <v>2.9498344361966966</v>
      </c>
      <c r="F35" s="42">
        <f t="shared" si="27"/>
        <v>2.9835866858370372</v>
      </c>
      <c r="G35" s="42">
        <f t="shared" si="27"/>
        <v>6.3017962917308097</v>
      </c>
      <c r="H35" s="42">
        <f t="shared" si="27"/>
        <v>7.9472862800737696</v>
      </c>
      <c r="I35" s="42">
        <f t="shared" si="27"/>
        <v>5.5812960868012578</v>
      </c>
      <c r="J35" s="42">
        <f t="shared" si="27"/>
        <v>5.084391395837832</v>
      </c>
      <c r="K35" s="42">
        <f t="shared" si="27"/>
        <v>9.4157653191850859</v>
      </c>
      <c r="M35" s="95" t="str">
        <f t="shared" si="2"/>
        <v>EV/EBITDA</v>
      </c>
      <c r="N35" s="80">
        <f t="shared" si="16"/>
        <v>0.26727891449214275</v>
      </c>
      <c r="O35" s="80">
        <f t="shared" si="17"/>
        <v>0.36043226192337935</v>
      </c>
      <c r="P35" s="80">
        <f t="shared" si="18"/>
        <v>-0.51977830190890384</v>
      </c>
      <c r="Q35" s="80">
        <f t="shared" si="19"/>
        <v>1.1442082723753926E-2</v>
      </c>
      <c r="R35" s="80">
        <f t="shared" si="20"/>
        <v>1.1121545828197907</v>
      </c>
      <c r="S35" s="80">
        <f t="shared" si="21"/>
        <v>0.26111443660947353</v>
      </c>
      <c r="T35" s="80">
        <f t="shared" si="22"/>
        <v>-0.297710452334498</v>
      </c>
      <c r="U35" s="80">
        <f t="shared" si="23"/>
        <v>-8.9030340486417545E-2</v>
      </c>
      <c r="V35" s="80">
        <f t="shared" si="24"/>
        <v>0.85189624207392634</v>
      </c>
    </row>
    <row r="36" spans="1:22" x14ac:dyDescent="0.2">
      <c r="A36" s="90" t="s">
        <v>110</v>
      </c>
      <c r="B36" s="43">
        <f>'Data Sheet'!B31/'Calculated Data'!B26</f>
        <v>4.6227364370741306E-2</v>
      </c>
      <c r="C36" s="43">
        <f>'Data Sheet'!C31/'Calculated Data'!C26</f>
        <v>2.7907273439328681E-2</v>
      </c>
      <c r="D36" s="43">
        <f>'Data Sheet'!D31/'Calculated Data'!D26</f>
        <v>2.7769746477877194E-2</v>
      </c>
      <c r="E36" s="43">
        <f>'Data Sheet'!E31/'Calculated Data'!E26</f>
        <v>3.4597378487376061E-2</v>
      </c>
      <c r="F36" s="43">
        <f>'Data Sheet'!F31/'Calculated Data'!F26</f>
        <v>3.0162604496860385E-2</v>
      </c>
      <c r="G36" s="43">
        <f>'Data Sheet'!G31/'Calculated Data'!G26</f>
        <v>2.7772328146548293E-2</v>
      </c>
      <c r="H36" s="43">
        <f>'Data Sheet'!H31/'Calculated Data'!H26</f>
        <v>2.4561201583133584E-2</v>
      </c>
      <c r="I36" s="43">
        <f>'Data Sheet'!I31/'Calculated Data'!I26</f>
        <v>2.7895772658890695E-2</v>
      </c>
      <c r="J36" s="43">
        <f>'Data Sheet'!J31/'Calculated Data'!J26</f>
        <v>1.677694853504139E-2</v>
      </c>
      <c r="K36" s="43">
        <f>'Data Sheet'!K31/'Calculated Data'!K26</f>
        <v>4.6833002972207606E-3</v>
      </c>
      <c r="M36" s="95" t="str">
        <f t="shared" si="2"/>
        <v>Dividend Yield</v>
      </c>
      <c r="N36" s="80">
        <f t="shared" si="16"/>
        <v>-0.39630403292055222</v>
      </c>
      <c r="O36" s="80">
        <f t="shared" si="17"/>
        <v>-4.9279970596366168E-3</v>
      </c>
      <c r="P36" s="80">
        <f t="shared" si="18"/>
        <v>0.24586583874426471</v>
      </c>
      <c r="Q36" s="80">
        <f t="shared" si="19"/>
        <v>-0.12818237058434478</v>
      </c>
      <c r="R36" s="80">
        <f t="shared" si="20"/>
        <v>-7.9246351241349031E-2</v>
      </c>
      <c r="S36" s="80">
        <f t="shared" si="21"/>
        <v>-0.11562324002763903</v>
      </c>
      <c r="T36" s="80">
        <f t="shared" si="22"/>
        <v>0.13576579567861993</v>
      </c>
      <c r="U36" s="80">
        <f t="shared" si="23"/>
        <v>-0.39858455472125492</v>
      </c>
      <c r="V36" s="80">
        <f t="shared" si="24"/>
        <v>-0.72084909914106698</v>
      </c>
    </row>
    <row r="37" spans="1:22" ht="15" x14ac:dyDescent="0.25">
      <c r="A37" s="45"/>
      <c r="B37" s="16">
        <f>B3</f>
        <v>39813</v>
      </c>
      <c r="C37" s="16">
        <f t="shared" ref="C37:K37" si="28">C3</f>
        <v>40178</v>
      </c>
      <c r="D37" s="16">
        <f t="shared" si="28"/>
        <v>40543</v>
      </c>
      <c r="E37" s="16">
        <f t="shared" si="28"/>
        <v>40908</v>
      </c>
      <c r="F37" s="16">
        <f t="shared" si="28"/>
        <v>41274</v>
      </c>
      <c r="G37" s="16">
        <f t="shared" si="28"/>
        <v>41639</v>
      </c>
      <c r="H37" s="16">
        <f t="shared" si="28"/>
        <v>42004</v>
      </c>
      <c r="I37" s="16">
        <f t="shared" si="28"/>
        <v>42369</v>
      </c>
      <c r="J37" s="16">
        <f t="shared" si="28"/>
        <v>42735</v>
      </c>
      <c r="K37" s="16">
        <f t="shared" si="28"/>
        <v>43100</v>
      </c>
      <c r="L37" s="31" t="s">
        <v>111</v>
      </c>
      <c r="M37" s="95" t="s">
        <v>205</v>
      </c>
      <c r="N37" s="80"/>
      <c r="O37" s="80"/>
      <c r="P37" s="80"/>
      <c r="Q37" s="80"/>
      <c r="R37" s="80"/>
      <c r="S37" s="80"/>
      <c r="T37" s="80"/>
      <c r="U37" s="80"/>
      <c r="V37" s="80"/>
    </row>
    <row r="38" spans="1:22" ht="12.75" customHeight="1" x14ac:dyDescent="0.2">
      <c r="A38" s="83" t="s">
        <v>112</v>
      </c>
      <c r="B38" s="36">
        <f t="shared" ref="B38:K38" si="29">B12/B15</f>
        <v>0.17585013530793711</v>
      </c>
      <c r="C38" s="36">
        <f t="shared" si="29"/>
        <v>0.15854623152228625</v>
      </c>
      <c r="D38" s="36">
        <f t="shared" si="29"/>
        <v>0.24303873688302333</v>
      </c>
      <c r="E38" s="36">
        <f t="shared" si="29"/>
        <v>0.29965891981030618</v>
      </c>
      <c r="F38" s="36">
        <f t="shared" si="29"/>
        <v>0.4803309129179954</v>
      </c>
      <c r="G38" s="36">
        <f t="shared" si="29"/>
        <v>0.13437464533358126</v>
      </c>
      <c r="H38" s="36">
        <f t="shared" si="29"/>
        <v>0.11885970930584265</v>
      </c>
      <c r="I38" s="36">
        <f t="shared" si="29"/>
        <v>0.11983149857410078</v>
      </c>
      <c r="J38" s="36">
        <f t="shared" si="29"/>
        <v>0.10015413503942065</v>
      </c>
      <c r="K38" s="36">
        <f t="shared" si="29"/>
        <v>0.14506092657883343</v>
      </c>
      <c r="L38" s="94">
        <v>1.2</v>
      </c>
      <c r="M38" s="95" t="str">
        <f t="shared" si="2"/>
        <v>Working Capital/Total Assets</v>
      </c>
      <c r="N38" s="80">
        <f t="shared" si="16"/>
        <v>-9.8401424345505389E-2</v>
      </c>
      <c r="O38" s="80">
        <f t="shared" si="17"/>
        <v>0.53292030059295525</v>
      </c>
      <c r="P38" s="80">
        <f t="shared" si="18"/>
        <v>0.23296773038503177</v>
      </c>
      <c r="Q38" s="80">
        <f t="shared" si="19"/>
        <v>0.60292546346379561</v>
      </c>
      <c r="R38" s="80">
        <f t="shared" si="20"/>
        <v>-0.72024568538123124</v>
      </c>
      <c r="S38" s="80">
        <f t="shared" si="21"/>
        <v>-0.11546029378699545</v>
      </c>
      <c r="T38" s="80">
        <f t="shared" si="22"/>
        <v>8.1759350913232932E-3</v>
      </c>
      <c r="U38" s="80">
        <f t="shared" si="23"/>
        <v>-0.16420860766013151</v>
      </c>
      <c r="V38" s="80">
        <f t="shared" si="24"/>
        <v>0.44837680962186405</v>
      </c>
    </row>
    <row r="39" spans="1:22" ht="12.75" customHeight="1" x14ac:dyDescent="0.2">
      <c r="A39" s="83" t="s">
        <v>113</v>
      </c>
      <c r="B39" s="36">
        <f t="shared" ref="B39:K39" si="30">B28/B15</f>
        <v>7.0177981978767068E-2</v>
      </c>
      <c r="C39" s="36">
        <f t="shared" si="30"/>
        <v>8.1874120414599308E-2</v>
      </c>
      <c r="D39" s="36">
        <f t="shared" si="30"/>
        <v>3.9121793760253966E-2</v>
      </c>
      <c r="E39" s="36">
        <f t="shared" si="30"/>
        <v>9.1550254090840583E-2</v>
      </c>
      <c r="F39" s="36">
        <f t="shared" si="30"/>
        <v>3.9028848985218335E-2</v>
      </c>
      <c r="G39" s="36">
        <f t="shared" si="30"/>
        <v>2.3990833026810387E-2</v>
      </c>
      <c r="H39" s="36">
        <f t="shared" si="30"/>
        <v>4.0501241595439072E-3</v>
      </c>
      <c r="I39" s="36">
        <f t="shared" si="30"/>
        <v>2.2209530526509459E-2</v>
      </c>
      <c r="J39" s="36">
        <f t="shared" si="30"/>
        <v>1.9672860611769309E-2</v>
      </c>
      <c r="K39" s="36">
        <f t="shared" si="30"/>
        <v>4.7856057950695183E-2</v>
      </c>
      <c r="L39" s="94">
        <v>1.4</v>
      </c>
      <c r="M39" s="95" t="str">
        <f t="shared" si="2"/>
        <v>Retained Profits/Total Assets</v>
      </c>
      <c r="N39" s="80">
        <f t="shared" si="16"/>
        <v>0.16666393227680734</v>
      </c>
      <c r="O39" s="80">
        <f t="shared" si="17"/>
        <v>-0.52217143143466371</v>
      </c>
      <c r="P39" s="80">
        <f t="shared" si="18"/>
        <v>1.3401343673523387</v>
      </c>
      <c r="Q39" s="80">
        <f t="shared" si="19"/>
        <v>-0.57368934283358708</v>
      </c>
      <c r="R39" s="80">
        <f t="shared" si="20"/>
        <v>-0.38530513580104297</v>
      </c>
      <c r="S39" s="80">
        <f t="shared" si="21"/>
        <v>-0.83118034480012482</v>
      </c>
      <c r="T39" s="80">
        <f t="shared" si="22"/>
        <v>4.4836665869054544</v>
      </c>
      <c r="U39" s="80">
        <f t="shared" si="23"/>
        <v>-0.11421537757010947</v>
      </c>
      <c r="V39" s="80">
        <f t="shared" si="24"/>
        <v>1.4325927426164575</v>
      </c>
    </row>
    <row r="40" spans="1:22" ht="12.75" customHeight="1" x14ac:dyDescent="0.2">
      <c r="A40" s="83" t="s">
        <v>114</v>
      </c>
      <c r="B40" s="36">
        <f t="shared" ref="B40:K40" si="31">B5/B15</f>
        <v>0.19418733458232967</v>
      </c>
      <c r="C40" s="36">
        <f t="shared" si="31"/>
        <v>0.17272643224752687</v>
      </c>
      <c r="D40" s="36">
        <f t="shared" si="31"/>
        <v>0.10481386135972574</v>
      </c>
      <c r="E40" s="36">
        <f t="shared" si="31"/>
        <v>0.18331706703228043</v>
      </c>
      <c r="F40" s="36">
        <f t="shared" si="31"/>
        <v>9.8054223867828055E-2</v>
      </c>
      <c r="G40" s="36">
        <f t="shared" si="31"/>
        <v>6.9523506093767312E-2</v>
      </c>
      <c r="H40" s="36">
        <f t="shared" si="31"/>
        <v>4.9985466767587791E-2</v>
      </c>
      <c r="I40" s="36">
        <f t="shared" si="31"/>
        <v>8.3938701665082341E-2</v>
      </c>
      <c r="J40" s="36">
        <f t="shared" si="31"/>
        <v>8.4934064455358949E-2</v>
      </c>
      <c r="K40" s="36">
        <f t="shared" si="31"/>
        <v>0.11536531892813207</v>
      </c>
      <c r="L40" s="94">
        <v>3.3</v>
      </c>
      <c r="M40" s="95" t="str">
        <f t="shared" si="2"/>
        <v>EBIT/Total Assets</v>
      </c>
      <c r="N40" s="80">
        <f t="shared" si="16"/>
        <v>-0.11051648852878206</v>
      </c>
      <c r="O40" s="80">
        <f t="shared" si="17"/>
        <v>-0.39317995517025744</v>
      </c>
      <c r="P40" s="80">
        <f t="shared" si="18"/>
        <v>0.74897732660690997</v>
      </c>
      <c r="Q40" s="80">
        <f t="shared" si="19"/>
        <v>-0.46511132075573947</v>
      </c>
      <c r="R40" s="80">
        <f t="shared" si="20"/>
        <v>-0.29096877879038291</v>
      </c>
      <c r="S40" s="80">
        <f t="shared" si="21"/>
        <v>-0.2810278195669289</v>
      </c>
      <c r="T40" s="80">
        <f t="shared" si="22"/>
        <v>0.67926213543955416</v>
      </c>
      <c r="U40" s="80">
        <f t="shared" si="23"/>
        <v>1.1858210462298211E-2</v>
      </c>
      <c r="V40" s="80">
        <f t="shared" si="24"/>
        <v>0.35829269054664964</v>
      </c>
    </row>
    <row r="41" spans="1:22" ht="12.75" customHeight="1" x14ac:dyDescent="0.2">
      <c r="A41" s="83" t="s">
        <v>115</v>
      </c>
      <c r="B41" s="36">
        <f>B26/B15</f>
        <v>0.10538038510503178</v>
      </c>
      <c r="C41" s="36">
        <f t="shared" ref="C41:K41" si="32">C26/C15</f>
        <v>0.3337150053004202</v>
      </c>
      <c r="D41" s="36">
        <f t="shared" si="32"/>
        <v>0.2429756027318182</v>
      </c>
      <c r="E41" s="36">
        <f t="shared" si="32"/>
        <v>0.16261753505985369</v>
      </c>
      <c r="F41" s="36">
        <f t="shared" si="32"/>
        <v>0.11576426675558645</v>
      </c>
      <c r="G41" s="36">
        <f t="shared" si="32"/>
        <v>8.2789743898412219E-2</v>
      </c>
      <c r="H41" s="36">
        <f t="shared" si="32"/>
        <v>0.10101206519348226</v>
      </c>
      <c r="I41" s="36">
        <f t="shared" si="32"/>
        <v>9.2419659585453562E-2</v>
      </c>
      <c r="J41" s="36">
        <f t="shared" si="32"/>
        <v>0.1532585615607587</v>
      </c>
      <c r="K41" s="36">
        <f t="shared" si="32"/>
        <v>0.98718255908863328</v>
      </c>
      <c r="L41" s="94">
        <v>0.6</v>
      </c>
      <c r="M41" s="95" t="str">
        <f t="shared" si="2"/>
        <v>Market Cap/Total Liabilities</v>
      </c>
      <c r="N41" s="80">
        <f t="shared" si="16"/>
        <v>2.1667658546494124</v>
      </c>
      <c r="O41" s="80">
        <f t="shared" si="17"/>
        <v>-0.27190687001597569</v>
      </c>
      <c r="P41" s="80">
        <f t="shared" si="18"/>
        <v>-0.33072484137701225</v>
      </c>
      <c r="Q41" s="80">
        <f t="shared" si="19"/>
        <v>-0.28811941029005411</v>
      </c>
      <c r="R41" s="80">
        <f t="shared" si="20"/>
        <v>-0.2848419791471013</v>
      </c>
      <c r="S41" s="80">
        <f t="shared" si="21"/>
        <v>0.22010360748826419</v>
      </c>
      <c r="T41" s="80">
        <f t="shared" si="22"/>
        <v>-8.5063161430968481E-2</v>
      </c>
      <c r="U41" s="80">
        <f t="shared" si="23"/>
        <v>0.65828961335928693</v>
      </c>
      <c r="V41" s="80">
        <f t="shared" si="24"/>
        <v>5.4412881671035978</v>
      </c>
    </row>
    <row r="42" spans="1:22" ht="12.75" customHeight="1" x14ac:dyDescent="0.2">
      <c r="A42" s="83" t="s">
        <v>116</v>
      </c>
      <c r="B42" s="36">
        <f>'Data Sheet'!B17/'Calculated Data'!B15</f>
        <v>0.8255159544413716</v>
      </c>
      <c r="C42" s="36">
        <f>'Data Sheet'!C17/'Calculated Data'!C15</f>
        <v>0.7440599093962833</v>
      </c>
      <c r="D42" s="36">
        <f>'Data Sheet'!D17/'Calculated Data'!D15</f>
        <v>0.7149983707986135</v>
      </c>
      <c r="E42" s="36">
        <f>'Data Sheet'!E17/'Calculated Data'!E15</f>
        <v>0.82339625733629684</v>
      </c>
      <c r="F42" s="36">
        <f>'Data Sheet'!F17/'Calculated Data'!F15</f>
        <v>0.49714501220115975</v>
      </c>
      <c r="G42" s="36">
        <f>'Data Sheet'!G17/'Calculated Data'!G15</f>
        <v>0.80184214592497682</v>
      </c>
      <c r="H42" s="36">
        <f>'Data Sheet'!H17/'Calculated Data'!H15</f>
        <v>0.87943540236397422</v>
      </c>
      <c r="I42" s="36">
        <f>'Data Sheet'!I17/'Calculated Data'!I15</f>
        <v>0.78231194995553655</v>
      </c>
      <c r="J42" s="36">
        <f>'Data Sheet'!J17/'Calculated Data'!J15</f>
        <v>0.70784223177750727</v>
      </c>
      <c r="K42" s="36">
        <f>'Data Sheet'!K17/'Calculated Data'!K15</f>
        <v>0.77666714775640366</v>
      </c>
      <c r="L42" s="94">
        <v>1</v>
      </c>
      <c r="M42" s="95" t="str">
        <f t="shared" si="2"/>
        <v>Sales/Total Assets</v>
      </c>
      <c r="N42" s="80">
        <f t="shared" si="16"/>
        <v>-9.867289009600036E-2</v>
      </c>
      <c r="O42" s="80">
        <f t="shared" si="17"/>
        <v>-3.9058062705259584E-2</v>
      </c>
      <c r="P42" s="80">
        <f t="shared" si="18"/>
        <v>0.15160578116647863</v>
      </c>
      <c r="Q42" s="80">
        <f t="shared" si="19"/>
        <v>-0.39622629108197105</v>
      </c>
      <c r="R42" s="80">
        <f t="shared" si="20"/>
        <v>0.61289387652656868</v>
      </c>
      <c r="S42" s="80">
        <f t="shared" si="21"/>
        <v>9.6768742867074597E-2</v>
      </c>
      <c r="T42" s="80">
        <f t="shared" si="22"/>
        <v>-0.11043841554179432</v>
      </c>
      <c r="U42" s="80">
        <f t="shared" si="23"/>
        <v>-9.5191845378639339E-2</v>
      </c>
      <c r="V42" s="80">
        <f t="shared" si="24"/>
        <v>9.7232000139446051E-2</v>
      </c>
    </row>
    <row r="43" spans="1:22" ht="12.75" customHeight="1" x14ac:dyDescent="0.2">
      <c r="A43" s="83" t="s">
        <v>117</v>
      </c>
      <c r="B43" s="36">
        <f>$L$38*B38+$L$39*B39+$L$40*B40+$L$41*B41+$L$42*B42</f>
        <v>1.8388317267658771</v>
      </c>
      <c r="C43" s="36">
        <f t="shared" ref="C43:K43" si="33">$L$38*C38+$L$39*C39+$L$40*C40+$L$41*C41+$L$42*C42</f>
        <v>1.8191653854005567</v>
      </c>
      <c r="D43" s="36">
        <f t="shared" si="33"/>
        <v>1.553086470448783</v>
      </c>
      <c r="E43" s="36">
        <f t="shared" si="33"/>
        <v>2.0136741590782785</v>
      </c>
      <c r="F43" s="36">
        <f t="shared" si="33"/>
        <v>1.5212199950992444</v>
      </c>
      <c r="G43" s="36">
        <f t="shared" si="33"/>
        <v>1.2757803030112882</v>
      </c>
      <c r="H43" s="36">
        <f t="shared" si="33"/>
        <v>1.2532965068034758</v>
      </c>
      <c r="I43" s="36">
        <f t="shared" si="33"/>
        <v>1.2896526022276147</v>
      </c>
      <c r="J43" s="36">
        <f t="shared" si="33"/>
        <v>1.2278067483204289</v>
      </c>
      <c r="K43" s="36">
        <f t="shared" si="33"/>
        <v>1.9907538286979927</v>
      </c>
      <c r="L43" s="94"/>
      <c r="M43" s="95" t="str">
        <f t="shared" si="2"/>
        <v>Altman Z-Score</v>
      </c>
      <c r="N43" s="80">
        <f t="shared" si="16"/>
        <v>-1.0695019603511749E-2</v>
      </c>
      <c r="O43" s="80">
        <f t="shared" si="17"/>
        <v>-0.14626427981048384</v>
      </c>
      <c r="P43" s="80">
        <f t="shared" si="18"/>
        <v>0.29656281050236899</v>
      </c>
      <c r="Q43" s="80">
        <f t="shared" si="19"/>
        <v>-0.24455503973117762</v>
      </c>
      <c r="R43" s="80">
        <f t="shared" si="20"/>
        <v>-0.1613439823816829</v>
      </c>
      <c r="S43" s="80">
        <f t="shared" si="21"/>
        <v>-1.7623564303934421E-2</v>
      </c>
      <c r="T43" s="80">
        <f t="shared" si="22"/>
        <v>2.9008375294099272E-2</v>
      </c>
      <c r="U43" s="80">
        <f t="shared" si="23"/>
        <v>-4.7955436836524458E-2</v>
      </c>
      <c r="V43" s="80">
        <f t="shared" si="24"/>
        <v>0.62139019957434893</v>
      </c>
    </row>
    <row r="44" spans="1:22" x14ac:dyDescent="0.2">
      <c r="A44" s="89" t="s">
        <v>118</v>
      </c>
    </row>
    <row r="45" spans="1:22" ht="25.5" x14ac:dyDescent="0.2">
      <c r="A45" s="89" t="s">
        <v>119</v>
      </c>
    </row>
    <row r="46" spans="1:22" ht="25.5" x14ac:dyDescent="0.2">
      <c r="A46" s="89" t="s">
        <v>120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Profit &amp; Loss</vt:lpstr>
      <vt:lpstr>Quarters</vt:lpstr>
      <vt:lpstr>Balance Sheet</vt:lpstr>
      <vt:lpstr>Cash Flow</vt:lpstr>
      <vt:lpstr>Customization</vt:lpstr>
      <vt:lpstr>Data Sheet</vt:lpstr>
      <vt:lpstr>Calculated Data</vt:lpstr>
      <vt:lpstr>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raj</cp:lastModifiedBy>
  <cp:lastPrinted>2012-12-06T18:14:13Z</cp:lastPrinted>
  <dcterms:created xsi:type="dcterms:W3CDTF">2012-08-17T09:55:37Z</dcterms:created>
  <dcterms:modified xsi:type="dcterms:W3CDTF">2019-03-18T12:14:49Z</dcterms:modified>
</cp:coreProperties>
</file>