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saurabh6\OneDrive - DXC Production\PERSONAL\Customers\Stocks\NESCO\"/>
    </mc:Choice>
  </mc:AlternateContent>
  <xr:revisionPtr revIDLastSave="0" documentId="10_ncr:100000_{24EC705B-3927-4B3E-8C54-D818F5AA8A95}" xr6:coauthVersionLast="31" xr6:coauthVersionMax="31" xr10:uidLastSave="{00000000-0000-0000-0000-000000000000}"/>
  <bookViews>
    <workbookView xWindow="0" yWindow="0" windowWidth="20490" windowHeight="7560" activeTab="1" xr2:uid="{00000000-000D-0000-FFFF-FFFF00000000}"/>
  </bookViews>
  <sheets>
    <sheet name="NESCO" sheetId="1" r:id="rId1"/>
    <sheet name="DCF" sheetId="3" r:id="rId2"/>
    <sheet name="Incremental ROCE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2" i="2" l="1"/>
  <c r="J78" i="1"/>
  <c r="K78" i="1" l="1"/>
  <c r="L78" i="1" s="1"/>
  <c r="M78" i="1" s="1"/>
  <c r="K13" i="1" l="1"/>
  <c r="H5" i="1" l="1"/>
  <c r="H7" i="1" l="1"/>
  <c r="C9" i="2"/>
  <c r="P52" i="1" l="1"/>
  <c r="P53" i="1" s="1"/>
  <c r="P57" i="1" s="1"/>
  <c r="P59" i="1" s="1"/>
  <c r="P62" i="1" s="1"/>
  <c r="G88" i="1"/>
  <c r="H88" i="1" s="1"/>
  <c r="I88" i="1" s="1"/>
  <c r="J88" i="1" s="1"/>
  <c r="K88" i="1" s="1"/>
  <c r="L88" i="1" s="1"/>
  <c r="M88" i="1" s="1"/>
  <c r="D89" i="1"/>
  <c r="E89" i="1"/>
  <c r="F89" i="1"/>
  <c r="G89" i="1"/>
  <c r="H89" i="1"/>
  <c r="I89" i="1"/>
  <c r="J89" i="1"/>
  <c r="K89" i="1"/>
  <c r="L89" i="1"/>
  <c r="M89" i="1"/>
  <c r="C89" i="1"/>
  <c r="C87" i="1"/>
  <c r="D87" i="1" s="1"/>
  <c r="C81" i="1"/>
  <c r="D79" i="1"/>
  <c r="E79" i="1" s="1"/>
  <c r="C66" i="1"/>
  <c r="C70" i="1"/>
  <c r="D52" i="1"/>
  <c r="E52" i="1" s="1"/>
  <c r="F52" i="1" s="1"/>
  <c r="G52" i="1" s="1"/>
  <c r="H52" i="1" s="1"/>
  <c r="I52" i="1" s="1"/>
  <c r="J52" i="1" s="1"/>
  <c r="K52" i="1" s="1"/>
  <c r="L52" i="1" s="1"/>
  <c r="M52" i="1" s="1"/>
  <c r="D51" i="1"/>
  <c r="E51" i="1" s="1"/>
  <c r="D50" i="1"/>
  <c r="E50" i="1" s="1"/>
  <c r="F50" i="1" s="1"/>
  <c r="G50" i="1" s="1"/>
  <c r="H50" i="1" s="1"/>
  <c r="I50" i="1" s="1"/>
  <c r="J50" i="1" s="1"/>
  <c r="K50" i="1" s="1"/>
  <c r="L50" i="1" s="1"/>
  <c r="M50" i="1" s="1"/>
  <c r="C47" i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D46" i="1"/>
  <c r="E46" i="1" s="1"/>
  <c r="F46" i="1" s="1"/>
  <c r="G46" i="1" s="1"/>
  <c r="H46" i="1" s="1"/>
  <c r="I46" i="1" s="1"/>
  <c r="J46" i="1" s="1"/>
  <c r="K46" i="1" s="1"/>
  <c r="L46" i="1" s="1"/>
  <c r="M46" i="1" s="1"/>
  <c r="M66" i="1" s="1"/>
  <c r="C30" i="1"/>
  <c r="C25" i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C20" i="1"/>
  <c r="C48" i="1" s="1"/>
  <c r="D48" i="1" s="1"/>
  <c r="E48" i="1" s="1"/>
  <c r="G48" i="1" s="1"/>
  <c r="H48" i="1" s="1"/>
  <c r="I48" i="1" s="1"/>
  <c r="J48" i="1" s="1"/>
  <c r="K48" i="1" s="1"/>
  <c r="L48" i="1" s="1"/>
  <c r="M48" i="1" s="1"/>
  <c r="O48" i="1" l="1"/>
  <c r="J69" i="1"/>
  <c r="K69" i="1" s="1"/>
  <c r="L69" i="1" s="1"/>
  <c r="M69" i="1" s="1"/>
  <c r="O52" i="1"/>
  <c r="O50" i="1"/>
  <c r="O47" i="1"/>
  <c r="O51" i="1"/>
  <c r="O49" i="1"/>
  <c r="F66" i="1"/>
  <c r="J66" i="1"/>
  <c r="L66" i="1"/>
  <c r="H66" i="1"/>
  <c r="D66" i="1"/>
  <c r="F79" i="1"/>
  <c r="E81" i="1"/>
  <c r="D91" i="1"/>
  <c r="E87" i="1"/>
  <c r="D81" i="1"/>
  <c r="C91" i="1"/>
  <c r="K66" i="1"/>
  <c r="I66" i="1"/>
  <c r="G66" i="1"/>
  <c r="E66" i="1"/>
  <c r="C82" i="1"/>
  <c r="C84" i="1" s="1"/>
  <c r="C72" i="1"/>
  <c r="C73" i="1" s="1"/>
  <c r="E53" i="1"/>
  <c r="F51" i="1"/>
  <c r="D53" i="1"/>
  <c r="O53" i="1" s="1"/>
  <c r="C53" i="1"/>
  <c r="D70" i="1"/>
  <c r="C75" i="1" l="1"/>
  <c r="D82" i="1"/>
  <c r="D84" i="1" s="1"/>
  <c r="E91" i="1"/>
  <c r="F87" i="1"/>
  <c r="E82" i="1"/>
  <c r="E84" i="1" s="1"/>
  <c r="C92" i="1"/>
  <c r="C94" i="1" s="1"/>
  <c r="D92" i="1"/>
  <c r="D94" i="1" s="1"/>
  <c r="G79" i="1"/>
  <c r="G81" i="1" s="1"/>
  <c r="G82" i="1" s="1"/>
  <c r="F81" i="1"/>
  <c r="C55" i="1"/>
  <c r="C57" i="1" s="1"/>
  <c r="G51" i="1"/>
  <c r="F53" i="1"/>
  <c r="D72" i="1"/>
  <c r="D73" i="1" s="1"/>
  <c r="D75" i="1" s="1"/>
  <c r="E70" i="1"/>
  <c r="D55" i="1"/>
  <c r="E55" i="1"/>
  <c r="E57" i="1" s="1"/>
  <c r="E58" i="1" s="1"/>
  <c r="E59" i="1" s="1"/>
  <c r="C97" i="1" l="1"/>
  <c r="C99" i="1" s="1"/>
  <c r="C100" i="1" s="1"/>
  <c r="C102" i="1" s="1"/>
  <c r="D57" i="1"/>
  <c r="D58" i="1" s="1"/>
  <c r="D59" i="1" s="1"/>
  <c r="D62" i="1" s="1"/>
  <c r="D63" i="1" s="1"/>
  <c r="O55" i="1"/>
  <c r="O57" i="1" s="1"/>
  <c r="F82" i="1"/>
  <c r="F84" i="1" s="1"/>
  <c r="D97" i="1"/>
  <c r="G87" i="1"/>
  <c r="F91" i="1"/>
  <c r="H79" i="1"/>
  <c r="G84" i="1"/>
  <c r="E92" i="1"/>
  <c r="E94" i="1" s="1"/>
  <c r="C58" i="1"/>
  <c r="C59" i="1" s="1"/>
  <c r="E62" i="1"/>
  <c r="E63" i="1" s="1"/>
  <c r="E72" i="1"/>
  <c r="E73" i="1" s="1"/>
  <c r="E75" i="1" s="1"/>
  <c r="F70" i="1"/>
  <c r="F55" i="1"/>
  <c r="F57" i="1" s="1"/>
  <c r="F58" i="1" s="1"/>
  <c r="F59" i="1" s="1"/>
  <c r="H51" i="1"/>
  <c r="G53" i="1"/>
  <c r="D99" i="1" l="1"/>
  <c r="D100" i="1" s="1"/>
  <c r="D102" i="1" s="1"/>
  <c r="O58" i="1"/>
  <c r="O59" i="1" s="1"/>
  <c r="E60" i="1"/>
  <c r="E97" i="1"/>
  <c r="E99" i="1" s="1"/>
  <c r="E100" i="1" s="1"/>
  <c r="I79" i="1"/>
  <c r="H81" i="1"/>
  <c r="H82" i="1" s="1"/>
  <c r="H84" i="1" s="1"/>
  <c r="H87" i="1"/>
  <c r="G91" i="1"/>
  <c r="G92" i="1" s="1"/>
  <c r="G94" i="1" s="1"/>
  <c r="C6" i="2" s="1"/>
  <c r="C105" i="1"/>
  <c r="C106" i="1" s="1"/>
  <c r="F92" i="1"/>
  <c r="F94" i="1" s="1"/>
  <c r="C62" i="1"/>
  <c r="C63" i="1" s="1"/>
  <c r="D60" i="1"/>
  <c r="F60" i="1"/>
  <c r="F62" i="1"/>
  <c r="F63" i="1" s="1"/>
  <c r="G55" i="1"/>
  <c r="G57" i="1" s="1"/>
  <c r="G70" i="1"/>
  <c r="F72" i="1"/>
  <c r="F73" i="1" s="1"/>
  <c r="F75" i="1" s="1"/>
  <c r="I51" i="1"/>
  <c r="H53" i="1"/>
  <c r="E102" i="1" l="1"/>
  <c r="F97" i="1"/>
  <c r="F99" i="1" s="1"/>
  <c r="F100" i="1" s="1"/>
  <c r="F102" i="1" s="1"/>
  <c r="E6" i="3" s="1"/>
  <c r="D105" i="1"/>
  <c r="D106" i="1" s="1"/>
  <c r="I87" i="1"/>
  <c r="H91" i="1"/>
  <c r="H92" i="1" s="1"/>
  <c r="H94" i="1" s="1"/>
  <c r="J79" i="1"/>
  <c r="I81" i="1"/>
  <c r="I82" i="1" s="1"/>
  <c r="I84" i="1" s="1"/>
  <c r="H55" i="1"/>
  <c r="H57" i="1" s="1"/>
  <c r="H58" i="1" s="1"/>
  <c r="H59" i="1" s="1"/>
  <c r="G58" i="1"/>
  <c r="G59" i="1" s="1"/>
  <c r="J51" i="1"/>
  <c r="I53" i="1"/>
  <c r="G72" i="1"/>
  <c r="G73" i="1" s="1"/>
  <c r="G75" i="1" s="1"/>
  <c r="E105" i="1" l="1"/>
  <c r="E106" i="1" s="1"/>
  <c r="C5" i="3"/>
  <c r="E5" i="3" s="1"/>
  <c r="G97" i="1"/>
  <c r="G99" i="1" s="1"/>
  <c r="G100" i="1" s="1"/>
  <c r="G102" i="1" s="1"/>
  <c r="C8" i="2"/>
  <c r="C11" i="2" s="1"/>
  <c r="K79" i="1"/>
  <c r="J81" i="1"/>
  <c r="J82" i="1" s="1"/>
  <c r="J84" i="1" s="1"/>
  <c r="J87" i="1"/>
  <c r="I91" i="1"/>
  <c r="I92" i="1" s="1"/>
  <c r="I94" i="1" s="1"/>
  <c r="D103" i="1"/>
  <c r="E103" i="1"/>
  <c r="G60" i="1"/>
  <c r="G62" i="1"/>
  <c r="G63" i="1" s="1"/>
  <c r="H60" i="1"/>
  <c r="H62" i="1"/>
  <c r="H63" i="1" s="1"/>
  <c r="I55" i="1"/>
  <c r="I57" i="1" s="1"/>
  <c r="I58" i="1" s="1"/>
  <c r="I59" i="1" s="1"/>
  <c r="I70" i="1"/>
  <c r="H72" i="1"/>
  <c r="H73" i="1" s="1"/>
  <c r="H75" i="1" s="1"/>
  <c r="H97" i="1" s="1"/>
  <c r="H99" i="1" s="1"/>
  <c r="K51" i="1"/>
  <c r="J53" i="1"/>
  <c r="G105" i="1" l="1"/>
  <c r="G106" i="1" s="1"/>
  <c r="C7" i="3"/>
  <c r="E7" i="3" s="1"/>
  <c r="H100" i="1"/>
  <c r="H102" i="1" s="1"/>
  <c r="C8" i="3" s="1"/>
  <c r="E8" i="3" s="1"/>
  <c r="F103" i="1"/>
  <c r="F105" i="1"/>
  <c r="F106" i="1" s="1"/>
  <c r="K87" i="1"/>
  <c r="J91" i="1"/>
  <c r="J92" i="1" s="1"/>
  <c r="J94" i="1" s="1"/>
  <c r="L79" i="1"/>
  <c r="K81" i="1"/>
  <c r="K82" i="1" s="1"/>
  <c r="K84" i="1" s="1"/>
  <c r="G103" i="1"/>
  <c r="J55" i="1"/>
  <c r="J57" i="1" s="1"/>
  <c r="J58" i="1" s="1"/>
  <c r="J59" i="1" s="1"/>
  <c r="I60" i="1"/>
  <c r="I62" i="1"/>
  <c r="I63" i="1" s="1"/>
  <c r="L51" i="1"/>
  <c r="K53" i="1"/>
  <c r="J70" i="1"/>
  <c r="I72" i="1"/>
  <c r="I73" i="1" s="1"/>
  <c r="I75" i="1" s="1"/>
  <c r="I97" i="1" s="1"/>
  <c r="I99" i="1" s="1"/>
  <c r="I100" i="1" l="1"/>
  <c r="I102" i="1" s="1"/>
  <c r="C9" i="3" s="1"/>
  <c r="E9" i="3" s="1"/>
  <c r="H103" i="1"/>
  <c r="H105" i="1"/>
  <c r="H106" i="1" s="1"/>
  <c r="M79" i="1"/>
  <c r="M81" i="1" s="1"/>
  <c r="M82" i="1" s="1"/>
  <c r="M84" i="1" s="1"/>
  <c r="L81" i="1"/>
  <c r="L82" i="1" s="1"/>
  <c r="L84" i="1" s="1"/>
  <c r="L87" i="1"/>
  <c r="K91" i="1"/>
  <c r="K92" i="1" s="1"/>
  <c r="K94" i="1" s="1"/>
  <c r="J60" i="1"/>
  <c r="J62" i="1"/>
  <c r="J63" i="1" s="1"/>
  <c r="K55" i="1"/>
  <c r="K57" i="1" s="1"/>
  <c r="K70" i="1"/>
  <c r="J72" i="1"/>
  <c r="J73" i="1" s="1"/>
  <c r="J75" i="1" s="1"/>
  <c r="J97" i="1" s="1"/>
  <c r="J99" i="1" s="1"/>
  <c r="M51" i="1"/>
  <c r="M53" i="1" s="1"/>
  <c r="L53" i="1"/>
  <c r="J100" i="1" l="1"/>
  <c r="J102" i="1" s="1"/>
  <c r="C10" i="3" s="1"/>
  <c r="E10" i="3" s="1"/>
  <c r="I103" i="1"/>
  <c r="I105" i="1"/>
  <c r="I106" i="1" s="1"/>
  <c r="M87" i="1"/>
  <c r="M91" i="1" s="1"/>
  <c r="M92" i="1" s="1"/>
  <c r="M94" i="1" s="1"/>
  <c r="L91" i="1"/>
  <c r="L92" i="1" s="1"/>
  <c r="L94" i="1" s="1"/>
  <c r="L55" i="1"/>
  <c r="L57" i="1" s="1"/>
  <c r="L58" i="1" s="1"/>
  <c r="L59" i="1" s="1"/>
  <c r="K58" i="1"/>
  <c r="K59" i="1" s="1"/>
  <c r="M55" i="1"/>
  <c r="M57" i="1" s="1"/>
  <c r="M58" i="1" s="1"/>
  <c r="M59" i="1" s="1"/>
  <c r="L70" i="1"/>
  <c r="K72" i="1"/>
  <c r="K73" i="1" s="1"/>
  <c r="K75" i="1" s="1"/>
  <c r="K97" i="1" s="1"/>
  <c r="K99" i="1" s="1"/>
  <c r="K100" i="1" l="1"/>
  <c r="K102" i="1" s="1"/>
  <c r="C11" i="3" s="1"/>
  <c r="E11" i="3" s="1"/>
  <c r="J103" i="1"/>
  <c r="J105" i="1"/>
  <c r="J106" i="1" s="1"/>
  <c r="L60" i="1"/>
  <c r="L62" i="1"/>
  <c r="L63" i="1" s="1"/>
  <c r="M60" i="1"/>
  <c r="M62" i="1"/>
  <c r="M63" i="1" s="1"/>
  <c r="K60" i="1"/>
  <c r="K62" i="1"/>
  <c r="K63" i="1" s="1"/>
  <c r="M70" i="1"/>
  <c r="M72" i="1" s="1"/>
  <c r="M73" i="1" s="1"/>
  <c r="M75" i="1" s="1"/>
  <c r="M97" i="1" s="1"/>
  <c r="M99" i="1" s="1"/>
  <c r="L72" i="1"/>
  <c r="L73" i="1" s="1"/>
  <c r="L75" i="1" s="1"/>
  <c r="L97" i="1" s="1"/>
  <c r="L99" i="1" s="1"/>
  <c r="M100" i="1" l="1"/>
  <c r="M102" i="1" s="1"/>
  <c r="C13" i="3" s="1"/>
  <c r="L100" i="1"/>
  <c r="L102" i="1" s="1"/>
  <c r="C12" i="3" s="1"/>
  <c r="E12" i="3" s="1"/>
  <c r="K103" i="1"/>
  <c r="K105" i="1"/>
  <c r="K106" i="1" s="1"/>
  <c r="E13" i="3" l="1"/>
  <c r="C14" i="3"/>
  <c r="E14" i="3" s="1"/>
  <c r="L103" i="1"/>
  <c r="L105" i="1"/>
  <c r="L106" i="1" s="1"/>
  <c r="M103" i="1"/>
  <c r="M105" i="1"/>
  <c r="M106" i="1" s="1"/>
  <c r="E16" i="3" l="1"/>
  <c r="E18" i="3" s="1"/>
</calcChain>
</file>

<file path=xl/sharedStrings.xml><?xml version="1.0" encoding="utf-8"?>
<sst xmlns="http://schemas.openxmlformats.org/spreadsheetml/2006/main" count="121" uniqueCount="97">
  <si>
    <t>Key data points and assumptions</t>
  </si>
  <si>
    <t>Area in lakh sq. ft.</t>
  </si>
  <si>
    <t>BEC</t>
  </si>
  <si>
    <t>Building 1 and 2</t>
  </si>
  <si>
    <t xml:space="preserve">Building 3 </t>
  </si>
  <si>
    <t>Building 4</t>
  </si>
  <si>
    <t>BEC data points</t>
  </si>
  <si>
    <t>No. of days occupied</t>
  </si>
  <si>
    <t>Price/sq. mt. per day</t>
  </si>
  <si>
    <t>1 Sq. mt to sq. ft</t>
  </si>
  <si>
    <t>Rent per Sq. ft./month</t>
  </si>
  <si>
    <t>Year to months</t>
  </si>
  <si>
    <t>No. of months</t>
  </si>
  <si>
    <t>Occupancy</t>
  </si>
  <si>
    <t>Building 3</t>
  </si>
  <si>
    <t>IT park hike per year</t>
  </si>
  <si>
    <t>Other key assumptions</t>
  </si>
  <si>
    <t>Discount rate</t>
  </si>
  <si>
    <t>Growth of capital goods segment</t>
  </si>
  <si>
    <t>Hospitality</t>
  </si>
  <si>
    <t>Effective tax rate</t>
  </si>
  <si>
    <t>Conservative; This may go down based on finance ministry road map</t>
  </si>
  <si>
    <t>Conservative estimate; Actual growth much higher</t>
  </si>
  <si>
    <t>G-sec yield + 4% premium due to stable nature of business</t>
  </si>
  <si>
    <t>Conservative estimate of inflation</t>
  </si>
  <si>
    <t>Projection (in INR crores, FYE March)</t>
  </si>
  <si>
    <t>BEC rate hike per year</t>
  </si>
  <si>
    <t>Increases rate by 10% every three years</t>
  </si>
  <si>
    <t>Hospitality business</t>
  </si>
  <si>
    <t>NOSH (in Crores)</t>
  </si>
  <si>
    <t>Capital Goods (Indabrator)</t>
  </si>
  <si>
    <t>Total revenue</t>
  </si>
  <si>
    <t>Investment income and other</t>
  </si>
  <si>
    <t>Investment income growth</t>
  </si>
  <si>
    <t>Cost income ratio</t>
  </si>
  <si>
    <t>Based on FY'16 data; Conservative since operating leverage ignored</t>
  </si>
  <si>
    <t>Total expenses</t>
  </si>
  <si>
    <t>PBT</t>
  </si>
  <si>
    <t>Tax</t>
  </si>
  <si>
    <t>Net income</t>
  </si>
  <si>
    <t>EPS</t>
  </si>
  <si>
    <t>Share price (INR)</t>
  </si>
  <si>
    <t>Implied PE multiple (x)</t>
  </si>
  <si>
    <t>Growth</t>
  </si>
  <si>
    <t>Incremental Triggers</t>
  </si>
  <si>
    <t>Occupancy rates</t>
  </si>
  <si>
    <t>Revenue</t>
  </si>
  <si>
    <t>Expenses</t>
  </si>
  <si>
    <t>Occupancy rates (no. of days)</t>
  </si>
  <si>
    <t>Rate per sq. mt/day</t>
  </si>
  <si>
    <t>Hospitality segment expansion (to be completed by Mach 2017)</t>
  </si>
  <si>
    <t>Price/meal</t>
  </si>
  <si>
    <t>Base price per meal</t>
  </si>
  <si>
    <t>Meals per day</t>
  </si>
  <si>
    <t>No. of days</t>
  </si>
  <si>
    <t>No. of working days</t>
  </si>
  <si>
    <t>Conservative estimate; Excluding weekends and business holidays</t>
  </si>
  <si>
    <t>Cost income for hospitality expansion</t>
  </si>
  <si>
    <t>Total all projects incremental</t>
  </si>
  <si>
    <t>Combined net income</t>
  </si>
  <si>
    <t>Combined EPS</t>
  </si>
  <si>
    <t>Combined PBT</t>
  </si>
  <si>
    <t>Model 1H17</t>
  </si>
  <si>
    <t>Actual 1H17</t>
  </si>
  <si>
    <t>Capex (IT Park + Hospitality Center + BEC)</t>
  </si>
  <si>
    <t>IT park</t>
  </si>
  <si>
    <t>Hospitality Center</t>
  </si>
  <si>
    <t>Total</t>
  </si>
  <si>
    <t>PBT contribution</t>
  </si>
  <si>
    <t>Tax rate (%)</t>
  </si>
  <si>
    <t>Post-tax ROCE (%)</t>
  </si>
  <si>
    <t>Marcket cap</t>
  </si>
  <si>
    <t>Building 4 (to be completed by 1Q FY 19)</t>
  </si>
  <si>
    <t>New BEC (assuming completed by FY22)</t>
  </si>
  <si>
    <t>FY'18</t>
  </si>
  <si>
    <t>FY'19</t>
  </si>
  <si>
    <t>FY'20</t>
  </si>
  <si>
    <t>FY'21</t>
  </si>
  <si>
    <t>FY'22</t>
  </si>
  <si>
    <t>FY'23</t>
  </si>
  <si>
    <t>FY'24</t>
  </si>
  <si>
    <t>FY'25</t>
  </si>
  <si>
    <t>FY'26</t>
  </si>
  <si>
    <t>Discount Rate</t>
  </si>
  <si>
    <t>Terminal</t>
  </si>
  <si>
    <t>Terminal value Mulitiplier</t>
  </si>
  <si>
    <t>Discounted cash flow Total</t>
  </si>
  <si>
    <t>Current M-Cap</t>
  </si>
  <si>
    <t>Premium/Discount</t>
  </si>
  <si>
    <t>PAT</t>
  </si>
  <si>
    <t>Capex</t>
  </si>
  <si>
    <t>Calc Year</t>
  </si>
  <si>
    <t>Present Value of FCF)</t>
  </si>
  <si>
    <t>New BEC (proposed) - Phase 1</t>
  </si>
  <si>
    <t>Only 1 million of phase 1 considered and no 450 room hotel</t>
  </si>
  <si>
    <t>Premium for growth beyond current and work in progress cashflow</t>
  </si>
  <si>
    <t>Rs 580 cr Capex for IT building 4 and actual PAT 18 cr more than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</si>
</sst>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* #,##0_);_(* \(#,##0\);_(* &quot;-&quot;?_);_(@_)"/>
    <numFmt numFmtId="168" formatCode="#,##0.0&quot;x&quot;"/>
    <numFmt numFmtId="169" formatCode="0.000"/>
    <numFmt numFmtId="170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b/>
      <i/>
      <sz val="8"/>
      <color theme="1"/>
      <name val="Arial"/>
      <family val="2"/>
    </font>
    <font>
      <u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 tint="-0.499984740745262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9" fontId="1" fillId="0" borderId="0" xfId="0" applyNumberFormat="1" applyFont="1"/>
    <xf numFmtId="0" fontId="6" fillId="0" borderId="0" xfId="0" applyFont="1"/>
    <xf numFmtId="0" fontId="1" fillId="3" borderId="0" xfId="0" applyFont="1" applyFill="1"/>
    <xf numFmtId="0" fontId="3" fillId="3" borderId="0" xfId="0" applyFont="1" applyFill="1"/>
    <xf numFmtId="1" fontId="1" fillId="0" borderId="0" xfId="0" applyNumberFormat="1" applyFont="1"/>
    <xf numFmtId="1" fontId="3" fillId="0" borderId="0" xfId="0" applyNumberFormat="1" applyFont="1"/>
    <xf numFmtId="166" fontId="1" fillId="0" borderId="0" xfId="1" applyNumberFormat="1" applyFont="1"/>
    <xf numFmtId="9" fontId="6" fillId="0" borderId="0" xfId="0" applyNumberFormat="1" applyFont="1"/>
    <xf numFmtId="166" fontId="3" fillId="0" borderId="0" xfId="1" applyNumberFormat="1" applyFont="1"/>
    <xf numFmtId="166" fontId="1" fillId="0" borderId="0" xfId="0" applyNumberFormat="1" applyFont="1"/>
    <xf numFmtId="167" fontId="1" fillId="0" borderId="0" xfId="0" applyNumberFormat="1" applyFont="1"/>
    <xf numFmtId="166" fontId="3" fillId="0" borderId="0" xfId="0" applyNumberFormat="1" applyFont="1"/>
    <xf numFmtId="168" fontId="1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9" fontId="3" fillId="0" borderId="0" xfId="2" applyFont="1"/>
    <xf numFmtId="0" fontId="9" fillId="0" borderId="0" xfId="0" applyFont="1"/>
    <xf numFmtId="164" fontId="10" fillId="0" borderId="0" xfId="0" applyNumberFormat="1" applyFont="1"/>
    <xf numFmtId="0" fontId="10" fillId="0" borderId="0" xfId="0" applyFont="1"/>
    <xf numFmtId="9" fontId="10" fillId="0" borderId="0" xfId="0" applyNumberFormat="1" applyFont="1"/>
    <xf numFmtId="1" fontId="10" fillId="0" borderId="0" xfId="0" applyNumberFormat="1" applyFont="1"/>
    <xf numFmtId="166" fontId="10" fillId="0" borderId="0" xfId="1" applyNumberFormat="1" applyFont="1"/>
    <xf numFmtId="165" fontId="10" fillId="0" borderId="0" xfId="1" applyNumberFormat="1" applyFont="1"/>
    <xf numFmtId="169" fontId="1" fillId="0" borderId="0" xfId="0" applyNumberFormat="1" applyFont="1"/>
    <xf numFmtId="0" fontId="3" fillId="5" borderId="0" xfId="0" applyFont="1" applyFill="1"/>
    <xf numFmtId="166" fontId="3" fillId="5" borderId="0" xfId="0" applyNumberFormat="1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5" xfId="2" applyFont="1" applyBorder="1" applyAlignment="1">
      <alignment horizontal="center"/>
    </xf>
    <xf numFmtId="0" fontId="11" fillId="4" borderId="2" xfId="0" applyFont="1" applyFill="1" applyBorder="1"/>
    <xf numFmtId="0" fontId="11" fillId="4" borderId="6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0" borderId="0" xfId="0" applyFont="1"/>
    <xf numFmtId="0" fontId="11" fillId="4" borderId="4" xfId="0" applyFont="1" applyFill="1" applyBorder="1"/>
    <xf numFmtId="0" fontId="11" fillId="4" borderId="10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10" fillId="6" borderId="0" xfId="0" applyNumberFormat="1" applyFont="1" applyFill="1"/>
    <xf numFmtId="166" fontId="1" fillId="6" borderId="0" xfId="1" applyNumberFormat="1" applyFont="1" applyFill="1"/>
    <xf numFmtId="9" fontId="1" fillId="6" borderId="0" xfId="0" applyNumberFormat="1" applyFont="1" applyFill="1"/>
    <xf numFmtId="1" fontId="1" fillId="6" borderId="0" xfId="0" applyNumberFormat="1" applyFont="1" applyFill="1"/>
    <xf numFmtId="0" fontId="11" fillId="4" borderId="13" xfId="0" applyFont="1" applyFill="1" applyBorder="1" applyAlignment="1">
      <alignment horizontal="right" indent="1"/>
    </xf>
    <xf numFmtId="0" fontId="11" fillId="4" borderId="14" xfId="0" applyFont="1" applyFill="1" applyBorder="1" applyAlignment="1">
      <alignment horizontal="right" indent="1"/>
    </xf>
    <xf numFmtId="0" fontId="11" fillId="4" borderId="15" xfId="0" applyFont="1" applyFill="1" applyBorder="1" applyAlignment="1">
      <alignment horizontal="right" indent="1"/>
    </xf>
    <xf numFmtId="0" fontId="11" fillId="4" borderId="16" xfId="0" applyFont="1" applyFill="1" applyBorder="1" applyAlignment="1">
      <alignment horizontal="right" indent="1"/>
    </xf>
    <xf numFmtId="0" fontId="11" fillId="4" borderId="17" xfId="0" applyFont="1" applyFill="1" applyBorder="1" applyAlignment="1">
      <alignment horizontal="right" indent="1"/>
    </xf>
    <xf numFmtId="0" fontId="11" fillId="4" borderId="18" xfId="0" applyFont="1" applyFill="1" applyBorder="1" applyAlignment="1">
      <alignment horizontal="right" indent="1"/>
    </xf>
    <xf numFmtId="0" fontId="11" fillId="4" borderId="19" xfId="0" applyFont="1" applyFill="1" applyBorder="1" applyAlignment="1">
      <alignment horizontal="right" indent="1"/>
    </xf>
    <xf numFmtId="0" fontId="11" fillId="4" borderId="20" xfId="0" applyFont="1" applyFill="1" applyBorder="1" applyAlignment="1">
      <alignment horizontal="right" indent="1"/>
    </xf>
    <xf numFmtId="0" fontId="11" fillId="4" borderId="21" xfId="0" applyFont="1" applyFill="1" applyBorder="1" applyAlignment="1">
      <alignment horizontal="right" indent="1"/>
    </xf>
    <xf numFmtId="170" fontId="1" fillId="0" borderId="0" xfId="0" applyNumberFormat="1" applyFont="1"/>
    <xf numFmtId="43" fontId="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6"/>
  <sheetViews>
    <sheetView showGridLines="0" topLeftCell="A61" workbookViewId="0">
      <selection activeCell="J84" sqref="J84"/>
    </sheetView>
  </sheetViews>
  <sheetFormatPr defaultColWidth="9.1796875" defaultRowHeight="11.5" x14ac:dyDescent="0.25"/>
  <cols>
    <col min="1" max="1" width="9.1796875" style="1"/>
    <col min="2" max="2" width="30.7265625" style="1" customWidth="1"/>
    <col min="3" max="4" width="9.1796875" style="1"/>
    <col min="5" max="6" width="10" style="1" bestFit="1" customWidth="1"/>
    <col min="7" max="7" width="10.54296875" style="1" bestFit="1" customWidth="1"/>
    <col min="8" max="13" width="10" style="1" bestFit="1" customWidth="1"/>
    <col min="14" max="14" width="9.1796875" style="1"/>
    <col min="15" max="15" width="10.453125" style="1" customWidth="1"/>
    <col min="16" max="16" width="9.81640625" style="1" customWidth="1"/>
    <col min="17" max="16384" width="9.1796875" style="1"/>
  </cols>
  <sheetData>
    <row r="3" spans="2:11" x14ac:dyDescent="0.25">
      <c r="B3" s="3" t="s">
        <v>0</v>
      </c>
      <c r="C3" s="4"/>
      <c r="D3" s="4"/>
      <c r="F3" s="1" t="s">
        <v>9</v>
      </c>
      <c r="H3" s="28">
        <v>0.1</v>
      </c>
    </row>
    <row r="4" spans="2:11" x14ac:dyDescent="0.25">
      <c r="F4" s="1" t="s">
        <v>11</v>
      </c>
      <c r="H4" s="27">
        <v>12</v>
      </c>
    </row>
    <row r="5" spans="2:11" x14ac:dyDescent="0.25">
      <c r="B5" s="2" t="s">
        <v>1</v>
      </c>
      <c r="F5" s="1" t="s">
        <v>29</v>
      </c>
      <c r="H5" s="28">
        <f>1.4091992*5</f>
        <v>7.0459959999999997</v>
      </c>
    </row>
    <row r="6" spans="2:11" x14ac:dyDescent="0.25">
      <c r="B6" s="1" t="s">
        <v>2</v>
      </c>
      <c r="C6" s="23">
        <v>4.5</v>
      </c>
      <c r="F6" s="1" t="s">
        <v>41</v>
      </c>
      <c r="H6" s="27">
        <v>530</v>
      </c>
    </row>
    <row r="7" spans="2:11" x14ac:dyDescent="0.25">
      <c r="B7" s="1" t="s">
        <v>93</v>
      </c>
      <c r="C7" s="23">
        <v>1</v>
      </c>
      <c r="F7" s="1" t="s">
        <v>71</v>
      </c>
      <c r="H7" s="14">
        <f>+H6*H5</f>
        <v>3734.37788</v>
      </c>
    </row>
    <row r="8" spans="2:11" x14ac:dyDescent="0.25">
      <c r="C8" s="24"/>
    </row>
    <row r="9" spans="2:11" x14ac:dyDescent="0.25">
      <c r="B9" s="1" t="s">
        <v>3</v>
      </c>
      <c r="C9" s="24">
        <v>2.4</v>
      </c>
      <c r="F9" s="1" t="s">
        <v>64</v>
      </c>
    </row>
    <row r="10" spans="2:11" x14ac:dyDescent="0.25">
      <c r="B10" s="1" t="s">
        <v>4</v>
      </c>
      <c r="C10" s="24">
        <v>6.5</v>
      </c>
    </row>
    <row r="11" spans="2:11" x14ac:dyDescent="0.25">
      <c r="B11" s="1" t="s">
        <v>5</v>
      </c>
      <c r="C11" s="54">
        <v>11</v>
      </c>
      <c r="K11" s="1">
        <v>32</v>
      </c>
    </row>
    <row r="12" spans="2:11" x14ac:dyDescent="0.25">
      <c r="C12" s="24"/>
      <c r="K12" s="1">
        <v>150000</v>
      </c>
    </row>
    <row r="13" spans="2:11" x14ac:dyDescent="0.25">
      <c r="C13" s="24"/>
      <c r="K13" s="1">
        <f>K12/K11</f>
        <v>4687.5</v>
      </c>
    </row>
    <row r="14" spans="2:11" x14ac:dyDescent="0.25">
      <c r="B14" s="2" t="s">
        <v>6</v>
      </c>
      <c r="C14" s="24"/>
    </row>
    <row r="15" spans="2:11" x14ac:dyDescent="0.25">
      <c r="B15" s="1" t="s">
        <v>7</v>
      </c>
      <c r="C15" s="24">
        <v>156</v>
      </c>
    </row>
    <row r="16" spans="2:11" x14ac:dyDescent="0.25">
      <c r="B16" s="1" t="s">
        <v>8</v>
      </c>
      <c r="C16" s="24">
        <v>160</v>
      </c>
    </row>
    <row r="17" spans="2:7" x14ac:dyDescent="0.25">
      <c r="C17" s="24"/>
    </row>
    <row r="18" spans="2:7" x14ac:dyDescent="0.25">
      <c r="B18" s="2" t="s">
        <v>3</v>
      </c>
      <c r="C18" s="24"/>
      <c r="G18" s="67"/>
    </row>
    <row r="19" spans="2:7" x14ac:dyDescent="0.25">
      <c r="B19" s="1" t="s">
        <v>10</v>
      </c>
      <c r="C19" s="24">
        <v>110</v>
      </c>
      <c r="G19" s="68"/>
    </row>
    <row r="20" spans="2:7" x14ac:dyDescent="0.25">
      <c r="B20" s="1" t="s">
        <v>12</v>
      </c>
      <c r="C20" s="24">
        <f>+H4</f>
        <v>12</v>
      </c>
    </row>
    <row r="21" spans="2:7" x14ac:dyDescent="0.25">
      <c r="B21" s="1" t="s">
        <v>13</v>
      </c>
      <c r="C21" s="25">
        <v>1</v>
      </c>
    </row>
    <row r="22" spans="2:7" x14ac:dyDescent="0.25">
      <c r="C22" s="24"/>
    </row>
    <row r="23" spans="2:7" x14ac:dyDescent="0.25">
      <c r="B23" s="2" t="s">
        <v>14</v>
      </c>
      <c r="C23" s="24"/>
    </row>
    <row r="24" spans="2:7" x14ac:dyDescent="0.25">
      <c r="B24" s="1" t="s">
        <v>10</v>
      </c>
      <c r="C24" s="24">
        <v>110</v>
      </c>
    </row>
    <row r="25" spans="2:7" x14ac:dyDescent="0.25">
      <c r="B25" s="1" t="s">
        <v>12</v>
      </c>
      <c r="C25" s="1">
        <f>+H4</f>
        <v>12</v>
      </c>
    </row>
    <row r="26" spans="2:7" x14ac:dyDescent="0.25">
      <c r="B26" s="1" t="s">
        <v>13</v>
      </c>
      <c r="C26" s="25">
        <v>1</v>
      </c>
    </row>
    <row r="28" spans="2:7" x14ac:dyDescent="0.25">
      <c r="B28" s="2" t="s">
        <v>5</v>
      </c>
    </row>
    <row r="29" spans="2:7" x14ac:dyDescent="0.25">
      <c r="B29" s="1" t="s">
        <v>10</v>
      </c>
      <c r="C29" s="24">
        <v>120</v>
      </c>
    </row>
    <row r="30" spans="2:7" x14ac:dyDescent="0.25">
      <c r="B30" s="1" t="s">
        <v>12</v>
      </c>
      <c r="C30" s="1">
        <f>+H4</f>
        <v>12</v>
      </c>
    </row>
    <row r="31" spans="2:7" x14ac:dyDescent="0.25">
      <c r="C31" s="5"/>
    </row>
    <row r="32" spans="2:7" x14ac:dyDescent="0.25">
      <c r="B32" s="3" t="s">
        <v>16</v>
      </c>
      <c r="C32" s="3"/>
    </row>
    <row r="33" spans="2:16" ht="12" x14ac:dyDescent="0.3">
      <c r="B33" s="1" t="s">
        <v>15</v>
      </c>
      <c r="C33" s="25">
        <v>0.05</v>
      </c>
      <c r="E33" s="6" t="s">
        <v>24</v>
      </c>
    </row>
    <row r="34" spans="2:16" ht="12" x14ac:dyDescent="0.3">
      <c r="B34" s="1" t="s">
        <v>17</v>
      </c>
      <c r="C34" s="25">
        <v>0.1</v>
      </c>
      <c r="E34" s="6" t="s">
        <v>23</v>
      </c>
    </row>
    <row r="35" spans="2:16" ht="12" x14ac:dyDescent="0.3">
      <c r="B35" s="1" t="s">
        <v>18</v>
      </c>
      <c r="C35" s="25">
        <v>0.1</v>
      </c>
      <c r="E35" s="6" t="s">
        <v>22</v>
      </c>
    </row>
    <row r="36" spans="2:16" x14ac:dyDescent="0.25">
      <c r="B36" s="1" t="s">
        <v>19</v>
      </c>
      <c r="C36" s="25">
        <v>0.05</v>
      </c>
    </row>
    <row r="37" spans="2:16" ht="12" x14ac:dyDescent="0.3">
      <c r="B37" s="1" t="s">
        <v>20</v>
      </c>
      <c r="C37" s="25">
        <v>0.31</v>
      </c>
      <c r="E37" s="6" t="s">
        <v>21</v>
      </c>
    </row>
    <row r="38" spans="2:16" ht="12" x14ac:dyDescent="0.3">
      <c r="B38" s="1" t="s">
        <v>26</v>
      </c>
      <c r="C38" s="25">
        <v>0.03</v>
      </c>
      <c r="E38" s="6" t="s">
        <v>27</v>
      </c>
    </row>
    <row r="39" spans="2:16" x14ac:dyDescent="0.25">
      <c r="B39" s="1" t="s">
        <v>33</v>
      </c>
      <c r="C39" s="25">
        <v>7.0000000000000007E-2</v>
      </c>
    </row>
    <row r="40" spans="2:16" ht="12" x14ac:dyDescent="0.3">
      <c r="B40" s="1" t="s">
        <v>34</v>
      </c>
      <c r="C40" s="25">
        <v>0.3</v>
      </c>
      <c r="E40" s="6" t="s">
        <v>35</v>
      </c>
    </row>
    <row r="41" spans="2:16" ht="12" x14ac:dyDescent="0.3">
      <c r="B41" s="1" t="s">
        <v>52</v>
      </c>
      <c r="C41" s="24">
        <v>100</v>
      </c>
      <c r="E41" s="6"/>
    </row>
    <row r="42" spans="2:16" ht="12" x14ac:dyDescent="0.3">
      <c r="B42" s="1" t="s">
        <v>55</v>
      </c>
      <c r="C42" s="24">
        <v>220</v>
      </c>
      <c r="E42" s="6" t="s">
        <v>56</v>
      </c>
    </row>
    <row r="43" spans="2:16" ht="12" x14ac:dyDescent="0.3">
      <c r="B43" s="1" t="s">
        <v>57</v>
      </c>
      <c r="C43" s="25">
        <v>0.5</v>
      </c>
      <c r="E43" s="6"/>
    </row>
    <row r="45" spans="2:16" x14ac:dyDescent="0.25">
      <c r="B45" s="8" t="s">
        <v>25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2:16" x14ac:dyDescent="0.25">
      <c r="C46" s="2">
        <v>2016</v>
      </c>
      <c r="D46" s="2">
        <f>+C46+1</f>
        <v>2017</v>
      </c>
      <c r="E46" s="2">
        <f t="shared" ref="E46:M46" si="0">+D46+1</f>
        <v>2018</v>
      </c>
      <c r="F46" s="2">
        <f t="shared" si="0"/>
        <v>2019</v>
      </c>
      <c r="G46" s="2">
        <f t="shared" si="0"/>
        <v>2020</v>
      </c>
      <c r="H46" s="2">
        <f t="shared" si="0"/>
        <v>2021</v>
      </c>
      <c r="I46" s="2">
        <f t="shared" si="0"/>
        <v>2022</v>
      </c>
      <c r="J46" s="2">
        <f t="shared" si="0"/>
        <v>2023</v>
      </c>
      <c r="K46" s="2">
        <f t="shared" si="0"/>
        <v>2024</v>
      </c>
      <c r="L46" s="2">
        <f t="shared" si="0"/>
        <v>2025</v>
      </c>
      <c r="M46" s="2">
        <f t="shared" si="0"/>
        <v>2026</v>
      </c>
      <c r="O46" s="18" t="s">
        <v>62</v>
      </c>
      <c r="P46" s="19" t="s">
        <v>63</v>
      </c>
    </row>
    <row r="47" spans="2:16" x14ac:dyDescent="0.25">
      <c r="B47" s="1" t="s">
        <v>2</v>
      </c>
      <c r="C47" s="11">
        <f>+$C$15*$C$16*$H$3*$C$6/100</f>
        <v>112.32</v>
      </c>
      <c r="D47" s="11">
        <f>+C47*(1+$C$38)</f>
        <v>115.6896</v>
      </c>
      <c r="E47" s="11">
        <f t="shared" ref="E47:M47" si="1">+D47*(1+$C$38)</f>
        <v>119.16028800000001</v>
      </c>
      <c r="F47" s="11">
        <f t="shared" si="1"/>
        <v>122.73509664000001</v>
      </c>
      <c r="G47" s="11">
        <f t="shared" si="1"/>
        <v>126.41714953920001</v>
      </c>
      <c r="H47" s="11">
        <f t="shared" si="1"/>
        <v>130.20966402537601</v>
      </c>
      <c r="I47" s="11">
        <f t="shared" si="1"/>
        <v>134.1159539461373</v>
      </c>
      <c r="J47" s="11">
        <f t="shared" si="1"/>
        <v>138.13943256452143</v>
      </c>
      <c r="K47" s="11">
        <f t="shared" si="1"/>
        <v>142.28361554145707</v>
      </c>
      <c r="L47" s="11">
        <f t="shared" si="1"/>
        <v>146.55212400770077</v>
      </c>
      <c r="M47" s="11">
        <f t="shared" si="1"/>
        <v>150.9486877279318</v>
      </c>
      <c r="O47" s="9">
        <f>+D47/2</f>
        <v>57.844799999999999</v>
      </c>
      <c r="P47" s="9">
        <v>51</v>
      </c>
    </row>
    <row r="48" spans="2:16" x14ac:dyDescent="0.25">
      <c r="B48" s="1" t="s">
        <v>3</v>
      </c>
      <c r="C48" s="11">
        <f>+$C$9*$C$19*$C$20*$C$21/100</f>
        <v>31.68</v>
      </c>
      <c r="D48" s="11">
        <f>+C48*(1+$C$33)</f>
        <v>33.264000000000003</v>
      </c>
      <c r="E48" s="11">
        <f t="shared" ref="E48:M48" si="2">+D48*(1+$C$33)</f>
        <v>34.927200000000006</v>
      </c>
      <c r="F48" s="55">
        <v>21</v>
      </c>
      <c r="G48" s="11">
        <f t="shared" si="2"/>
        <v>22.05</v>
      </c>
      <c r="H48" s="11">
        <f t="shared" si="2"/>
        <v>23.152500000000003</v>
      </c>
      <c r="I48" s="11">
        <f t="shared" si="2"/>
        <v>24.310125000000003</v>
      </c>
      <c r="J48" s="11">
        <f t="shared" si="2"/>
        <v>25.525631250000004</v>
      </c>
      <c r="K48" s="11">
        <f t="shared" si="2"/>
        <v>26.801912812500007</v>
      </c>
      <c r="L48" s="11">
        <f t="shared" si="2"/>
        <v>28.142008453125008</v>
      </c>
      <c r="M48" s="11">
        <f t="shared" si="2"/>
        <v>29.549108875781261</v>
      </c>
      <c r="O48" s="9">
        <f t="shared" ref="O48:O52" si="3">+D48/2</f>
        <v>16.632000000000001</v>
      </c>
    </row>
    <row r="49" spans="2:16" x14ac:dyDescent="0.25">
      <c r="B49" s="1" t="s">
        <v>14</v>
      </c>
      <c r="C49" s="11">
        <f>+$C$10*$C$24*$C$25*$C$26/100</f>
        <v>85.8</v>
      </c>
      <c r="D49" s="11">
        <f>+C49*(1+$C$33)</f>
        <v>90.09</v>
      </c>
      <c r="E49" s="11">
        <f t="shared" ref="E49:M49" si="4">+D49*(1+$C$33)</f>
        <v>94.594500000000011</v>
      </c>
      <c r="F49" s="11">
        <f t="shared" si="4"/>
        <v>99.324225000000013</v>
      </c>
      <c r="G49" s="11">
        <f t="shared" si="4"/>
        <v>104.29043625000001</v>
      </c>
      <c r="H49" s="11">
        <f t="shared" si="4"/>
        <v>109.50495806250002</v>
      </c>
      <c r="I49" s="11">
        <f t="shared" si="4"/>
        <v>114.98020596562503</v>
      </c>
      <c r="J49" s="11">
        <f t="shared" si="4"/>
        <v>120.7292162639063</v>
      </c>
      <c r="K49" s="11">
        <f t="shared" si="4"/>
        <v>126.76567707710161</v>
      </c>
      <c r="L49" s="11">
        <f t="shared" si="4"/>
        <v>133.1039609309567</v>
      </c>
      <c r="M49" s="11">
        <f t="shared" si="4"/>
        <v>139.75915897750454</v>
      </c>
      <c r="O49" s="9">
        <f t="shared" si="3"/>
        <v>45.045000000000002</v>
      </c>
      <c r="P49" s="9">
        <v>64.77</v>
      </c>
    </row>
    <row r="50" spans="2:16" x14ac:dyDescent="0.25">
      <c r="B50" s="1" t="s">
        <v>28</v>
      </c>
      <c r="C50" s="11">
        <v>2.2200000000000002</v>
      </c>
      <c r="D50" s="11">
        <f>+C50*(1+$C$36)</f>
        <v>2.3310000000000004</v>
      </c>
      <c r="E50" s="11">
        <f t="shared" ref="E50:M50" si="5">+D50*(1+$C$36)</f>
        <v>2.4475500000000006</v>
      </c>
      <c r="F50" s="11">
        <f t="shared" si="5"/>
        <v>2.5699275000000008</v>
      </c>
      <c r="G50" s="11">
        <f t="shared" si="5"/>
        <v>2.6984238750000009</v>
      </c>
      <c r="H50" s="11">
        <f t="shared" si="5"/>
        <v>2.8333450687500012</v>
      </c>
      <c r="I50" s="11">
        <f t="shared" si="5"/>
        <v>2.9750123221875016</v>
      </c>
      <c r="J50" s="11">
        <f t="shared" si="5"/>
        <v>3.1237629382968768</v>
      </c>
      <c r="K50" s="11">
        <f t="shared" si="5"/>
        <v>3.2799510852117209</v>
      </c>
      <c r="L50" s="11">
        <f t="shared" si="5"/>
        <v>3.4439486394723069</v>
      </c>
      <c r="M50" s="11">
        <f t="shared" si="5"/>
        <v>3.6161460714459226</v>
      </c>
      <c r="O50" s="9">
        <f t="shared" si="3"/>
        <v>1.1655000000000002</v>
      </c>
    </row>
    <row r="51" spans="2:16" x14ac:dyDescent="0.25">
      <c r="B51" s="1" t="s">
        <v>30</v>
      </c>
      <c r="C51" s="11">
        <v>25</v>
      </c>
      <c r="D51" s="11">
        <f>+C51*(1+$C$35)</f>
        <v>27.500000000000004</v>
      </c>
      <c r="E51" s="11">
        <f t="shared" ref="E51:M51" si="6">+D51*(1+$C$35)</f>
        <v>30.250000000000007</v>
      </c>
      <c r="F51" s="11">
        <f t="shared" si="6"/>
        <v>33.275000000000013</v>
      </c>
      <c r="G51" s="11">
        <f t="shared" si="6"/>
        <v>36.60250000000002</v>
      </c>
      <c r="H51" s="11">
        <f t="shared" si="6"/>
        <v>40.262750000000025</v>
      </c>
      <c r="I51" s="11">
        <f t="shared" si="6"/>
        <v>44.289025000000031</v>
      </c>
      <c r="J51" s="11">
        <f t="shared" si="6"/>
        <v>48.717927500000037</v>
      </c>
      <c r="K51" s="11">
        <f t="shared" si="6"/>
        <v>53.589720250000049</v>
      </c>
      <c r="L51" s="11">
        <f t="shared" si="6"/>
        <v>58.948692275000056</v>
      </c>
      <c r="M51" s="11">
        <f t="shared" si="6"/>
        <v>64.843561502500066</v>
      </c>
      <c r="O51" s="9">
        <f t="shared" si="3"/>
        <v>13.750000000000002</v>
      </c>
      <c r="P51" s="9">
        <v>12.59</v>
      </c>
    </row>
    <row r="52" spans="2:16" x14ac:dyDescent="0.25">
      <c r="B52" s="1" t="s">
        <v>32</v>
      </c>
      <c r="C52" s="11">
        <v>16</v>
      </c>
      <c r="D52" s="11">
        <f>+C52*(1+$C$39)</f>
        <v>17.12</v>
      </c>
      <c r="E52" s="11">
        <f t="shared" ref="E52:M52" si="7">+D52*(1+$C$39)</f>
        <v>18.3184</v>
      </c>
      <c r="F52" s="11">
        <f t="shared" si="7"/>
        <v>19.600688000000002</v>
      </c>
      <c r="G52" s="11">
        <f t="shared" si="7"/>
        <v>20.972736160000004</v>
      </c>
      <c r="H52" s="11">
        <f t="shared" si="7"/>
        <v>22.440827691200006</v>
      </c>
      <c r="I52" s="11">
        <f t="shared" si="7"/>
        <v>24.011685629584008</v>
      </c>
      <c r="J52" s="11">
        <f t="shared" si="7"/>
        <v>25.69250362365489</v>
      </c>
      <c r="K52" s="11">
        <f t="shared" si="7"/>
        <v>27.490978877310734</v>
      </c>
      <c r="L52" s="11">
        <f t="shared" si="7"/>
        <v>29.415347398722488</v>
      </c>
      <c r="M52" s="11">
        <f t="shared" si="7"/>
        <v>31.474421716633064</v>
      </c>
      <c r="O52" s="9">
        <f t="shared" si="3"/>
        <v>8.56</v>
      </c>
      <c r="P52" s="1">
        <f>25-4</f>
        <v>21</v>
      </c>
    </row>
    <row r="53" spans="2:16" x14ac:dyDescent="0.25">
      <c r="B53" s="2" t="s">
        <v>31</v>
      </c>
      <c r="C53" s="13">
        <f>+C51+C50+C49+C48+C47+C52</f>
        <v>273.02</v>
      </c>
      <c r="D53" s="13">
        <f t="shared" ref="D53:M53" si="8">+D51+D50+D49+D48+D47+D52</f>
        <v>285.99459999999999</v>
      </c>
      <c r="E53" s="13">
        <f t="shared" si="8"/>
        <v>299.69793800000002</v>
      </c>
      <c r="F53" s="13">
        <f t="shared" si="8"/>
        <v>298.50493714000004</v>
      </c>
      <c r="G53" s="13">
        <f t="shared" si="8"/>
        <v>313.03124582420008</v>
      </c>
      <c r="H53" s="13">
        <f t="shared" si="8"/>
        <v>328.40404484782607</v>
      </c>
      <c r="I53" s="13">
        <f t="shared" si="8"/>
        <v>344.68200786353384</v>
      </c>
      <c r="J53" s="13">
        <f t="shared" si="8"/>
        <v>361.92847414037954</v>
      </c>
      <c r="K53" s="13">
        <f t="shared" si="8"/>
        <v>380.2118556435812</v>
      </c>
      <c r="L53" s="13">
        <f t="shared" si="8"/>
        <v>399.60608170497733</v>
      </c>
      <c r="M53" s="13">
        <f t="shared" si="8"/>
        <v>420.19108487179665</v>
      </c>
      <c r="O53" s="10">
        <f>+D53/2</f>
        <v>142.9973</v>
      </c>
      <c r="P53" s="10">
        <f>+P52+P51+P49+P47</f>
        <v>149.36000000000001</v>
      </c>
    </row>
    <row r="54" spans="2:16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O54" s="9"/>
    </row>
    <row r="55" spans="2:16" x14ac:dyDescent="0.25">
      <c r="B55" s="2" t="s">
        <v>36</v>
      </c>
      <c r="C55" s="13">
        <f>+C53*($C$40)</f>
        <v>81.905999999999992</v>
      </c>
      <c r="D55" s="13">
        <f t="shared" ref="D55:M55" si="9">+D53*($C$40)</f>
        <v>85.798379999999995</v>
      </c>
      <c r="E55" s="13">
        <f t="shared" si="9"/>
        <v>89.909381400000001</v>
      </c>
      <c r="F55" s="13">
        <f t="shared" si="9"/>
        <v>89.551481142000014</v>
      </c>
      <c r="G55" s="13">
        <f t="shared" si="9"/>
        <v>93.90937374726002</v>
      </c>
      <c r="H55" s="13">
        <f t="shared" si="9"/>
        <v>98.521213454347816</v>
      </c>
      <c r="I55" s="13">
        <f t="shared" si="9"/>
        <v>103.40460235906015</v>
      </c>
      <c r="J55" s="13">
        <f t="shared" si="9"/>
        <v>108.57854224211385</v>
      </c>
      <c r="K55" s="13">
        <f t="shared" si="9"/>
        <v>114.06355669307436</v>
      </c>
      <c r="L55" s="13">
        <f t="shared" si="9"/>
        <v>119.88182451149319</v>
      </c>
      <c r="M55" s="13">
        <f t="shared" si="9"/>
        <v>126.05732546153899</v>
      </c>
      <c r="O55" s="10">
        <f>+D55/2</f>
        <v>42.899189999999997</v>
      </c>
      <c r="P55" s="10">
        <v>27.9</v>
      </c>
    </row>
    <row r="56" spans="2:16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O56" s="9"/>
    </row>
    <row r="57" spans="2:16" x14ac:dyDescent="0.25">
      <c r="B57" s="2" t="s">
        <v>37</v>
      </c>
      <c r="C57" s="13">
        <f>+C53-C55</f>
        <v>191.11399999999998</v>
      </c>
      <c r="D57" s="13">
        <f t="shared" ref="D57:M57" si="10">+D53-D55</f>
        <v>200.19621999999998</v>
      </c>
      <c r="E57" s="13">
        <f t="shared" si="10"/>
        <v>209.78855660000002</v>
      </c>
      <c r="F57" s="13">
        <f t="shared" si="10"/>
        <v>208.95345599800004</v>
      </c>
      <c r="G57" s="13">
        <f t="shared" si="10"/>
        <v>219.12187207694006</v>
      </c>
      <c r="H57" s="13">
        <f t="shared" si="10"/>
        <v>229.88283139347826</v>
      </c>
      <c r="I57" s="13">
        <f t="shared" si="10"/>
        <v>241.27740550447368</v>
      </c>
      <c r="J57" s="13">
        <f t="shared" si="10"/>
        <v>253.34993189826568</v>
      </c>
      <c r="K57" s="13">
        <f t="shared" si="10"/>
        <v>266.14829895050684</v>
      </c>
      <c r="L57" s="13">
        <f t="shared" si="10"/>
        <v>279.72425719348416</v>
      </c>
      <c r="M57" s="13">
        <f t="shared" si="10"/>
        <v>294.13375941025765</v>
      </c>
      <c r="O57" s="10">
        <f>+O53-O55</f>
        <v>100.09810999999999</v>
      </c>
      <c r="P57" s="10">
        <f>+P53-P55</f>
        <v>121.46000000000001</v>
      </c>
    </row>
    <row r="58" spans="2:16" x14ac:dyDescent="0.25">
      <c r="B58" s="1" t="s">
        <v>38</v>
      </c>
      <c r="C58" s="11">
        <f>+C57*$C$37</f>
        <v>59.245339999999992</v>
      </c>
      <c r="D58" s="11">
        <f t="shared" ref="D58:M58" si="11">+D57*$C$37</f>
        <v>62.060828199999996</v>
      </c>
      <c r="E58" s="11">
        <f t="shared" si="11"/>
        <v>65.034452546000011</v>
      </c>
      <c r="F58" s="11">
        <f t="shared" si="11"/>
        <v>64.77557135938001</v>
      </c>
      <c r="G58" s="11">
        <f t="shared" si="11"/>
        <v>67.927780343851424</v>
      </c>
      <c r="H58" s="11">
        <f t="shared" si="11"/>
        <v>71.263677731978262</v>
      </c>
      <c r="I58" s="11">
        <f t="shared" si="11"/>
        <v>74.795995706386833</v>
      </c>
      <c r="J58" s="11">
        <f t="shared" si="11"/>
        <v>78.538478888462365</v>
      </c>
      <c r="K58" s="11">
        <f t="shared" si="11"/>
        <v>82.505972674657116</v>
      </c>
      <c r="L58" s="11">
        <f t="shared" si="11"/>
        <v>86.714519729980097</v>
      </c>
      <c r="M58" s="11">
        <f t="shared" si="11"/>
        <v>91.181465417179865</v>
      </c>
      <c r="O58" s="9">
        <f>+O57*0.3</f>
        <v>30.029432999999997</v>
      </c>
      <c r="P58" s="1">
        <v>39</v>
      </c>
    </row>
    <row r="59" spans="2:16" x14ac:dyDescent="0.25">
      <c r="B59" s="2" t="s">
        <v>39</v>
      </c>
      <c r="C59" s="13">
        <f>+C57-C58</f>
        <v>131.86865999999998</v>
      </c>
      <c r="D59" s="13">
        <f t="shared" ref="D59:M59" si="12">+D57-D58</f>
        <v>138.13539179999998</v>
      </c>
      <c r="E59" s="13">
        <f t="shared" si="12"/>
        <v>144.75410405400001</v>
      </c>
      <c r="F59" s="13">
        <f t="shared" si="12"/>
        <v>144.17788463862001</v>
      </c>
      <c r="G59" s="13">
        <f t="shared" si="12"/>
        <v>151.19409173308864</v>
      </c>
      <c r="H59" s="13">
        <f t="shared" si="12"/>
        <v>158.61915366149998</v>
      </c>
      <c r="I59" s="13">
        <f t="shared" si="12"/>
        <v>166.48140979808684</v>
      </c>
      <c r="J59" s="13">
        <f t="shared" si="12"/>
        <v>174.8114530098033</v>
      </c>
      <c r="K59" s="13">
        <f t="shared" si="12"/>
        <v>183.64232627584971</v>
      </c>
      <c r="L59" s="13">
        <f t="shared" si="12"/>
        <v>193.00973746350405</v>
      </c>
      <c r="M59" s="13">
        <f t="shared" si="12"/>
        <v>202.95229399307777</v>
      </c>
      <c r="O59" s="10">
        <f>+O57-O58</f>
        <v>70.068676999999994</v>
      </c>
      <c r="P59" s="10">
        <f>+P57-P58</f>
        <v>82.460000000000008</v>
      </c>
    </row>
    <row r="60" spans="2:16" ht="12" x14ac:dyDescent="0.3">
      <c r="B60" s="6" t="s">
        <v>43</v>
      </c>
      <c r="C60" s="10"/>
      <c r="D60" s="12">
        <f>+D59/C59-1</f>
        <v>4.7522525822284001E-2</v>
      </c>
      <c r="E60" s="12">
        <f t="shared" ref="E60:M60" si="13">+E59/D59-1</f>
        <v>4.7914673913423744E-2</v>
      </c>
      <c r="F60" s="12">
        <f t="shared" si="13"/>
        <v>-3.9806775714286147E-3</v>
      </c>
      <c r="G60" s="12">
        <f t="shared" si="13"/>
        <v>4.8663545813941278E-2</v>
      </c>
      <c r="H60" s="12">
        <f t="shared" si="13"/>
        <v>4.9109471430399676E-2</v>
      </c>
      <c r="I60" s="12">
        <f t="shared" si="13"/>
        <v>4.9566877360632366E-2</v>
      </c>
      <c r="J60" s="12">
        <f t="shared" si="13"/>
        <v>5.0035876208757157E-2</v>
      </c>
      <c r="K60" s="12">
        <f t="shared" si="13"/>
        <v>5.0516560065153149E-2</v>
      </c>
      <c r="L60" s="12">
        <f t="shared" si="13"/>
        <v>5.1008998729320743E-2</v>
      </c>
      <c r="M60" s="12">
        <f t="shared" si="13"/>
        <v>5.1513237934193601E-2</v>
      </c>
    </row>
    <row r="62" spans="2:16" x14ac:dyDescent="0.25">
      <c r="B62" s="1" t="s">
        <v>40</v>
      </c>
      <c r="C62" s="11">
        <f>+C59/$H$5</f>
        <v>18.715403755551378</v>
      </c>
      <c r="D62" s="11">
        <f t="shared" ref="D62:M62" si="14">+D59/$H$5</f>
        <v>19.604807013799039</v>
      </c>
      <c r="E62" s="11">
        <f t="shared" si="14"/>
        <v>20.544164949000823</v>
      </c>
      <c r="F62" s="11">
        <f t="shared" si="14"/>
        <v>20.462385252364609</v>
      </c>
      <c r="G62" s="11">
        <f t="shared" si="14"/>
        <v>21.45815747455557</v>
      </c>
      <c r="H62" s="11">
        <f t="shared" si="14"/>
        <v>22.511956246001272</v>
      </c>
      <c r="I62" s="11">
        <f t="shared" si="14"/>
        <v>23.62780362039474</v>
      </c>
      <c r="J62" s="11">
        <f t="shared" si="14"/>
        <v>24.810041477429635</v>
      </c>
      <c r="K62" s="11">
        <f t="shared" si="14"/>
        <v>26.063359427943148</v>
      </c>
      <c r="L62" s="11">
        <f t="shared" si="14"/>
        <v>27.392825295884933</v>
      </c>
      <c r="M62" s="11">
        <f t="shared" si="14"/>
        <v>28.803918423041651</v>
      </c>
      <c r="P62" s="14">
        <f>+P59/H5</f>
        <v>11.703100597843088</v>
      </c>
    </row>
    <row r="63" spans="2:16" x14ac:dyDescent="0.25">
      <c r="B63" s="1" t="s">
        <v>42</v>
      </c>
      <c r="C63" s="17">
        <f>+$H$6/C62</f>
        <v>28.318918839396716</v>
      </c>
      <c r="D63" s="17">
        <f t="shared" ref="D63:M63" si="15">+$H$6/D62</f>
        <v>27.03418603544295</v>
      </c>
      <c r="E63" s="17">
        <f t="shared" si="15"/>
        <v>25.798079470043238</v>
      </c>
      <c r="F63" s="17">
        <f t="shared" si="15"/>
        <v>25.901183731195456</v>
      </c>
      <c r="G63" s="17">
        <f t="shared" si="15"/>
        <v>24.699231545320604</v>
      </c>
      <c r="H63" s="17">
        <f t="shared" si="15"/>
        <v>23.543045047190965</v>
      </c>
      <c r="I63" s="17">
        <f t="shared" si="15"/>
        <v>22.431200483760644</v>
      </c>
      <c r="J63" s="17">
        <f t="shared" si="15"/>
        <v>21.362318175975453</v>
      </c>
      <c r="K63" s="17">
        <f t="shared" si="15"/>
        <v>20.335060852967956</v>
      </c>
      <c r="L63" s="17">
        <f t="shared" si="15"/>
        <v>19.348132011765099</v>
      </c>
      <c r="M63" s="17">
        <f t="shared" si="15"/>
        <v>18.400274303513765</v>
      </c>
    </row>
    <row r="66" spans="2:15" x14ac:dyDescent="0.25">
      <c r="B66" s="8" t="s">
        <v>44</v>
      </c>
      <c r="C66" s="8">
        <f>+C46</f>
        <v>2016</v>
      </c>
      <c r="D66" s="8">
        <f t="shared" ref="D66:M66" si="16">+D46</f>
        <v>2017</v>
      </c>
      <c r="E66" s="8">
        <f t="shared" si="16"/>
        <v>2018</v>
      </c>
      <c r="F66" s="8">
        <f t="shared" si="16"/>
        <v>2019</v>
      </c>
      <c r="G66" s="8">
        <f t="shared" si="16"/>
        <v>2020</v>
      </c>
      <c r="H66" s="8">
        <f t="shared" si="16"/>
        <v>2021</v>
      </c>
      <c r="I66" s="8">
        <f t="shared" si="16"/>
        <v>2022</v>
      </c>
      <c r="J66" s="8">
        <f t="shared" si="16"/>
        <v>2023</v>
      </c>
      <c r="K66" s="8">
        <f t="shared" si="16"/>
        <v>2024</v>
      </c>
      <c r="L66" s="8">
        <f t="shared" si="16"/>
        <v>2025</v>
      </c>
      <c r="M66" s="8">
        <f t="shared" si="16"/>
        <v>2026</v>
      </c>
      <c r="O66" s="29"/>
    </row>
    <row r="68" spans="2:15" x14ac:dyDescent="0.25">
      <c r="B68" s="2" t="s">
        <v>72</v>
      </c>
    </row>
    <row r="69" spans="2:15" x14ac:dyDescent="0.25">
      <c r="B69" s="1" t="s">
        <v>45</v>
      </c>
      <c r="C69" s="25">
        <v>0</v>
      </c>
      <c r="D69" s="5">
        <v>0</v>
      </c>
      <c r="E69" s="5">
        <v>0</v>
      </c>
      <c r="F69" s="56">
        <v>0</v>
      </c>
      <c r="G69" s="56">
        <v>0.3</v>
      </c>
      <c r="H69" s="56">
        <v>0.6</v>
      </c>
      <c r="I69" s="5">
        <v>0.95</v>
      </c>
      <c r="J69" s="5">
        <f t="shared" ref="J69:M69" si="17">+I69</f>
        <v>0.95</v>
      </c>
      <c r="K69" s="5">
        <f t="shared" si="17"/>
        <v>0.95</v>
      </c>
      <c r="L69" s="5">
        <f t="shared" si="17"/>
        <v>0.95</v>
      </c>
      <c r="M69" s="5">
        <f t="shared" si="17"/>
        <v>0.95</v>
      </c>
    </row>
    <row r="70" spans="2:15" x14ac:dyDescent="0.25">
      <c r="B70" s="1" t="s">
        <v>10</v>
      </c>
      <c r="C70" s="26">
        <f>+C29</f>
        <v>120</v>
      </c>
      <c r="D70" s="9">
        <f>+C70*(1+$C$33)</f>
        <v>126</v>
      </c>
      <c r="E70" s="9">
        <f t="shared" ref="E70:M70" si="18">+D70*(1+$C$33)</f>
        <v>132.30000000000001</v>
      </c>
      <c r="F70" s="9">
        <f t="shared" si="18"/>
        <v>138.91500000000002</v>
      </c>
      <c r="G70" s="9">
        <f t="shared" si="18"/>
        <v>145.86075000000002</v>
      </c>
      <c r="H70" s="57">
        <v>142</v>
      </c>
      <c r="I70" s="9">
        <f t="shared" si="18"/>
        <v>149.1</v>
      </c>
      <c r="J70" s="9">
        <f t="shared" si="18"/>
        <v>156.55500000000001</v>
      </c>
      <c r="K70" s="9">
        <f t="shared" si="18"/>
        <v>164.38275000000002</v>
      </c>
      <c r="L70" s="9">
        <f t="shared" si="18"/>
        <v>172.60188750000003</v>
      </c>
      <c r="M70" s="9">
        <f t="shared" si="18"/>
        <v>181.23198187500003</v>
      </c>
    </row>
    <row r="72" spans="2:15" x14ac:dyDescent="0.25">
      <c r="B72" s="1" t="s">
        <v>46</v>
      </c>
      <c r="C72" s="11">
        <f>+C70*$C$30*C69*$C$11/100</f>
        <v>0</v>
      </c>
      <c r="D72" s="11">
        <f t="shared" ref="D72:M72" si="19">+D70*$C$30*D69*$C$11/100</f>
        <v>0</v>
      </c>
      <c r="E72" s="11">
        <f t="shared" si="19"/>
        <v>0</v>
      </c>
      <c r="F72" s="11">
        <f t="shared" si="19"/>
        <v>0</v>
      </c>
      <c r="G72" s="11">
        <f t="shared" si="19"/>
        <v>57.760856999999994</v>
      </c>
      <c r="H72" s="11">
        <f t="shared" si="19"/>
        <v>112.464</v>
      </c>
      <c r="I72" s="11">
        <f t="shared" si="19"/>
        <v>186.97139999999999</v>
      </c>
      <c r="J72" s="11">
        <f t="shared" si="19"/>
        <v>196.31996999999998</v>
      </c>
      <c r="K72" s="11">
        <f t="shared" si="19"/>
        <v>206.13596850000002</v>
      </c>
      <c r="L72" s="11">
        <f t="shared" si="19"/>
        <v>216.44276692500003</v>
      </c>
      <c r="M72" s="11">
        <f t="shared" si="19"/>
        <v>227.26490527125006</v>
      </c>
    </row>
    <row r="73" spans="2:15" x14ac:dyDescent="0.25">
      <c r="B73" s="1" t="s">
        <v>47</v>
      </c>
      <c r="C73" s="11">
        <f>+C72*$C$40</f>
        <v>0</v>
      </c>
      <c r="D73" s="11">
        <f t="shared" ref="D73:M73" si="20">+D72*$C$40</f>
        <v>0</v>
      </c>
      <c r="E73" s="11">
        <f t="shared" si="20"/>
        <v>0</v>
      </c>
      <c r="F73" s="11">
        <f t="shared" si="20"/>
        <v>0</v>
      </c>
      <c r="G73" s="11">
        <f t="shared" si="20"/>
        <v>17.328257099999998</v>
      </c>
      <c r="H73" s="11">
        <f t="shared" si="20"/>
        <v>33.739199999999997</v>
      </c>
      <c r="I73" s="11">
        <f t="shared" si="20"/>
        <v>56.091419999999992</v>
      </c>
      <c r="J73" s="11">
        <f t="shared" si="20"/>
        <v>58.895990999999995</v>
      </c>
      <c r="K73" s="11">
        <f t="shared" si="20"/>
        <v>61.840790550000001</v>
      </c>
      <c r="L73" s="11">
        <f t="shared" si="20"/>
        <v>64.9328300775</v>
      </c>
      <c r="M73" s="11">
        <f t="shared" si="20"/>
        <v>68.179471581375012</v>
      </c>
    </row>
    <row r="74" spans="2:15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5" x14ac:dyDescent="0.25">
      <c r="B75" s="1" t="s">
        <v>37</v>
      </c>
      <c r="C75" s="11">
        <f>+C72-C73</f>
        <v>0</v>
      </c>
      <c r="D75" s="11">
        <f t="shared" ref="D75:M75" si="21">+D72-D73</f>
        <v>0</v>
      </c>
      <c r="E75" s="11">
        <f t="shared" si="21"/>
        <v>0</v>
      </c>
      <c r="F75" s="11">
        <f t="shared" si="21"/>
        <v>0</v>
      </c>
      <c r="G75" s="11">
        <f t="shared" si="21"/>
        <v>40.4325999</v>
      </c>
      <c r="H75" s="11">
        <f t="shared" si="21"/>
        <v>78.724800000000002</v>
      </c>
      <c r="I75" s="11">
        <f t="shared" si="21"/>
        <v>130.87997999999999</v>
      </c>
      <c r="J75" s="11">
        <f t="shared" si="21"/>
        <v>137.42397899999997</v>
      </c>
      <c r="K75" s="11">
        <f t="shared" si="21"/>
        <v>144.29517795000001</v>
      </c>
      <c r="L75" s="11">
        <f t="shared" si="21"/>
        <v>151.50993684750003</v>
      </c>
      <c r="M75" s="11">
        <f t="shared" si="21"/>
        <v>159.08543368987506</v>
      </c>
    </row>
    <row r="76" spans="2:15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2:15" x14ac:dyDescent="0.25">
      <c r="B77" s="2" t="s">
        <v>73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2:15" x14ac:dyDescent="0.25">
      <c r="B78" s="1" t="s">
        <v>48</v>
      </c>
      <c r="C78" s="11">
        <v>0</v>
      </c>
      <c r="D78" s="11">
        <v>0</v>
      </c>
      <c r="E78" s="11">
        <v>0</v>
      </c>
      <c r="F78" s="11">
        <v>0</v>
      </c>
      <c r="G78" s="27"/>
      <c r="H78" s="11"/>
      <c r="I78" s="11">
        <v>150</v>
      </c>
      <c r="J78" s="11">
        <f>I78+10</f>
        <v>160</v>
      </c>
      <c r="K78" s="11">
        <f t="shared" ref="K78:M78" si="22">J78</f>
        <v>160</v>
      </c>
      <c r="L78" s="11">
        <f t="shared" si="22"/>
        <v>160</v>
      </c>
      <c r="M78" s="11">
        <f t="shared" si="22"/>
        <v>160</v>
      </c>
    </row>
    <row r="79" spans="2:15" x14ac:dyDescent="0.25">
      <c r="B79" s="1" t="s">
        <v>49</v>
      </c>
      <c r="C79" s="27">
        <v>160</v>
      </c>
      <c r="D79" s="11">
        <f>+C79*(1+$C$38)</f>
        <v>164.8</v>
      </c>
      <c r="E79" s="11">
        <f t="shared" ref="E79:M79" si="23">+D79*(1+$C$38)</f>
        <v>169.74400000000003</v>
      </c>
      <c r="F79" s="11">
        <f t="shared" si="23"/>
        <v>174.83632000000003</v>
      </c>
      <c r="G79" s="11">
        <f t="shared" si="23"/>
        <v>180.08140960000003</v>
      </c>
      <c r="H79" s="11">
        <f t="shared" si="23"/>
        <v>185.48385188800003</v>
      </c>
      <c r="I79" s="11">
        <f t="shared" si="23"/>
        <v>191.04836744464004</v>
      </c>
      <c r="J79" s="11">
        <f t="shared" si="23"/>
        <v>196.77981846797925</v>
      </c>
      <c r="K79" s="11">
        <f t="shared" si="23"/>
        <v>202.68321302201863</v>
      </c>
      <c r="L79" s="11">
        <f t="shared" si="23"/>
        <v>208.76370941267919</v>
      </c>
      <c r="M79" s="11">
        <f t="shared" si="23"/>
        <v>215.02662069505956</v>
      </c>
    </row>
    <row r="80" spans="2:15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2:14" x14ac:dyDescent="0.25">
      <c r="B81" s="1" t="s">
        <v>46</v>
      </c>
      <c r="C81" s="11">
        <f>+$C$7*C78*C79*$H$3/100</f>
        <v>0</v>
      </c>
      <c r="D81" s="11">
        <f t="shared" ref="D81:M81" si="24">+$C$7*D78*D79*$H$3/100</f>
        <v>0</v>
      </c>
      <c r="E81" s="11">
        <f t="shared" si="24"/>
        <v>0</v>
      </c>
      <c r="F81" s="11">
        <f t="shared" si="24"/>
        <v>0</v>
      </c>
      <c r="G81" s="11">
        <f t="shared" si="24"/>
        <v>0</v>
      </c>
      <c r="H81" s="11">
        <f t="shared" si="24"/>
        <v>0</v>
      </c>
      <c r="I81" s="11">
        <f t="shared" si="24"/>
        <v>28.657255116696007</v>
      </c>
      <c r="J81" s="11">
        <f t="shared" si="24"/>
        <v>31.48477095487668</v>
      </c>
      <c r="K81" s="11">
        <f t="shared" si="24"/>
        <v>32.429314083522989</v>
      </c>
      <c r="L81" s="11">
        <f t="shared" si="24"/>
        <v>33.402193506028674</v>
      </c>
      <c r="M81" s="11">
        <f t="shared" si="24"/>
        <v>34.404259311209529</v>
      </c>
      <c r="N81" s="22"/>
    </row>
    <row r="82" spans="2:14" x14ac:dyDescent="0.25">
      <c r="B82" s="1" t="s">
        <v>47</v>
      </c>
      <c r="C82" s="11">
        <f>+C81*$C$40</f>
        <v>0</v>
      </c>
      <c r="D82" s="11">
        <f t="shared" ref="D82:M82" si="25">+D81*$C$40</f>
        <v>0</v>
      </c>
      <c r="E82" s="11">
        <f t="shared" si="25"/>
        <v>0</v>
      </c>
      <c r="F82" s="11">
        <f t="shared" si="25"/>
        <v>0</v>
      </c>
      <c r="G82" s="11">
        <f t="shared" si="25"/>
        <v>0</v>
      </c>
      <c r="H82" s="11">
        <f t="shared" si="25"/>
        <v>0</v>
      </c>
      <c r="I82" s="11">
        <f t="shared" si="25"/>
        <v>8.597176535008801</v>
      </c>
      <c r="J82" s="11">
        <f t="shared" si="25"/>
        <v>9.4454312864630037</v>
      </c>
      <c r="K82" s="11">
        <f t="shared" si="25"/>
        <v>9.7287942250568964</v>
      </c>
      <c r="L82" s="11">
        <f t="shared" si="25"/>
        <v>10.020658051808601</v>
      </c>
      <c r="M82" s="11">
        <f t="shared" si="25"/>
        <v>10.321277793362858</v>
      </c>
      <c r="N82" s="22"/>
    </row>
    <row r="83" spans="2:14" x14ac:dyDescent="0.2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2:14" x14ac:dyDescent="0.25">
      <c r="B84" s="1" t="s">
        <v>37</v>
      </c>
      <c r="C84" s="11">
        <f>+C81-C82</f>
        <v>0</v>
      </c>
      <c r="D84" s="11">
        <f t="shared" ref="D84:M84" si="26">+D81-D82</f>
        <v>0</v>
      </c>
      <c r="E84" s="11">
        <f t="shared" si="26"/>
        <v>0</v>
      </c>
      <c r="F84" s="11">
        <f t="shared" si="26"/>
        <v>0</v>
      </c>
      <c r="G84" s="11">
        <f t="shared" si="26"/>
        <v>0</v>
      </c>
      <c r="H84" s="11">
        <f t="shared" si="26"/>
        <v>0</v>
      </c>
      <c r="I84" s="11">
        <f t="shared" si="26"/>
        <v>20.060078581687208</v>
      </c>
      <c r="J84" s="11">
        <f t="shared" si="26"/>
        <v>22.039339668413675</v>
      </c>
      <c r="K84" s="11">
        <f t="shared" si="26"/>
        <v>22.700519858466095</v>
      </c>
      <c r="L84" s="11">
        <f t="shared" si="26"/>
        <v>23.381535454220071</v>
      </c>
      <c r="M84" s="11">
        <f t="shared" si="26"/>
        <v>24.082981517846669</v>
      </c>
    </row>
    <row r="85" spans="2:14" x14ac:dyDescent="0.2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2:14" x14ac:dyDescent="0.25">
      <c r="B86" s="2" t="s">
        <v>50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2:14" x14ac:dyDescent="0.25">
      <c r="B87" s="1" t="s">
        <v>51</v>
      </c>
      <c r="C87" s="11">
        <f>+C41</f>
        <v>100</v>
      </c>
      <c r="D87" s="11">
        <f>+C87</f>
        <v>100</v>
      </c>
      <c r="E87" s="11">
        <f>+D87</f>
        <v>100</v>
      </c>
      <c r="F87" s="11">
        <f>+E87*(1+$C$36)</f>
        <v>105</v>
      </c>
      <c r="G87" s="11">
        <f t="shared" ref="G87:M87" si="27">+F87*(1+$C$36)</f>
        <v>110.25</v>
      </c>
      <c r="H87" s="11">
        <f t="shared" si="27"/>
        <v>115.7625</v>
      </c>
      <c r="I87" s="11">
        <f t="shared" si="27"/>
        <v>121.55062500000001</v>
      </c>
      <c r="J87" s="11">
        <f t="shared" si="27"/>
        <v>127.62815625000002</v>
      </c>
      <c r="K87" s="11">
        <f t="shared" si="27"/>
        <v>134.00956406250003</v>
      </c>
      <c r="L87" s="11">
        <f t="shared" si="27"/>
        <v>140.71004226562505</v>
      </c>
      <c r="M87" s="11">
        <f t="shared" si="27"/>
        <v>147.74554437890632</v>
      </c>
    </row>
    <row r="88" spans="2:14" x14ac:dyDescent="0.25">
      <c r="B88" s="1" t="s">
        <v>53</v>
      </c>
      <c r="C88" s="27">
        <v>0</v>
      </c>
      <c r="D88" s="27">
        <v>0</v>
      </c>
      <c r="E88" s="27">
        <v>30000</v>
      </c>
      <c r="F88" s="55">
        <v>17500</v>
      </c>
      <c r="G88" s="11">
        <f t="shared" ref="G88:M88" si="28">+F88+1000</f>
        <v>18500</v>
      </c>
      <c r="H88" s="11">
        <f t="shared" si="28"/>
        <v>19500</v>
      </c>
      <c r="I88" s="11">
        <f t="shared" si="28"/>
        <v>20500</v>
      </c>
      <c r="J88" s="11">
        <f t="shared" si="28"/>
        <v>21500</v>
      </c>
      <c r="K88" s="11">
        <f t="shared" si="28"/>
        <v>22500</v>
      </c>
      <c r="L88" s="11">
        <f t="shared" si="28"/>
        <v>23500</v>
      </c>
      <c r="M88" s="11">
        <f t="shared" si="28"/>
        <v>24500</v>
      </c>
    </row>
    <row r="89" spans="2:14" x14ac:dyDescent="0.25">
      <c r="B89" s="1" t="s">
        <v>54</v>
      </c>
      <c r="C89" s="1">
        <f>+$C$42</f>
        <v>220</v>
      </c>
      <c r="D89" s="1">
        <f t="shared" ref="D89:M89" si="29">+$C$42</f>
        <v>220</v>
      </c>
      <c r="E89" s="1">
        <f t="shared" si="29"/>
        <v>220</v>
      </c>
      <c r="F89" s="1">
        <f t="shared" si="29"/>
        <v>220</v>
      </c>
      <c r="G89" s="1">
        <f t="shared" si="29"/>
        <v>220</v>
      </c>
      <c r="H89" s="1">
        <f t="shared" si="29"/>
        <v>220</v>
      </c>
      <c r="I89" s="1">
        <f t="shared" si="29"/>
        <v>220</v>
      </c>
      <c r="J89" s="1">
        <f t="shared" si="29"/>
        <v>220</v>
      </c>
      <c r="K89" s="1">
        <f t="shared" si="29"/>
        <v>220</v>
      </c>
      <c r="L89" s="1">
        <f t="shared" si="29"/>
        <v>220</v>
      </c>
      <c r="M89" s="1">
        <f t="shared" si="29"/>
        <v>220</v>
      </c>
    </row>
    <row r="91" spans="2:14" x14ac:dyDescent="0.25">
      <c r="B91" s="1" t="s">
        <v>46</v>
      </c>
      <c r="C91" s="14">
        <f>+C87*C88*C89/10^7</f>
        <v>0</v>
      </c>
      <c r="D91" s="14">
        <f t="shared" ref="D91:M91" si="30">+D87*D88*D89/10^7</f>
        <v>0</v>
      </c>
      <c r="E91" s="14">
        <f t="shared" si="30"/>
        <v>66</v>
      </c>
      <c r="F91" s="14">
        <f t="shared" si="30"/>
        <v>40.424999999999997</v>
      </c>
      <c r="G91" s="14">
        <f t="shared" si="30"/>
        <v>44.871749999999999</v>
      </c>
      <c r="H91" s="14">
        <f t="shared" si="30"/>
        <v>49.662112499999999</v>
      </c>
      <c r="I91" s="14">
        <f t="shared" si="30"/>
        <v>54.819331875000003</v>
      </c>
      <c r="J91" s="14">
        <f t="shared" si="30"/>
        <v>60.368117906250014</v>
      </c>
      <c r="K91" s="14">
        <f t="shared" si="30"/>
        <v>66.334734210937526</v>
      </c>
      <c r="L91" s="14">
        <f t="shared" si="30"/>
        <v>72.747091851328165</v>
      </c>
      <c r="M91" s="14">
        <f t="shared" si="30"/>
        <v>79.634848420230512</v>
      </c>
    </row>
    <row r="92" spans="2:14" x14ac:dyDescent="0.25">
      <c r="B92" s="1" t="s">
        <v>47</v>
      </c>
      <c r="C92" s="14">
        <f>+C91*$C$43</f>
        <v>0</v>
      </c>
      <c r="D92" s="14">
        <f t="shared" ref="D92:M92" si="31">+D91*$C$43</f>
        <v>0</v>
      </c>
      <c r="E92" s="14">
        <f t="shared" si="31"/>
        <v>33</v>
      </c>
      <c r="F92" s="14">
        <f t="shared" si="31"/>
        <v>20.212499999999999</v>
      </c>
      <c r="G92" s="14">
        <f t="shared" si="31"/>
        <v>22.435874999999999</v>
      </c>
      <c r="H92" s="14">
        <f t="shared" si="31"/>
        <v>24.83105625</v>
      </c>
      <c r="I92" s="14">
        <f t="shared" si="31"/>
        <v>27.409665937500002</v>
      </c>
      <c r="J92" s="14">
        <f t="shared" si="31"/>
        <v>30.184058953125007</v>
      </c>
      <c r="K92" s="14">
        <f t="shared" si="31"/>
        <v>33.167367105468763</v>
      </c>
      <c r="L92" s="14">
        <f t="shared" si="31"/>
        <v>36.373545925664082</v>
      </c>
      <c r="M92" s="14">
        <f t="shared" si="31"/>
        <v>39.817424210115256</v>
      </c>
    </row>
    <row r="94" spans="2:14" x14ac:dyDescent="0.25">
      <c r="B94" s="1" t="s">
        <v>37</v>
      </c>
      <c r="C94" s="14">
        <f>+C91-C92</f>
        <v>0</v>
      </c>
      <c r="D94" s="14">
        <f t="shared" ref="D94:M94" si="32">+D91-D92</f>
        <v>0</v>
      </c>
      <c r="E94" s="14">
        <f t="shared" si="32"/>
        <v>33</v>
      </c>
      <c r="F94" s="14">
        <f t="shared" si="32"/>
        <v>20.212499999999999</v>
      </c>
      <c r="G94" s="14">
        <f t="shared" si="32"/>
        <v>22.435874999999999</v>
      </c>
      <c r="H94" s="14">
        <f t="shared" si="32"/>
        <v>24.83105625</v>
      </c>
      <c r="I94" s="14">
        <f t="shared" si="32"/>
        <v>27.409665937500002</v>
      </c>
      <c r="J94" s="14">
        <f t="shared" si="32"/>
        <v>30.184058953125007</v>
      </c>
      <c r="K94" s="14">
        <f t="shared" si="32"/>
        <v>33.167367105468763</v>
      </c>
      <c r="L94" s="14">
        <f t="shared" si="32"/>
        <v>36.373545925664082</v>
      </c>
      <c r="M94" s="14">
        <f t="shared" si="32"/>
        <v>39.817424210115256</v>
      </c>
    </row>
    <row r="96" spans="2:14" x14ac:dyDescent="0.25">
      <c r="B96" s="2" t="s">
        <v>58</v>
      </c>
    </row>
    <row r="97" spans="2:13" x14ac:dyDescent="0.25">
      <c r="B97" s="1" t="s">
        <v>37</v>
      </c>
      <c r="C97" s="14">
        <f>+C94+C84+C75</f>
        <v>0</v>
      </c>
      <c r="D97" s="14">
        <f t="shared" ref="D97:M97" si="33">+D94+D84+D75</f>
        <v>0</v>
      </c>
      <c r="E97" s="14">
        <f t="shared" si="33"/>
        <v>33</v>
      </c>
      <c r="F97" s="14">
        <f t="shared" si="33"/>
        <v>20.212499999999999</v>
      </c>
      <c r="G97" s="14">
        <f t="shared" si="33"/>
        <v>62.868474899999995</v>
      </c>
      <c r="H97" s="14">
        <f t="shared" si="33"/>
        <v>103.55585625000001</v>
      </c>
      <c r="I97" s="14">
        <f t="shared" si="33"/>
        <v>178.34972451918719</v>
      </c>
      <c r="J97" s="14">
        <f t="shared" si="33"/>
        <v>189.64737762153865</v>
      </c>
      <c r="K97" s="14">
        <f t="shared" si="33"/>
        <v>200.16306491393487</v>
      </c>
      <c r="L97" s="14">
        <f t="shared" si="33"/>
        <v>211.26501822738419</v>
      </c>
      <c r="M97" s="14">
        <f t="shared" si="33"/>
        <v>222.98583941783698</v>
      </c>
    </row>
    <row r="98" spans="2:13" x14ac:dyDescent="0.25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2:13" x14ac:dyDescent="0.25">
      <c r="B99" s="30" t="s">
        <v>61</v>
      </c>
      <c r="C99" s="31">
        <f>+C97+C57</f>
        <v>191.11399999999998</v>
      </c>
      <c r="D99" s="31">
        <f t="shared" ref="D99:M99" si="34">+D97+D57</f>
        <v>200.19621999999998</v>
      </c>
      <c r="E99" s="31">
        <f t="shared" si="34"/>
        <v>242.78855660000002</v>
      </c>
      <c r="F99" s="31">
        <f t="shared" si="34"/>
        <v>229.16595599800004</v>
      </c>
      <c r="G99" s="31">
        <f t="shared" si="34"/>
        <v>281.99034697694003</v>
      </c>
      <c r="H99" s="31">
        <f t="shared" si="34"/>
        <v>333.43868764347826</v>
      </c>
      <c r="I99" s="31">
        <f t="shared" si="34"/>
        <v>419.62713002366087</v>
      </c>
      <c r="J99" s="31">
        <f t="shared" si="34"/>
        <v>442.99730951980433</v>
      </c>
      <c r="K99" s="31">
        <f t="shared" si="34"/>
        <v>466.31136386444172</v>
      </c>
      <c r="L99" s="31">
        <f t="shared" si="34"/>
        <v>490.98927542086835</v>
      </c>
      <c r="M99" s="31">
        <f t="shared" si="34"/>
        <v>517.11959882809469</v>
      </c>
    </row>
    <row r="100" spans="2:13" x14ac:dyDescent="0.25">
      <c r="B100" s="1" t="s">
        <v>38</v>
      </c>
      <c r="C100" s="11">
        <f>+C99*$C$37</f>
        <v>59.245339999999992</v>
      </c>
      <c r="D100" s="11">
        <f t="shared" ref="D100:M100" si="35">+D99*$C$37</f>
        <v>62.060828199999996</v>
      </c>
      <c r="E100" s="11">
        <f t="shared" si="35"/>
        <v>75.264452546000001</v>
      </c>
      <c r="F100" s="11">
        <f t="shared" si="35"/>
        <v>71.041446359380018</v>
      </c>
      <c r="G100" s="11">
        <f t="shared" si="35"/>
        <v>87.41700756285141</v>
      </c>
      <c r="H100" s="11">
        <f t="shared" si="35"/>
        <v>103.36599316947826</v>
      </c>
      <c r="I100" s="11">
        <f t="shared" si="35"/>
        <v>130.08441030733488</v>
      </c>
      <c r="J100" s="11">
        <f t="shared" si="35"/>
        <v>137.32916595113934</v>
      </c>
      <c r="K100" s="11">
        <f t="shared" si="35"/>
        <v>144.55652279797692</v>
      </c>
      <c r="L100" s="11">
        <f t="shared" si="35"/>
        <v>152.20667538046919</v>
      </c>
      <c r="M100" s="11">
        <f t="shared" si="35"/>
        <v>160.30707563670936</v>
      </c>
    </row>
    <row r="101" spans="2:13" x14ac:dyDescent="0.25"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2:13" x14ac:dyDescent="0.25">
      <c r="B102" s="2" t="s">
        <v>59</v>
      </c>
      <c r="C102" s="16">
        <f>+C99-C100</f>
        <v>131.86865999999998</v>
      </c>
      <c r="D102" s="16">
        <f t="shared" ref="D102:M102" si="36">+D99-D100</f>
        <v>138.13539179999998</v>
      </c>
      <c r="E102" s="16">
        <f t="shared" si="36"/>
        <v>167.52410405400002</v>
      </c>
      <c r="F102" s="16">
        <f t="shared" si="36"/>
        <v>158.12450963862003</v>
      </c>
      <c r="G102" s="16">
        <f t="shared" si="36"/>
        <v>194.57333941408862</v>
      </c>
      <c r="H102" s="16">
        <f t="shared" si="36"/>
        <v>230.072694474</v>
      </c>
      <c r="I102" s="16">
        <f t="shared" si="36"/>
        <v>289.54271971632602</v>
      </c>
      <c r="J102" s="16">
        <f t="shared" si="36"/>
        <v>305.66814356866496</v>
      </c>
      <c r="K102" s="16">
        <f t="shared" si="36"/>
        <v>321.75484106646479</v>
      </c>
      <c r="L102" s="16">
        <f t="shared" si="36"/>
        <v>338.78260004039919</v>
      </c>
      <c r="M102" s="16">
        <f t="shared" si="36"/>
        <v>356.81252319138537</v>
      </c>
    </row>
    <row r="103" spans="2:13" ht="12" x14ac:dyDescent="0.3">
      <c r="B103" s="6" t="s">
        <v>43</v>
      </c>
      <c r="D103" s="5">
        <f>+D102/C102-1</f>
        <v>4.7522525822284001E-2</v>
      </c>
      <c r="E103" s="5">
        <f t="shared" ref="E103:M103" si="37">+E102/D102-1</f>
        <v>0.21275295107969594</v>
      </c>
      <c r="F103" s="5">
        <f t="shared" si="37"/>
        <v>-5.6108907243283102E-2</v>
      </c>
      <c r="G103" s="5">
        <f t="shared" si="37"/>
        <v>0.23050714818828055</v>
      </c>
      <c r="H103" s="5">
        <f t="shared" si="37"/>
        <v>0.1824471696215384</v>
      </c>
      <c r="I103" s="5">
        <f t="shared" si="37"/>
        <v>0.25848363004696573</v>
      </c>
      <c r="J103" s="5">
        <f t="shared" si="37"/>
        <v>5.5692727719548696E-2</v>
      </c>
      <c r="K103" s="5">
        <f t="shared" si="37"/>
        <v>5.2627981804018509E-2</v>
      </c>
      <c r="L103" s="5">
        <f t="shared" si="37"/>
        <v>5.292153155332624E-2</v>
      </c>
      <c r="M103" s="5">
        <f t="shared" si="37"/>
        <v>5.3219743720120727E-2</v>
      </c>
    </row>
    <row r="105" spans="2:13" x14ac:dyDescent="0.25">
      <c r="B105" s="2" t="s">
        <v>60</v>
      </c>
      <c r="C105" s="14">
        <f>+C102/$H$5</f>
        <v>18.715403755551378</v>
      </c>
      <c r="D105" s="14">
        <f t="shared" ref="D105:M105" si="38">+D102/$H$5</f>
        <v>19.604807013799039</v>
      </c>
      <c r="E105" s="14">
        <f t="shared" si="38"/>
        <v>23.775787561332709</v>
      </c>
      <c r="F105" s="14">
        <f t="shared" si="38"/>
        <v>22.441754102417889</v>
      </c>
      <c r="G105" s="14">
        <f t="shared" si="38"/>
        <v>27.614738840908885</v>
      </c>
      <c r="H105" s="14">
        <f t="shared" si="38"/>
        <v>32.652969782270667</v>
      </c>
      <c r="I105" s="14">
        <f t="shared" si="38"/>
        <v>41.093227943405878</v>
      </c>
      <c r="J105" s="14">
        <f t="shared" si="38"/>
        <v>43.381821898375328</v>
      </c>
      <c r="K105" s="14">
        <f t="shared" si="38"/>
        <v>45.664919631868202</v>
      </c>
      <c r="L105" s="14">
        <f t="shared" si="38"/>
        <v>48.081577117046223</v>
      </c>
      <c r="M105" s="14">
        <f t="shared" si="38"/>
        <v>50.640466328874638</v>
      </c>
    </row>
    <row r="106" spans="2:13" x14ac:dyDescent="0.25">
      <c r="B106" s="1" t="s">
        <v>42</v>
      </c>
      <c r="C106" s="17">
        <f>+$H$6/C105</f>
        <v>28.318918839396716</v>
      </c>
      <c r="D106" s="17">
        <f t="shared" ref="D106:M106" si="39">+$H$6/D105</f>
        <v>27.03418603544295</v>
      </c>
      <c r="E106" s="17">
        <f t="shared" si="39"/>
        <v>22.291585447287357</v>
      </c>
      <c r="F106" s="17">
        <f t="shared" si="39"/>
        <v>23.616692241668286</v>
      </c>
      <c r="G106" s="17">
        <f t="shared" si="39"/>
        <v>19.1926493693596</v>
      </c>
      <c r="H106" s="17">
        <f t="shared" si="39"/>
        <v>16.231295454411317</v>
      </c>
      <c r="I106" s="17">
        <f t="shared" si="39"/>
        <v>12.897502253410776</v>
      </c>
      <c r="J106" s="17">
        <f t="shared" si="39"/>
        <v>12.217098701883906</v>
      </c>
      <c r="K106" s="17">
        <f t="shared" si="39"/>
        <v>11.606283428781699</v>
      </c>
      <c r="L106" s="17">
        <f t="shared" si="39"/>
        <v>11.022932935619131</v>
      </c>
      <c r="M106" s="17">
        <f t="shared" si="39"/>
        <v>10.465938377384171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workbookViewId="0">
      <selection activeCell="D8" sqref="D8"/>
    </sheetView>
  </sheetViews>
  <sheetFormatPr defaultRowHeight="14.5" x14ac:dyDescent="0.35"/>
  <cols>
    <col min="1" max="1" width="24.453125" bestFit="1" customWidth="1"/>
    <col min="2" max="2" width="9.1796875" style="32"/>
    <col min="3" max="3" width="13.453125" style="32" bestFit="1" customWidth="1"/>
    <col min="4" max="4" width="13.453125" style="32" customWidth="1"/>
    <col min="5" max="5" width="24.54296875" style="32" bestFit="1" customWidth="1"/>
    <col min="6" max="6" width="63.08984375" bestFit="1" customWidth="1"/>
  </cols>
  <sheetData>
    <row r="1" spans="1:6" x14ac:dyDescent="0.35">
      <c r="A1" s="46" t="s">
        <v>83</v>
      </c>
      <c r="B1" s="35">
        <v>0.12</v>
      </c>
    </row>
    <row r="2" spans="1:6" x14ac:dyDescent="0.35">
      <c r="A2" s="50" t="s">
        <v>85</v>
      </c>
      <c r="B2" s="37">
        <v>10</v>
      </c>
    </row>
    <row r="4" spans="1:6" s="49" customFormat="1" x14ac:dyDescent="0.35">
      <c r="A4" s="46"/>
      <c r="B4" s="47" t="s">
        <v>91</v>
      </c>
      <c r="C4" s="47" t="s">
        <v>89</v>
      </c>
      <c r="D4" s="51" t="s">
        <v>90</v>
      </c>
      <c r="E4" s="48" t="s">
        <v>92</v>
      </c>
    </row>
    <row r="5" spans="1:6" x14ac:dyDescent="0.35">
      <c r="A5" s="38" t="s">
        <v>74</v>
      </c>
      <c r="B5" s="33">
        <v>0</v>
      </c>
      <c r="C5" s="34">
        <f>NESCO!E102</f>
        <v>167.52410405400002</v>
      </c>
      <c r="D5" s="52">
        <v>143</v>
      </c>
      <c r="E5" s="39">
        <f>D5-C5</f>
        <v>-24.52410405400002</v>
      </c>
    </row>
    <row r="6" spans="1:6" x14ac:dyDescent="0.35">
      <c r="A6" s="38" t="s">
        <v>75</v>
      </c>
      <c r="B6" s="33">
        <v>1</v>
      </c>
      <c r="C6" s="34">
        <f>NESCO!F102+18</f>
        <v>176.12450963862003</v>
      </c>
      <c r="D6" s="52">
        <v>437</v>
      </c>
      <c r="E6" s="39">
        <f>(C6-D6)/(1+$B$1)^B6</f>
        <v>-232.92454496551784</v>
      </c>
      <c r="F6" t="s">
        <v>96</v>
      </c>
    </row>
    <row r="7" spans="1:6" x14ac:dyDescent="0.35">
      <c r="A7" s="38" t="s">
        <v>76</v>
      </c>
      <c r="B7" s="33">
        <v>2</v>
      </c>
      <c r="C7" s="34">
        <f>NESCO!G102</f>
        <v>194.57333941408862</v>
      </c>
      <c r="D7" s="52">
        <v>75</v>
      </c>
      <c r="E7" s="39">
        <f t="shared" ref="E7:E14" si="0">(C7-D7)/(1+$B$1)^B7</f>
        <v>95.323134099241557</v>
      </c>
      <c r="F7" t="s">
        <v>94</v>
      </c>
    </row>
    <row r="8" spans="1:6" x14ac:dyDescent="0.35">
      <c r="A8" s="38" t="s">
        <v>77</v>
      </c>
      <c r="B8" s="33">
        <v>3</v>
      </c>
      <c r="C8" s="34">
        <f>NESCO!H102</f>
        <v>230.072694474</v>
      </c>
      <c r="D8" s="52">
        <v>75</v>
      </c>
      <c r="E8" s="39">
        <f t="shared" si="0"/>
        <v>110.37768090179708</v>
      </c>
    </row>
    <row r="9" spans="1:6" x14ac:dyDescent="0.35">
      <c r="A9" s="38" t="s">
        <v>78</v>
      </c>
      <c r="B9" s="33">
        <v>4</v>
      </c>
      <c r="C9" s="34">
        <f>NESCO!I102</f>
        <v>289.54271971632602</v>
      </c>
      <c r="D9" s="52">
        <v>0</v>
      </c>
      <c r="E9" s="39">
        <f t="shared" si="0"/>
        <v>184.00963285022814</v>
      </c>
    </row>
    <row r="10" spans="1:6" x14ac:dyDescent="0.35">
      <c r="A10" s="38" t="s">
        <v>79</v>
      </c>
      <c r="B10" s="33">
        <v>5</v>
      </c>
      <c r="C10" s="34">
        <f>NESCO!J102</f>
        <v>305.66814356866496</v>
      </c>
      <c r="D10" s="52">
        <v>0</v>
      </c>
      <c r="E10" s="39">
        <f t="shared" si="0"/>
        <v>173.44431359850893</v>
      </c>
    </row>
    <row r="11" spans="1:6" x14ac:dyDescent="0.35">
      <c r="A11" s="38" t="s">
        <v>80</v>
      </c>
      <c r="B11" s="33">
        <v>6</v>
      </c>
      <c r="C11" s="34">
        <f>NESCO!K102</f>
        <v>321.75484106646479</v>
      </c>
      <c r="D11" s="52">
        <v>0</v>
      </c>
      <c r="E11" s="39">
        <f t="shared" si="0"/>
        <v>163.01101587373367</v>
      </c>
    </row>
    <row r="12" spans="1:6" x14ac:dyDescent="0.35">
      <c r="A12" s="38" t="s">
        <v>81</v>
      </c>
      <c r="B12" s="33">
        <v>7</v>
      </c>
      <c r="C12" s="34">
        <f>NESCO!L102</f>
        <v>338.78260004039919</v>
      </c>
      <c r="D12" s="52">
        <v>0</v>
      </c>
      <c r="E12" s="39">
        <f t="shared" si="0"/>
        <v>153.24804329806719</v>
      </c>
    </row>
    <row r="13" spans="1:6" x14ac:dyDescent="0.35">
      <c r="A13" s="38" t="s">
        <v>82</v>
      </c>
      <c r="B13" s="33">
        <v>8</v>
      </c>
      <c r="C13" s="34">
        <f>NESCO!M102</f>
        <v>356.81252319138537</v>
      </c>
      <c r="D13" s="52">
        <v>0</v>
      </c>
      <c r="E13" s="39">
        <f t="shared" si="0"/>
        <v>144.11059365000023</v>
      </c>
    </row>
    <row r="14" spans="1:6" x14ac:dyDescent="0.35">
      <c r="A14" s="36" t="s">
        <v>84</v>
      </c>
      <c r="B14" s="40">
        <v>9</v>
      </c>
      <c r="C14" s="41">
        <f>C13*B2</f>
        <v>3568.1252319138539</v>
      </c>
      <c r="D14" s="53">
        <v>0</v>
      </c>
      <c r="E14" s="42">
        <f t="shared" si="0"/>
        <v>1286.7017290178592</v>
      </c>
    </row>
    <row r="16" spans="1:6" x14ac:dyDescent="0.35">
      <c r="A16" s="58" t="s">
        <v>86</v>
      </c>
      <c r="B16" s="59"/>
      <c r="C16" s="59"/>
      <c r="D16" s="60"/>
      <c r="E16" s="43">
        <f>SUM(E5:E14)</f>
        <v>2052.777494269918</v>
      </c>
    </row>
    <row r="17" spans="1:6" x14ac:dyDescent="0.35">
      <c r="A17" s="61" t="s">
        <v>87</v>
      </c>
      <c r="B17" s="62"/>
      <c r="C17" s="62"/>
      <c r="D17" s="63"/>
      <c r="E17" s="44">
        <v>3469</v>
      </c>
    </row>
    <row r="18" spans="1:6" x14ac:dyDescent="0.35">
      <c r="A18" s="64" t="s">
        <v>88</v>
      </c>
      <c r="B18" s="65"/>
      <c r="C18" s="65"/>
      <c r="D18" s="66"/>
      <c r="E18" s="45">
        <f>-(E16-E17)/E17</f>
        <v>0.4082509385212113</v>
      </c>
      <c r="F18" t="s">
        <v>95</v>
      </c>
    </row>
  </sheetData>
  <mergeCells count="3">
    <mergeCell ref="A16:D16"/>
    <mergeCell ref="A17:D17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1"/>
  <sheetViews>
    <sheetView showGridLines="0" workbookViewId="0">
      <selection activeCell="C11" sqref="C11"/>
    </sheetView>
  </sheetViews>
  <sheetFormatPr defaultColWidth="9.1796875" defaultRowHeight="11.5" x14ac:dyDescent="0.25"/>
  <cols>
    <col min="1" max="1" width="4.1796875" style="1" customWidth="1"/>
    <col min="2" max="2" width="35" style="1" bestFit="1" customWidth="1"/>
    <col min="3" max="16384" width="9.1796875" style="1"/>
  </cols>
  <sheetData>
    <row r="2" spans="2:5" x14ac:dyDescent="0.25">
      <c r="B2" s="1" t="s">
        <v>64</v>
      </c>
      <c r="C2" s="27">
        <f>580+50+150</f>
        <v>780</v>
      </c>
    </row>
    <row r="4" spans="2:5" x14ac:dyDescent="0.25">
      <c r="B4" s="20" t="s">
        <v>68</v>
      </c>
    </row>
    <row r="5" spans="2:5" x14ac:dyDescent="0.25">
      <c r="B5" s="1" t="s">
        <v>65</v>
      </c>
      <c r="C5" s="11">
        <v>131</v>
      </c>
    </row>
    <row r="6" spans="2:5" x14ac:dyDescent="0.25">
      <c r="B6" s="1" t="s">
        <v>66</v>
      </c>
      <c r="C6" s="11">
        <f>NESCO!G94</f>
        <v>22.435874999999999</v>
      </c>
    </row>
    <row r="7" spans="2:5" x14ac:dyDescent="0.25">
      <c r="B7" s="1" t="s">
        <v>2</v>
      </c>
      <c r="C7" s="11">
        <v>22</v>
      </c>
    </row>
    <row r="8" spans="2:5" s="2" customFormat="1" x14ac:dyDescent="0.25">
      <c r="B8" s="2" t="s">
        <v>67</v>
      </c>
      <c r="C8" s="16">
        <f>SUM(C5:C7)</f>
        <v>175.43587500000001</v>
      </c>
    </row>
    <row r="9" spans="2:5" s="6" customFormat="1" ht="12" x14ac:dyDescent="0.3">
      <c r="B9" s="6" t="s">
        <v>69</v>
      </c>
      <c r="C9" s="12">
        <f>NESCO!C37</f>
        <v>0.31</v>
      </c>
    </row>
    <row r="11" spans="2:5" s="2" customFormat="1" x14ac:dyDescent="0.25">
      <c r="B11" s="2" t="s">
        <v>70</v>
      </c>
      <c r="C11" s="21">
        <f>C8*(1-C9)/C2</f>
        <v>0.15519327403846153</v>
      </c>
      <c r="E1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NESCO</vt:lpstr>
      <vt:lpstr>DCF</vt:lpstr>
      <vt:lpstr>Incremental ROCE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</dc:creator>
  <cp:lastModifiedBy>Saurabh, kumar</cp:lastModifiedBy>
  <dcterms:created xsi:type="dcterms:W3CDTF">2016-12-22T15:11:11Z</dcterms:created>
  <dcterms:modified xsi:type="dcterms:W3CDTF">2019-04-16T17:36:34Z</dcterms:modified>
</cp:coreProperties>
</file>