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0_ncr:8100000_{9AF88051-7575-48C8-AAF2-924F6BCCAE81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CapitalStructure" sheetId="7" r:id="rId1"/>
    <sheet name="GOI30YBondYield" sheetId="8" r:id="rId2"/>
    <sheet name="Profit &amp; Loss" sheetId="1" r:id="rId3"/>
    <sheet name="Balance Sheet" sheetId="2" r:id="rId4"/>
    <sheet name="Quarters" sheetId="3" state="hidden" r:id="rId5"/>
    <sheet name="Cash Flow" sheetId="4" state="hidden" r:id="rId6"/>
    <sheet name="Customization" sheetId="5" state="hidden" r:id="rId7"/>
    <sheet name="Data Sheet" sheetId="6" state="hidden" r:id="rId8"/>
  </sheets>
  <definedNames>
    <definedName name="UPDATE">'Data Sheet'!$E$1</definedName>
  </definedNames>
  <calcPr calcId="162913"/>
</workbook>
</file>

<file path=xl/calcChain.xml><?xml version="1.0" encoding="utf-8"?>
<calcChain xmlns="http://schemas.openxmlformats.org/spreadsheetml/2006/main">
  <c r="I6" i="7" l="1"/>
  <c r="J6" i="7"/>
  <c r="K6" i="7"/>
  <c r="K10" i="7" s="1"/>
  <c r="L6" i="7"/>
  <c r="L10" i="7" s="1"/>
  <c r="M6" i="7"/>
  <c r="N6" i="7"/>
  <c r="O6" i="7"/>
  <c r="O10" i="7" s="1"/>
  <c r="P6" i="7"/>
  <c r="P10" i="7" s="1"/>
  <c r="Q6" i="7"/>
  <c r="H6" i="7"/>
  <c r="H10" i="7" s="1"/>
  <c r="I10" i="7"/>
  <c r="J10" i="7"/>
  <c r="M10" i="7"/>
  <c r="N10" i="7"/>
  <c r="Q10" i="7"/>
  <c r="Q4" i="7"/>
  <c r="P4" i="7"/>
  <c r="P5" i="7" s="1"/>
  <c r="O4" i="7"/>
  <c r="N4" i="7"/>
  <c r="M4" i="7"/>
  <c r="L4" i="7"/>
  <c r="K4" i="7"/>
  <c r="J4" i="7"/>
  <c r="J5" i="7" s="1"/>
  <c r="I4" i="7"/>
  <c r="H4" i="7"/>
  <c r="Q3" i="7"/>
  <c r="P3" i="7"/>
  <c r="O3" i="7"/>
  <c r="N3" i="7"/>
  <c r="I8" i="7"/>
  <c r="I9" i="7" s="1"/>
  <c r="J8" i="7"/>
  <c r="J9" i="7" s="1"/>
  <c r="K8" i="7"/>
  <c r="L8" i="7"/>
  <c r="M8" i="7"/>
  <c r="M9" i="7" s="1"/>
  <c r="N8" i="7"/>
  <c r="N9" i="7" s="1"/>
  <c r="O8" i="7"/>
  <c r="P8" i="7"/>
  <c r="Q8" i="7"/>
  <c r="Q9" i="7" s="1"/>
  <c r="H8" i="7"/>
  <c r="H9" i="7" s="1"/>
  <c r="I7" i="7"/>
  <c r="I11" i="7" s="1"/>
  <c r="J7" i="7"/>
  <c r="J11" i="7" s="1"/>
  <c r="K7" i="7"/>
  <c r="K11" i="7" s="1"/>
  <c r="L7" i="7"/>
  <c r="L11" i="7" s="1"/>
  <c r="M7" i="7"/>
  <c r="M11" i="7" s="1"/>
  <c r="N7" i="7"/>
  <c r="N11" i="7" s="1"/>
  <c r="O7" i="7"/>
  <c r="O11" i="7" s="1"/>
  <c r="P7" i="7"/>
  <c r="P11" i="7" s="1"/>
  <c r="Q7" i="7"/>
  <c r="Q11" i="7" s="1"/>
  <c r="H7" i="7"/>
  <c r="H11" i="7" s="1"/>
  <c r="M3" i="7"/>
  <c r="L3" i="7"/>
  <c r="K3" i="7"/>
  <c r="J3" i="7"/>
  <c r="I3" i="7"/>
  <c r="H3" i="7"/>
  <c r="I1" i="7"/>
  <c r="J1" i="7" s="1"/>
  <c r="K1" i="7" s="1"/>
  <c r="L1" i="7" s="1"/>
  <c r="M1" i="7" s="1"/>
  <c r="N1" i="7" s="1"/>
  <c r="O1" i="7" s="1"/>
  <c r="P1" i="7" s="1"/>
  <c r="Q1" i="7" s="1"/>
  <c r="E575" i="7"/>
  <c r="C575" i="7"/>
  <c r="E574" i="7"/>
  <c r="C574" i="7"/>
  <c r="E573" i="7"/>
  <c r="C573" i="7"/>
  <c r="E572" i="7"/>
  <c r="C572" i="7"/>
  <c r="E571" i="7"/>
  <c r="C571" i="7"/>
  <c r="E570" i="7"/>
  <c r="C570" i="7"/>
  <c r="E569" i="7"/>
  <c r="C569" i="7"/>
  <c r="E568" i="7"/>
  <c r="C568" i="7"/>
  <c r="E567" i="7"/>
  <c r="C567" i="7"/>
  <c r="E566" i="7"/>
  <c r="C566" i="7"/>
  <c r="E565" i="7"/>
  <c r="C565" i="7"/>
  <c r="E564" i="7"/>
  <c r="C564" i="7"/>
  <c r="E563" i="7"/>
  <c r="C563" i="7"/>
  <c r="E562" i="7"/>
  <c r="C562" i="7"/>
  <c r="E561" i="7"/>
  <c r="C561" i="7"/>
  <c r="E560" i="7"/>
  <c r="C560" i="7"/>
  <c r="E559" i="7"/>
  <c r="C559" i="7"/>
  <c r="E558" i="7"/>
  <c r="C558" i="7"/>
  <c r="E557" i="7"/>
  <c r="C557" i="7"/>
  <c r="E556" i="7"/>
  <c r="C556" i="7"/>
  <c r="E555" i="7"/>
  <c r="C555" i="7"/>
  <c r="E554" i="7"/>
  <c r="C554" i="7"/>
  <c r="E553" i="7"/>
  <c r="C553" i="7"/>
  <c r="E552" i="7"/>
  <c r="C552" i="7"/>
  <c r="E551" i="7"/>
  <c r="C551" i="7"/>
  <c r="E550" i="7"/>
  <c r="C550" i="7"/>
  <c r="E549" i="7"/>
  <c r="C549" i="7"/>
  <c r="E548" i="7"/>
  <c r="C548" i="7"/>
  <c r="E547" i="7"/>
  <c r="C547" i="7"/>
  <c r="E546" i="7"/>
  <c r="C546" i="7"/>
  <c r="E545" i="7"/>
  <c r="C545" i="7"/>
  <c r="E544" i="7"/>
  <c r="C544" i="7"/>
  <c r="E543" i="7"/>
  <c r="C543" i="7"/>
  <c r="E542" i="7"/>
  <c r="C542" i="7"/>
  <c r="E541" i="7"/>
  <c r="C541" i="7"/>
  <c r="E540" i="7"/>
  <c r="C540" i="7"/>
  <c r="E539" i="7"/>
  <c r="C539" i="7"/>
  <c r="E538" i="7"/>
  <c r="C538" i="7"/>
  <c r="E537" i="7"/>
  <c r="C537" i="7"/>
  <c r="E536" i="7"/>
  <c r="C536" i="7"/>
  <c r="E535" i="7"/>
  <c r="C535" i="7"/>
  <c r="E534" i="7"/>
  <c r="C534" i="7"/>
  <c r="E533" i="7"/>
  <c r="C533" i="7"/>
  <c r="E532" i="7"/>
  <c r="C532" i="7"/>
  <c r="E531" i="7"/>
  <c r="C531" i="7"/>
  <c r="E530" i="7"/>
  <c r="C530" i="7"/>
  <c r="E529" i="7"/>
  <c r="C529" i="7"/>
  <c r="E528" i="7"/>
  <c r="C528" i="7"/>
  <c r="E527" i="7"/>
  <c r="C527" i="7"/>
  <c r="E526" i="7"/>
  <c r="C526" i="7"/>
  <c r="E525" i="7"/>
  <c r="C525" i="7"/>
  <c r="E524" i="7"/>
  <c r="C524" i="7"/>
  <c r="E523" i="7"/>
  <c r="C523" i="7"/>
  <c r="E522" i="7"/>
  <c r="C522" i="7"/>
  <c r="E521" i="7"/>
  <c r="C521" i="7"/>
  <c r="E520" i="7"/>
  <c r="C520" i="7"/>
  <c r="E519" i="7"/>
  <c r="C519" i="7"/>
  <c r="E518" i="7"/>
  <c r="C518" i="7"/>
  <c r="E517" i="7"/>
  <c r="C517" i="7"/>
  <c r="E516" i="7"/>
  <c r="C516" i="7"/>
  <c r="E515" i="7"/>
  <c r="C515" i="7"/>
  <c r="E514" i="7"/>
  <c r="C514" i="7"/>
  <c r="E513" i="7"/>
  <c r="C513" i="7"/>
  <c r="E512" i="7"/>
  <c r="C512" i="7"/>
  <c r="E511" i="7"/>
  <c r="C511" i="7"/>
  <c r="E510" i="7"/>
  <c r="C510" i="7"/>
  <c r="E509" i="7"/>
  <c r="C509" i="7"/>
  <c r="E508" i="7"/>
  <c r="C508" i="7"/>
  <c r="E507" i="7"/>
  <c r="C507" i="7"/>
  <c r="E506" i="7"/>
  <c r="C506" i="7"/>
  <c r="E505" i="7"/>
  <c r="C505" i="7"/>
  <c r="E504" i="7"/>
  <c r="C504" i="7"/>
  <c r="E503" i="7"/>
  <c r="C503" i="7"/>
  <c r="E502" i="7"/>
  <c r="C502" i="7"/>
  <c r="E501" i="7"/>
  <c r="C501" i="7"/>
  <c r="E500" i="7"/>
  <c r="C500" i="7"/>
  <c r="E499" i="7"/>
  <c r="C499" i="7"/>
  <c r="E498" i="7"/>
  <c r="C498" i="7"/>
  <c r="E497" i="7"/>
  <c r="C497" i="7"/>
  <c r="E496" i="7"/>
  <c r="C496" i="7"/>
  <c r="E495" i="7"/>
  <c r="C495" i="7"/>
  <c r="E494" i="7"/>
  <c r="C494" i="7"/>
  <c r="E493" i="7"/>
  <c r="C493" i="7"/>
  <c r="E492" i="7"/>
  <c r="C492" i="7"/>
  <c r="E491" i="7"/>
  <c r="C491" i="7"/>
  <c r="E490" i="7"/>
  <c r="C490" i="7"/>
  <c r="E489" i="7"/>
  <c r="C489" i="7"/>
  <c r="E488" i="7"/>
  <c r="C488" i="7"/>
  <c r="E487" i="7"/>
  <c r="C487" i="7"/>
  <c r="E486" i="7"/>
  <c r="C486" i="7"/>
  <c r="E485" i="7"/>
  <c r="C485" i="7"/>
  <c r="E484" i="7"/>
  <c r="C484" i="7"/>
  <c r="E483" i="7"/>
  <c r="C483" i="7"/>
  <c r="E482" i="7"/>
  <c r="C482" i="7"/>
  <c r="E481" i="7"/>
  <c r="C481" i="7"/>
  <c r="E480" i="7"/>
  <c r="C480" i="7"/>
  <c r="E479" i="7"/>
  <c r="C479" i="7"/>
  <c r="E478" i="7"/>
  <c r="C478" i="7"/>
  <c r="E477" i="7"/>
  <c r="C477" i="7"/>
  <c r="E476" i="7"/>
  <c r="C476" i="7"/>
  <c r="E475" i="7"/>
  <c r="C475" i="7"/>
  <c r="E474" i="7"/>
  <c r="C474" i="7"/>
  <c r="E473" i="7"/>
  <c r="C473" i="7"/>
  <c r="E472" i="7"/>
  <c r="C472" i="7"/>
  <c r="E471" i="7"/>
  <c r="C471" i="7"/>
  <c r="E470" i="7"/>
  <c r="C470" i="7"/>
  <c r="E469" i="7"/>
  <c r="C469" i="7"/>
  <c r="E468" i="7"/>
  <c r="C468" i="7"/>
  <c r="E467" i="7"/>
  <c r="C467" i="7"/>
  <c r="E466" i="7"/>
  <c r="C466" i="7"/>
  <c r="E465" i="7"/>
  <c r="C465" i="7"/>
  <c r="E464" i="7"/>
  <c r="C464" i="7"/>
  <c r="E463" i="7"/>
  <c r="C463" i="7"/>
  <c r="E462" i="7"/>
  <c r="C462" i="7"/>
  <c r="E461" i="7"/>
  <c r="C461" i="7"/>
  <c r="E460" i="7"/>
  <c r="C460" i="7"/>
  <c r="E459" i="7"/>
  <c r="C459" i="7"/>
  <c r="E458" i="7"/>
  <c r="C458" i="7"/>
  <c r="E457" i="7"/>
  <c r="C457" i="7"/>
  <c r="E456" i="7"/>
  <c r="C456" i="7"/>
  <c r="E455" i="7"/>
  <c r="C455" i="7"/>
  <c r="E454" i="7"/>
  <c r="C454" i="7"/>
  <c r="E453" i="7"/>
  <c r="C453" i="7"/>
  <c r="E452" i="7"/>
  <c r="C452" i="7"/>
  <c r="E451" i="7"/>
  <c r="C451" i="7"/>
  <c r="E450" i="7"/>
  <c r="C450" i="7"/>
  <c r="E449" i="7"/>
  <c r="C449" i="7"/>
  <c r="E448" i="7"/>
  <c r="C448" i="7"/>
  <c r="E447" i="7"/>
  <c r="C447" i="7"/>
  <c r="E446" i="7"/>
  <c r="C446" i="7"/>
  <c r="E445" i="7"/>
  <c r="C445" i="7"/>
  <c r="E444" i="7"/>
  <c r="C444" i="7"/>
  <c r="E443" i="7"/>
  <c r="C443" i="7"/>
  <c r="E442" i="7"/>
  <c r="C442" i="7"/>
  <c r="E441" i="7"/>
  <c r="C441" i="7"/>
  <c r="E440" i="7"/>
  <c r="C440" i="7"/>
  <c r="E439" i="7"/>
  <c r="C439" i="7"/>
  <c r="E438" i="7"/>
  <c r="C438" i="7"/>
  <c r="E437" i="7"/>
  <c r="C437" i="7"/>
  <c r="E436" i="7"/>
  <c r="C436" i="7"/>
  <c r="E435" i="7"/>
  <c r="C435" i="7"/>
  <c r="E434" i="7"/>
  <c r="C434" i="7"/>
  <c r="E433" i="7"/>
  <c r="C433" i="7"/>
  <c r="E432" i="7"/>
  <c r="C432" i="7"/>
  <c r="E431" i="7"/>
  <c r="C431" i="7"/>
  <c r="E430" i="7"/>
  <c r="C430" i="7"/>
  <c r="E429" i="7"/>
  <c r="C429" i="7"/>
  <c r="E428" i="7"/>
  <c r="C428" i="7"/>
  <c r="E427" i="7"/>
  <c r="C427" i="7"/>
  <c r="E426" i="7"/>
  <c r="C426" i="7"/>
  <c r="E425" i="7"/>
  <c r="C425" i="7"/>
  <c r="E424" i="7"/>
  <c r="C424" i="7"/>
  <c r="E423" i="7"/>
  <c r="C423" i="7"/>
  <c r="E422" i="7"/>
  <c r="C422" i="7"/>
  <c r="E421" i="7"/>
  <c r="C421" i="7"/>
  <c r="E420" i="7"/>
  <c r="C420" i="7"/>
  <c r="E419" i="7"/>
  <c r="C419" i="7"/>
  <c r="E418" i="7"/>
  <c r="C418" i="7"/>
  <c r="E417" i="7"/>
  <c r="C417" i="7"/>
  <c r="E416" i="7"/>
  <c r="C416" i="7"/>
  <c r="E415" i="7"/>
  <c r="C415" i="7"/>
  <c r="E414" i="7"/>
  <c r="C414" i="7"/>
  <c r="E413" i="7"/>
  <c r="C413" i="7"/>
  <c r="E412" i="7"/>
  <c r="C412" i="7"/>
  <c r="E411" i="7"/>
  <c r="C411" i="7"/>
  <c r="E410" i="7"/>
  <c r="C410" i="7"/>
  <c r="E409" i="7"/>
  <c r="C409" i="7"/>
  <c r="E408" i="7"/>
  <c r="C408" i="7"/>
  <c r="E407" i="7"/>
  <c r="C407" i="7"/>
  <c r="E406" i="7"/>
  <c r="C406" i="7"/>
  <c r="E405" i="7"/>
  <c r="C405" i="7"/>
  <c r="E404" i="7"/>
  <c r="C404" i="7"/>
  <c r="E403" i="7"/>
  <c r="C403" i="7"/>
  <c r="E402" i="7"/>
  <c r="C402" i="7"/>
  <c r="E401" i="7"/>
  <c r="C401" i="7"/>
  <c r="E400" i="7"/>
  <c r="C400" i="7"/>
  <c r="E399" i="7"/>
  <c r="C399" i="7"/>
  <c r="E398" i="7"/>
  <c r="C398" i="7"/>
  <c r="E397" i="7"/>
  <c r="C397" i="7"/>
  <c r="E396" i="7"/>
  <c r="C396" i="7"/>
  <c r="E395" i="7"/>
  <c r="C395" i="7"/>
  <c r="E394" i="7"/>
  <c r="C394" i="7"/>
  <c r="E393" i="7"/>
  <c r="C393" i="7"/>
  <c r="E392" i="7"/>
  <c r="C392" i="7"/>
  <c r="E391" i="7"/>
  <c r="C391" i="7"/>
  <c r="E390" i="7"/>
  <c r="C390" i="7"/>
  <c r="E389" i="7"/>
  <c r="C389" i="7"/>
  <c r="E388" i="7"/>
  <c r="C388" i="7"/>
  <c r="E387" i="7"/>
  <c r="C387" i="7"/>
  <c r="E386" i="7"/>
  <c r="C386" i="7"/>
  <c r="E385" i="7"/>
  <c r="C385" i="7"/>
  <c r="E384" i="7"/>
  <c r="C384" i="7"/>
  <c r="E383" i="7"/>
  <c r="C383" i="7"/>
  <c r="E382" i="7"/>
  <c r="C382" i="7"/>
  <c r="E381" i="7"/>
  <c r="C381" i="7"/>
  <c r="E380" i="7"/>
  <c r="C380" i="7"/>
  <c r="E379" i="7"/>
  <c r="C379" i="7"/>
  <c r="E378" i="7"/>
  <c r="C378" i="7"/>
  <c r="E377" i="7"/>
  <c r="C377" i="7"/>
  <c r="E376" i="7"/>
  <c r="C376" i="7"/>
  <c r="E375" i="7"/>
  <c r="C375" i="7"/>
  <c r="E374" i="7"/>
  <c r="C374" i="7"/>
  <c r="E373" i="7"/>
  <c r="C373" i="7"/>
  <c r="E372" i="7"/>
  <c r="C372" i="7"/>
  <c r="E371" i="7"/>
  <c r="C371" i="7"/>
  <c r="E370" i="7"/>
  <c r="C370" i="7"/>
  <c r="E369" i="7"/>
  <c r="C369" i="7"/>
  <c r="E368" i="7"/>
  <c r="C368" i="7"/>
  <c r="E367" i="7"/>
  <c r="C367" i="7"/>
  <c r="E366" i="7"/>
  <c r="C366" i="7"/>
  <c r="E365" i="7"/>
  <c r="C365" i="7"/>
  <c r="E364" i="7"/>
  <c r="C364" i="7"/>
  <c r="E363" i="7"/>
  <c r="C363" i="7"/>
  <c r="E362" i="7"/>
  <c r="C362" i="7"/>
  <c r="E361" i="7"/>
  <c r="C361" i="7"/>
  <c r="E360" i="7"/>
  <c r="C360" i="7"/>
  <c r="E359" i="7"/>
  <c r="C359" i="7"/>
  <c r="E358" i="7"/>
  <c r="C358" i="7"/>
  <c r="E357" i="7"/>
  <c r="C357" i="7"/>
  <c r="E356" i="7"/>
  <c r="C356" i="7"/>
  <c r="E355" i="7"/>
  <c r="C355" i="7"/>
  <c r="E354" i="7"/>
  <c r="C354" i="7"/>
  <c r="E353" i="7"/>
  <c r="C353" i="7"/>
  <c r="E352" i="7"/>
  <c r="C352" i="7"/>
  <c r="E351" i="7"/>
  <c r="C351" i="7"/>
  <c r="E350" i="7"/>
  <c r="C350" i="7"/>
  <c r="E349" i="7"/>
  <c r="C349" i="7"/>
  <c r="E348" i="7"/>
  <c r="C348" i="7"/>
  <c r="E347" i="7"/>
  <c r="C347" i="7"/>
  <c r="E346" i="7"/>
  <c r="C346" i="7"/>
  <c r="E345" i="7"/>
  <c r="C345" i="7"/>
  <c r="E344" i="7"/>
  <c r="C344" i="7"/>
  <c r="E343" i="7"/>
  <c r="C343" i="7"/>
  <c r="E342" i="7"/>
  <c r="C342" i="7"/>
  <c r="E341" i="7"/>
  <c r="C341" i="7"/>
  <c r="E340" i="7"/>
  <c r="C340" i="7"/>
  <c r="E339" i="7"/>
  <c r="C339" i="7"/>
  <c r="E338" i="7"/>
  <c r="C338" i="7"/>
  <c r="E337" i="7"/>
  <c r="C337" i="7"/>
  <c r="E336" i="7"/>
  <c r="C336" i="7"/>
  <c r="E335" i="7"/>
  <c r="C335" i="7"/>
  <c r="E334" i="7"/>
  <c r="C334" i="7"/>
  <c r="E333" i="7"/>
  <c r="C333" i="7"/>
  <c r="E332" i="7"/>
  <c r="C332" i="7"/>
  <c r="E331" i="7"/>
  <c r="C331" i="7"/>
  <c r="E330" i="7"/>
  <c r="C330" i="7"/>
  <c r="E329" i="7"/>
  <c r="C329" i="7"/>
  <c r="E328" i="7"/>
  <c r="C328" i="7"/>
  <c r="E327" i="7"/>
  <c r="C327" i="7"/>
  <c r="E326" i="7"/>
  <c r="C326" i="7"/>
  <c r="E325" i="7"/>
  <c r="C325" i="7"/>
  <c r="E324" i="7"/>
  <c r="C324" i="7"/>
  <c r="E323" i="7"/>
  <c r="C323" i="7"/>
  <c r="E322" i="7"/>
  <c r="C322" i="7"/>
  <c r="E321" i="7"/>
  <c r="C321" i="7"/>
  <c r="E320" i="7"/>
  <c r="C320" i="7"/>
  <c r="E319" i="7"/>
  <c r="C319" i="7"/>
  <c r="E318" i="7"/>
  <c r="C318" i="7"/>
  <c r="E317" i="7"/>
  <c r="C317" i="7"/>
  <c r="E316" i="7"/>
  <c r="C316" i="7"/>
  <c r="E315" i="7"/>
  <c r="C315" i="7"/>
  <c r="E314" i="7"/>
  <c r="C314" i="7"/>
  <c r="E313" i="7"/>
  <c r="C313" i="7"/>
  <c r="E312" i="7"/>
  <c r="C312" i="7"/>
  <c r="E311" i="7"/>
  <c r="C311" i="7"/>
  <c r="E310" i="7"/>
  <c r="C310" i="7"/>
  <c r="E309" i="7"/>
  <c r="C309" i="7"/>
  <c r="E308" i="7"/>
  <c r="C308" i="7"/>
  <c r="E307" i="7"/>
  <c r="C307" i="7"/>
  <c r="E306" i="7"/>
  <c r="C306" i="7"/>
  <c r="E305" i="7"/>
  <c r="C305" i="7"/>
  <c r="E304" i="7"/>
  <c r="C304" i="7"/>
  <c r="E303" i="7"/>
  <c r="C303" i="7"/>
  <c r="E302" i="7"/>
  <c r="C302" i="7"/>
  <c r="E301" i="7"/>
  <c r="C301" i="7"/>
  <c r="E300" i="7"/>
  <c r="C300" i="7"/>
  <c r="E299" i="7"/>
  <c r="C299" i="7"/>
  <c r="E298" i="7"/>
  <c r="C298" i="7"/>
  <c r="E297" i="7"/>
  <c r="C297" i="7"/>
  <c r="E296" i="7"/>
  <c r="C296" i="7"/>
  <c r="E295" i="7"/>
  <c r="C295" i="7"/>
  <c r="E294" i="7"/>
  <c r="C294" i="7"/>
  <c r="E293" i="7"/>
  <c r="C293" i="7"/>
  <c r="E292" i="7"/>
  <c r="C292" i="7"/>
  <c r="E291" i="7"/>
  <c r="C291" i="7"/>
  <c r="E290" i="7"/>
  <c r="C290" i="7"/>
  <c r="E289" i="7"/>
  <c r="C289" i="7"/>
  <c r="E288" i="7"/>
  <c r="C288" i="7"/>
  <c r="E287" i="7"/>
  <c r="C287" i="7"/>
  <c r="E286" i="7"/>
  <c r="C286" i="7"/>
  <c r="E285" i="7"/>
  <c r="C285" i="7"/>
  <c r="E284" i="7"/>
  <c r="C284" i="7"/>
  <c r="E283" i="7"/>
  <c r="C283" i="7"/>
  <c r="E282" i="7"/>
  <c r="C282" i="7"/>
  <c r="E281" i="7"/>
  <c r="C281" i="7"/>
  <c r="E280" i="7"/>
  <c r="C280" i="7"/>
  <c r="E279" i="7"/>
  <c r="P2" i="7" s="1"/>
  <c r="C279" i="7"/>
  <c r="E278" i="7"/>
  <c r="C278" i="7"/>
  <c r="E277" i="7"/>
  <c r="C277" i="7"/>
  <c r="E276" i="7"/>
  <c r="C276" i="7"/>
  <c r="E275" i="7"/>
  <c r="C275" i="7"/>
  <c r="E274" i="7"/>
  <c r="C274" i="7"/>
  <c r="E273" i="7"/>
  <c r="C273" i="7"/>
  <c r="E272" i="7"/>
  <c r="C272" i="7"/>
  <c r="E271" i="7"/>
  <c r="C271" i="7"/>
  <c r="E270" i="7"/>
  <c r="C270" i="7"/>
  <c r="E269" i="7"/>
  <c r="C269" i="7"/>
  <c r="E268" i="7"/>
  <c r="C268" i="7"/>
  <c r="E267" i="7"/>
  <c r="C267" i="7"/>
  <c r="E266" i="7"/>
  <c r="C266" i="7"/>
  <c r="E265" i="7"/>
  <c r="C265" i="7"/>
  <c r="E264" i="7"/>
  <c r="C264" i="7"/>
  <c r="E263" i="7"/>
  <c r="C263" i="7"/>
  <c r="E262" i="7"/>
  <c r="C262" i="7"/>
  <c r="E261" i="7"/>
  <c r="C261" i="7"/>
  <c r="E260" i="7"/>
  <c r="C260" i="7"/>
  <c r="E259" i="7"/>
  <c r="C259" i="7"/>
  <c r="E258" i="7"/>
  <c r="C258" i="7"/>
  <c r="E257" i="7"/>
  <c r="C257" i="7"/>
  <c r="E256" i="7"/>
  <c r="C256" i="7"/>
  <c r="E255" i="7"/>
  <c r="C255" i="7"/>
  <c r="E254" i="7"/>
  <c r="C254" i="7"/>
  <c r="E253" i="7"/>
  <c r="C253" i="7"/>
  <c r="E252" i="7"/>
  <c r="C252" i="7"/>
  <c r="E251" i="7"/>
  <c r="C251" i="7"/>
  <c r="E250" i="7"/>
  <c r="C250" i="7"/>
  <c r="E249" i="7"/>
  <c r="C249" i="7"/>
  <c r="E248" i="7"/>
  <c r="C248" i="7"/>
  <c r="E247" i="7"/>
  <c r="C247" i="7"/>
  <c r="E246" i="7"/>
  <c r="C246" i="7"/>
  <c r="E245" i="7"/>
  <c r="C245" i="7"/>
  <c r="E244" i="7"/>
  <c r="C244" i="7"/>
  <c r="E243" i="7"/>
  <c r="C243" i="7"/>
  <c r="E242" i="7"/>
  <c r="C242" i="7"/>
  <c r="E241" i="7"/>
  <c r="C241" i="7"/>
  <c r="E240" i="7"/>
  <c r="C240" i="7"/>
  <c r="E239" i="7"/>
  <c r="C239" i="7"/>
  <c r="E238" i="7"/>
  <c r="C238" i="7"/>
  <c r="E237" i="7"/>
  <c r="C237" i="7"/>
  <c r="E236" i="7"/>
  <c r="C236" i="7"/>
  <c r="E235" i="7"/>
  <c r="C235" i="7"/>
  <c r="E234" i="7"/>
  <c r="C234" i="7"/>
  <c r="E233" i="7"/>
  <c r="C233" i="7"/>
  <c r="E232" i="7"/>
  <c r="C232" i="7"/>
  <c r="E231" i="7"/>
  <c r="C231" i="7"/>
  <c r="E230" i="7"/>
  <c r="C230" i="7"/>
  <c r="E229" i="7"/>
  <c r="C229" i="7"/>
  <c r="E228" i="7"/>
  <c r="C228" i="7"/>
  <c r="E227" i="7"/>
  <c r="C227" i="7"/>
  <c r="E226" i="7"/>
  <c r="O2" i="7" s="1"/>
  <c r="C226" i="7"/>
  <c r="E225" i="7"/>
  <c r="C225" i="7"/>
  <c r="E224" i="7"/>
  <c r="C224" i="7"/>
  <c r="E223" i="7"/>
  <c r="C223" i="7"/>
  <c r="E222" i="7"/>
  <c r="C222" i="7"/>
  <c r="E221" i="7"/>
  <c r="C221" i="7"/>
  <c r="E220" i="7"/>
  <c r="C220" i="7"/>
  <c r="E219" i="7"/>
  <c r="C219" i="7"/>
  <c r="E218" i="7"/>
  <c r="C218" i="7"/>
  <c r="E217" i="7"/>
  <c r="C217" i="7"/>
  <c r="E216" i="7"/>
  <c r="C216" i="7"/>
  <c r="E215" i="7"/>
  <c r="C215" i="7"/>
  <c r="E214" i="7"/>
  <c r="C214" i="7"/>
  <c r="E213" i="7"/>
  <c r="C213" i="7"/>
  <c r="E212" i="7"/>
  <c r="C212" i="7"/>
  <c r="E211" i="7"/>
  <c r="C211" i="7"/>
  <c r="E210" i="7"/>
  <c r="C210" i="7"/>
  <c r="E209" i="7"/>
  <c r="C209" i="7"/>
  <c r="E208" i="7"/>
  <c r="C208" i="7"/>
  <c r="E207" i="7"/>
  <c r="C207" i="7"/>
  <c r="E206" i="7"/>
  <c r="C206" i="7"/>
  <c r="E205" i="7"/>
  <c r="C205" i="7"/>
  <c r="E204" i="7"/>
  <c r="C204" i="7"/>
  <c r="E203" i="7"/>
  <c r="C203" i="7"/>
  <c r="E202" i="7"/>
  <c r="C202" i="7"/>
  <c r="E201" i="7"/>
  <c r="C201" i="7"/>
  <c r="E200" i="7"/>
  <c r="C200" i="7"/>
  <c r="E199" i="7"/>
  <c r="C199" i="7"/>
  <c r="E198" i="7"/>
  <c r="C198" i="7"/>
  <c r="E197" i="7"/>
  <c r="C197" i="7"/>
  <c r="E196" i="7"/>
  <c r="C196" i="7"/>
  <c r="E195" i="7"/>
  <c r="C195" i="7"/>
  <c r="E194" i="7"/>
  <c r="C194" i="7"/>
  <c r="E193" i="7"/>
  <c r="C193" i="7"/>
  <c r="E192" i="7"/>
  <c r="C192" i="7"/>
  <c r="E191" i="7"/>
  <c r="C191" i="7"/>
  <c r="E190" i="7"/>
  <c r="C190" i="7"/>
  <c r="E189" i="7"/>
  <c r="C189" i="7"/>
  <c r="E188" i="7"/>
  <c r="C188" i="7"/>
  <c r="E187" i="7"/>
  <c r="C187" i="7"/>
  <c r="E186" i="7"/>
  <c r="C186" i="7"/>
  <c r="E185" i="7"/>
  <c r="C185" i="7"/>
  <c r="E184" i="7"/>
  <c r="C184" i="7"/>
  <c r="E183" i="7"/>
  <c r="C183" i="7"/>
  <c r="E182" i="7"/>
  <c r="C182" i="7"/>
  <c r="E181" i="7"/>
  <c r="C181" i="7"/>
  <c r="E180" i="7"/>
  <c r="C180" i="7"/>
  <c r="E179" i="7"/>
  <c r="C179" i="7"/>
  <c r="E178" i="7"/>
  <c r="C178" i="7"/>
  <c r="E177" i="7"/>
  <c r="C177" i="7"/>
  <c r="E176" i="7"/>
  <c r="C176" i="7"/>
  <c r="E175" i="7"/>
  <c r="C175" i="7"/>
  <c r="E174" i="7"/>
  <c r="C174" i="7"/>
  <c r="E173" i="7"/>
  <c r="C173" i="7"/>
  <c r="E172" i="7"/>
  <c r="C172" i="7"/>
  <c r="E171" i="7"/>
  <c r="C171" i="7"/>
  <c r="E170" i="7"/>
  <c r="C170" i="7"/>
  <c r="E169" i="7"/>
  <c r="C169" i="7"/>
  <c r="E168" i="7"/>
  <c r="C168" i="7"/>
  <c r="E167" i="7"/>
  <c r="C167" i="7"/>
  <c r="E166" i="7"/>
  <c r="C166" i="7"/>
  <c r="E165" i="7"/>
  <c r="C165" i="7"/>
  <c r="E164" i="7"/>
  <c r="C164" i="7"/>
  <c r="E163" i="7"/>
  <c r="C163" i="7"/>
  <c r="E162" i="7"/>
  <c r="C162" i="7"/>
  <c r="E161" i="7"/>
  <c r="C161" i="7"/>
  <c r="E160" i="7"/>
  <c r="C160" i="7"/>
  <c r="E159" i="7"/>
  <c r="C159" i="7"/>
  <c r="E158" i="7"/>
  <c r="C158" i="7"/>
  <c r="E157" i="7"/>
  <c r="C157" i="7"/>
  <c r="E156" i="7"/>
  <c r="C156" i="7"/>
  <c r="E155" i="7"/>
  <c r="C155" i="7"/>
  <c r="E154" i="7"/>
  <c r="C154" i="7"/>
  <c r="E153" i="7"/>
  <c r="C153" i="7"/>
  <c r="E152" i="7"/>
  <c r="C152" i="7"/>
  <c r="E151" i="7"/>
  <c r="C151" i="7"/>
  <c r="E150" i="7"/>
  <c r="C150" i="7"/>
  <c r="E149" i="7"/>
  <c r="C149" i="7"/>
  <c r="E148" i="7"/>
  <c r="C148" i="7"/>
  <c r="E147" i="7"/>
  <c r="C147" i="7"/>
  <c r="E146" i="7"/>
  <c r="C146" i="7"/>
  <c r="E145" i="7"/>
  <c r="C145" i="7"/>
  <c r="E144" i="7"/>
  <c r="C144" i="7"/>
  <c r="E143" i="7"/>
  <c r="C143" i="7"/>
  <c r="E142" i="7"/>
  <c r="C142" i="7"/>
  <c r="E141" i="7"/>
  <c r="C141" i="7"/>
  <c r="E140" i="7"/>
  <c r="C140" i="7"/>
  <c r="E139" i="7"/>
  <c r="C139" i="7"/>
  <c r="E138" i="7"/>
  <c r="C138" i="7"/>
  <c r="E137" i="7"/>
  <c r="C137" i="7"/>
  <c r="E136" i="7"/>
  <c r="C136" i="7"/>
  <c r="E135" i="7"/>
  <c r="C135" i="7"/>
  <c r="E134" i="7"/>
  <c r="C134" i="7"/>
  <c r="E133" i="7"/>
  <c r="C133" i="7"/>
  <c r="E132" i="7"/>
  <c r="C132" i="7"/>
  <c r="E131" i="7"/>
  <c r="C131" i="7"/>
  <c r="E130" i="7"/>
  <c r="C130" i="7"/>
  <c r="E129" i="7"/>
  <c r="C129" i="7"/>
  <c r="E128" i="7"/>
  <c r="C128" i="7"/>
  <c r="E127" i="7"/>
  <c r="C127" i="7"/>
  <c r="E126" i="7"/>
  <c r="C126" i="7"/>
  <c r="E125" i="7"/>
  <c r="C125" i="7"/>
  <c r="E124" i="7"/>
  <c r="C124" i="7"/>
  <c r="E123" i="7"/>
  <c r="C123" i="7"/>
  <c r="E122" i="7"/>
  <c r="C122" i="7"/>
  <c r="E121" i="7"/>
  <c r="C121" i="7"/>
  <c r="E120" i="7"/>
  <c r="C120" i="7"/>
  <c r="E119" i="7"/>
  <c r="C119" i="7"/>
  <c r="E118" i="7"/>
  <c r="C118" i="7"/>
  <c r="E117" i="7"/>
  <c r="C117" i="7"/>
  <c r="E116" i="7"/>
  <c r="C116" i="7"/>
  <c r="E115" i="7"/>
  <c r="C115" i="7"/>
  <c r="E114" i="7"/>
  <c r="C114" i="7"/>
  <c r="E113" i="7"/>
  <c r="C113" i="7"/>
  <c r="E112" i="7"/>
  <c r="C112" i="7"/>
  <c r="E111" i="7"/>
  <c r="C111" i="7"/>
  <c r="E110" i="7"/>
  <c r="C110" i="7"/>
  <c r="E109" i="7"/>
  <c r="C109" i="7"/>
  <c r="E108" i="7"/>
  <c r="C108" i="7"/>
  <c r="E107" i="7"/>
  <c r="C107" i="7"/>
  <c r="E106" i="7"/>
  <c r="C106" i="7"/>
  <c r="E105" i="7"/>
  <c r="C105" i="7"/>
  <c r="E104" i="7"/>
  <c r="C104" i="7"/>
  <c r="E103" i="7"/>
  <c r="C103" i="7"/>
  <c r="E102" i="7"/>
  <c r="C102" i="7"/>
  <c r="E101" i="7"/>
  <c r="C101" i="7"/>
  <c r="E100" i="7"/>
  <c r="C100" i="7"/>
  <c r="E99" i="7"/>
  <c r="C99" i="7"/>
  <c r="E98" i="7"/>
  <c r="C98" i="7"/>
  <c r="E97" i="7"/>
  <c r="C97" i="7"/>
  <c r="E96" i="7"/>
  <c r="C96" i="7"/>
  <c r="E95" i="7"/>
  <c r="C95" i="7"/>
  <c r="E94" i="7"/>
  <c r="C94" i="7"/>
  <c r="E93" i="7"/>
  <c r="C93" i="7"/>
  <c r="E92" i="7"/>
  <c r="C92" i="7"/>
  <c r="E91" i="7"/>
  <c r="C91" i="7"/>
  <c r="E90" i="7"/>
  <c r="C90" i="7"/>
  <c r="E89" i="7"/>
  <c r="C89" i="7"/>
  <c r="E88" i="7"/>
  <c r="C88" i="7"/>
  <c r="E87" i="7"/>
  <c r="C87" i="7"/>
  <c r="E86" i="7"/>
  <c r="C86" i="7"/>
  <c r="E85" i="7"/>
  <c r="C85" i="7"/>
  <c r="E84" i="7"/>
  <c r="C84" i="7"/>
  <c r="E83" i="7"/>
  <c r="C83" i="7"/>
  <c r="E82" i="7"/>
  <c r="C82" i="7"/>
  <c r="E81" i="7"/>
  <c r="C81" i="7"/>
  <c r="E80" i="7"/>
  <c r="C80" i="7"/>
  <c r="E79" i="7"/>
  <c r="C79" i="7"/>
  <c r="E78" i="7"/>
  <c r="C78" i="7"/>
  <c r="E77" i="7"/>
  <c r="C77" i="7"/>
  <c r="E76" i="7"/>
  <c r="C76" i="7"/>
  <c r="E75" i="7"/>
  <c r="C75" i="7"/>
  <c r="E74" i="7"/>
  <c r="C74" i="7"/>
  <c r="E73" i="7"/>
  <c r="C73" i="7"/>
  <c r="E72" i="7"/>
  <c r="C72" i="7"/>
  <c r="E71" i="7"/>
  <c r="C71" i="7"/>
  <c r="E70" i="7"/>
  <c r="C70" i="7"/>
  <c r="E69" i="7"/>
  <c r="C69" i="7"/>
  <c r="E68" i="7"/>
  <c r="C68" i="7"/>
  <c r="E67" i="7"/>
  <c r="C67" i="7"/>
  <c r="E66" i="7"/>
  <c r="C66" i="7"/>
  <c r="E65" i="7"/>
  <c r="C65" i="7"/>
  <c r="E64" i="7"/>
  <c r="C64" i="7"/>
  <c r="E63" i="7"/>
  <c r="C63" i="7"/>
  <c r="E62" i="7"/>
  <c r="C62" i="7"/>
  <c r="E61" i="7"/>
  <c r="C61" i="7"/>
  <c r="E60" i="7"/>
  <c r="C60" i="7"/>
  <c r="E59" i="7"/>
  <c r="C59" i="7"/>
  <c r="E58" i="7"/>
  <c r="C58" i="7"/>
  <c r="E57" i="7"/>
  <c r="C57" i="7"/>
  <c r="E56" i="7"/>
  <c r="C56" i="7"/>
  <c r="E55" i="7"/>
  <c r="C55" i="7"/>
  <c r="E54" i="7"/>
  <c r="C54" i="7"/>
  <c r="E53" i="7"/>
  <c r="C53" i="7"/>
  <c r="E52" i="7"/>
  <c r="C52" i="7"/>
  <c r="E51" i="7"/>
  <c r="C51" i="7"/>
  <c r="E50" i="7"/>
  <c r="C50" i="7"/>
  <c r="E49" i="7"/>
  <c r="C49" i="7"/>
  <c r="E48" i="7"/>
  <c r="C48" i="7"/>
  <c r="E47" i="7"/>
  <c r="C47" i="7"/>
  <c r="E46" i="7"/>
  <c r="C46" i="7"/>
  <c r="E45" i="7"/>
  <c r="C45" i="7"/>
  <c r="E44" i="7"/>
  <c r="C44" i="7"/>
  <c r="E43" i="7"/>
  <c r="C43" i="7"/>
  <c r="E42" i="7"/>
  <c r="C42" i="7"/>
  <c r="E41" i="7"/>
  <c r="C41" i="7"/>
  <c r="E40" i="7"/>
  <c r="C40" i="7"/>
  <c r="E39" i="7"/>
  <c r="C39" i="7"/>
  <c r="E38" i="7"/>
  <c r="C38" i="7"/>
  <c r="E37" i="7"/>
  <c r="C37" i="7"/>
  <c r="E36" i="7"/>
  <c r="C36" i="7"/>
  <c r="E35" i="7"/>
  <c r="C35" i="7"/>
  <c r="E34" i="7"/>
  <c r="C34" i="7"/>
  <c r="E33" i="7"/>
  <c r="C33" i="7"/>
  <c r="E32" i="7"/>
  <c r="C32" i="7"/>
  <c r="E31" i="7"/>
  <c r="C31" i="7"/>
  <c r="E30" i="7"/>
  <c r="C30" i="7"/>
  <c r="E29" i="7"/>
  <c r="C29" i="7"/>
  <c r="E28" i="7"/>
  <c r="C28" i="7"/>
  <c r="E27" i="7"/>
  <c r="C27" i="7"/>
  <c r="E26" i="7"/>
  <c r="C26" i="7"/>
  <c r="E25" i="7"/>
  <c r="C25" i="7"/>
  <c r="E24" i="7"/>
  <c r="C24" i="7"/>
  <c r="E23" i="7"/>
  <c r="C23" i="7"/>
  <c r="E22" i="7"/>
  <c r="C22" i="7"/>
  <c r="E21" i="7"/>
  <c r="C21" i="7"/>
  <c r="E20" i="7"/>
  <c r="C20" i="7"/>
  <c r="E19" i="7"/>
  <c r="C19" i="7"/>
  <c r="E18" i="7"/>
  <c r="C18" i="7"/>
  <c r="E17" i="7"/>
  <c r="C17" i="7"/>
  <c r="E16" i="7"/>
  <c r="C16" i="7"/>
  <c r="E15" i="7"/>
  <c r="C15" i="7"/>
  <c r="E14" i="7"/>
  <c r="C14" i="7"/>
  <c r="E13" i="7"/>
  <c r="C13" i="7"/>
  <c r="E12" i="7"/>
  <c r="C12" i="7"/>
  <c r="E11" i="7"/>
  <c r="C11" i="7"/>
  <c r="E10" i="7"/>
  <c r="C10" i="7"/>
  <c r="E9" i="7"/>
  <c r="C9" i="7"/>
  <c r="E8" i="7"/>
  <c r="C8" i="7"/>
  <c r="E7" i="7"/>
  <c r="C7" i="7"/>
  <c r="E6" i="7"/>
  <c r="C6" i="7"/>
  <c r="E5" i="7"/>
  <c r="C5" i="7"/>
  <c r="E4" i="7"/>
  <c r="C4" i="7"/>
  <c r="E3" i="7"/>
  <c r="J2" i="7" s="1"/>
  <c r="C3" i="7"/>
  <c r="C16" i="1"/>
  <c r="D16" i="1"/>
  <c r="E16" i="1"/>
  <c r="F16" i="1"/>
  <c r="G16" i="1"/>
  <c r="H16" i="1"/>
  <c r="I16" i="1"/>
  <c r="J16" i="1"/>
  <c r="K16" i="1"/>
  <c r="B16" i="1"/>
  <c r="C6" i="3"/>
  <c r="D6" i="3"/>
  <c r="E6" i="3"/>
  <c r="F6" i="3"/>
  <c r="G6" i="3"/>
  <c r="H6" i="3"/>
  <c r="I6" i="3"/>
  <c r="J6" i="3"/>
  <c r="K6" i="3"/>
  <c r="B6" i="3"/>
  <c r="C5" i="1"/>
  <c r="D5" i="1"/>
  <c r="E5" i="1"/>
  <c r="F5" i="1"/>
  <c r="G5" i="1"/>
  <c r="H5" i="1"/>
  <c r="I5" i="1"/>
  <c r="J5" i="1"/>
  <c r="K5" i="1"/>
  <c r="B5" i="1"/>
  <c r="K93" i="6"/>
  <c r="C93" i="6"/>
  <c r="D93" i="6"/>
  <c r="E93" i="6"/>
  <c r="F93" i="6"/>
  <c r="G93" i="6"/>
  <c r="H93" i="6"/>
  <c r="I93" i="6"/>
  <c r="J93" i="6"/>
  <c r="B93" i="6"/>
  <c r="P12" i="7" l="1"/>
  <c r="O5" i="7"/>
  <c r="O12" i="7" s="1"/>
  <c r="J12" i="7"/>
  <c r="I2" i="7"/>
  <c r="I5" i="7" s="1"/>
  <c r="I12" i="7" s="1"/>
  <c r="Q2" i="7"/>
  <c r="Q5" i="7" s="1"/>
  <c r="Q12" i="7" s="1"/>
  <c r="O9" i="7"/>
  <c r="K9" i="7"/>
  <c r="P9" i="7"/>
  <c r="L9" i="7"/>
  <c r="L2" i="7"/>
  <c r="L5" i="7" s="1"/>
  <c r="L12" i="7" s="1"/>
  <c r="M2" i="7"/>
  <c r="M5" i="7" s="1"/>
  <c r="M12" i="7" s="1"/>
  <c r="K2" i="7"/>
  <c r="K5" i="7" s="1"/>
  <c r="K12" i="7" s="1"/>
  <c r="N2" i="7"/>
  <c r="N5" i="7" s="1"/>
  <c r="N12" i="7" s="1"/>
  <c r="H2" i="7"/>
  <c r="H5" i="7" s="1"/>
  <c r="H12" i="7" s="1"/>
  <c r="F13" i="1"/>
  <c r="G13" i="1"/>
  <c r="E13" i="1"/>
  <c r="B6" i="6"/>
  <c r="C17" i="2"/>
  <c r="D17" i="2"/>
  <c r="E17" i="2"/>
  <c r="F17" i="2"/>
  <c r="G17" i="2"/>
  <c r="H17" i="2"/>
  <c r="I17" i="2"/>
  <c r="J17" i="2"/>
  <c r="K17" i="2"/>
  <c r="C18" i="2"/>
  <c r="D18" i="2"/>
  <c r="E18" i="2"/>
  <c r="F18" i="2"/>
  <c r="G18" i="2"/>
  <c r="H18" i="2"/>
  <c r="I18" i="2"/>
  <c r="J18" i="2"/>
  <c r="K18" i="2"/>
  <c r="B17" i="2"/>
  <c r="C4" i="2"/>
  <c r="D4" i="2"/>
  <c r="E4" i="2"/>
  <c r="F4" i="2"/>
  <c r="G4" i="2"/>
  <c r="H4" i="2"/>
  <c r="I4" i="2"/>
  <c r="J4" i="2"/>
  <c r="J23" i="2" s="1"/>
  <c r="K4" i="2"/>
  <c r="C5" i="2"/>
  <c r="D5" i="2"/>
  <c r="E5" i="2"/>
  <c r="F5" i="2"/>
  <c r="G5" i="2"/>
  <c r="H5" i="2"/>
  <c r="I5" i="2"/>
  <c r="J5" i="2"/>
  <c r="K5" i="2"/>
  <c r="C6" i="2"/>
  <c r="D6" i="2"/>
  <c r="E6" i="2"/>
  <c r="F6" i="2"/>
  <c r="G6" i="2"/>
  <c r="H6" i="2"/>
  <c r="I6" i="2"/>
  <c r="J6" i="2"/>
  <c r="K6" i="2"/>
  <c r="C7" i="2"/>
  <c r="D7" i="2"/>
  <c r="E7" i="2"/>
  <c r="F7" i="2"/>
  <c r="G7" i="2"/>
  <c r="H7" i="2"/>
  <c r="I7" i="2"/>
  <c r="J7" i="2"/>
  <c r="K7" i="2"/>
  <c r="C8" i="2"/>
  <c r="D8" i="2"/>
  <c r="E8" i="2"/>
  <c r="F8" i="2"/>
  <c r="G8" i="2"/>
  <c r="H8" i="2"/>
  <c r="I8" i="2"/>
  <c r="J8" i="2"/>
  <c r="K8" i="2"/>
  <c r="C10" i="2"/>
  <c r="D10" i="2"/>
  <c r="E10" i="2"/>
  <c r="F10" i="2"/>
  <c r="G10" i="2"/>
  <c r="H10" i="2"/>
  <c r="I10" i="2"/>
  <c r="J10" i="2"/>
  <c r="K10" i="2"/>
  <c r="C11" i="2"/>
  <c r="D11" i="2"/>
  <c r="E11" i="2"/>
  <c r="F11" i="2"/>
  <c r="G11" i="2"/>
  <c r="H11" i="2"/>
  <c r="I11" i="2"/>
  <c r="J11" i="2"/>
  <c r="K11" i="2"/>
  <c r="C12" i="2"/>
  <c r="D12" i="2"/>
  <c r="E12" i="2"/>
  <c r="F12" i="2"/>
  <c r="G12" i="2"/>
  <c r="H12" i="2"/>
  <c r="I12" i="2"/>
  <c r="J12" i="2"/>
  <c r="K12" i="2"/>
  <c r="C13" i="2"/>
  <c r="D13" i="2"/>
  <c r="E13" i="2"/>
  <c r="F13" i="2"/>
  <c r="G13" i="2"/>
  <c r="H13" i="2"/>
  <c r="I13" i="2"/>
  <c r="J13" i="2"/>
  <c r="K13" i="2"/>
  <c r="C14" i="2"/>
  <c r="D14" i="2"/>
  <c r="E14" i="2"/>
  <c r="F14" i="2"/>
  <c r="G14" i="2"/>
  <c r="H14" i="2"/>
  <c r="I14" i="2"/>
  <c r="J14" i="2"/>
  <c r="K14" i="2"/>
  <c r="B14" i="2"/>
  <c r="B5" i="2"/>
  <c r="B4" i="2"/>
  <c r="C4" i="4"/>
  <c r="D4" i="4"/>
  <c r="E4" i="4"/>
  <c r="F4" i="4"/>
  <c r="G4" i="4"/>
  <c r="H4" i="4"/>
  <c r="I4" i="4"/>
  <c r="J4" i="4"/>
  <c r="K4" i="4"/>
  <c r="C5" i="4"/>
  <c r="D5" i="4"/>
  <c r="E5" i="4"/>
  <c r="F5" i="4"/>
  <c r="G5" i="4"/>
  <c r="H5" i="4"/>
  <c r="I5" i="4"/>
  <c r="J5" i="4"/>
  <c r="K5" i="4"/>
  <c r="C6" i="4"/>
  <c r="D6" i="4"/>
  <c r="E6" i="4"/>
  <c r="F6" i="4"/>
  <c r="G6" i="4"/>
  <c r="H6" i="4"/>
  <c r="I6" i="4"/>
  <c r="J6" i="4"/>
  <c r="K6" i="4"/>
  <c r="C7" i="4"/>
  <c r="D7" i="4"/>
  <c r="E7" i="4"/>
  <c r="F7" i="4"/>
  <c r="G7" i="4"/>
  <c r="H7" i="4"/>
  <c r="I7" i="4"/>
  <c r="J7" i="4"/>
  <c r="K7" i="4"/>
  <c r="C4" i="3"/>
  <c r="D4" i="3"/>
  <c r="E4" i="3"/>
  <c r="F4" i="3"/>
  <c r="G4" i="3"/>
  <c r="H4" i="3"/>
  <c r="I4" i="3"/>
  <c r="J4" i="3"/>
  <c r="K4" i="3"/>
  <c r="C5" i="3"/>
  <c r="D5" i="3"/>
  <c r="E5" i="3"/>
  <c r="F5" i="3"/>
  <c r="G5" i="3"/>
  <c r="H5" i="3"/>
  <c r="I5" i="3"/>
  <c r="J5" i="3"/>
  <c r="K5" i="3"/>
  <c r="C7" i="3"/>
  <c r="D7" i="3"/>
  <c r="E7" i="3"/>
  <c r="F7" i="3"/>
  <c r="G7" i="3"/>
  <c r="H7" i="3"/>
  <c r="I7" i="3"/>
  <c r="J7" i="3"/>
  <c r="K7" i="3"/>
  <c r="C8" i="3"/>
  <c r="D8" i="3"/>
  <c r="E8" i="3"/>
  <c r="F8" i="3"/>
  <c r="G8" i="3"/>
  <c r="H8" i="3"/>
  <c r="I8" i="3"/>
  <c r="J8" i="3"/>
  <c r="K8" i="3"/>
  <c r="C9" i="3"/>
  <c r="D9" i="3"/>
  <c r="E9" i="3"/>
  <c r="F9" i="3"/>
  <c r="G9" i="3"/>
  <c r="H9" i="3"/>
  <c r="I9" i="3"/>
  <c r="J9" i="3"/>
  <c r="K9" i="3"/>
  <c r="C10" i="3"/>
  <c r="D10" i="3"/>
  <c r="E10" i="3"/>
  <c r="F10" i="3"/>
  <c r="G10" i="3"/>
  <c r="H10" i="3"/>
  <c r="I10" i="3"/>
  <c r="J10" i="3"/>
  <c r="K10" i="3"/>
  <c r="C11" i="3"/>
  <c r="D11" i="3"/>
  <c r="E11" i="3"/>
  <c r="F11" i="3"/>
  <c r="G11" i="3"/>
  <c r="H11" i="3"/>
  <c r="I11" i="3"/>
  <c r="J11" i="3"/>
  <c r="K11" i="3"/>
  <c r="C12" i="3"/>
  <c r="D12" i="3"/>
  <c r="E12" i="3"/>
  <c r="F12" i="3"/>
  <c r="G12" i="3"/>
  <c r="H12" i="3"/>
  <c r="I12" i="3"/>
  <c r="J12" i="3"/>
  <c r="K12" i="3"/>
  <c r="B5" i="3"/>
  <c r="C18" i="1"/>
  <c r="D18" i="1"/>
  <c r="E18" i="1"/>
  <c r="F18" i="1"/>
  <c r="G18" i="1"/>
  <c r="H18" i="1"/>
  <c r="I18" i="1"/>
  <c r="J18" i="1"/>
  <c r="K18" i="1"/>
  <c r="B18" i="1"/>
  <c r="C4" i="1"/>
  <c r="D4" i="1"/>
  <c r="E4" i="1"/>
  <c r="F4" i="1"/>
  <c r="G4" i="1"/>
  <c r="H4" i="1"/>
  <c r="I4" i="1"/>
  <c r="J4" i="1"/>
  <c r="K4" i="1"/>
  <c r="C7" i="1"/>
  <c r="D7" i="1"/>
  <c r="E7" i="1"/>
  <c r="F7" i="1"/>
  <c r="G7" i="1"/>
  <c r="H7" i="1"/>
  <c r="I7" i="1"/>
  <c r="J7" i="1"/>
  <c r="K7" i="1"/>
  <c r="C8" i="1"/>
  <c r="D8" i="1"/>
  <c r="E8" i="1"/>
  <c r="F8" i="1"/>
  <c r="G8" i="1"/>
  <c r="H8" i="1"/>
  <c r="I8" i="1"/>
  <c r="J8" i="1"/>
  <c r="K8" i="1"/>
  <c r="C9" i="1"/>
  <c r="D9" i="1"/>
  <c r="E9" i="1"/>
  <c r="F9" i="1"/>
  <c r="G9" i="1"/>
  <c r="H9" i="1"/>
  <c r="I9" i="1"/>
  <c r="J9" i="1"/>
  <c r="K9" i="1"/>
  <c r="C10" i="1"/>
  <c r="D10" i="1"/>
  <c r="E10" i="1"/>
  <c r="F10" i="1"/>
  <c r="G10" i="1"/>
  <c r="H10" i="1"/>
  <c r="I10" i="1"/>
  <c r="J10" i="1"/>
  <c r="K10" i="1"/>
  <c r="C11" i="1"/>
  <c r="D11" i="1"/>
  <c r="E11" i="1"/>
  <c r="F11" i="1"/>
  <c r="G11" i="1"/>
  <c r="H11" i="1"/>
  <c r="I11" i="1"/>
  <c r="J11" i="1"/>
  <c r="K11" i="1"/>
  <c r="C12" i="1"/>
  <c r="C13" i="1" s="1"/>
  <c r="D12" i="1"/>
  <c r="D13" i="1" s="1"/>
  <c r="E12" i="1"/>
  <c r="F12" i="1"/>
  <c r="G12" i="1"/>
  <c r="H12" i="1"/>
  <c r="H13" i="1" s="1"/>
  <c r="I12" i="1"/>
  <c r="J12" i="1"/>
  <c r="J13" i="1" s="1"/>
  <c r="K12" i="1"/>
  <c r="K13" i="1" s="1"/>
  <c r="C15" i="1"/>
  <c r="D15" i="1"/>
  <c r="E15" i="1"/>
  <c r="F15" i="1"/>
  <c r="F14" i="1" s="1"/>
  <c r="G15" i="1"/>
  <c r="G14" i="1" s="1"/>
  <c r="H15" i="1"/>
  <c r="I15" i="1"/>
  <c r="J15" i="1"/>
  <c r="K15" i="1"/>
  <c r="B15" i="1"/>
  <c r="I13" i="1"/>
  <c r="B7" i="1"/>
  <c r="B4" i="1"/>
  <c r="A1" i="1"/>
  <c r="E1" i="6"/>
  <c r="K14" i="1" l="1"/>
  <c r="J14" i="1"/>
  <c r="E23" i="2"/>
  <c r="I14" i="1"/>
  <c r="E14" i="1"/>
  <c r="C14" i="1"/>
  <c r="I23" i="2"/>
  <c r="H14" i="1"/>
  <c r="D14" i="1"/>
  <c r="E1" i="2"/>
  <c r="E1" i="4"/>
  <c r="E1" i="3"/>
  <c r="H16" i="2"/>
  <c r="D16" i="2"/>
  <c r="K23" i="2"/>
  <c r="G16" i="2"/>
  <c r="F23" i="2"/>
  <c r="C23" i="2"/>
  <c r="I16" i="2"/>
  <c r="E16" i="2"/>
  <c r="K16" i="2"/>
  <c r="C16" i="2"/>
  <c r="C24" i="2" s="1"/>
  <c r="G23" i="2"/>
  <c r="J16" i="2"/>
  <c r="F16" i="2"/>
  <c r="E6" i="1"/>
  <c r="E19" i="1" s="1"/>
  <c r="H23" i="2"/>
  <c r="D23" i="2"/>
  <c r="I6" i="1"/>
  <c r="I19" i="1" s="1"/>
  <c r="J6" i="1"/>
  <c r="J19" i="1" s="1"/>
  <c r="F6" i="1"/>
  <c r="F19" i="1" s="1"/>
  <c r="K6" i="1"/>
  <c r="K19" i="1" s="1"/>
  <c r="G6" i="1"/>
  <c r="G19" i="1" s="1"/>
  <c r="C6" i="1"/>
  <c r="C19" i="1" s="1"/>
  <c r="H6" i="1"/>
  <c r="H19" i="1" s="1"/>
  <c r="D6" i="1"/>
  <c r="D19" i="1" s="1"/>
  <c r="B6" i="1"/>
  <c r="H1" i="1"/>
  <c r="F24" i="2" l="1"/>
  <c r="I24" i="2"/>
  <c r="K24" i="2"/>
  <c r="J24" i="2"/>
  <c r="H24" i="2"/>
  <c r="D24" i="2"/>
  <c r="E24" i="2"/>
  <c r="G24" i="2"/>
  <c r="C3" i="4"/>
  <c r="D3" i="4"/>
  <c r="E3" i="4"/>
  <c r="F3" i="4"/>
  <c r="G3" i="4"/>
  <c r="H3" i="4"/>
  <c r="I3" i="4"/>
  <c r="J3" i="4"/>
  <c r="K3" i="4"/>
  <c r="C3" i="2"/>
  <c r="D3" i="2"/>
  <c r="E3" i="2"/>
  <c r="F3" i="2"/>
  <c r="G3" i="2"/>
  <c r="H3" i="2"/>
  <c r="I3" i="2"/>
  <c r="J3" i="2"/>
  <c r="K3" i="2"/>
  <c r="C3" i="3"/>
  <c r="D3" i="3"/>
  <c r="E3" i="3"/>
  <c r="F3" i="3"/>
  <c r="G3" i="3"/>
  <c r="H3" i="3"/>
  <c r="I3" i="3"/>
  <c r="J3" i="3"/>
  <c r="K3" i="3"/>
  <c r="C3" i="1"/>
  <c r="D3" i="1"/>
  <c r="E3" i="1"/>
  <c r="F3" i="1"/>
  <c r="G3" i="1"/>
  <c r="H3" i="1"/>
  <c r="I3" i="1"/>
  <c r="J3" i="1"/>
  <c r="K3" i="1"/>
  <c r="B7" i="4" l="1"/>
  <c r="B6" i="4"/>
  <c r="B5" i="4"/>
  <c r="B4" i="4"/>
  <c r="B3" i="4"/>
  <c r="K21" i="2"/>
  <c r="J21" i="2"/>
  <c r="I21" i="2"/>
  <c r="H21" i="2"/>
  <c r="G21" i="2"/>
  <c r="F21" i="2"/>
  <c r="E21" i="2"/>
  <c r="D21" i="2"/>
  <c r="C21" i="2"/>
  <c r="B18" i="2"/>
  <c r="B21" i="2" s="1"/>
  <c r="B13" i="2"/>
  <c r="B12" i="2"/>
  <c r="B11" i="2"/>
  <c r="B10" i="2"/>
  <c r="B8" i="2"/>
  <c r="B7" i="2"/>
  <c r="B6" i="2"/>
  <c r="B3" i="2"/>
  <c r="J14" i="3"/>
  <c r="H14" i="3"/>
  <c r="F14" i="3"/>
  <c r="D14" i="3"/>
  <c r="B12" i="3"/>
  <c r="B11" i="3"/>
  <c r="B10" i="3"/>
  <c r="B9" i="3"/>
  <c r="B8" i="3"/>
  <c r="B7" i="3"/>
  <c r="B4" i="3"/>
  <c r="B3" i="3"/>
  <c r="L15" i="1"/>
  <c r="B12" i="1"/>
  <c r="B11" i="1"/>
  <c r="B10" i="1"/>
  <c r="B9" i="1"/>
  <c r="B8" i="1"/>
  <c r="B20" i="2"/>
  <c r="B3" i="1"/>
  <c r="B13" i="1" l="1"/>
  <c r="B14" i="1" s="1"/>
  <c r="B23" i="2"/>
  <c r="B16" i="2"/>
  <c r="B24" i="2" s="1"/>
  <c r="B14" i="3"/>
  <c r="E14" i="3"/>
  <c r="I14" i="3"/>
  <c r="C14" i="3"/>
  <c r="G14" i="3"/>
  <c r="K14" i="3"/>
  <c r="K23" i="1"/>
  <c r="G20" i="2"/>
  <c r="I20" i="2"/>
  <c r="K20" i="2"/>
  <c r="D20" i="2"/>
  <c r="F20" i="2"/>
  <c r="H20" i="2"/>
  <c r="J20" i="2"/>
  <c r="C20" i="2"/>
  <c r="E20" i="2"/>
  <c r="L12" i="1"/>
  <c r="L13" i="1" s="1"/>
  <c r="L14" i="1" s="1"/>
  <c r="L25" i="1" s="1"/>
  <c r="K24" i="1"/>
  <c r="L11" i="1"/>
  <c r="L10" i="1"/>
  <c r="L9" i="1"/>
  <c r="M9" i="1" s="1"/>
  <c r="L8" i="1"/>
  <c r="M8" i="1" s="1"/>
  <c r="L7" i="1"/>
  <c r="L6" i="1"/>
  <c r="L4" i="1"/>
  <c r="L23" i="1" s="1"/>
  <c r="A1" i="3"/>
  <c r="A1" i="2"/>
  <c r="A1" i="4" s="1"/>
  <c r="H23" i="1"/>
  <c r="I24" i="1"/>
  <c r="I23" i="1"/>
  <c r="J24" i="1"/>
  <c r="J23" i="1"/>
  <c r="B19" i="1"/>
  <c r="H24" i="1" s="1"/>
  <c r="L19" i="1" l="1"/>
  <c r="L24" i="1" s="1"/>
  <c r="L5" i="1"/>
  <c r="N24" i="1"/>
  <c r="M24" i="1"/>
  <c r="N11" i="1"/>
  <c r="M11" i="1"/>
  <c r="M23" i="1"/>
  <c r="M4" i="1" s="1"/>
  <c r="N23" i="1"/>
  <c r="N4" i="1" s="1"/>
  <c r="H25" i="1"/>
  <c r="J25" i="1"/>
  <c r="K25" i="1"/>
  <c r="M25" i="1" s="1"/>
  <c r="I25" i="1"/>
  <c r="N9" i="1"/>
  <c r="N8" i="1"/>
  <c r="N25" i="1" l="1"/>
  <c r="M6" i="1"/>
  <c r="N6" i="1"/>
  <c r="M12" i="1" l="1"/>
  <c r="M13" i="1" s="1"/>
  <c r="M10" i="1"/>
  <c r="N12" i="1"/>
  <c r="N13" i="1" s="1"/>
  <c r="N10" i="1"/>
  <c r="N5" i="1"/>
  <c r="M5" i="1"/>
  <c r="M14" i="1"/>
  <c r="M15" i="1" s="1"/>
  <c r="N14" i="1" l="1"/>
  <c r="N15" i="1" s="1"/>
</calcChain>
</file>

<file path=xl/sharedStrings.xml><?xml version="1.0" encoding="utf-8"?>
<sst xmlns="http://schemas.openxmlformats.org/spreadsheetml/2006/main" count="167" uniqueCount="113">
  <si>
    <t>COMPANY NAME</t>
  </si>
  <si>
    <t>SCREENER.IN</t>
  </si>
  <si>
    <t>Narration</t>
  </si>
  <si>
    <t>Trailing</t>
  </si>
  <si>
    <t>Best Case</t>
  </si>
  <si>
    <t>Worst Case</t>
  </si>
  <si>
    <t>Sales</t>
  </si>
  <si>
    <t>Expenses</t>
  </si>
  <si>
    <t>Operating Profit</t>
  </si>
  <si>
    <t>Other Income</t>
  </si>
  <si>
    <t>Depreciation</t>
  </si>
  <si>
    <t>Interest</t>
  </si>
  <si>
    <t>Profit before tax</t>
  </si>
  <si>
    <t>Tax</t>
  </si>
  <si>
    <t>Net profit</t>
  </si>
  <si>
    <t>RATIOS:</t>
  </si>
  <si>
    <t>Price to earning</t>
  </si>
  <si>
    <t>Dividend Payout</t>
  </si>
  <si>
    <t>OPM</t>
  </si>
  <si>
    <t>TRENDS:</t>
  </si>
  <si>
    <t>BEST</t>
  </si>
  <si>
    <t>WORST</t>
  </si>
  <si>
    <t>Sales Growth</t>
  </si>
  <si>
    <t>Price to Earning</t>
  </si>
  <si>
    <t>Equity Share Capital</t>
  </si>
  <si>
    <t>Reserves</t>
  </si>
  <si>
    <t>Total</t>
  </si>
  <si>
    <t>Net Block</t>
  </si>
  <si>
    <t>Capital Work in Progress</t>
  </si>
  <si>
    <t>Investments</t>
  </si>
  <si>
    <t>Working Capital</t>
  </si>
  <si>
    <t>Face Value</t>
  </si>
  <si>
    <t>Cash from Operating Activity</t>
  </si>
  <si>
    <t>Cash from Investing Activity</t>
  </si>
  <si>
    <t>Cash from Financing Activity</t>
  </si>
  <si>
    <t>Net Cash Flow</t>
  </si>
  <si>
    <t>PLEASE DO NOT MAKE ANY CHANGES TO THIS SHEET</t>
  </si>
  <si>
    <t>PROFIT &amp; LOSS</t>
  </si>
  <si>
    <t>Report Date</t>
  </si>
  <si>
    <t>Quarters</t>
  </si>
  <si>
    <t>BALANCE SHEET</t>
  </si>
  <si>
    <t>CASH FLOW:</t>
  </si>
  <si>
    <t>Number of shares</t>
  </si>
  <si>
    <t>Current Price</t>
  </si>
  <si>
    <t>Debtors</t>
  </si>
  <si>
    <t>Inventory</t>
  </si>
  <si>
    <t>Debtor Days</t>
  </si>
  <si>
    <t>Inventory Turnover</t>
  </si>
  <si>
    <t>You can customize this workbook as you want.</t>
  </si>
  <si>
    <t>Please don't edit the "Data Sheet" only.</t>
  </si>
  <si>
    <t>After customization, you can upload this back on Screener.</t>
  </si>
  <si>
    <t>Upload on:</t>
  </si>
  <si>
    <t>Download your customized workbooks now onwards.</t>
  </si>
  <si>
    <t>Now whenever you will "Export to excel" from Screener, it will export your customized file.</t>
  </si>
  <si>
    <t>TESTING:</t>
  </si>
  <si>
    <t>This is a testing feature currently.</t>
  </si>
  <si>
    <t>You can report any formula errors on the worksheet at:</t>
  </si>
  <si>
    <t>How to use it?</t>
  </si>
  <si>
    <t>EPS</t>
  </si>
  <si>
    <t>Price</t>
  </si>
  <si>
    <t>Return on Equity</t>
  </si>
  <si>
    <t>Return on Capital Emp</t>
  </si>
  <si>
    <t>LATEST VERSION</t>
  </si>
  <si>
    <t>CURRENT VERSION</t>
  </si>
  <si>
    <t>HATSUN AGRO PRODUCT LTD</t>
  </si>
  <si>
    <t>META</t>
  </si>
  <si>
    <t>10 YEARS</t>
  </si>
  <si>
    <t>7 YEARS</t>
  </si>
  <si>
    <t>5 YEARS</t>
  </si>
  <si>
    <t>3 YEARS</t>
  </si>
  <si>
    <t>RECENT</t>
  </si>
  <si>
    <t>Dividend Amount</t>
  </si>
  <si>
    <t>Borrowings</t>
  </si>
  <si>
    <t>Other Liabilities</t>
  </si>
  <si>
    <t>Other Assets</t>
  </si>
  <si>
    <t>No. of Equity Shares</t>
  </si>
  <si>
    <t>New Bonus Shares</t>
  </si>
  <si>
    <t>DERIVED:</t>
  </si>
  <si>
    <t>PRICE:</t>
  </si>
  <si>
    <t>Receivables</t>
  </si>
  <si>
    <t>Market Capitalization</t>
  </si>
  <si>
    <t>Raw Material Cost</t>
  </si>
  <si>
    <t>Change in Inventory</t>
  </si>
  <si>
    <t>Power and Fuel</t>
  </si>
  <si>
    <t>Other Mfr. Exp</t>
  </si>
  <si>
    <t>Employee Cost</t>
  </si>
  <si>
    <t>Selling and admin</t>
  </si>
  <si>
    <t>Other Expenses</t>
  </si>
  <si>
    <t>Cash &amp; Bank</t>
  </si>
  <si>
    <t>Face value</t>
  </si>
  <si>
    <t>Adjusted Equity Shares in Cr</t>
  </si>
  <si>
    <t>You can add custom formating, add conditional formating, add your own formulas… do ANYTHING.</t>
  </si>
  <si>
    <t xml:space="preserve"> https://www.screener.in/excel/</t>
  </si>
  <si>
    <t xml:space="preserve"> screener.feedback@dalal-street.in</t>
  </si>
  <si>
    <t>Date</t>
  </si>
  <si>
    <t>NIFTY 50</t>
  </si>
  <si>
    <t>Change</t>
  </si>
  <si>
    <t>Hatsun Agro</t>
  </si>
  <si>
    <t>-</t>
  </si>
  <si>
    <t>Year</t>
  </si>
  <si>
    <t>Hatsun Agro Beta</t>
  </si>
  <si>
    <t>NIFTY 50 CAGR</t>
  </si>
  <si>
    <t>Hatsun Agro Cost of Equity</t>
  </si>
  <si>
    <t>Hatsun Agro Cost of Debt</t>
  </si>
  <si>
    <t>Hatsun Agro D/E</t>
  </si>
  <si>
    <t>Hatsun Agro Cost of Capital</t>
  </si>
  <si>
    <t>Hatsun Agro Return on Capital Employed</t>
  </si>
  <si>
    <t>Hatsun Agro Economic Value Added</t>
  </si>
  <si>
    <t>Hatsun Agro Equity</t>
  </si>
  <si>
    <t>Hatsun Agro Debt</t>
  </si>
  <si>
    <t>GOI 30-Yr Bond Yield</t>
  </si>
  <si>
    <t>Month</t>
  </si>
  <si>
    <t>GOI 30-yr Bond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</si>
</sst>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(* #,##0.00_);_(* \(#,##0.00\);_(* &quot;-&quot;??_);_(@_)"/>
    <numFmt numFmtId="165" formatCode="[$-409]mmm\-yy;@"/>
    <numFmt numFmtId="167" formatCode="[$₹-860]\ #,##0.00"/>
    <numFmt numFmtId="175" formatCode="[$₹-439]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333333"/>
      <name val="Inherit"/>
    </font>
    <font>
      <sz val="9"/>
      <color rgb="FF0EA600"/>
      <name val="Arial"/>
      <family val="2"/>
    </font>
    <font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/>
      </patternFill>
    </fill>
    <fill>
      <patternFill patternType="solid">
        <fgColor rgb="FF0275D8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9" fontId="3" fillId="0" borderId="0" applyFont="0" applyFill="0" applyBorder="0" applyAlignment="0" applyProtection="0"/>
  </cellStyleXfs>
  <cellXfs count="48">
    <xf numFmtId="0" fontId="0" fillId="0" borderId="0" xfId="0"/>
    <xf numFmtId="43" fontId="1" fillId="0" borderId="0" xfId="1" applyFont="1" applyBorder="1"/>
    <xf numFmtId="0" fontId="1" fillId="0" borderId="0" xfId="0" applyFont="1" applyFill="1" applyBorder="1"/>
    <xf numFmtId="0" fontId="8" fillId="0" borderId="0" xfId="0" applyFont="1" applyFill="1" applyBorder="1" applyAlignment="1"/>
    <xf numFmtId="0" fontId="1" fillId="0" borderId="0" xfId="0" applyFont="1" applyFill="1" applyBorder="1" applyAlignment="1"/>
    <xf numFmtId="43" fontId="0" fillId="0" borderId="0" xfId="1" applyFont="1" applyBorder="1"/>
    <xf numFmtId="0" fontId="0" fillId="0" borderId="0" xfId="0" applyFont="1" applyBorder="1"/>
    <xf numFmtId="10" fontId="0" fillId="0" borderId="0" xfId="0" applyNumberFormat="1" applyFont="1" applyBorder="1"/>
    <xf numFmtId="0" fontId="1" fillId="0" borderId="0" xfId="0" applyFont="1" applyBorder="1"/>
    <xf numFmtId="43" fontId="3" fillId="0" borderId="0" xfId="1" applyFont="1" applyBorder="1"/>
    <xf numFmtId="9" fontId="3" fillId="0" borderId="0" xfId="1" applyNumberFormat="1" applyFont="1" applyBorder="1"/>
    <xf numFmtId="0" fontId="0" fillId="0" borderId="0" xfId="0" applyBorder="1"/>
    <xf numFmtId="43" fontId="2" fillId="2" borderId="0" xfId="3" applyNumberFormat="1" applyFont="1" applyBorder="1"/>
    <xf numFmtId="43" fontId="2" fillId="3" borderId="0" xfId="4" applyNumberFormat="1" applyFont="1" applyBorder="1"/>
    <xf numFmtId="9" fontId="1" fillId="0" borderId="0" xfId="6" applyFont="1" applyBorder="1"/>
    <xf numFmtId="0" fontId="2" fillId="5" borderId="0" xfId="0" applyFont="1" applyFill="1" applyBorder="1"/>
    <xf numFmtId="165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0" borderId="0" xfId="0" applyFill="1" applyBorder="1"/>
    <xf numFmtId="43" fontId="0" fillId="0" borderId="0" xfId="1" applyNumberFormat="1" applyFont="1" applyBorder="1" applyAlignment="1">
      <alignment horizontal="center"/>
    </xf>
    <xf numFmtId="43" fontId="1" fillId="0" borderId="0" xfId="1" applyNumberFormat="1" applyFont="1" applyBorder="1" applyAlignment="1">
      <alignment horizontal="center"/>
    </xf>
    <xf numFmtId="43" fontId="0" fillId="0" borderId="0" xfId="1" applyNumberFormat="1" applyFont="1" applyBorder="1"/>
    <xf numFmtId="10" fontId="1" fillId="0" borderId="0" xfId="0" applyNumberFormat="1" applyFont="1" applyBorder="1"/>
    <xf numFmtId="165" fontId="2" fillId="5" borderId="0" xfId="1" applyNumberFormat="1" applyFont="1" applyFill="1" applyBorder="1"/>
    <xf numFmtId="165" fontId="9" fillId="0" borderId="0" xfId="1" applyNumberFormat="1" applyFont="1" applyFill="1" applyBorder="1"/>
    <xf numFmtId="0" fontId="7" fillId="0" borderId="0" xfId="0" applyFont="1" applyBorder="1"/>
    <xf numFmtId="0" fontId="0" fillId="0" borderId="0" xfId="0" applyBorder="1" applyAlignment="1">
      <alignment horizontal="left"/>
    </xf>
    <xf numFmtId="0" fontId="6" fillId="0" borderId="0" xfId="2" applyFont="1" applyBorder="1" applyAlignment="1" applyProtection="1">
      <alignment horizontal="left"/>
    </xf>
    <xf numFmtId="0" fontId="6" fillId="0" borderId="0" xfId="2" applyFont="1" applyBorder="1" applyAlignment="1" applyProtection="1"/>
    <xf numFmtId="0" fontId="0" fillId="0" borderId="0" xfId="0" applyFont="1" applyFill="1" applyBorder="1"/>
    <xf numFmtId="0" fontId="9" fillId="0" borderId="0" xfId="0" applyFont="1" applyFill="1" applyBorder="1"/>
    <xf numFmtId="164" fontId="0" fillId="0" borderId="0" xfId="1" applyNumberFormat="1" applyFont="1" applyBorder="1"/>
    <xf numFmtId="43" fontId="4" fillId="0" borderId="0" xfId="2" applyNumberFormat="1" applyBorder="1" applyAlignment="1" applyProtection="1">
      <alignment horizontal="center"/>
    </xf>
    <xf numFmtId="43" fontId="2" fillId="4" borderId="0" xfId="5" applyNumberFormat="1" applyFont="1" applyBorder="1" applyAlignment="1">
      <alignment horizontal="center"/>
    </xf>
    <xf numFmtId="10" fontId="0" fillId="0" borderId="0" xfId="6" applyNumberFormat="1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0" fontId="0" fillId="0" borderId="1" xfId="6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" fontId="10" fillId="6" borderId="1" xfId="0" applyNumberFormat="1" applyFont="1" applyFill="1" applyBorder="1" applyAlignment="1">
      <alignment horizontal="center" vertical="center" readingOrder="1"/>
    </xf>
    <xf numFmtId="10" fontId="11" fillId="6" borderId="1" xfId="6" applyNumberFormat="1" applyFont="1" applyFill="1" applyBorder="1" applyAlignment="1">
      <alignment horizontal="center" vertical="center" wrapText="1" readingOrder="1"/>
    </xf>
    <xf numFmtId="10" fontId="12" fillId="6" borderId="1" xfId="6" applyNumberFormat="1" applyFont="1" applyFill="1" applyBorder="1" applyAlignment="1">
      <alignment horizontal="center" vertical="center" wrapText="1" readingOrder="1"/>
    </xf>
    <xf numFmtId="2" fontId="0" fillId="0" borderId="1" xfId="6" applyNumberFormat="1" applyFont="1" applyBorder="1" applyAlignment="1">
      <alignment horizontal="center" vertical="center"/>
    </xf>
    <xf numFmtId="175" fontId="0" fillId="0" borderId="1" xfId="0" applyNumberFormat="1" applyBorder="1" applyAlignment="1">
      <alignment horizontal="center" vertical="center"/>
    </xf>
  </cellXfs>
  <cellStyles count="7">
    <cellStyle name="60% - Accent1" xfId="3" builtinId="32"/>
    <cellStyle name="60% - Accent3" xfId="4" builtinId="40"/>
    <cellStyle name="Accent6" xfId="5" builtinId="49"/>
    <cellStyle name="Comma" xfId="1" builtinId="3"/>
    <cellStyle name="Hyperlink" xfId="2" builtinId="8"/>
    <cellStyle name="Normal" xfId="0" builtinId="0"/>
    <cellStyle name="Percent" xfId="6" builtinId="5"/>
  </cellStyles>
  <dxfs count="31"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border diagonalUp="0" diagonalDown="0" outline="0">
        <left style="thin">
          <color theme="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colors>
    <mruColors>
      <color rgb="FF027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nnual" displayName="Annual" ref="A3:N19" headerRowCount="0" totalsRowShown="0" headerRowDxfId="30">
  <tableColumns count="14">
    <tableColumn id="1" xr3:uid="{00000000-0010-0000-0000-000001000000}" name="Column1" headerRowDxfId="29" dataDxfId="28"/>
    <tableColumn id="2" xr3:uid="{00000000-0010-0000-0000-000002000000}" name="Column2" headerRowDxfId="27"/>
    <tableColumn id="3" xr3:uid="{00000000-0010-0000-0000-000003000000}" name="Column3" headerRowDxfId="26"/>
    <tableColumn id="4" xr3:uid="{00000000-0010-0000-0000-000004000000}" name="Column4" headerRowDxfId="25"/>
    <tableColumn id="5" xr3:uid="{00000000-0010-0000-0000-000005000000}" name="Column5" headerRowDxfId="24"/>
    <tableColumn id="6" xr3:uid="{00000000-0010-0000-0000-000006000000}" name="Column6" headerRowDxfId="23"/>
    <tableColumn id="7" xr3:uid="{00000000-0010-0000-0000-000007000000}" name="Column7" headerRowDxfId="22"/>
    <tableColumn id="8" xr3:uid="{00000000-0010-0000-0000-000008000000}" name="Column8" headerRowDxfId="21"/>
    <tableColumn id="9" xr3:uid="{00000000-0010-0000-0000-000009000000}" name="Column9" headerRowDxfId="20"/>
    <tableColumn id="10" xr3:uid="{00000000-0010-0000-0000-00000A000000}" name="Column10" headerRowDxfId="19"/>
    <tableColumn id="11" xr3:uid="{00000000-0010-0000-0000-00000B000000}" name="Column11" headerRowDxfId="18"/>
    <tableColumn id="12" xr3:uid="{00000000-0010-0000-0000-00000C000000}" name="Column12" headerRowDxfId="17"/>
    <tableColumn id="13" xr3:uid="{00000000-0010-0000-0000-00000D000000}" name="Column13" headerRowDxfId="16" dataDxfId="15"/>
    <tableColumn id="14" xr3:uid="{00000000-0010-0000-0000-00000E000000}" name="Column14" headerRowDxfId="14" dataDxfId="13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Quarters" displayName="Quarters" ref="A3:K14" headerRowCount="0" totalsRowShown="0" headerRowDxfId="12">
  <tableColumns count="11">
    <tableColumn id="1" xr3:uid="{00000000-0010-0000-0100-000001000000}" name="Column1" headerRowDxfId="11"/>
    <tableColumn id="2" xr3:uid="{00000000-0010-0000-0100-000002000000}" name="Column2" headerRowDxfId="10"/>
    <tableColumn id="3" xr3:uid="{00000000-0010-0000-0100-000003000000}" name="Column3" headerRowDxfId="9"/>
    <tableColumn id="4" xr3:uid="{00000000-0010-0000-0100-000004000000}" name="Column4" headerRowDxfId="8"/>
    <tableColumn id="5" xr3:uid="{00000000-0010-0000-0100-000005000000}" name="Column5" headerRowDxfId="7"/>
    <tableColumn id="6" xr3:uid="{00000000-0010-0000-0100-000006000000}" name="Column6" headerRowDxfId="6"/>
    <tableColumn id="7" xr3:uid="{00000000-0010-0000-0100-000007000000}" name="Column7" headerRowDxfId="5"/>
    <tableColumn id="8" xr3:uid="{00000000-0010-0000-0100-000008000000}" name="Column8" headerRowDxfId="4"/>
    <tableColumn id="9" xr3:uid="{00000000-0010-0000-0100-000009000000}" name="Column9" headerRowDxfId="3"/>
    <tableColumn id="10" xr3:uid="{00000000-0010-0000-0100-00000A000000}" name="Column10" headerRowDxfId="2"/>
    <tableColumn id="11" xr3:uid="{00000000-0010-0000-0100-00000B000000}" name="Column11" headerRowDxfId="1"/>
  </tableColumns>
  <tableStyleInfo name="TableStyleLight1" showFirstColumn="0" showLastColumn="0" showRowStripes="0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creener.i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creener.in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creener.in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creener.in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creener.in/excel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creener.in/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6883E-A9D8-47BC-80E2-AFA5AF047C18}">
  <dimension ref="A1:R575"/>
  <sheetViews>
    <sheetView tabSelected="1" workbookViewId="0"/>
  </sheetViews>
  <sheetFormatPr defaultRowHeight="15"/>
  <cols>
    <col min="1" max="1" width="10.42578125" style="36" bestFit="1" customWidth="1"/>
    <col min="2" max="2" width="8.5703125" style="36" bestFit="1" customWidth="1"/>
    <col min="3" max="3" width="7.85546875" style="36" bestFit="1" customWidth="1"/>
    <col min="4" max="4" width="11.7109375" style="36" bestFit="1" customWidth="1"/>
    <col min="5" max="5" width="7.85546875" style="36" bestFit="1" customWidth="1"/>
    <col min="6" max="6" width="9.140625" style="36"/>
    <col min="7" max="7" width="37.5703125" style="36" bestFit="1" customWidth="1"/>
    <col min="8" max="16" width="7.7109375" style="36" bestFit="1" customWidth="1"/>
    <col min="17" max="17" width="9.28515625" style="36" bestFit="1" customWidth="1"/>
    <col min="18" max="16384" width="9.140625" style="36"/>
  </cols>
  <sheetData>
    <row r="1" spans="1:18">
      <c r="A1" s="35" t="s">
        <v>94</v>
      </c>
      <c r="B1" s="35" t="s">
        <v>95</v>
      </c>
      <c r="C1" s="35" t="s">
        <v>96</v>
      </c>
      <c r="D1" s="35" t="s">
        <v>97</v>
      </c>
      <c r="E1" s="35" t="s">
        <v>96</v>
      </c>
      <c r="G1" s="35" t="s">
        <v>99</v>
      </c>
      <c r="H1" s="35">
        <v>2009</v>
      </c>
      <c r="I1" s="35">
        <f>H1+1</f>
        <v>2010</v>
      </c>
      <c r="J1" s="35">
        <f t="shared" ref="J1:Q1" si="0">I1+1</f>
        <v>2011</v>
      </c>
      <c r="K1" s="35">
        <f t="shared" si="0"/>
        <v>2012</v>
      </c>
      <c r="L1" s="35">
        <f t="shared" si="0"/>
        <v>2013</v>
      </c>
      <c r="M1" s="35">
        <f t="shared" si="0"/>
        <v>2014</v>
      </c>
      <c r="N1" s="35">
        <f t="shared" si="0"/>
        <v>2015</v>
      </c>
      <c r="O1" s="35">
        <f t="shared" si="0"/>
        <v>2016</v>
      </c>
      <c r="P1" s="35">
        <f t="shared" si="0"/>
        <v>2017</v>
      </c>
      <c r="Q1" s="35">
        <f t="shared" si="0"/>
        <v>2018</v>
      </c>
    </row>
    <row r="2" spans="1:18">
      <c r="A2" s="37">
        <v>39341</v>
      </c>
      <c r="B2" s="38">
        <v>4837.5498049999997</v>
      </c>
      <c r="C2" s="39" t="s">
        <v>98</v>
      </c>
      <c r="D2" s="40">
        <v>7.0019549999999997</v>
      </c>
      <c r="E2" s="39" t="s">
        <v>98</v>
      </c>
      <c r="G2" s="35" t="s">
        <v>100</v>
      </c>
      <c r="H2" s="38">
        <f>SLOPE(E3:E121,C3:C121)</f>
        <v>0.52960111226171558</v>
      </c>
      <c r="I2" s="46">
        <f>SLOPE(E3:E173,C3:C173)</f>
        <v>0.56615113708037013</v>
      </c>
      <c r="J2" s="46">
        <f>SLOPE(E3:E225,C3:C225)</f>
        <v>0.5854964298621681</v>
      </c>
      <c r="K2" s="38">
        <f>SLOPE(E18:E278,C18:C278)</f>
        <v>0.59004606238905422</v>
      </c>
      <c r="L2" s="38">
        <f>SLOPE(E70:E330,C70:C330)</f>
        <v>0.49742639856142945</v>
      </c>
      <c r="M2" s="38">
        <f>SLOPE(E122:E382,C122:C382)</f>
        <v>0.54755023869507402</v>
      </c>
      <c r="N2" s="38">
        <f>SLOPE(E174:E434,C174:C434)</f>
        <v>0.48020992211139868</v>
      </c>
      <c r="O2" s="38">
        <f>SLOPE(E226:E486,C226:C486)</f>
        <v>0.32743762909550589</v>
      </c>
      <c r="P2" s="38">
        <f>SLOPE(E279:E539,C279:C539)</f>
        <v>0.18311899484923988</v>
      </c>
      <c r="Q2" s="38">
        <f>SLOPE(E331:E575,C331:C575)</f>
        <v>0.23046537006521728</v>
      </c>
    </row>
    <row r="3" spans="1:18">
      <c r="A3" s="37">
        <v>39348</v>
      </c>
      <c r="B3" s="38">
        <v>5021.3500979999999</v>
      </c>
      <c r="C3" s="41">
        <f>B3/B2-1</f>
        <v>3.7994501433355365E-2</v>
      </c>
      <c r="D3" s="40">
        <v>6.7230730000000003</v>
      </c>
      <c r="E3" s="41">
        <f>D3/D2-1</f>
        <v>-3.9829161998327534E-2</v>
      </c>
      <c r="G3" s="35" t="s">
        <v>101</v>
      </c>
      <c r="H3" s="41">
        <f>(B121/B3)^(1/((A121-A3)/360))-1</f>
        <v>1.5442715007403018E-2</v>
      </c>
      <c r="I3" s="41">
        <f>(B173/B3)^(1/((A173-A3)/360))-1</f>
        <v>6.2445898015973222E-2</v>
      </c>
      <c r="J3" s="41">
        <f>(B225/B3)^(1/((A225-A3)/360))-1</f>
        <v>-1.8901828023476064E-2</v>
      </c>
      <c r="K3" s="41">
        <f>(B278/B18)^(1/((A278-A18)/360))-1</f>
        <v>-5.9396832986799986E-3</v>
      </c>
      <c r="L3" s="41">
        <f>(B330/B70)^(1/((A330-A70)/360))-1</f>
        <v>0.16474638930297414</v>
      </c>
      <c r="M3" s="41">
        <f>(B382/B122)^(1/((A382-A122)/360))-1</f>
        <v>9.7525921880242894E-2</v>
      </c>
      <c r="N3" s="41">
        <f>(B434/B174)^(1/((A434-A174)/360))-1</f>
        <v>6.0503179136915719E-2</v>
      </c>
      <c r="O3" s="41">
        <f>(B486/B226)^(1/((A486-A226)/360))-1</f>
        <v>0.1134735217413545</v>
      </c>
      <c r="P3" s="41">
        <f>(B539/B279)^(1/((A539-A279)/360))-1</f>
        <v>0.12009199072791521</v>
      </c>
      <c r="Q3" s="41">
        <f>(B575/B331)^(1/((A575-A331)/360))-1</f>
        <v>0.14221598729142726</v>
      </c>
      <c r="R3" s="42"/>
    </row>
    <row r="4" spans="1:18">
      <c r="A4" s="37">
        <v>39355</v>
      </c>
      <c r="B4" s="38">
        <v>5185.8500979999999</v>
      </c>
      <c r="C4" s="41">
        <f t="shared" ref="C4:C67" si="1">B4/B3-1</f>
        <v>3.2760113672520186E-2</v>
      </c>
      <c r="D4" s="40">
        <v>8.6749729999999996</v>
      </c>
      <c r="E4" s="41">
        <f t="shared" ref="E4:E67" si="2">D4/D3-1</f>
        <v>0.2903285446997228</v>
      </c>
      <c r="G4" s="35" t="s">
        <v>110</v>
      </c>
      <c r="H4" s="41">
        <f>AVERAGE(GOI30YBondYield!B107:B118)</f>
        <v>7.9027499999999987E-2</v>
      </c>
      <c r="I4" s="41">
        <f>AVERAGE(GOI30YBondYield!B95:B106)</f>
        <v>8.4305833333333316E-2</v>
      </c>
      <c r="J4" s="41">
        <f>AVERAGE(GOI30YBondYield!B83:B94)</f>
        <v>8.6739999999999998E-2</v>
      </c>
      <c r="K4" s="41">
        <f>AVERAGE(GOI30YBondYield!B71:B82)</f>
        <v>8.6075833333333338E-2</v>
      </c>
      <c r="L4" s="41">
        <f>AVERAGE(GOI30YBondYield!B59:B70)</f>
        <v>8.5464166666666661E-2</v>
      </c>
      <c r="M4" s="41">
        <f>AVERAGE(GOI30YBondYield!B47:B58)</f>
        <v>8.7612499999999982E-2</v>
      </c>
      <c r="N4" s="41">
        <f>AVERAGE(GOI30YBondYield!B35:B46)</f>
        <v>7.9174999999999995E-2</v>
      </c>
      <c r="O4" s="41">
        <f>AVERAGE(GOI30YBondYield!B23:B34)</f>
        <v>7.5558333333333325E-2</v>
      </c>
      <c r="P4" s="41">
        <f>AVERAGE(GOI30YBondYield!B11:B22)</f>
        <v>7.3117499999999988E-2</v>
      </c>
      <c r="Q4" s="41">
        <f>AVERAGE(GOI30YBondYield!B2:B10)</f>
        <v>8.0371111111111115E-2</v>
      </c>
    </row>
    <row r="5" spans="1:18">
      <c r="A5" s="37">
        <v>39362</v>
      </c>
      <c r="B5" s="38">
        <v>5428.25</v>
      </c>
      <c r="C5" s="41">
        <f t="shared" si="1"/>
        <v>4.6742558581376104E-2</v>
      </c>
      <c r="D5" s="40">
        <v>8.2102170000000001</v>
      </c>
      <c r="E5" s="41">
        <f t="shared" si="2"/>
        <v>-5.3574345418711866E-2</v>
      </c>
      <c r="G5" s="35" t="s">
        <v>102</v>
      </c>
      <c r="H5" s="41">
        <f>H4+(H2*(H3-H4))</f>
        <v>4.5352927144998591E-2</v>
      </c>
      <c r="I5" s="41">
        <f t="shared" ref="I5:Q5" si="3">I4+(I2*(I3-I4))</f>
        <v>7.1929806096906551E-2</v>
      </c>
      <c r="J5" s="41">
        <f t="shared" si="3"/>
        <v>2.4887086848141622E-2</v>
      </c>
      <c r="K5" s="41">
        <f t="shared" si="3"/>
        <v>3.1782440065919342E-2</v>
      </c>
      <c r="L5" s="41">
        <f t="shared" si="3"/>
        <v>0.12490123714259052</v>
      </c>
      <c r="M5" s="41">
        <f t="shared" si="3"/>
        <v>9.3040596516811958E-2</v>
      </c>
      <c r="N5" s="41">
        <f t="shared" si="3"/>
        <v>7.0208606357660311E-2</v>
      </c>
      <c r="O5" s="41">
        <f t="shared" si="3"/>
        <v>8.7973192732365188E-2</v>
      </c>
      <c r="P5" s="41">
        <f t="shared" si="3"/>
        <v>8.1719421525650759E-2</v>
      </c>
      <c r="Q5" s="41">
        <f t="shared" si="3"/>
        <v>9.4624213386645215E-2</v>
      </c>
    </row>
    <row r="6" spans="1:18">
      <c r="A6" s="37">
        <v>39369</v>
      </c>
      <c r="B6" s="38">
        <v>5215.2998049999997</v>
      </c>
      <c r="C6" s="41">
        <f t="shared" si="1"/>
        <v>-3.922999032837482E-2</v>
      </c>
      <c r="D6" s="40">
        <v>8.0553410000000003</v>
      </c>
      <c r="E6" s="41">
        <f t="shared" si="2"/>
        <v>-1.8863813221989156E-2</v>
      </c>
      <c r="G6" s="35" t="s">
        <v>103</v>
      </c>
      <c r="H6" s="41">
        <f>('Profit &amp; Loss'!B9/'Balance Sheet'!B6)+1%</f>
        <v>0.10282884138111203</v>
      </c>
      <c r="I6" s="41">
        <f>('Profit &amp; Loss'!C9/'Balance Sheet'!C6)+1%</f>
        <v>9.8495293818366816E-2</v>
      </c>
      <c r="J6" s="41">
        <f>('Profit &amp; Loss'!D9/'Balance Sheet'!D6)+1%</f>
        <v>0.13076513773826362</v>
      </c>
      <c r="K6" s="41">
        <f>('Profit &amp; Loss'!E9/'Balance Sheet'!E6)+1%</f>
        <v>0.12291222506093444</v>
      </c>
      <c r="L6" s="41">
        <f>('Profit &amp; Loss'!F9/'Balance Sheet'!F6)+1%</f>
        <v>0.12040703742358728</v>
      </c>
      <c r="M6" s="41">
        <f>('Profit &amp; Loss'!G9/'Balance Sheet'!G6)+1%</f>
        <v>9.2424930096851307E-2</v>
      </c>
      <c r="N6" s="41">
        <f>('Profit &amp; Loss'!H9/'Balance Sheet'!H6)+1%</f>
        <v>0.11324262669056541</v>
      </c>
      <c r="O6" s="41">
        <f>('Profit &amp; Loss'!I9/'Balance Sheet'!I6)+1%</f>
        <v>0.11163661002814552</v>
      </c>
      <c r="P6" s="41">
        <f>('Profit &amp; Loss'!J9/'Balance Sheet'!J6)+1%</f>
        <v>8.6363280357667327E-2</v>
      </c>
      <c r="Q6" s="41">
        <f>('Profit &amp; Loss'!K9/'Balance Sheet'!K6)+1%</f>
        <v>7.7469360103467388E-2</v>
      </c>
    </row>
    <row r="7" spans="1:18">
      <c r="A7" s="37">
        <v>39376</v>
      </c>
      <c r="B7" s="38">
        <v>5702.2998049999997</v>
      </c>
      <c r="C7" s="41">
        <f t="shared" si="1"/>
        <v>9.3379099612471927E-2</v>
      </c>
      <c r="D7" s="40">
        <v>8.4890989999999995</v>
      </c>
      <c r="E7" s="41">
        <f t="shared" si="2"/>
        <v>5.3847254883436779E-2</v>
      </c>
      <c r="G7" s="35" t="s">
        <v>108</v>
      </c>
      <c r="H7" s="47">
        <f>('Balance Sheet'!B4+'Balance Sheet'!B5)</f>
        <v>52.19</v>
      </c>
      <c r="I7" s="47">
        <f>('Balance Sheet'!C4+'Balance Sheet'!C5)</f>
        <v>53.519999999999996</v>
      </c>
      <c r="J7" s="47">
        <f>('Balance Sheet'!D4+'Balance Sheet'!D5)</f>
        <v>92.789999999999992</v>
      </c>
      <c r="K7" s="47">
        <f>('Balance Sheet'!E4+'Balance Sheet'!E5)</f>
        <v>107.71</v>
      </c>
      <c r="L7" s="47">
        <f>('Balance Sheet'!F4+'Balance Sheet'!F5)</f>
        <v>129.56</v>
      </c>
      <c r="M7" s="47">
        <f>('Balance Sheet'!G4+'Balance Sheet'!G5)</f>
        <v>179.39000000000001</v>
      </c>
      <c r="N7" s="47">
        <f>('Balance Sheet'!H4+'Balance Sheet'!H5)</f>
        <v>221.46</v>
      </c>
      <c r="O7" s="47">
        <f>('Balance Sheet'!I4+'Balance Sheet'!I5)</f>
        <v>230.66</v>
      </c>
      <c r="P7" s="47">
        <f>('Balance Sheet'!J4+'Balance Sheet'!J5)</f>
        <v>348.61</v>
      </c>
      <c r="Q7" s="47">
        <f>('Balance Sheet'!K4+'Balance Sheet'!K5)</f>
        <v>365.53000000000003</v>
      </c>
    </row>
    <row r="8" spans="1:18">
      <c r="A8" s="37">
        <v>39383</v>
      </c>
      <c r="B8" s="38">
        <v>5932.3999020000001</v>
      </c>
      <c r="C8" s="41">
        <f t="shared" si="1"/>
        <v>4.035215700132766E-2</v>
      </c>
      <c r="D8" s="40">
        <v>9.4185449999999999</v>
      </c>
      <c r="E8" s="41">
        <f t="shared" si="2"/>
        <v>0.1094870020952754</v>
      </c>
      <c r="G8" s="35" t="s">
        <v>109</v>
      </c>
      <c r="H8" s="47">
        <f>'Balance Sheet'!B6</f>
        <v>229.67</v>
      </c>
      <c r="I8" s="47">
        <f>'Balance Sheet'!C6</f>
        <v>314.48</v>
      </c>
      <c r="J8" s="47">
        <f>'Balance Sheet'!D6</f>
        <v>296.94</v>
      </c>
      <c r="K8" s="47">
        <f>'Balance Sheet'!E6</f>
        <v>340.53</v>
      </c>
      <c r="L8" s="47">
        <f>'Balance Sheet'!F6</f>
        <v>402.42</v>
      </c>
      <c r="M8" s="47">
        <f>'Balance Sheet'!G6</f>
        <v>493.54</v>
      </c>
      <c r="N8" s="47">
        <f>'Balance Sheet'!H6</f>
        <v>613.70000000000005</v>
      </c>
      <c r="O8" s="47">
        <f>'Balance Sheet'!I6</f>
        <v>671.51</v>
      </c>
      <c r="P8" s="47">
        <f>'Balance Sheet'!J6</f>
        <v>919.29</v>
      </c>
      <c r="Q8" s="47">
        <f>'Balance Sheet'!K6</f>
        <v>1298.96</v>
      </c>
    </row>
    <row r="9" spans="1:18">
      <c r="A9" s="37">
        <v>39390</v>
      </c>
      <c r="B9" s="38">
        <v>5663.25</v>
      </c>
      <c r="C9" s="41">
        <f t="shared" si="1"/>
        <v>-4.5369480555291108E-2</v>
      </c>
      <c r="D9" s="40">
        <v>10.007173999999999</v>
      </c>
      <c r="E9" s="41">
        <f t="shared" si="2"/>
        <v>6.2496808158797323E-2</v>
      </c>
      <c r="G9" s="35" t="s">
        <v>104</v>
      </c>
      <c r="H9" s="38">
        <f>H8/H7</f>
        <v>4.4006514657980453</v>
      </c>
      <c r="I9" s="38">
        <f t="shared" ref="I9:Q9" si="4">I8/I7</f>
        <v>5.8759342301943205</v>
      </c>
      <c r="J9" s="38">
        <f t="shared" si="4"/>
        <v>3.2001293242806339</v>
      </c>
      <c r="K9" s="38">
        <f t="shared" si="4"/>
        <v>3.1615448890539413</v>
      </c>
      <c r="L9" s="38">
        <f t="shared" si="4"/>
        <v>3.1060512503859217</v>
      </c>
      <c r="M9" s="38">
        <f t="shared" si="4"/>
        <v>2.751212442165115</v>
      </c>
      <c r="N9" s="38">
        <f t="shared" si="4"/>
        <v>2.7711550618621876</v>
      </c>
      <c r="O9" s="38">
        <f t="shared" si="4"/>
        <v>2.9112546605393219</v>
      </c>
      <c r="P9" s="38">
        <f t="shared" si="4"/>
        <v>2.6370155761452625</v>
      </c>
      <c r="Q9" s="38">
        <f t="shared" si="4"/>
        <v>3.5536344486088693</v>
      </c>
    </row>
    <row r="10" spans="1:18">
      <c r="A10" s="37">
        <v>39397</v>
      </c>
      <c r="B10" s="38">
        <v>5906.8500979999999</v>
      </c>
      <c r="C10" s="41">
        <f t="shared" si="1"/>
        <v>4.3014187613119592E-2</v>
      </c>
      <c r="D10" s="40">
        <v>11.259455000000001</v>
      </c>
      <c r="E10" s="41">
        <f t="shared" si="2"/>
        <v>0.1251383257650962</v>
      </c>
      <c r="G10" s="35" t="s">
        <v>105</v>
      </c>
      <c r="H10" s="41">
        <f>(H5*(H7/(H7+H8)))+(H6*(H8/(H7+H8)))</f>
        <v>9.2186437478526478E-2</v>
      </c>
      <c r="I10" s="41">
        <f t="shared" ref="I10:Q10" si="5">(I5*(I7/(I7+I8)))+(I6*(I8/(I7+I8)))</f>
        <v>9.4631747886702269E-2</v>
      </c>
      <c r="J10" s="41">
        <f t="shared" si="5"/>
        <v>0.10555685420326651</v>
      </c>
      <c r="K10" s="41">
        <f t="shared" si="5"/>
        <v>0.1010141589762185</v>
      </c>
      <c r="L10" s="41">
        <f t="shared" si="5"/>
        <v>0.12150156826232945</v>
      </c>
      <c r="M10" s="41">
        <f t="shared" si="5"/>
        <v>9.2589054744402682E-2</v>
      </c>
      <c r="N10" s="41">
        <f t="shared" si="5"/>
        <v>0.10183126342732823</v>
      </c>
      <c r="O10" s="41">
        <f t="shared" si="5"/>
        <v>0.10558652652565187</v>
      </c>
      <c r="P10" s="41">
        <f t="shared" si="5"/>
        <v>8.5086448093743272E-2</v>
      </c>
      <c r="Q10" s="41">
        <f t="shared" si="5"/>
        <v>8.1236648294204489E-2</v>
      </c>
    </row>
    <row r="11" spans="1:18">
      <c r="A11" s="37">
        <v>39404</v>
      </c>
      <c r="B11" s="38">
        <v>5608.6000979999999</v>
      </c>
      <c r="C11" s="41">
        <f t="shared" si="1"/>
        <v>-5.0492224290740739E-2</v>
      </c>
      <c r="D11" s="40">
        <v>11.409594999999999</v>
      </c>
      <c r="E11" s="41">
        <f t="shared" si="2"/>
        <v>1.3334570811819768E-2</v>
      </c>
      <c r="G11" s="35" t="s">
        <v>106</v>
      </c>
      <c r="H11" s="41">
        <f>('Profit &amp; Loss'!B6-'Profit &amp; Loss'!B8-'Profit &amp; Loss'!B11)/(H7+H8)</f>
        <v>0.11165117434187152</v>
      </c>
      <c r="I11" s="41">
        <f>('Profit &amp; Loss'!C6-'Profit &amp; Loss'!C8-'Profit &amp; Loss'!C11)/(I7+I8)</f>
        <v>7.4972826086955893E-2</v>
      </c>
      <c r="J11" s="41">
        <f>('Profit &amp; Loss'!D6-'Profit &amp; Loss'!D8-'Profit &amp; Loss'!D11)/(J7+J8)</f>
        <v>0.1362481718112532</v>
      </c>
      <c r="K11" s="41">
        <f>('Profit &amp; Loss'!E6-'Profit &amp; Loss'!E8-'Profit &amp; Loss'!E11)/(K7+K8)</f>
        <v>0.13767178297340688</v>
      </c>
      <c r="L11" s="41">
        <f>('Profit &amp; Loss'!F6-'Profit &amp; Loss'!F8-'Profit &amp; Loss'!F11)/(L7+L8)</f>
        <v>0.16041956464528737</v>
      </c>
      <c r="M11" s="41">
        <f>('Profit &amp; Loss'!G6-'Profit &amp; Loss'!G8-'Profit &amp; Loss'!G11)/(M7+M8)</f>
        <v>0.16795209011338405</v>
      </c>
      <c r="N11" s="41">
        <f>('Profit &amp; Loss'!H6-'Profit &amp; Loss'!H8-'Profit &amp; Loss'!H11)/(N7+N8)</f>
        <v>0.11504382393792853</v>
      </c>
      <c r="O11" s="41">
        <f>('Profit &amp; Loss'!I6-'Profit &amp; Loss'!I8-'Profit &amp; Loss'!I11)/(O7+O8)</f>
        <v>0.13757939191061558</v>
      </c>
      <c r="P11" s="41">
        <f>('Profit &amp; Loss'!J6-'Profit &amp; Loss'!J8-'Profit &amp; Loss'!J11)/(P7+P8)</f>
        <v>0.15680258695480748</v>
      </c>
      <c r="Q11" s="41">
        <f>('Profit &amp; Loss'!K6-'Profit &amp; Loss'!K8-'Profit &amp; Loss'!K11)/(Q7+Q8)</f>
        <v>0.10224152743482981</v>
      </c>
    </row>
    <row r="12" spans="1:18">
      <c r="A12" s="37">
        <v>39411</v>
      </c>
      <c r="B12" s="38">
        <v>5762.75</v>
      </c>
      <c r="C12" s="41">
        <f t="shared" si="1"/>
        <v>2.7484559302947797E-2</v>
      </c>
      <c r="D12" s="40">
        <v>11.983866000000001</v>
      </c>
      <c r="E12" s="41">
        <f t="shared" si="2"/>
        <v>5.0332286115326808E-2</v>
      </c>
      <c r="G12" s="35" t="s">
        <v>107</v>
      </c>
      <c r="H12" s="47">
        <f>(H11-H10)*(H7+H8)</f>
        <v>5.4863307323024344</v>
      </c>
      <c r="I12" s="47">
        <f t="shared" ref="I12:Q12" si="6">(I11-I10)*(I7+I8)</f>
        <v>-7.2344832223066664</v>
      </c>
      <c r="J12" s="47">
        <f t="shared" si="6"/>
        <v>11.961327211360656</v>
      </c>
      <c r="K12" s="47">
        <f t="shared" si="6"/>
        <v>16.431413380499716</v>
      </c>
      <c r="L12" s="47">
        <f t="shared" si="6"/>
        <v>20.70359571580595</v>
      </c>
      <c r="M12" s="47">
        <f t="shared" si="6"/>
        <v>50.714047390848634</v>
      </c>
      <c r="N12" s="47">
        <f t="shared" si="6"/>
        <v>11.034602036032945</v>
      </c>
      <c r="O12" s="47">
        <f t="shared" si="6"/>
        <v>28.863003364352707</v>
      </c>
      <c r="P12" s="47">
        <f t="shared" si="6"/>
        <v>90.928892461943306</v>
      </c>
      <c r="Q12" s="47">
        <f t="shared" si="6"/>
        <v>34.962411280779442</v>
      </c>
    </row>
    <row r="13" spans="1:18">
      <c r="A13" s="37">
        <v>39418</v>
      </c>
      <c r="B13" s="38">
        <v>5974.2998049999997</v>
      </c>
      <c r="C13" s="41">
        <f t="shared" si="1"/>
        <v>3.6709870287622959E-2</v>
      </c>
      <c r="D13" s="40">
        <v>12.573079999999999</v>
      </c>
      <c r="E13" s="41">
        <f t="shared" si="2"/>
        <v>4.9167272063956435E-2</v>
      </c>
    </row>
    <row r="14" spans="1:18">
      <c r="A14" s="37">
        <v>39425</v>
      </c>
      <c r="B14" s="38">
        <v>6047.7001950000003</v>
      </c>
      <c r="C14" s="41">
        <f t="shared" si="1"/>
        <v>1.2286023868198104E-2</v>
      </c>
      <c r="D14" s="40">
        <v>12.985943000000001</v>
      </c>
      <c r="E14" s="41">
        <f t="shared" si="2"/>
        <v>3.2837061404206613E-2</v>
      </c>
    </row>
    <row r="15" spans="1:18">
      <c r="A15" s="37">
        <v>39432</v>
      </c>
      <c r="B15" s="38">
        <v>5766.5</v>
      </c>
      <c r="C15" s="41">
        <f t="shared" si="1"/>
        <v>-4.6497046138709974E-2</v>
      </c>
      <c r="D15" s="40">
        <v>12.573079999999999</v>
      </c>
      <c r="E15" s="41">
        <f t="shared" si="2"/>
        <v>-3.1793070399277257E-2</v>
      </c>
    </row>
    <row r="16" spans="1:18">
      <c r="A16" s="37">
        <v>39439</v>
      </c>
      <c r="B16" s="38">
        <v>6079.7001950000003</v>
      </c>
      <c r="C16" s="41">
        <f t="shared" si="1"/>
        <v>5.4313742304690882E-2</v>
      </c>
      <c r="D16" s="40">
        <v>12.573079999999999</v>
      </c>
      <c r="E16" s="41">
        <f t="shared" si="2"/>
        <v>0</v>
      </c>
    </row>
    <row r="17" spans="1:5">
      <c r="A17" s="37">
        <v>39446</v>
      </c>
      <c r="B17" s="38">
        <v>6274.2998049999997</v>
      </c>
      <c r="C17" s="41">
        <f t="shared" si="1"/>
        <v>3.2008093122756209E-2</v>
      </c>
      <c r="D17" s="40">
        <v>13.154781</v>
      </c>
      <c r="E17" s="41">
        <f t="shared" si="2"/>
        <v>4.6265592838031777E-2</v>
      </c>
    </row>
    <row r="18" spans="1:5">
      <c r="A18" s="37">
        <v>39453</v>
      </c>
      <c r="B18" s="38">
        <v>6200.1000979999999</v>
      </c>
      <c r="C18" s="41">
        <f t="shared" si="1"/>
        <v>-1.1825974101663084E-2</v>
      </c>
      <c r="D18" s="40">
        <v>12.817026</v>
      </c>
      <c r="E18" s="41">
        <f t="shared" si="2"/>
        <v>-2.5675455942596015E-2</v>
      </c>
    </row>
    <row r="19" spans="1:5">
      <c r="A19" s="37">
        <v>39460</v>
      </c>
      <c r="B19" s="38">
        <v>5705.2998049999997</v>
      </c>
      <c r="C19" s="41">
        <f t="shared" si="1"/>
        <v>-7.9805210428717244E-2</v>
      </c>
      <c r="D19" s="40">
        <v>14.074318999999999</v>
      </c>
      <c r="E19" s="41">
        <f t="shared" si="2"/>
        <v>9.8095533238365729E-2</v>
      </c>
    </row>
    <row r="20" spans="1:5">
      <c r="A20" s="37">
        <v>39467</v>
      </c>
      <c r="B20" s="38">
        <v>5383.3500979999999</v>
      </c>
      <c r="C20" s="41">
        <f t="shared" si="1"/>
        <v>-5.6429936726173469E-2</v>
      </c>
      <c r="D20" s="40">
        <v>11.861853</v>
      </c>
      <c r="E20" s="41">
        <f t="shared" si="2"/>
        <v>-0.15719879590621755</v>
      </c>
    </row>
    <row r="21" spans="1:5">
      <c r="A21" s="37">
        <v>39474</v>
      </c>
      <c r="B21" s="38">
        <v>5317.25</v>
      </c>
      <c r="C21" s="41">
        <f t="shared" si="1"/>
        <v>-1.2278617737411679E-2</v>
      </c>
      <c r="D21" s="40">
        <v>12.948391000000001</v>
      </c>
      <c r="E21" s="41">
        <f t="shared" si="2"/>
        <v>9.1599347926500263E-2</v>
      </c>
    </row>
    <row r="22" spans="1:5">
      <c r="A22" s="37">
        <v>39481</v>
      </c>
      <c r="B22" s="38">
        <v>5120.3500979999999</v>
      </c>
      <c r="C22" s="41">
        <f t="shared" si="1"/>
        <v>-3.7030401429310245E-2</v>
      </c>
      <c r="D22" s="40">
        <v>12.047629000000001</v>
      </c>
      <c r="E22" s="41">
        <f t="shared" si="2"/>
        <v>-6.956555451561508E-2</v>
      </c>
    </row>
    <row r="23" spans="1:5">
      <c r="A23" s="37">
        <v>39488</v>
      </c>
      <c r="B23" s="38">
        <v>5302.8999020000001</v>
      </c>
      <c r="C23" s="41">
        <f t="shared" si="1"/>
        <v>3.5651820775166154E-2</v>
      </c>
      <c r="D23" s="40">
        <v>12.573079999999999</v>
      </c>
      <c r="E23" s="41">
        <f t="shared" si="2"/>
        <v>4.3614473852074731E-2</v>
      </c>
    </row>
    <row r="24" spans="1:5">
      <c r="A24" s="37">
        <v>39495</v>
      </c>
      <c r="B24" s="38">
        <v>5110.75</v>
      </c>
      <c r="C24" s="41">
        <f t="shared" si="1"/>
        <v>-3.62348725322027E-2</v>
      </c>
      <c r="D24" s="40">
        <v>13.136087</v>
      </c>
      <c r="E24" s="41">
        <f t="shared" si="2"/>
        <v>4.4778765425814493E-2</v>
      </c>
    </row>
    <row r="25" spans="1:5">
      <c r="A25" s="37">
        <v>39502</v>
      </c>
      <c r="B25" s="38">
        <v>5223.5</v>
      </c>
      <c r="C25" s="41">
        <f t="shared" si="1"/>
        <v>2.2061341290417147E-2</v>
      </c>
      <c r="D25" s="40">
        <v>15.913396000000001</v>
      </c>
      <c r="E25" s="41">
        <f t="shared" si="2"/>
        <v>0.21142589874747331</v>
      </c>
    </row>
    <row r="26" spans="1:5">
      <c r="A26" s="37">
        <v>39509</v>
      </c>
      <c r="B26" s="38">
        <v>4771.6000979999999</v>
      </c>
      <c r="C26" s="41">
        <f t="shared" si="1"/>
        <v>-8.6512855748061668E-2</v>
      </c>
      <c r="D26" s="40">
        <v>13.511393999999999</v>
      </c>
      <c r="E26" s="41">
        <f t="shared" si="2"/>
        <v>-0.15094213705233006</v>
      </c>
    </row>
    <row r="27" spans="1:5">
      <c r="A27" s="37">
        <v>39516</v>
      </c>
      <c r="B27" s="38">
        <v>4745.7998049999997</v>
      </c>
      <c r="C27" s="41">
        <f t="shared" si="1"/>
        <v>-5.4070526595081381E-3</v>
      </c>
      <c r="D27" s="40">
        <v>13.139837</v>
      </c>
      <c r="E27" s="41">
        <f t="shared" si="2"/>
        <v>-2.749953113646153E-2</v>
      </c>
    </row>
    <row r="28" spans="1:5">
      <c r="A28" s="37">
        <v>39523</v>
      </c>
      <c r="B28" s="38">
        <v>4573.9501950000003</v>
      </c>
      <c r="C28" s="41">
        <f t="shared" si="1"/>
        <v>-3.621088479521295E-2</v>
      </c>
      <c r="D28" s="40">
        <v>12.760695</v>
      </c>
      <c r="E28" s="41">
        <f t="shared" si="2"/>
        <v>-2.885439142053281E-2</v>
      </c>
    </row>
    <row r="29" spans="1:5">
      <c r="A29" s="37">
        <v>39530</v>
      </c>
      <c r="B29" s="38">
        <v>4942</v>
      </c>
      <c r="C29" s="41">
        <f t="shared" si="1"/>
        <v>8.0466509102423478E-2</v>
      </c>
      <c r="D29" s="40">
        <v>13.886703000000001</v>
      </c>
      <c r="E29" s="41">
        <f t="shared" si="2"/>
        <v>8.8240334872042636E-2</v>
      </c>
    </row>
    <row r="30" spans="1:5">
      <c r="A30" s="37">
        <v>39537</v>
      </c>
      <c r="B30" s="38">
        <v>4647</v>
      </c>
      <c r="C30" s="41">
        <f t="shared" si="1"/>
        <v>-5.9692432213678703E-2</v>
      </c>
      <c r="D30" s="40">
        <v>14.224461</v>
      </c>
      <c r="E30" s="41">
        <f t="shared" si="2"/>
        <v>2.4322403957224292E-2</v>
      </c>
    </row>
    <row r="31" spans="1:5">
      <c r="A31" s="37">
        <v>39544</v>
      </c>
      <c r="B31" s="38">
        <v>4777.7998049999997</v>
      </c>
      <c r="C31" s="41">
        <f t="shared" si="1"/>
        <v>2.8147149774047753E-2</v>
      </c>
      <c r="D31" s="40">
        <v>15.763254999999999</v>
      </c>
      <c r="E31" s="41">
        <f t="shared" si="2"/>
        <v>0.1081794241623637</v>
      </c>
    </row>
    <row r="32" spans="1:5">
      <c r="A32" s="37">
        <v>39551</v>
      </c>
      <c r="B32" s="38">
        <v>4958.3999020000001</v>
      </c>
      <c r="C32" s="41">
        <f t="shared" si="1"/>
        <v>3.7799846031849382E-2</v>
      </c>
      <c r="D32" s="40">
        <v>15.800808</v>
      </c>
      <c r="E32" s="41">
        <f t="shared" si="2"/>
        <v>2.3823125363384712E-3</v>
      </c>
    </row>
    <row r="33" spans="1:5">
      <c r="A33" s="37">
        <v>39558</v>
      </c>
      <c r="B33" s="38">
        <v>5111.7001950000003</v>
      </c>
      <c r="C33" s="41">
        <f t="shared" si="1"/>
        <v>3.0917291067661834E-2</v>
      </c>
      <c r="D33" s="40">
        <v>15.763254999999999</v>
      </c>
      <c r="E33" s="41">
        <f t="shared" si="2"/>
        <v>-2.3766506117915975E-3</v>
      </c>
    </row>
    <row r="34" spans="1:5">
      <c r="A34" s="37">
        <v>39565</v>
      </c>
      <c r="B34" s="38">
        <v>5228.2001950000003</v>
      </c>
      <c r="C34" s="41">
        <f t="shared" si="1"/>
        <v>2.2790851488894814E-2</v>
      </c>
      <c r="D34" s="40">
        <v>15.613115000000001</v>
      </c>
      <c r="E34" s="41">
        <f t="shared" si="2"/>
        <v>-9.5246825608035213E-3</v>
      </c>
    </row>
    <row r="35" spans="1:5">
      <c r="A35" s="37">
        <v>39572</v>
      </c>
      <c r="B35" s="38">
        <v>4982.6000979999999</v>
      </c>
      <c r="C35" s="41">
        <f t="shared" si="1"/>
        <v>-4.6976031490699288E-2</v>
      </c>
      <c r="D35" s="40">
        <v>18.495573</v>
      </c>
      <c r="E35" s="41">
        <f t="shared" si="2"/>
        <v>0.18461773963747774</v>
      </c>
    </row>
    <row r="36" spans="1:5">
      <c r="A36" s="37">
        <v>39579</v>
      </c>
      <c r="B36" s="38">
        <v>5157.7001950000003</v>
      </c>
      <c r="C36" s="41">
        <f t="shared" si="1"/>
        <v>3.5142313963804739E-2</v>
      </c>
      <c r="D36" s="40">
        <v>18.052668000000001</v>
      </c>
      <c r="E36" s="41">
        <f t="shared" si="2"/>
        <v>-2.3946541153388456E-2</v>
      </c>
    </row>
    <row r="37" spans="1:5">
      <c r="A37" s="37">
        <v>39586</v>
      </c>
      <c r="B37" s="38">
        <v>4946.5498049999997</v>
      </c>
      <c r="C37" s="41">
        <f t="shared" si="1"/>
        <v>-4.0938864613475401E-2</v>
      </c>
      <c r="D37" s="40">
        <v>16.808477</v>
      </c>
      <c r="E37" s="41">
        <f t="shared" si="2"/>
        <v>-6.8920062120457759E-2</v>
      </c>
    </row>
    <row r="38" spans="1:5">
      <c r="A38" s="37">
        <v>39593</v>
      </c>
      <c r="B38" s="38">
        <v>4870.1000979999999</v>
      </c>
      <c r="C38" s="41">
        <f t="shared" si="1"/>
        <v>-1.5455157637900285E-2</v>
      </c>
      <c r="D38" s="40">
        <v>18.728259999999999</v>
      </c>
      <c r="E38" s="41">
        <f t="shared" si="2"/>
        <v>0.11421516654959274</v>
      </c>
    </row>
    <row r="39" spans="1:5">
      <c r="A39" s="37">
        <v>39600</v>
      </c>
      <c r="B39" s="38">
        <v>4627.7998049999997</v>
      </c>
      <c r="C39" s="41">
        <f t="shared" si="1"/>
        <v>-4.9752630977647816E-2</v>
      </c>
      <c r="D39" s="40">
        <v>16.138566999999998</v>
      </c>
      <c r="E39" s="41">
        <f t="shared" si="2"/>
        <v>-0.13827728790608418</v>
      </c>
    </row>
    <row r="40" spans="1:5">
      <c r="A40" s="37">
        <v>39607</v>
      </c>
      <c r="B40" s="38">
        <v>4517.1000979999999</v>
      </c>
      <c r="C40" s="41">
        <f t="shared" si="1"/>
        <v>-2.3920591137152614E-2</v>
      </c>
      <c r="D40" s="40">
        <v>15.166531000000001</v>
      </c>
      <c r="E40" s="41">
        <f t="shared" si="2"/>
        <v>-6.0230626424266687E-2</v>
      </c>
    </row>
    <row r="41" spans="1:5">
      <c r="A41" s="37">
        <v>39614</v>
      </c>
      <c r="B41" s="38">
        <v>4347.5498049999997</v>
      </c>
      <c r="C41" s="41">
        <f t="shared" si="1"/>
        <v>-3.7535208279991572E-2</v>
      </c>
      <c r="D41" s="40">
        <v>16.138566999999998</v>
      </c>
      <c r="E41" s="41">
        <f t="shared" si="2"/>
        <v>6.4090859010540902E-2</v>
      </c>
    </row>
    <row r="42" spans="1:5">
      <c r="A42" s="37">
        <v>39621</v>
      </c>
      <c r="B42" s="38">
        <v>4136.6499020000001</v>
      </c>
      <c r="C42" s="41">
        <f t="shared" si="1"/>
        <v>-4.8510060254502219E-2</v>
      </c>
      <c r="D42" s="40">
        <v>16.132971000000001</v>
      </c>
      <c r="E42" s="41">
        <f t="shared" si="2"/>
        <v>-3.4674701911252548E-4</v>
      </c>
    </row>
    <row r="43" spans="1:5">
      <c r="A43" s="37">
        <v>39628</v>
      </c>
      <c r="B43" s="38">
        <v>4016</v>
      </c>
      <c r="C43" s="41">
        <f t="shared" si="1"/>
        <v>-2.9166089676012419E-2</v>
      </c>
      <c r="D43" s="40">
        <v>15.763254999999999</v>
      </c>
      <c r="E43" s="41">
        <f t="shared" si="2"/>
        <v>-2.2916795672663248E-2</v>
      </c>
    </row>
    <row r="44" spans="1:5">
      <c r="A44" s="37">
        <v>39635</v>
      </c>
      <c r="B44" s="38">
        <v>4049</v>
      </c>
      <c r="C44" s="41">
        <f t="shared" si="1"/>
        <v>8.2171314741035228E-3</v>
      </c>
      <c r="D44" s="40">
        <v>15.725698</v>
      </c>
      <c r="E44" s="41">
        <f t="shared" si="2"/>
        <v>-2.3825662910357259E-3</v>
      </c>
    </row>
    <row r="45" spans="1:5">
      <c r="A45" s="37">
        <v>39642</v>
      </c>
      <c r="B45" s="38">
        <v>4092.25</v>
      </c>
      <c r="C45" s="41">
        <f t="shared" si="1"/>
        <v>1.068164979007169E-2</v>
      </c>
      <c r="D45" s="40">
        <v>15.763254999999999</v>
      </c>
      <c r="E45" s="41">
        <f t="shared" si="2"/>
        <v>2.3882564703963105E-3</v>
      </c>
    </row>
    <row r="46" spans="1:5">
      <c r="A46" s="37">
        <v>39649</v>
      </c>
      <c r="B46" s="38">
        <v>4311.8500979999999</v>
      </c>
      <c r="C46" s="41">
        <f t="shared" si="1"/>
        <v>5.3662434601991604E-2</v>
      </c>
      <c r="D46" s="40">
        <v>15.744478000000001</v>
      </c>
      <c r="E46" s="41">
        <f t="shared" si="2"/>
        <v>-1.1911879875062814E-3</v>
      </c>
    </row>
    <row r="47" spans="1:5">
      <c r="A47" s="37">
        <v>39656</v>
      </c>
      <c r="B47" s="38">
        <v>4413.5498049999997</v>
      </c>
      <c r="C47" s="41">
        <f t="shared" si="1"/>
        <v>2.3586095223294468E-2</v>
      </c>
      <c r="D47" s="40">
        <v>15.678796</v>
      </c>
      <c r="E47" s="41">
        <f t="shared" si="2"/>
        <v>-4.1717483424983381E-3</v>
      </c>
    </row>
    <row r="48" spans="1:5">
      <c r="A48" s="37">
        <v>39663</v>
      </c>
      <c r="B48" s="38">
        <v>4529.5</v>
      </c>
      <c r="C48" s="41">
        <f t="shared" si="1"/>
        <v>2.6271414195585541E-2</v>
      </c>
      <c r="D48" s="40">
        <v>16.889182999999999</v>
      </c>
      <c r="E48" s="41">
        <f t="shared" si="2"/>
        <v>7.7198976247921047E-2</v>
      </c>
    </row>
    <row r="49" spans="1:5">
      <c r="A49" s="37">
        <v>39670</v>
      </c>
      <c r="B49" s="38">
        <v>4430.7001950000003</v>
      </c>
      <c r="C49" s="41">
        <f t="shared" si="1"/>
        <v>-2.1812519041836786E-2</v>
      </c>
      <c r="D49" s="40">
        <v>15.922739999999999</v>
      </c>
      <c r="E49" s="41">
        <f t="shared" si="2"/>
        <v>-5.7222602182710691E-2</v>
      </c>
    </row>
    <row r="50" spans="1:5">
      <c r="A50" s="37">
        <v>39677</v>
      </c>
      <c r="B50" s="38">
        <v>4327.4501950000003</v>
      </c>
      <c r="C50" s="41">
        <f t="shared" si="1"/>
        <v>-2.3303314477589043E-2</v>
      </c>
      <c r="D50" s="40">
        <v>15.294140000000001</v>
      </c>
      <c r="E50" s="41">
        <f t="shared" si="2"/>
        <v>-3.9478130020335622E-2</v>
      </c>
    </row>
    <row r="51" spans="1:5">
      <c r="A51" s="37">
        <v>39684</v>
      </c>
      <c r="B51" s="38">
        <v>4360</v>
      </c>
      <c r="C51" s="41">
        <f t="shared" si="1"/>
        <v>7.5217052844671617E-3</v>
      </c>
      <c r="D51" s="40">
        <v>16.326260000000001</v>
      </c>
      <c r="E51" s="41">
        <f t="shared" si="2"/>
        <v>6.7484670599327723E-2</v>
      </c>
    </row>
    <row r="52" spans="1:5">
      <c r="A52" s="37">
        <v>39691</v>
      </c>
      <c r="B52" s="38">
        <v>4352.2998049999997</v>
      </c>
      <c r="C52" s="41">
        <f t="shared" si="1"/>
        <v>-1.7660997706422377E-3</v>
      </c>
      <c r="D52" s="40">
        <v>15.744478000000001</v>
      </c>
      <c r="E52" s="41">
        <f t="shared" si="2"/>
        <v>-3.5634738145784772E-2</v>
      </c>
    </row>
    <row r="53" spans="1:5">
      <c r="A53" s="37">
        <v>39698</v>
      </c>
      <c r="B53" s="38">
        <v>4228.4501950000003</v>
      </c>
      <c r="C53" s="41">
        <f t="shared" si="1"/>
        <v>-2.8456130218262654E-2</v>
      </c>
      <c r="D53" s="40">
        <v>16.645237000000002</v>
      </c>
      <c r="E53" s="41">
        <f t="shared" si="2"/>
        <v>5.7211106014438906E-2</v>
      </c>
    </row>
    <row r="54" spans="1:5">
      <c r="A54" s="37">
        <v>39705</v>
      </c>
      <c r="B54" s="38">
        <v>4245.25</v>
      </c>
      <c r="C54" s="41">
        <f t="shared" si="1"/>
        <v>3.9730407655893529E-3</v>
      </c>
      <c r="D54" s="40">
        <v>15.784691</v>
      </c>
      <c r="E54" s="41">
        <f t="shared" si="2"/>
        <v>-5.1699233840888037E-2</v>
      </c>
    </row>
    <row r="55" spans="1:5">
      <c r="A55" s="37">
        <v>39712</v>
      </c>
      <c r="B55" s="38">
        <v>3985.25</v>
      </c>
      <c r="C55" s="41">
        <f t="shared" si="1"/>
        <v>-6.1244920793828372E-2</v>
      </c>
      <c r="D55" s="40">
        <v>15.726276</v>
      </c>
      <c r="E55" s="41">
        <f t="shared" si="2"/>
        <v>-3.7007376324312835E-3</v>
      </c>
    </row>
    <row r="56" spans="1:5">
      <c r="A56" s="37">
        <v>39719</v>
      </c>
      <c r="B56" s="38">
        <v>3818.3000489999999</v>
      </c>
      <c r="C56" s="41">
        <f t="shared" si="1"/>
        <v>-4.1891964368609313E-2</v>
      </c>
      <c r="D56" s="40">
        <v>14.050318000000001</v>
      </c>
      <c r="E56" s="41">
        <f t="shared" si="2"/>
        <v>-0.10657055745428856</v>
      </c>
    </row>
    <row r="57" spans="1:5">
      <c r="A57" s="37">
        <v>39726</v>
      </c>
      <c r="B57" s="38">
        <v>3279.9499510000001</v>
      </c>
      <c r="C57" s="41">
        <f t="shared" si="1"/>
        <v>-0.1409920883878657</v>
      </c>
      <c r="D57" s="40">
        <v>12.277028</v>
      </c>
      <c r="E57" s="41">
        <f t="shared" si="2"/>
        <v>-0.12620995482095143</v>
      </c>
    </row>
    <row r="58" spans="1:5">
      <c r="A58" s="37">
        <v>39733</v>
      </c>
      <c r="B58" s="38">
        <v>3074.3500979999999</v>
      </c>
      <c r="C58" s="41">
        <f t="shared" si="1"/>
        <v>-6.2683838494949073E-2</v>
      </c>
      <c r="D58" s="40">
        <v>11.789789000000001</v>
      </c>
      <c r="E58" s="41">
        <f t="shared" si="2"/>
        <v>-3.9687048038010375E-2</v>
      </c>
    </row>
    <row r="59" spans="1:5">
      <c r="A59" s="37">
        <v>39740</v>
      </c>
      <c r="B59" s="38">
        <v>2584</v>
      </c>
      <c r="C59" s="41">
        <f t="shared" si="1"/>
        <v>-0.15949715626694383</v>
      </c>
      <c r="D59" s="40">
        <v>10.523154999999999</v>
      </c>
      <c r="E59" s="41">
        <f t="shared" si="2"/>
        <v>-0.10743483195500803</v>
      </c>
    </row>
    <row r="60" spans="1:5">
      <c r="A60" s="37">
        <v>39747</v>
      </c>
      <c r="B60" s="38">
        <v>2885.6000979999999</v>
      </c>
      <c r="C60" s="41">
        <f t="shared" si="1"/>
        <v>0.11671830417956652</v>
      </c>
      <c r="D60" s="40">
        <v>9.0031090000000003</v>
      </c>
      <c r="E60" s="41">
        <f t="shared" si="2"/>
        <v>-0.14444774404634342</v>
      </c>
    </row>
    <row r="61" spans="1:5">
      <c r="A61" s="37">
        <v>39754</v>
      </c>
      <c r="B61" s="38">
        <v>2973</v>
      </c>
      <c r="C61" s="41">
        <f t="shared" si="1"/>
        <v>3.0288293260239518E-2</v>
      </c>
      <c r="D61" s="40">
        <v>10.328241</v>
      </c>
      <c r="E61" s="41">
        <f t="shared" si="2"/>
        <v>0.14718604428759008</v>
      </c>
    </row>
    <row r="62" spans="1:5">
      <c r="A62" s="37">
        <v>39761</v>
      </c>
      <c r="B62" s="38">
        <v>2810.3500979999999</v>
      </c>
      <c r="C62" s="41">
        <f t="shared" si="1"/>
        <v>-5.4709015136226058E-2</v>
      </c>
      <c r="D62" s="40">
        <v>9.0616059999999994</v>
      </c>
      <c r="E62" s="41">
        <f t="shared" si="2"/>
        <v>-0.12263801745137437</v>
      </c>
    </row>
    <row r="63" spans="1:5">
      <c r="A63" s="37">
        <v>39768</v>
      </c>
      <c r="B63" s="38">
        <v>2693.4499510000001</v>
      </c>
      <c r="C63" s="41">
        <f t="shared" si="1"/>
        <v>-4.1596293317047062E-2</v>
      </c>
      <c r="D63" s="40">
        <v>8.5744530000000001</v>
      </c>
      <c r="E63" s="41">
        <f t="shared" si="2"/>
        <v>-5.3760117135968954E-2</v>
      </c>
    </row>
    <row r="64" spans="1:5">
      <c r="A64" s="37">
        <v>39775</v>
      </c>
      <c r="B64" s="38">
        <v>2755.1000979999999</v>
      </c>
      <c r="C64" s="41">
        <f t="shared" si="1"/>
        <v>2.288891500549739E-2</v>
      </c>
      <c r="D64" s="40">
        <v>7.9897989999999997</v>
      </c>
      <c r="E64" s="41">
        <f t="shared" si="2"/>
        <v>-6.8185574053528653E-2</v>
      </c>
    </row>
    <row r="65" spans="1:5">
      <c r="A65" s="37">
        <v>39782</v>
      </c>
      <c r="B65" s="38">
        <v>2714.3999020000001</v>
      </c>
      <c r="C65" s="41">
        <f t="shared" si="1"/>
        <v>-1.4772674150585363E-2</v>
      </c>
      <c r="D65" s="40">
        <v>8.0774910000000002</v>
      </c>
      <c r="E65" s="41">
        <f t="shared" si="2"/>
        <v>1.0975495128225488E-2</v>
      </c>
    </row>
    <row r="66" spans="1:5">
      <c r="A66" s="37">
        <v>39789</v>
      </c>
      <c r="B66" s="38">
        <v>2921.3500979999999</v>
      </c>
      <c r="C66" s="41">
        <f t="shared" si="1"/>
        <v>7.6241601632654366E-2</v>
      </c>
      <c r="D66" s="40">
        <v>8.1749320000000001</v>
      </c>
      <c r="E66" s="41">
        <f t="shared" si="2"/>
        <v>1.2063275588917399E-2</v>
      </c>
    </row>
    <row r="67" spans="1:5">
      <c r="A67" s="37">
        <v>39796</v>
      </c>
      <c r="B67" s="38">
        <v>3077.5</v>
      </c>
      <c r="C67" s="41">
        <f t="shared" si="1"/>
        <v>5.3451279977330568E-2</v>
      </c>
      <c r="D67" s="40">
        <v>7.794924</v>
      </c>
      <c r="E67" s="41">
        <f t="shared" si="2"/>
        <v>-4.64845456818479E-2</v>
      </c>
    </row>
    <row r="68" spans="1:5">
      <c r="A68" s="37">
        <v>39803</v>
      </c>
      <c r="B68" s="38">
        <v>2857.25</v>
      </c>
      <c r="C68" s="41">
        <f t="shared" ref="C68:C131" si="7">B68/B67-1</f>
        <v>-7.1567831031681517E-2</v>
      </c>
      <c r="D68" s="40">
        <v>7.1128660000000004</v>
      </c>
      <c r="E68" s="41">
        <f t="shared" ref="E68:E131" si="8">D68/D67-1</f>
        <v>-8.7500275820521112E-2</v>
      </c>
    </row>
    <row r="69" spans="1:5">
      <c r="A69" s="37">
        <v>39810</v>
      </c>
      <c r="B69" s="38">
        <v>3046.75</v>
      </c>
      <c r="C69" s="41">
        <f t="shared" si="7"/>
        <v>6.6322512905766073E-2</v>
      </c>
      <c r="D69" s="40">
        <v>9.1590240000000005</v>
      </c>
      <c r="E69" s="41">
        <f t="shared" si="8"/>
        <v>0.28766997719344078</v>
      </c>
    </row>
    <row r="70" spans="1:5">
      <c r="A70" s="37">
        <v>39817</v>
      </c>
      <c r="B70" s="38">
        <v>2873</v>
      </c>
      <c r="C70" s="41">
        <f t="shared" si="7"/>
        <v>-5.7027980635102948E-2</v>
      </c>
      <c r="D70" s="40">
        <v>9.7436740000000004</v>
      </c>
      <c r="E70" s="41">
        <f t="shared" si="8"/>
        <v>6.3833220657572243E-2</v>
      </c>
    </row>
    <row r="71" spans="1:5">
      <c r="A71" s="37">
        <v>39824</v>
      </c>
      <c r="B71" s="38">
        <v>2828.4499510000001</v>
      </c>
      <c r="C71" s="41">
        <f t="shared" si="7"/>
        <v>-1.5506456317438189E-2</v>
      </c>
      <c r="D71" s="40">
        <v>10.133412999999999</v>
      </c>
      <c r="E71" s="41">
        <f t="shared" si="8"/>
        <v>3.9999183059695742E-2</v>
      </c>
    </row>
    <row r="72" spans="1:5">
      <c r="A72" s="37">
        <v>39831</v>
      </c>
      <c r="B72" s="38">
        <v>2678.5500489999999</v>
      </c>
      <c r="C72" s="41">
        <f t="shared" si="7"/>
        <v>-5.2997190898500079E-2</v>
      </c>
      <c r="D72" s="40">
        <v>10.523154999999999</v>
      </c>
      <c r="E72" s="41">
        <f t="shared" si="8"/>
        <v>3.8461079204015425E-2</v>
      </c>
    </row>
    <row r="73" spans="1:5">
      <c r="A73" s="37">
        <v>39838</v>
      </c>
      <c r="B73" s="38">
        <v>2874.8000489999999</v>
      </c>
      <c r="C73" s="41">
        <f t="shared" si="7"/>
        <v>7.3267251464376182E-2</v>
      </c>
      <c r="D73" s="40">
        <v>10.230828000000001</v>
      </c>
      <c r="E73" s="41">
        <f t="shared" si="8"/>
        <v>-2.7779406461274969E-2</v>
      </c>
    </row>
    <row r="74" spans="1:5">
      <c r="A74" s="37">
        <v>39845</v>
      </c>
      <c r="B74" s="38">
        <v>2843.1000979999999</v>
      </c>
      <c r="C74" s="41">
        <f t="shared" si="7"/>
        <v>-1.1026836809407636E-2</v>
      </c>
      <c r="D74" s="40">
        <v>10.133412999999999</v>
      </c>
      <c r="E74" s="41">
        <f t="shared" si="8"/>
        <v>-9.5217122211419536E-3</v>
      </c>
    </row>
    <row r="75" spans="1:5">
      <c r="A75" s="37">
        <v>39852</v>
      </c>
      <c r="B75" s="38">
        <v>2948.3500979999999</v>
      </c>
      <c r="C75" s="41">
        <f t="shared" si="7"/>
        <v>3.7019449323658637E-2</v>
      </c>
      <c r="D75" s="40">
        <v>10.074916999999999</v>
      </c>
      <c r="E75" s="41">
        <f t="shared" si="8"/>
        <v>-5.7725861957861335E-3</v>
      </c>
    </row>
    <row r="76" spans="1:5">
      <c r="A76" s="37">
        <v>39859</v>
      </c>
      <c r="B76" s="38">
        <v>2736.4499510000001</v>
      </c>
      <c r="C76" s="41">
        <f t="shared" si="7"/>
        <v>-7.1870754814274407E-2</v>
      </c>
      <c r="D76" s="40">
        <v>10.113915</v>
      </c>
      <c r="E76" s="41">
        <f t="shared" si="8"/>
        <v>3.8708011192549741E-3</v>
      </c>
    </row>
    <row r="77" spans="1:5">
      <c r="A77" s="37">
        <v>39866</v>
      </c>
      <c r="B77" s="38">
        <v>2763.6499020000001</v>
      </c>
      <c r="C77" s="41">
        <f t="shared" si="7"/>
        <v>9.9398678898037218E-3</v>
      </c>
      <c r="D77" s="40">
        <v>10.503653999999999</v>
      </c>
      <c r="E77" s="41">
        <f t="shared" si="8"/>
        <v>3.853492935228342E-2</v>
      </c>
    </row>
    <row r="78" spans="1:5">
      <c r="A78" s="37">
        <v>39873</v>
      </c>
      <c r="B78" s="38">
        <v>2620.1499020000001</v>
      </c>
      <c r="C78" s="41">
        <f t="shared" si="7"/>
        <v>-5.1924087742138303E-2</v>
      </c>
      <c r="D78" s="40">
        <v>10.328241</v>
      </c>
      <c r="E78" s="41">
        <f t="shared" si="8"/>
        <v>-1.670018833445952E-2</v>
      </c>
    </row>
    <row r="79" spans="1:5">
      <c r="A79" s="37">
        <v>39880</v>
      </c>
      <c r="B79" s="38">
        <v>2719.25</v>
      </c>
      <c r="C79" s="41">
        <f t="shared" si="7"/>
        <v>3.7822300901316774E-2</v>
      </c>
      <c r="D79" s="40">
        <v>9.987209</v>
      </c>
      <c r="E79" s="41">
        <f t="shared" si="8"/>
        <v>-3.3019368932231563E-2</v>
      </c>
    </row>
    <row r="80" spans="1:5">
      <c r="A80" s="37">
        <v>39887</v>
      </c>
      <c r="B80" s="38">
        <v>2807.0500489999999</v>
      </c>
      <c r="C80" s="41">
        <f t="shared" si="7"/>
        <v>3.2288332812356435E-2</v>
      </c>
      <c r="D80" s="40">
        <v>9.3734330000000003</v>
      </c>
      <c r="E80" s="41">
        <f t="shared" si="8"/>
        <v>-6.1456208636466836E-2</v>
      </c>
    </row>
    <row r="81" spans="1:5">
      <c r="A81" s="37">
        <v>39894</v>
      </c>
      <c r="B81" s="38">
        <v>3108.6499020000001</v>
      </c>
      <c r="C81" s="41">
        <f t="shared" si="7"/>
        <v>0.10744370343786502</v>
      </c>
      <c r="D81" s="40">
        <v>9.4415569999999995</v>
      </c>
      <c r="E81" s="41">
        <f t="shared" si="8"/>
        <v>7.2677747843292728E-3</v>
      </c>
    </row>
    <row r="82" spans="1:5">
      <c r="A82" s="37">
        <v>39901</v>
      </c>
      <c r="B82" s="38">
        <v>3211.0500489999999</v>
      </c>
      <c r="C82" s="41">
        <f t="shared" si="7"/>
        <v>3.2940392205027313E-2</v>
      </c>
      <c r="D82" s="40">
        <v>9.1785219999999992</v>
      </c>
      <c r="E82" s="41">
        <f t="shared" si="8"/>
        <v>-2.785928210781341E-2</v>
      </c>
    </row>
    <row r="83" spans="1:5">
      <c r="A83" s="37">
        <v>39908</v>
      </c>
      <c r="B83" s="38">
        <v>3342.0500489999999</v>
      </c>
      <c r="C83" s="41">
        <f t="shared" si="7"/>
        <v>4.0796623534658627E-2</v>
      </c>
      <c r="D83" s="40">
        <v>9.9385019999999997</v>
      </c>
      <c r="E83" s="41">
        <f t="shared" si="8"/>
        <v>8.2799823326675126E-2</v>
      </c>
    </row>
    <row r="84" spans="1:5">
      <c r="A84" s="37">
        <v>39915</v>
      </c>
      <c r="B84" s="38">
        <v>3384.3999020000001</v>
      </c>
      <c r="C84" s="41">
        <f t="shared" si="7"/>
        <v>1.2671818907281862E-2</v>
      </c>
      <c r="D84" s="40">
        <v>10.328241</v>
      </c>
      <c r="E84" s="41">
        <f t="shared" si="8"/>
        <v>3.9215064805541155E-2</v>
      </c>
    </row>
    <row r="85" spans="1:5">
      <c r="A85" s="37">
        <v>39922</v>
      </c>
      <c r="B85" s="38">
        <v>3480.75</v>
      </c>
      <c r="C85" s="41">
        <f t="shared" si="7"/>
        <v>2.8468886889833067E-2</v>
      </c>
      <c r="D85" s="40">
        <v>9.7436740000000004</v>
      </c>
      <c r="E85" s="41">
        <f t="shared" si="8"/>
        <v>-5.6598892299279169E-2</v>
      </c>
    </row>
    <row r="86" spans="1:5">
      <c r="A86" s="37">
        <v>39929</v>
      </c>
      <c r="B86" s="38">
        <v>3473.9499510000001</v>
      </c>
      <c r="C86" s="41">
        <f t="shared" si="7"/>
        <v>-1.9536160310277273E-3</v>
      </c>
      <c r="D86" s="40">
        <v>9.7436740000000004</v>
      </c>
      <c r="E86" s="41">
        <f t="shared" si="8"/>
        <v>0</v>
      </c>
    </row>
    <row r="87" spans="1:5">
      <c r="A87" s="37">
        <v>39936</v>
      </c>
      <c r="B87" s="38">
        <v>3620.6999510000001</v>
      </c>
      <c r="C87" s="41">
        <f t="shared" si="7"/>
        <v>4.2242980489041626E-2</v>
      </c>
      <c r="D87" s="40">
        <v>9.9385019999999997</v>
      </c>
      <c r="E87" s="41">
        <f t="shared" si="8"/>
        <v>1.999533235615214E-2</v>
      </c>
    </row>
    <row r="88" spans="1:5">
      <c r="A88" s="37">
        <v>39943</v>
      </c>
      <c r="B88" s="38">
        <v>3671.6499020000001</v>
      </c>
      <c r="C88" s="41">
        <f t="shared" si="7"/>
        <v>1.4071851213721231E-2</v>
      </c>
      <c r="D88" s="40">
        <v>9.9190850000000008</v>
      </c>
      <c r="E88" s="41">
        <f t="shared" si="8"/>
        <v>-1.9537149562377509E-3</v>
      </c>
    </row>
    <row r="89" spans="1:5">
      <c r="A89" s="37">
        <v>39950</v>
      </c>
      <c r="B89" s="38">
        <v>4238.5</v>
      </c>
      <c r="C89" s="41">
        <f t="shared" si="7"/>
        <v>0.15438566125033559</v>
      </c>
      <c r="D89" s="40">
        <v>10.747273</v>
      </c>
      <c r="E89" s="41">
        <f t="shared" si="8"/>
        <v>8.3494394896303392E-2</v>
      </c>
    </row>
    <row r="90" spans="1:5">
      <c r="A90" s="37">
        <v>39957</v>
      </c>
      <c r="B90" s="38">
        <v>4448.9501950000003</v>
      </c>
      <c r="C90" s="41">
        <f t="shared" si="7"/>
        <v>4.9652045534977152E-2</v>
      </c>
      <c r="D90" s="40">
        <v>11.984700999999999</v>
      </c>
      <c r="E90" s="41">
        <f t="shared" si="8"/>
        <v>0.11513878916074805</v>
      </c>
    </row>
    <row r="91" spans="1:5">
      <c r="A91" s="37">
        <v>39964</v>
      </c>
      <c r="B91" s="38">
        <v>4586.8999020000001</v>
      </c>
      <c r="C91" s="41">
        <f t="shared" si="7"/>
        <v>3.10072491157658E-2</v>
      </c>
      <c r="D91" s="40">
        <v>13.60216</v>
      </c>
      <c r="E91" s="41">
        <f t="shared" si="8"/>
        <v>0.13496031315257673</v>
      </c>
    </row>
    <row r="92" spans="1:5">
      <c r="A92" s="37">
        <v>39971</v>
      </c>
      <c r="B92" s="38">
        <v>4583.3999020000001</v>
      </c>
      <c r="C92" s="41">
        <f t="shared" si="7"/>
        <v>-7.6304259407844466E-4</v>
      </c>
      <c r="D92" s="40">
        <v>13.153922</v>
      </c>
      <c r="E92" s="41">
        <f t="shared" si="8"/>
        <v>-3.295344268851419E-2</v>
      </c>
    </row>
    <row r="93" spans="1:5">
      <c r="A93" s="37">
        <v>39978</v>
      </c>
      <c r="B93" s="38">
        <v>4313.6000979999999</v>
      </c>
      <c r="C93" s="41">
        <f t="shared" si="7"/>
        <v>-5.8864556828713832E-2</v>
      </c>
      <c r="D93" s="40">
        <v>12.121114</v>
      </c>
      <c r="E93" s="41">
        <f t="shared" si="8"/>
        <v>-7.8517114515351372E-2</v>
      </c>
    </row>
    <row r="94" spans="1:5">
      <c r="A94" s="37">
        <v>39985</v>
      </c>
      <c r="B94" s="38">
        <v>4375.5</v>
      </c>
      <c r="C94" s="41">
        <f t="shared" si="7"/>
        <v>1.4349939863155248E-2</v>
      </c>
      <c r="D94" s="40">
        <v>13.251336</v>
      </c>
      <c r="E94" s="41">
        <f t="shared" si="8"/>
        <v>9.3244069810745067E-2</v>
      </c>
    </row>
    <row r="95" spans="1:5">
      <c r="A95" s="37">
        <v>39992</v>
      </c>
      <c r="B95" s="38">
        <v>4424.25</v>
      </c>
      <c r="C95" s="41">
        <f t="shared" si="7"/>
        <v>1.1141583818992107E-2</v>
      </c>
      <c r="D95" s="40">
        <v>13.415801</v>
      </c>
      <c r="E95" s="41">
        <f t="shared" si="8"/>
        <v>1.2411201406409056E-2</v>
      </c>
    </row>
    <row r="96" spans="1:5">
      <c r="A96" s="37">
        <v>39999</v>
      </c>
      <c r="B96" s="38">
        <v>4003.8999020000001</v>
      </c>
      <c r="C96" s="41">
        <f t="shared" si="7"/>
        <v>-9.5010475899869995E-2</v>
      </c>
      <c r="D96" s="40">
        <v>13.395490000000001</v>
      </c>
      <c r="E96" s="41">
        <f t="shared" si="8"/>
        <v>-1.5139610374363954E-3</v>
      </c>
    </row>
    <row r="97" spans="1:5">
      <c r="A97" s="37">
        <v>40006</v>
      </c>
      <c r="B97" s="38">
        <v>4374.9501950000003</v>
      </c>
      <c r="C97" s="41">
        <f t="shared" si="7"/>
        <v>9.2672220105866288E-2</v>
      </c>
      <c r="D97" s="40">
        <v>13.770987999999999</v>
      </c>
      <c r="E97" s="41">
        <f t="shared" si="8"/>
        <v>2.8031673346775587E-2</v>
      </c>
    </row>
    <row r="98" spans="1:5">
      <c r="A98" s="37">
        <v>40013</v>
      </c>
      <c r="B98" s="38">
        <v>4568.5498049999997</v>
      </c>
      <c r="C98" s="41">
        <f t="shared" si="7"/>
        <v>4.4251843191554174E-2</v>
      </c>
      <c r="D98" s="40">
        <v>14.207417</v>
      </c>
      <c r="E98" s="41">
        <f t="shared" si="8"/>
        <v>3.1691916367946993E-2</v>
      </c>
    </row>
    <row r="99" spans="1:5">
      <c r="A99" s="37">
        <v>40020</v>
      </c>
      <c r="B99" s="38">
        <v>4636.4501950000003</v>
      </c>
      <c r="C99" s="41">
        <f t="shared" si="7"/>
        <v>1.4862569720852647E-2</v>
      </c>
      <c r="D99" s="40">
        <v>14.207417</v>
      </c>
      <c r="E99" s="41">
        <f t="shared" si="8"/>
        <v>0</v>
      </c>
    </row>
    <row r="100" spans="1:5">
      <c r="A100" s="37">
        <v>40027</v>
      </c>
      <c r="B100" s="38">
        <v>4481.3999020000001</v>
      </c>
      <c r="C100" s="41">
        <f t="shared" si="7"/>
        <v>-3.344159572062444E-2</v>
      </c>
      <c r="D100" s="40">
        <v>14.613332</v>
      </c>
      <c r="E100" s="41">
        <f t="shared" si="8"/>
        <v>2.8570640250793033E-2</v>
      </c>
    </row>
    <row r="101" spans="1:5">
      <c r="A101" s="37">
        <v>40034</v>
      </c>
      <c r="B101" s="38">
        <v>4580.0498049999997</v>
      </c>
      <c r="C101" s="41">
        <f t="shared" si="7"/>
        <v>2.2013188993906363E-2</v>
      </c>
      <c r="D101" s="40">
        <v>16.115244000000001</v>
      </c>
      <c r="E101" s="41">
        <f t="shared" si="8"/>
        <v>0.10277683419496664</v>
      </c>
    </row>
    <row r="102" spans="1:5">
      <c r="A102" s="37">
        <v>40041</v>
      </c>
      <c r="B102" s="38">
        <v>4528.7998049999997</v>
      </c>
      <c r="C102" s="41">
        <f t="shared" si="7"/>
        <v>-1.1189834648533958E-2</v>
      </c>
      <c r="D102" s="40">
        <v>16.257318000000001</v>
      </c>
      <c r="E102" s="41">
        <f t="shared" si="8"/>
        <v>8.8161246581188735E-3</v>
      </c>
    </row>
    <row r="103" spans="1:5">
      <c r="A103" s="37">
        <v>40048</v>
      </c>
      <c r="B103" s="38">
        <v>4732.3500979999999</v>
      </c>
      <c r="C103" s="41">
        <f t="shared" si="7"/>
        <v>4.4945747607406217E-2</v>
      </c>
      <c r="D103" s="40">
        <v>17.302575999999998</v>
      </c>
      <c r="E103" s="41">
        <f t="shared" si="8"/>
        <v>6.4294614892812962E-2</v>
      </c>
    </row>
    <row r="104" spans="1:5">
      <c r="A104" s="37">
        <v>40055</v>
      </c>
      <c r="B104" s="38">
        <v>4680.3999020000001</v>
      </c>
      <c r="C104" s="41">
        <f t="shared" si="7"/>
        <v>-1.0977673866934601E-2</v>
      </c>
      <c r="D104" s="40">
        <v>17.454764999999998</v>
      </c>
      <c r="E104" s="41">
        <f t="shared" si="8"/>
        <v>8.7957423218369968E-3</v>
      </c>
    </row>
    <row r="105" spans="1:5">
      <c r="A105" s="37">
        <v>40062</v>
      </c>
      <c r="B105" s="38">
        <v>4829.5498049999997</v>
      </c>
      <c r="C105" s="41">
        <f t="shared" si="7"/>
        <v>3.1866914392564061E-2</v>
      </c>
      <c r="D105" s="40">
        <v>17.485184</v>
      </c>
      <c r="E105" s="41">
        <f t="shared" si="8"/>
        <v>1.7427332880162183E-3</v>
      </c>
    </row>
    <row r="106" spans="1:5">
      <c r="A106" s="37">
        <v>40069</v>
      </c>
      <c r="B106" s="38">
        <v>4976.0498049999997</v>
      </c>
      <c r="C106" s="41">
        <f t="shared" si="7"/>
        <v>3.0334090322110319E-2</v>
      </c>
      <c r="D106" s="40">
        <v>18.875520999999999</v>
      </c>
      <c r="E106" s="41">
        <f t="shared" si="8"/>
        <v>7.9515148367898192E-2</v>
      </c>
    </row>
    <row r="107" spans="1:5">
      <c r="A107" s="37">
        <v>40076</v>
      </c>
      <c r="B107" s="38">
        <v>4958.9501950000003</v>
      </c>
      <c r="C107" s="41">
        <f t="shared" si="7"/>
        <v>-3.4363824057422887E-3</v>
      </c>
      <c r="D107" s="40">
        <v>20.681894</v>
      </c>
      <c r="E107" s="41">
        <f t="shared" si="8"/>
        <v>9.5699239242190925E-2</v>
      </c>
    </row>
    <row r="108" spans="1:5">
      <c r="A108" s="37">
        <v>40083</v>
      </c>
      <c r="B108" s="38">
        <v>5083.3999020000001</v>
      </c>
      <c r="C108" s="41">
        <f t="shared" si="7"/>
        <v>2.5095978403953279E-2</v>
      </c>
      <c r="D108" s="40">
        <v>20.884806000000001</v>
      </c>
      <c r="E108" s="41">
        <f t="shared" si="8"/>
        <v>9.8110937035071899E-3</v>
      </c>
    </row>
    <row r="109" spans="1:5">
      <c r="A109" s="37">
        <v>40090</v>
      </c>
      <c r="B109" s="38">
        <v>4945.2001950000003</v>
      </c>
      <c r="C109" s="41">
        <f t="shared" si="7"/>
        <v>-2.718647158678722E-2</v>
      </c>
      <c r="D109" s="40">
        <v>19.210407</v>
      </c>
      <c r="E109" s="41">
        <f t="shared" si="8"/>
        <v>-8.0173069359610105E-2</v>
      </c>
    </row>
    <row r="110" spans="1:5">
      <c r="A110" s="37">
        <v>40097</v>
      </c>
      <c r="B110" s="38">
        <v>5142.1499020000001</v>
      </c>
      <c r="C110" s="41">
        <f t="shared" si="7"/>
        <v>3.9826437602896725E-2</v>
      </c>
      <c r="D110" s="40">
        <v>19.362590999999998</v>
      </c>
      <c r="E110" s="41">
        <f t="shared" si="8"/>
        <v>7.9219560522585386E-3</v>
      </c>
    </row>
    <row r="111" spans="1:5">
      <c r="A111" s="37">
        <v>40104</v>
      </c>
      <c r="B111" s="38">
        <v>4997.0498049999997</v>
      </c>
      <c r="C111" s="41">
        <f t="shared" si="7"/>
        <v>-2.8217788233587893E-2</v>
      </c>
      <c r="D111" s="40">
        <v>19.301752</v>
      </c>
      <c r="E111" s="41">
        <f t="shared" si="8"/>
        <v>-3.1420898163886379E-3</v>
      </c>
    </row>
    <row r="112" spans="1:5">
      <c r="A112" s="37">
        <v>40111</v>
      </c>
      <c r="B112" s="38">
        <v>4711.7001950000003</v>
      </c>
      <c r="C112" s="41">
        <f t="shared" si="7"/>
        <v>-5.7103615360103332E-2</v>
      </c>
      <c r="D112" s="40">
        <v>18.540645999999999</v>
      </c>
      <c r="E112" s="41">
        <f t="shared" si="8"/>
        <v>-3.9431964518039653E-2</v>
      </c>
    </row>
    <row r="113" spans="1:5">
      <c r="A113" s="37">
        <v>40118</v>
      </c>
      <c r="B113" s="38">
        <v>4796.1499020000001</v>
      </c>
      <c r="C113" s="41">
        <f t="shared" si="7"/>
        <v>1.7923404186373393E-2</v>
      </c>
      <c r="D113" s="40">
        <v>19.880167</v>
      </c>
      <c r="E113" s="41">
        <f t="shared" si="8"/>
        <v>7.2247806252274227E-2</v>
      </c>
    </row>
    <row r="114" spans="1:5">
      <c r="A114" s="37">
        <v>40125</v>
      </c>
      <c r="B114" s="38">
        <v>4998.9501950000003</v>
      </c>
      <c r="C114" s="41">
        <f t="shared" si="7"/>
        <v>4.2283977178326326E-2</v>
      </c>
      <c r="D114" s="40">
        <v>18.976980000000001</v>
      </c>
      <c r="E114" s="41">
        <f t="shared" si="8"/>
        <v>-4.5431560006512939E-2</v>
      </c>
    </row>
    <row r="115" spans="1:5">
      <c r="A115" s="37">
        <v>40132</v>
      </c>
      <c r="B115" s="38">
        <v>5052.4501950000003</v>
      </c>
      <c r="C115" s="41">
        <f t="shared" si="7"/>
        <v>1.0702247054493741E-2</v>
      </c>
      <c r="D115" s="40">
        <v>19.281445999999999</v>
      </c>
      <c r="E115" s="41">
        <f t="shared" si="8"/>
        <v>1.6043964845828818E-2</v>
      </c>
    </row>
    <row r="116" spans="1:5">
      <c r="A116" s="37">
        <v>40139</v>
      </c>
      <c r="B116" s="38">
        <v>4941.75</v>
      </c>
      <c r="C116" s="41">
        <f t="shared" si="7"/>
        <v>-2.1910200145971004E-2</v>
      </c>
      <c r="D116" s="40">
        <v>19.646744000000002</v>
      </c>
      <c r="E116" s="41">
        <f t="shared" si="8"/>
        <v>1.8945570783436283E-2</v>
      </c>
    </row>
    <row r="117" spans="1:5">
      <c r="A117" s="37">
        <v>40146</v>
      </c>
      <c r="B117" s="38">
        <v>5108.8999020000001</v>
      </c>
      <c r="C117" s="41">
        <f t="shared" si="7"/>
        <v>3.3824030353619694E-2</v>
      </c>
      <c r="D117" s="40">
        <v>20.773239</v>
      </c>
      <c r="E117" s="41">
        <f t="shared" si="8"/>
        <v>5.7337490629490562E-2</v>
      </c>
    </row>
    <row r="118" spans="1:5">
      <c r="A118" s="37">
        <v>40153</v>
      </c>
      <c r="B118" s="38">
        <v>5117.2998049999997</v>
      </c>
      <c r="C118" s="41">
        <f t="shared" si="7"/>
        <v>1.6441705966310227E-3</v>
      </c>
      <c r="D118" s="40">
        <v>20.499195</v>
      </c>
      <c r="E118" s="41">
        <f t="shared" si="8"/>
        <v>-1.3192165169812919E-2</v>
      </c>
    </row>
    <row r="119" spans="1:5">
      <c r="A119" s="37">
        <v>40160</v>
      </c>
      <c r="B119" s="38">
        <v>4987.7001950000003</v>
      </c>
      <c r="C119" s="41">
        <f t="shared" si="7"/>
        <v>-2.5325780184575208E-2</v>
      </c>
      <c r="D119" s="40">
        <v>19.027705999999998</v>
      </c>
      <c r="E119" s="41">
        <f t="shared" si="8"/>
        <v>-7.1782770006334484E-2</v>
      </c>
    </row>
    <row r="120" spans="1:5">
      <c r="A120" s="37">
        <v>40167</v>
      </c>
      <c r="B120" s="38">
        <v>5178.3999020000001</v>
      </c>
      <c r="C120" s="41">
        <f t="shared" si="7"/>
        <v>3.8233995537897414E-2</v>
      </c>
      <c r="D120" s="40">
        <v>19.524977</v>
      </c>
      <c r="E120" s="41">
        <f t="shared" si="8"/>
        <v>2.6134048949463473E-2</v>
      </c>
    </row>
    <row r="121" spans="1:5">
      <c r="A121" s="37">
        <v>40174</v>
      </c>
      <c r="B121" s="38">
        <v>5201.0498049999997</v>
      </c>
      <c r="C121" s="41">
        <f t="shared" si="7"/>
        <v>4.3739192469958166E-3</v>
      </c>
      <c r="D121" s="40">
        <v>20.590547999999998</v>
      </c>
      <c r="E121" s="41">
        <f t="shared" si="8"/>
        <v>5.457476339152656E-2</v>
      </c>
    </row>
    <row r="122" spans="1:5">
      <c r="A122" s="37">
        <v>40181</v>
      </c>
      <c r="B122" s="38">
        <v>5244.75</v>
      </c>
      <c r="C122" s="41">
        <f t="shared" si="7"/>
        <v>8.4021873734008157E-3</v>
      </c>
      <c r="D122" s="40">
        <v>20.296282000000001</v>
      </c>
      <c r="E122" s="41">
        <f t="shared" si="8"/>
        <v>-1.4291314636210584E-2</v>
      </c>
    </row>
    <row r="123" spans="1:5">
      <c r="A123" s="37">
        <v>40188</v>
      </c>
      <c r="B123" s="38">
        <v>5252.2001950000003</v>
      </c>
      <c r="C123" s="41">
        <f t="shared" si="7"/>
        <v>1.4205052671720786E-3</v>
      </c>
      <c r="D123" s="40">
        <v>21.229889</v>
      </c>
      <c r="E123" s="41">
        <f t="shared" si="8"/>
        <v>4.5998917437193532E-2</v>
      </c>
    </row>
    <row r="124" spans="1:5">
      <c r="A124" s="37">
        <v>40195</v>
      </c>
      <c r="B124" s="38">
        <v>5036</v>
      </c>
      <c r="C124" s="41">
        <f t="shared" si="7"/>
        <v>-4.1163738428291241E-2</v>
      </c>
      <c r="D124" s="40">
        <v>20.326699999999999</v>
      </c>
      <c r="E124" s="41">
        <f t="shared" si="8"/>
        <v>-4.2543274719900825E-2</v>
      </c>
    </row>
    <row r="125" spans="1:5">
      <c r="A125" s="37">
        <v>40202</v>
      </c>
      <c r="B125" s="38">
        <v>4882.0498049999997</v>
      </c>
      <c r="C125" s="41">
        <f t="shared" si="7"/>
        <v>-3.0569935464654585E-2</v>
      </c>
      <c r="D125" s="40">
        <v>19.535171999999999</v>
      </c>
      <c r="E125" s="41">
        <f t="shared" si="8"/>
        <v>-3.894031003556897E-2</v>
      </c>
    </row>
    <row r="126" spans="1:5">
      <c r="A126" s="37">
        <v>40209</v>
      </c>
      <c r="B126" s="38">
        <v>4718.6499020000001</v>
      </c>
      <c r="C126" s="41">
        <f t="shared" si="7"/>
        <v>-3.3469528072542776E-2</v>
      </c>
      <c r="D126" s="40">
        <v>18.571064</v>
      </c>
      <c r="E126" s="41">
        <f t="shared" si="8"/>
        <v>-4.9352419318345331E-2</v>
      </c>
    </row>
    <row r="127" spans="1:5">
      <c r="A127" s="37">
        <v>40216</v>
      </c>
      <c r="B127" s="38">
        <v>4826.8500979999999</v>
      </c>
      <c r="C127" s="41">
        <f t="shared" si="7"/>
        <v>2.2930329277901951E-2</v>
      </c>
      <c r="D127" s="40">
        <v>19.037908999999999</v>
      </c>
      <c r="E127" s="41">
        <f t="shared" si="8"/>
        <v>2.5138301176496958E-2</v>
      </c>
    </row>
    <row r="128" spans="1:5">
      <c r="A128" s="37">
        <v>40223</v>
      </c>
      <c r="B128" s="38">
        <v>4844.8999020000001</v>
      </c>
      <c r="C128" s="41">
        <f t="shared" si="7"/>
        <v>3.7394581628875656E-3</v>
      </c>
      <c r="D128" s="40">
        <v>18.489912</v>
      </c>
      <c r="E128" s="41">
        <f t="shared" si="8"/>
        <v>-2.8784516198706367E-2</v>
      </c>
    </row>
    <row r="129" spans="1:5">
      <c r="A129" s="37">
        <v>40230</v>
      </c>
      <c r="B129" s="38">
        <v>4922.2998049999997</v>
      </c>
      <c r="C129" s="41">
        <f t="shared" si="7"/>
        <v>1.5975542233194195E-2</v>
      </c>
      <c r="D129" s="40">
        <v>19.535171999999999</v>
      </c>
      <c r="E129" s="41">
        <f t="shared" si="8"/>
        <v>5.6531366942146555E-2</v>
      </c>
    </row>
    <row r="130" spans="1:5">
      <c r="A130" s="37">
        <v>40237</v>
      </c>
      <c r="B130" s="38">
        <v>5088.7001950000003</v>
      </c>
      <c r="C130" s="41">
        <f t="shared" si="7"/>
        <v>3.3805415474891243E-2</v>
      </c>
      <c r="D130" s="40">
        <v>19.890272</v>
      </c>
      <c r="E130" s="41">
        <f t="shared" si="8"/>
        <v>1.8177469847718841E-2</v>
      </c>
    </row>
    <row r="131" spans="1:5">
      <c r="A131" s="37">
        <v>40244</v>
      </c>
      <c r="B131" s="38">
        <v>5137</v>
      </c>
      <c r="C131" s="41">
        <f t="shared" si="7"/>
        <v>9.49158000061745E-3</v>
      </c>
      <c r="D131" s="40">
        <v>19.636628999999999</v>
      </c>
      <c r="E131" s="41">
        <f t="shared" si="8"/>
        <v>-1.2752113193826631E-2</v>
      </c>
    </row>
    <row r="132" spans="1:5">
      <c r="A132" s="37">
        <v>40251</v>
      </c>
      <c r="B132" s="38">
        <v>5262.7998049999997</v>
      </c>
      <c r="C132" s="41">
        <f t="shared" ref="C132:C195" si="9">B132/B131-1</f>
        <v>2.4488963402764297E-2</v>
      </c>
      <c r="D132" s="40">
        <v>19.494554999999998</v>
      </c>
      <c r="E132" s="41">
        <f t="shared" ref="E132:E195" si="10">D132/D131-1</f>
        <v>-7.2351522249567424E-3</v>
      </c>
    </row>
    <row r="133" spans="1:5">
      <c r="A133" s="37">
        <v>40258</v>
      </c>
      <c r="B133" s="38">
        <v>5282</v>
      </c>
      <c r="C133" s="41">
        <f t="shared" si="9"/>
        <v>3.6482852685673084E-3</v>
      </c>
      <c r="D133" s="40">
        <v>19.048020999999999</v>
      </c>
      <c r="E133" s="41">
        <f t="shared" si="10"/>
        <v>-2.2905575428626035E-2</v>
      </c>
    </row>
    <row r="134" spans="1:5">
      <c r="A134" s="37">
        <v>40265</v>
      </c>
      <c r="B134" s="38">
        <v>5290.5</v>
      </c>
      <c r="C134" s="41">
        <f t="shared" si="9"/>
        <v>1.609238924649814E-3</v>
      </c>
      <c r="D134" s="40">
        <v>20.093278999999999</v>
      </c>
      <c r="E134" s="41">
        <f t="shared" si="10"/>
        <v>5.4874887002697159E-2</v>
      </c>
    </row>
    <row r="135" spans="1:5">
      <c r="A135" s="37">
        <v>40272</v>
      </c>
      <c r="B135" s="38">
        <v>5361.75</v>
      </c>
      <c r="C135" s="41">
        <f t="shared" si="9"/>
        <v>1.3467536149702308E-2</v>
      </c>
      <c r="D135" s="40">
        <v>21.250192999999999</v>
      </c>
      <c r="E135" s="41">
        <f t="shared" si="10"/>
        <v>5.7577162990669617E-2</v>
      </c>
    </row>
    <row r="136" spans="1:5">
      <c r="A136" s="37">
        <v>40279</v>
      </c>
      <c r="B136" s="38">
        <v>5262.6000979999999</v>
      </c>
      <c r="C136" s="41">
        <f t="shared" si="9"/>
        <v>-1.8492078519140254E-2</v>
      </c>
      <c r="D136" s="40">
        <v>21.503837999999998</v>
      </c>
      <c r="E136" s="41">
        <f t="shared" si="10"/>
        <v>1.1936126886000542E-2</v>
      </c>
    </row>
    <row r="137" spans="1:5">
      <c r="A137" s="37">
        <v>40286</v>
      </c>
      <c r="B137" s="38">
        <v>5304.1000979999999</v>
      </c>
      <c r="C137" s="41">
        <f t="shared" si="9"/>
        <v>7.8858357517554989E-3</v>
      </c>
      <c r="D137" s="40">
        <v>22.163488000000001</v>
      </c>
      <c r="E137" s="41">
        <f t="shared" si="10"/>
        <v>3.0675919340538371E-2</v>
      </c>
    </row>
    <row r="138" spans="1:5">
      <c r="A138" s="37">
        <v>40293</v>
      </c>
      <c r="B138" s="38">
        <v>5278</v>
      </c>
      <c r="C138" s="41">
        <f t="shared" si="9"/>
        <v>-4.9207400912063548E-3</v>
      </c>
      <c r="D138" s="40">
        <v>21.787991999999999</v>
      </c>
      <c r="E138" s="41">
        <f t="shared" si="10"/>
        <v>-1.6942098644401216E-2</v>
      </c>
    </row>
    <row r="139" spans="1:5">
      <c r="A139" s="37">
        <v>40300</v>
      </c>
      <c r="B139" s="38">
        <v>5018.0498049999997</v>
      </c>
      <c r="C139" s="41">
        <f t="shared" si="9"/>
        <v>-4.9251647404319865E-2</v>
      </c>
      <c r="D139" s="40">
        <v>19.920786</v>
      </c>
      <c r="E139" s="41">
        <f t="shared" si="10"/>
        <v>-8.5698856507749777E-2</v>
      </c>
    </row>
    <row r="140" spans="1:5">
      <c r="A140" s="37">
        <v>40307</v>
      </c>
      <c r="B140" s="38">
        <v>5093.5</v>
      </c>
      <c r="C140" s="41">
        <f t="shared" si="9"/>
        <v>1.5035760491022065E-2</v>
      </c>
      <c r="D140" s="40">
        <v>19.870054</v>
      </c>
      <c r="E140" s="41">
        <f t="shared" si="10"/>
        <v>-2.5466866618616413E-3</v>
      </c>
    </row>
    <row r="141" spans="1:5">
      <c r="A141" s="37">
        <v>40314</v>
      </c>
      <c r="B141" s="38">
        <v>4931.1499020000001</v>
      </c>
      <c r="C141" s="41">
        <f t="shared" si="9"/>
        <v>-3.1873976244232827E-2</v>
      </c>
      <c r="D141" s="40">
        <v>18.571064</v>
      </c>
      <c r="E141" s="41">
        <f t="shared" si="10"/>
        <v>-6.5374256154512755E-2</v>
      </c>
    </row>
    <row r="142" spans="1:5">
      <c r="A142" s="37">
        <v>40321</v>
      </c>
      <c r="B142" s="38">
        <v>5066.5498049999997</v>
      </c>
      <c r="C142" s="41">
        <f t="shared" si="9"/>
        <v>2.7458078884416759E-2</v>
      </c>
      <c r="D142" s="40">
        <v>18.195561999999999</v>
      </c>
      <c r="E142" s="41">
        <f t="shared" si="10"/>
        <v>-2.0219735390497817E-2</v>
      </c>
    </row>
    <row r="143" spans="1:5">
      <c r="A143" s="37">
        <v>40328</v>
      </c>
      <c r="B143" s="38">
        <v>5135.5</v>
      </c>
      <c r="C143" s="41">
        <f t="shared" si="9"/>
        <v>1.3608905005129124E-2</v>
      </c>
      <c r="D143" s="40">
        <v>17.272069999999999</v>
      </c>
      <c r="E143" s="41">
        <f t="shared" si="10"/>
        <v>-5.0753694774582914E-2</v>
      </c>
    </row>
    <row r="144" spans="1:5">
      <c r="A144" s="37">
        <v>40335</v>
      </c>
      <c r="B144" s="38">
        <v>5119.3500979999999</v>
      </c>
      <c r="C144" s="41">
        <f t="shared" si="9"/>
        <v>-3.1447574724954297E-3</v>
      </c>
      <c r="D144" s="40">
        <v>17.962143000000001</v>
      </c>
      <c r="E144" s="41">
        <f t="shared" si="10"/>
        <v>3.9953115058009914E-2</v>
      </c>
    </row>
    <row r="145" spans="1:5">
      <c r="A145" s="37">
        <v>40342</v>
      </c>
      <c r="B145" s="38">
        <v>5262.6000979999999</v>
      </c>
      <c r="C145" s="41">
        <f t="shared" si="9"/>
        <v>2.7982067500318841E-2</v>
      </c>
      <c r="D145" s="40">
        <v>17.048845</v>
      </c>
      <c r="E145" s="41">
        <f t="shared" si="10"/>
        <v>-5.084571479026756E-2</v>
      </c>
    </row>
    <row r="146" spans="1:5">
      <c r="A146" s="37">
        <v>40349</v>
      </c>
      <c r="B146" s="38">
        <v>5269.0498049999997</v>
      </c>
      <c r="C146" s="41">
        <f t="shared" si="9"/>
        <v>1.2255742180469209E-3</v>
      </c>
      <c r="D146" s="40">
        <v>17.799842999999999</v>
      </c>
      <c r="E146" s="41">
        <f t="shared" si="10"/>
        <v>4.404978753692701E-2</v>
      </c>
    </row>
    <row r="147" spans="1:5">
      <c r="A147" s="37">
        <v>40356</v>
      </c>
      <c r="B147" s="38">
        <v>5237.1000979999999</v>
      </c>
      <c r="C147" s="41">
        <f t="shared" si="9"/>
        <v>-6.0636562914401226E-3</v>
      </c>
      <c r="D147" s="40">
        <v>17.535914999999999</v>
      </c>
      <c r="E147" s="41">
        <f t="shared" si="10"/>
        <v>-1.4827546512629297E-2</v>
      </c>
    </row>
    <row r="148" spans="1:5">
      <c r="A148" s="37">
        <v>40363</v>
      </c>
      <c r="B148" s="38">
        <v>5352.4501950000003</v>
      </c>
      <c r="C148" s="41">
        <f t="shared" si="9"/>
        <v>2.2025566600121227E-2</v>
      </c>
      <c r="D148" s="40">
        <v>21.331340999999998</v>
      </c>
      <c r="E148" s="41">
        <f t="shared" si="10"/>
        <v>0.21643729454664884</v>
      </c>
    </row>
    <row r="149" spans="1:5">
      <c r="A149" s="37">
        <v>40370</v>
      </c>
      <c r="B149" s="38">
        <v>5393.8999020000001</v>
      </c>
      <c r="C149" s="41">
        <f t="shared" si="9"/>
        <v>7.7440621565652012E-3</v>
      </c>
      <c r="D149" s="40">
        <v>19.606124999999999</v>
      </c>
      <c r="E149" s="41">
        <f t="shared" si="10"/>
        <v>-8.0877053158542656E-2</v>
      </c>
    </row>
    <row r="150" spans="1:5">
      <c r="A150" s="37">
        <v>40377</v>
      </c>
      <c r="B150" s="38">
        <v>5449.1000979999999</v>
      </c>
      <c r="C150" s="41">
        <f t="shared" si="9"/>
        <v>1.0233819129556343E-2</v>
      </c>
      <c r="D150" s="40">
        <v>18.652208000000002</v>
      </c>
      <c r="E150" s="41">
        <f t="shared" si="10"/>
        <v>-4.8654030309405738E-2</v>
      </c>
    </row>
    <row r="151" spans="1:5">
      <c r="A151" s="37">
        <v>40384</v>
      </c>
      <c r="B151" s="38">
        <v>5367.6000979999999</v>
      </c>
      <c r="C151" s="41">
        <f t="shared" si="9"/>
        <v>-1.4956598068351368E-2</v>
      </c>
      <c r="D151" s="40">
        <v>19.078444000000001</v>
      </c>
      <c r="E151" s="41">
        <f t="shared" si="10"/>
        <v>2.2851771758067407E-2</v>
      </c>
    </row>
    <row r="152" spans="1:5">
      <c r="A152" s="37">
        <v>40391</v>
      </c>
      <c r="B152" s="38">
        <v>5439.25</v>
      </c>
      <c r="C152" s="41">
        <f t="shared" si="9"/>
        <v>1.3348591678187249E-2</v>
      </c>
      <c r="D152" s="40">
        <v>20.070751000000001</v>
      </c>
      <c r="E152" s="41">
        <f t="shared" si="10"/>
        <v>5.2011946047591628E-2</v>
      </c>
    </row>
    <row r="153" spans="1:5">
      <c r="A153" s="37">
        <v>40398</v>
      </c>
      <c r="B153" s="38">
        <v>5452.1000979999999</v>
      </c>
      <c r="C153" s="41">
        <f t="shared" si="9"/>
        <v>2.3624760766649544E-3</v>
      </c>
      <c r="D153" s="40">
        <v>19.669509999999999</v>
      </c>
      <c r="E153" s="41">
        <f t="shared" si="10"/>
        <v>-1.9991329671719904E-2</v>
      </c>
    </row>
    <row r="154" spans="1:5">
      <c r="A154" s="37">
        <v>40405</v>
      </c>
      <c r="B154" s="38">
        <v>5530.6499020000001</v>
      </c>
      <c r="C154" s="41">
        <f t="shared" si="9"/>
        <v>1.4407256394433077E-2</v>
      </c>
      <c r="D154" s="40">
        <v>20.502828999999998</v>
      </c>
      <c r="E154" s="41">
        <f t="shared" si="10"/>
        <v>4.2366027420103425E-2</v>
      </c>
    </row>
    <row r="155" spans="1:5">
      <c r="A155" s="37">
        <v>40412</v>
      </c>
      <c r="B155" s="38">
        <v>5408.7001950000003</v>
      </c>
      <c r="C155" s="41">
        <f t="shared" si="9"/>
        <v>-2.2049796888409134E-2</v>
      </c>
      <c r="D155" s="40">
        <v>20.091339000000001</v>
      </c>
      <c r="E155" s="41">
        <f t="shared" si="10"/>
        <v>-2.0069913278796703E-2</v>
      </c>
    </row>
    <row r="156" spans="1:5">
      <c r="A156" s="37">
        <v>40419</v>
      </c>
      <c r="B156" s="38">
        <v>5479.3999020000001</v>
      </c>
      <c r="C156" s="41">
        <f t="shared" si="9"/>
        <v>1.3071478257448366E-2</v>
      </c>
      <c r="D156" s="40">
        <v>21.582937000000001</v>
      </c>
      <c r="E156" s="41">
        <f t="shared" si="10"/>
        <v>7.4240845769413255E-2</v>
      </c>
    </row>
    <row r="157" spans="1:5">
      <c r="A157" s="37">
        <v>40426</v>
      </c>
      <c r="B157" s="38">
        <v>5640.0498049999997</v>
      </c>
      <c r="C157" s="41">
        <f t="shared" si="9"/>
        <v>2.9318886351288542E-2</v>
      </c>
      <c r="D157" s="40">
        <v>25.358446000000001</v>
      </c>
      <c r="E157" s="41">
        <f t="shared" si="10"/>
        <v>0.17493027014812679</v>
      </c>
    </row>
    <row r="158" spans="1:5">
      <c r="A158" s="37">
        <v>40433</v>
      </c>
      <c r="B158" s="38">
        <v>5884.9501950000003</v>
      </c>
      <c r="C158" s="41">
        <f t="shared" si="9"/>
        <v>4.3421671521923777E-2</v>
      </c>
      <c r="D158" s="40">
        <v>24.463450999999999</v>
      </c>
      <c r="E158" s="41">
        <f t="shared" si="10"/>
        <v>-3.5293763663593603E-2</v>
      </c>
    </row>
    <row r="159" spans="1:5">
      <c r="A159" s="37">
        <v>40440</v>
      </c>
      <c r="B159" s="38">
        <v>6018.2998049999997</v>
      </c>
      <c r="C159" s="41">
        <f t="shared" si="9"/>
        <v>2.2659428811019788E-2</v>
      </c>
      <c r="D159" s="40">
        <v>24.103386</v>
      </c>
      <c r="E159" s="41">
        <f t="shared" si="10"/>
        <v>-1.471848759195904E-2</v>
      </c>
    </row>
    <row r="160" spans="1:5">
      <c r="A160" s="37">
        <v>40447</v>
      </c>
      <c r="B160" s="38">
        <v>6143.3999020000001</v>
      </c>
      <c r="C160" s="41">
        <f t="shared" si="9"/>
        <v>2.0786617658373752E-2</v>
      </c>
      <c r="D160" s="40">
        <v>23.691896</v>
      </c>
      <c r="E160" s="41">
        <f t="shared" si="10"/>
        <v>-1.7071875295860961E-2</v>
      </c>
    </row>
    <row r="161" spans="1:5">
      <c r="A161" s="37">
        <v>40454</v>
      </c>
      <c r="B161" s="38">
        <v>6103.4501950000003</v>
      </c>
      <c r="C161" s="41">
        <f t="shared" si="9"/>
        <v>-6.502866106273486E-3</v>
      </c>
      <c r="D161" s="40">
        <v>23.825581</v>
      </c>
      <c r="E161" s="41">
        <f t="shared" si="10"/>
        <v>5.642646751446101E-3</v>
      </c>
    </row>
    <row r="162" spans="1:5">
      <c r="A162" s="37">
        <v>40461</v>
      </c>
      <c r="B162" s="38">
        <v>6062.6499020000001</v>
      </c>
      <c r="C162" s="41">
        <f t="shared" si="9"/>
        <v>-6.6847916664289908E-3</v>
      </c>
      <c r="D162" s="40">
        <v>22.220801999999999</v>
      </c>
      <c r="E162" s="41">
        <f t="shared" si="10"/>
        <v>-6.7355293455383158E-2</v>
      </c>
    </row>
    <row r="163" spans="1:5">
      <c r="A163" s="37">
        <v>40468</v>
      </c>
      <c r="B163" s="38">
        <v>6066.0498049999997</v>
      </c>
      <c r="C163" s="41">
        <f t="shared" si="9"/>
        <v>5.6079487599602906E-4</v>
      </c>
      <c r="D163" s="40">
        <v>23.331835000000002</v>
      </c>
      <c r="E163" s="41">
        <f t="shared" si="10"/>
        <v>4.9999680479579478E-2</v>
      </c>
    </row>
    <row r="164" spans="1:5">
      <c r="A164" s="37">
        <v>40475</v>
      </c>
      <c r="B164" s="38">
        <v>6017.7001950000003</v>
      </c>
      <c r="C164" s="41">
        <f t="shared" si="9"/>
        <v>-7.9705263811297167E-3</v>
      </c>
      <c r="D164" s="40">
        <v>21.449247</v>
      </c>
      <c r="E164" s="41">
        <f t="shared" si="10"/>
        <v>-8.0687524148872258E-2</v>
      </c>
    </row>
    <row r="165" spans="1:5">
      <c r="A165" s="37">
        <v>40482</v>
      </c>
      <c r="B165" s="38">
        <v>6312.4501950000003</v>
      </c>
      <c r="C165" s="41">
        <f t="shared" si="9"/>
        <v>4.898050591568226E-2</v>
      </c>
      <c r="D165" s="40">
        <v>23.661059999999999</v>
      </c>
      <c r="E165" s="41">
        <f t="shared" si="10"/>
        <v>0.10311844513702506</v>
      </c>
    </row>
    <row r="166" spans="1:5">
      <c r="A166" s="37">
        <v>40489</v>
      </c>
      <c r="B166" s="38">
        <v>6071.6499020000001</v>
      </c>
      <c r="C166" s="41">
        <f t="shared" si="9"/>
        <v>-3.8146882044429398E-2</v>
      </c>
      <c r="D166" s="40">
        <v>21.603525000000001</v>
      </c>
      <c r="E166" s="41">
        <f t="shared" si="10"/>
        <v>-8.6958699229873759E-2</v>
      </c>
    </row>
    <row r="167" spans="1:5">
      <c r="A167" s="37">
        <v>40496</v>
      </c>
      <c r="B167" s="38">
        <v>5890.2998049999997</v>
      </c>
      <c r="C167" s="41">
        <f t="shared" si="9"/>
        <v>-2.9868338907397152E-2</v>
      </c>
      <c r="D167" s="40">
        <v>22.057956999999998</v>
      </c>
      <c r="E167" s="41">
        <f t="shared" si="10"/>
        <v>2.1035085709392165E-2</v>
      </c>
    </row>
    <row r="168" spans="1:5">
      <c r="A168" s="37">
        <v>40503</v>
      </c>
      <c r="B168" s="38">
        <v>5751.9501950000003</v>
      </c>
      <c r="C168" s="41">
        <f t="shared" si="9"/>
        <v>-2.3487702592414839E-2</v>
      </c>
      <c r="D168" s="40">
        <v>23.829369</v>
      </c>
      <c r="E168" s="41">
        <f t="shared" si="10"/>
        <v>8.0307165346273912E-2</v>
      </c>
    </row>
    <row r="169" spans="1:5">
      <c r="A169" s="37">
        <v>40510</v>
      </c>
      <c r="B169" s="38">
        <v>5992.7998049999997</v>
      </c>
      <c r="C169" s="41">
        <f t="shared" si="9"/>
        <v>4.1872686973082995E-2</v>
      </c>
      <c r="D169" s="40">
        <v>24.261624999999999</v>
      </c>
      <c r="E169" s="41">
        <f t="shared" si="10"/>
        <v>1.8139632652463433E-2</v>
      </c>
    </row>
    <row r="170" spans="1:5">
      <c r="A170" s="37">
        <v>40517</v>
      </c>
      <c r="B170" s="38">
        <v>5857.3500979999999</v>
      </c>
      <c r="C170" s="41">
        <f t="shared" si="9"/>
        <v>-2.2602074390502658E-2</v>
      </c>
      <c r="D170" s="40">
        <v>25.094624</v>
      </c>
      <c r="E170" s="41">
        <f t="shared" si="10"/>
        <v>3.4334015137073459E-2</v>
      </c>
    </row>
    <row r="171" spans="1:5">
      <c r="A171" s="37">
        <v>40524</v>
      </c>
      <c r="B171" s="38">
        <v>5948.75</v>
      </c>
      <c r="C171" s="41">
        <f t="shared" si="9"/>
        <v>1.5604309196270982E-2</v>
      </c>
      <c r="D171" s="40">
        <v>24.356536999999999</v>
      </c>
      <c r="E171" s="41">
        <f t="shared" si="10"/>
        <v>-2.9412156165400161E-2</v>
      </c>
    </row>
    <row r="172" spans="1:5">
      <c r="A172" s="37">
        <v>40531</v>
      </c>
      <c r="B172" s="38">
        <v>6011.6000979999999</v>
      </c>
      <c r="C172" s="41">
        <f t="shared" si="9"/>
        <v>1.0565261273376647E-2</v>
      </c>
      <c r="D172" s="40">
        <v>24.599063999999998</v>
      </c>
      <c r="E172" s="41">
        <f t="shared" si="10"/>
        <v>9.9573679131808035E-3</v>
      </c>
    </row>
    <row r="173" spans="1:5">
      <c r="A173" s="37">
        <v>40538</v>
      </c>
      <c r="B173" s="38">
        <v>6134.5</v>
      </c>
      <c r="C173" s="41">
        <f t="shared" si="9"/>
        <v>2.0443792001548333E-2</v>
      </c>
      <c r="D173" s="40">
        <v>25.305451999999999</v>
      </c>
      <c r="E173" s="41">
        <f t="shared" si="10"/>
        <v>2.8716051960351097E-2</v>
      </c>
    </row>
    <row r="174" spans="1:5">
      <c r="A174" s="37">
        <v>40545</v>
      </c>
      <c r="B174" s="38">
        <v>5904.6000979999999</v>
      </c>
      <c r="C174" s="41">
        <f t="shared" si="9"/>
        <v>-3.7476550982150192E-2</v>
      </c>
      <c r="D174" s="40">
        <v>25.990831</v>
      </c>
      <c r="E174" s="41">
        <f t="shared" si="10"/>
        <v>2.7084242557690708E-2</v>
      </c>
    </row>
    <row r="175" spans="1:5">
      <c r="A175" s="37">
        <v>40552</v>
      </c>
      <c r="B175" s="38">
        <v>5654.5498049999997</v>
      </c>
      <c r="C175" s="41">
        <f t="shared" si="9"/>
        <v>-4.2348387502939788E-2</v>
      </c>
      <c r="D175" s="40">
        <v>26.570799000000001</v>
      </c>
      <c r="E175" s="41">
        <f t="shared" si="10"/>
        <v>2.2314330773033131E-2</v>
      </c>
    </row>
    <row r="176" spans="1:5">
      <c r="A176" s="37">
        <v>40559</v>
      </c>
      <c r="B176" s="38">
        <v>5696.5</v>
      </c>
      <c r="C176" s="41">
        <f t="shared" si="9"/>
        <v>7.4188390670653082E-3</v>
      </c>
      <c r="D176" s="40">
        <v>27.540818999999999</v>
      </c>
      <c r="E176" s="41">
        <f t="shared" si="10"/>
        <v>3.6506994012487137E-2</v>
      </c>
    </row>
    <row r="177" spans="1:5">
      <c r="A177" s="37">
        <v>40566</v>
      </c>
      <c r="B177" s="38">
        <v>5512.1499020000001</v>
      </c>
      <c r="C177" s="41">
        <f t="shared" si="9"/>
        <v>-3.2361993855876348E-2</v>
      </c>
      <c r="D177" s="40">
        <v>29.206727999999998</v>
      </c>
      <c r="E177" s="41">
        <f t="shared" si="10"/>
        <v>6.0488724028141538E-2</v>
      </c>
    </row>
    <row r="178" spans="1:5">
      <c r="A178" s="37">
        <v>40573</v>
      </c>
      <c r="B178" s="38">
        <v>5395.75</v>
      </c>
      <c r="C178" s="41">
        <f t="shared" si="9"/>
        <v>-2.111696961611409E-2</v>
      </c>
      <c r="D178" s="40">
        <v>30.524688999999999</v>
      </c>
      <c r="E178" s="41">
        <f t="shared" si="10"/>
        <v>4.5125253332040538E-2</v>
      </c>
    </row>
    <row r="179" spans="1:5">
      <c r="A179" s="37">
        <v>40580</v>
      </c>
      <c r="B179" s="38">
        <v>5310</v>
      </c>
      <c r="C179" s="41">
        <f t="shared" si="9"/>
        <v>-1.5892137330306255E-2</v>
      </c>
      <c r="D179" s="40">
        <v>30.155733000000001</v>
      </c>
      <c r="E179" s="41">
        <f t="shared" si="10"/>
        <v>-1.2087133795204208E-2</v>
      </c>
    </row>
    <row r="180" spans="1:5">
      <c r="A180" s="37">
        <v>40587</v>
      </c>
      <c r="B180" s="38">
        <v>5458.9501950000003</v>
      </c>
      <c r="C180" s="41">
        <f t="shared" si="9"/>
        <v>2.8050884180790936E-2</v>
      </c>
      <c r="D180" s="40">
        <v>30.366565999999999</v>
      </c>
      <c r="E180" s="41">
        <f t="shared" si="10"/>
        <v>6.9914732299825033E-3</v>
      </c>
    </row>
    <row r="181" spans="1:5">
      <c r="A181" s="37">
        <v>40594</v>
      </c>
      <c r="B181" s="38">
        <v>5303.5498049999997</v>
      </c>
      <c r="C181" s="41">
        <f t="shared" si="9"/>
        <v>-2.8467083312527008E-2</v>
      </c>
      <c r="D181" s="40">
        <v>29.48086</v>
      </c>
      <c r="E181" s="41">
        <f t="shared" si="10"/>
        <v>-2.916714389108066E-2</v>
      </c>
    </row>
    <row r="182" spans="1:5">
      <c r="A182" s="37">
        <v>40601</v>
      </c>
      <c r="B182" s="38">
        <v>5538.75</v>
      </c>
      <c r="C182" s="41">
        <f t="shared" si="9"/>
        <v>4.4347692328308375E-2</v>
      </c>
      <c r="D182" s="40">
        <v>28.896453999999999</v>
      </c>
      <c r="E182" s="41">
        <f t="shared" si="10"/>
        <v>-1.9823234464666273E-2</v>
      </c>
    </row>
    <row r="183" spans="1:5">
      <c r="A183" s="37">
        <v>40608</v>
      </c>
      <c r="B183" s="38">
        <v>5445.4501950000003</v>
      </c>
      <c r="C183" s="41">
        <f t="shared" si="9"/>
        <v>-1.6844920785375694E-2</v>
      </c>
      <c r="D183" s="40">
        <v>28.222194999999999</v>
      </c>
      <c r="E183" s="41">
        <f t="shared" si="10"/>
        <v>-2.3333624257149355E-2</v>
      </c>
    </row>
    <row r="184" spans="1:5">
      <c r="A184" s="37">
        <v>40615</v>
      </c>
      <c r="B184" s="38">
        <v>5373.7001950000003</v>
      </c>
      <c r="C184" s="41">
        <f t="shared" si="9"/>
        <v>-1.3176137404742216E-2</v>
      </c>
      <c r="D184" s="40">
        <v>27.804859</v>
      </c>
      <c r="E184" s="41">
        <f t="shared" si="10"/>
        <v>-1.4787510326535469E-2</v>
      </c>
    </row>
    <row r="185" spans="1:5">
      <c r="A185" s="37">
        <v>40622</v>
      </c>
      <c r="B185" s="38">
        <v>5654.25</v>
      </c>
      <c r="C185" s="41">
        <f t="shared" si="9"/>
        <v>5.2207937700178952E-2</v>
      </c>
      <c r="D185" s="40">
        <v>29.763387999999999</v>
      </c>
      <c r="E185" s="41">
        <f t="shared" si="10"/>
        <v>7.0438371940674038E-2</v>
      </c>
    </row>
    <row r="186" spans="1:5">
      <c r="A186" s="37">
        <v>40629</v>
      </c>
      <c r="B186" s="38">
        <v>5826.0498049999997</v>
      </c>
      <c r="C186" s="41">
        <f t="shared" si="9"/>
        <v>3.0384189768758008E-2</v>
      </c>
      <c r="D186" s="40">
        <v>33.990780000000001</v>
      </c>
      <c r="E186" s="41">
        <f t="shared" si="10"/>
        <v>0.14203329271519771</v>
      </c>
    </row>
    <row r="187" spans="1:5">
      <c r="A187" s="37">
        <v>40636</v>
      </c>
      <c r="B187" s="38">
        <v>5842</v>
      </c>
      <c r="C187" s="41">
        <f t="shared" si="9"/>
        <v>2.7377374951913502E-3</v>
      </c>
      <c r="D187" s="40">
        <v>37.255093000000002</v>
      </c>
      <c r="E187" s="41">
        <f t="shared" si="10"/>
        <v>9.6035248382061233E-2</v>
      </c>
    </row>
    <row r="188" spans="1:5">
      <c r="A188" s="37">
        <v>40643</v>
      </c>
      <c r="B188" s="38">
        <v>5824.5498049999997</v>
      </c>
      <c r="C188" s="41">
        <f t="shared" si="9"/>
        <v>-2.98702413557006E-3</v>
      </c>
      <c r="D188" s="40">
        <v>48.310684000000002</v>
      </c>
      <c r="E188" s="41">
        <f t="shared" si="10"/>
        <v>0.2967538156460916</v>
      </c>
    </row>
    <row r="189" spans="1:5">
      <c r="A189" s="37">
        <v>40650</v>
      </c>
      <c r="B189" s="38">
        <v>5884.7001950000003</v>
      </c>
      <c r="C189" s="41">
        <f t="shared" si="9"/>
        <v>1.0327045353507813E-2</v>
      </c>
      <c r="D189" s="40">
        <v>41.996254</v>
      </c>
      <c r="E189" s="41">
        <f t="shared" si="10"/>
        <v>-0.13070462840062458</v>
      </c>
    </row>
    <row r="190" spans="1:5">
      <c r="A190" s="37">
        <v>40657</v>
      </c>
      <c r="B190" s="38">
        <v>5749.5</v>
      </c>
      <c r="C190" s="41">
        <f t="shared" si="9"/>
        <v>-2.2974865417081825E-2</v>
      </c>
      <c r="D190" s="40">
        <v>43.826355</v>
      </c>
      <c r="E190" s="41">
        <f t="shared" si="10"/>
        <v>4.3577720050935964E-2</v>
      </c>
    </row>
    <row r="191" spans="1:5">
      <c r="A191" s="37">
        <v>40664</v>
      </c>
      <c r="B191" s="38">
        <v>5551.4501950000003</v>
      </c>
      <c r="C191" s="41">
        <f t="shared" si="9"/>
        <v>-3.4446439690407837E-2</v>
      </c>
      <c r="D191" s="40">
        <v>43.280518000000001</v>
      </c>
      <c r="E191" s="41">
        <f t="shared" si="10"/>
        <v>-1.2454537914458053E-2</v>
      </c>
    </row>
    <row r="192" spans="1:5">
      <c r="A192" s="37">
        <v>40671</v>
      </c>
      <c r="B192" s="38">
        <v>5544.75</v>
      </c>
      <c r="C192" s="41">
        <f t="shared" si="9"/>
        <v>-1.2069269766726842E-3</v>
      </c>
      <c r="D192" s="40">
        <v>43.023674</v>
      </c>
      <c r="E192" s="41">
        <f t="shared" si="10"/>
        <v>-5.934402171434261E-3</v>
      </c>
    </row>
    <row r="193" spans="1:5">
      <c r="A193" s="37">
        <v>40678</v>
      </c>
      <c r="B193" s="38">
        <v>5486.3500979999999</v>
      </c>
      <c r="C193" s="41">
        <f t="shared" si="9"/>
        <v>-1.0532468010279961E-2</v>
      </c>
      <c r="D193" s="40">
        <v>41.931995000000001</v>
      </c>
      <c r="E193" s="41">
        <f t="shared" si="10"/>
        <v>-2.5373913906097334E-2</v>
      </c>
    </row>
    <row r="194" spans="1:5">
      <c r="A194" s="37">
        <v>40685</v>
      </c>
      <c r="B194" s="38">
        <v>5476.1000979999999</v>
      </c>
      <c r="C194" s="41">
        <f t="shared" si="9"/>
        <v>-1.868273044357216E-3</v>
      </c>
      <c r="D194" s="40">
        <v>42.167507000000001</v>
      </c>
      <c r="E194" s="41">
        <f t="shared" si="10"/>
        <v>5.6165226576985194E-3</v>
      </c>
    </row>
    <row r="195" spans="1:5">
      <c r="A195" s="37">
        <v>40692</v>
      </c>
      <c r="B195" s="38">
        <v>5516.75</v>
      </c>
      <c r="C195" s="41">
        <f t="shared" si="9"/>
        <v>7.4231480930828653E-3</v>
      </c>
      <c r="D195" s="40">
        <v>41.482483000000002</v>
      </c>
      <c r="E195" s="41">
        <f t="shared" si="10"/>
        <v>-1.6245304708196295E-2</v>
      </c>
    </row>
    <row r="196" spans="1:5">
      <c r="A196" s="37">
        <v>40699</v>
      </c>
      <c r="B196" s="38">
        <v>5485.7998049999997</v>
      </c>
      <c r="C196" s="41">
        <f t="shared" ref="C196:C259" si="11">B196/B195-1</f>
        <v>-5.610222504191853E-3</v>
      </c>
      <c r="D196" s="40">
        <v>40.241050999999999</v>
      </c>
      <c r="E196" s="41">
        <f t="shared" ref="E196:E259" si="12">D196/D195-1</f>
        <v>-2.9926656029727106E-2</v>
      </c>
    </row>
    <row r="197" spans="1:5">
      <c r="A197" s="37">
        <v>40706</v>
      </c>
      <c r="B197" s="38">
        <v>5366.3999020000001</v>
      </c>
      <c r="C197" s="41">
        <f t="shared" si="11"/>
        <v>-2.176526800908285E-2</v>
      </c>
      <c r="D197" s="40">
        <v>39.812961999999999</v>
      </c>
      <c r="E197" s="41">
        <f t="shared" si="12"/>
        <v>-1.0638116782784812E-2</v>
      </c>
    </row>
    <row r="198" spans="1:5">
      <c r="A198" s="37">
        <v>40713</v>
      </c>
      <c r="B198" s="38">
        <v>5471.25</v>
      </c>
      <c r="C198" s="41">
        <f t="shared" si="11"/>
        <v>1.9538256543446098E-2</v>
      </c>
      <c r="D198" s="40">
        <v>38.314610000000002</v>
      </c>
      <c r="E198" s="41">
        <f t="shared" si="12"/>
        <v>-3.763477834178719E-2</v>
      </c>
    </row>
    <row r="199" spans="1:5">
      <c r="A199" s="37">
        <v>40720</v>
      </c>
      <c r="B199" s="38">
        <v>5627.2001950000003</v>
      </c>
      <c r="C199" s="41">
        <f t="shared" si="11"/>
        <v>2.8503576879141068E-2</v>
      </c>
      <c r="D199" s="40">
        <v>38.956786999999998</v>
      </c>
      <c r="E199" s="41">
        <f t="shared" si="12"/>
        <v>1.6760629952908168E-2</v>
      </c>
    </row>
    <row r="200" spans="1:5">
      <c r="A200" s="37">
        <v>40727</v>
      </c>
      <c r="B200" s="38">
        <v>5660.6499020000001</v>
      </c>
      <c r="C200" s="41">
        <f t="shared" si="11"/>
        <v>5.9442894940402446E-3</v>
      </c>
      <c r="D200" s="40">
        <v>41.782162</v>
      </c>
      <c r="E200" s="41">
        <f t="shared" si="12"/>
        <v>7.2525873347820013E-2</v>
      </c>
    </row>
    <row r="201" spans="1:5">
      <c r="A201" s="37">
        <v>40734</v>
      </c>
      <c r="B201" s="38">
        <v>5581.1000979999999</v>
      </c>
      <c r="C201" s="41">
        <f t="shared" si="11"/>
        <v>-1.4053122057927303E-2</v>
      </c>
      <c r="D201" s="40">
        <v>39.598872999999998</v>
      </c>
      <c r="E201" s="41">
        <f t="shared" si="12"/>
        <v>-5.2254093505261889E-2</v>
      </c>
    </row>
    <row r="202" spans="1:5">
      <c r="A202" s="37">
        <v>40741</v>
      </c>
      <c r="B202" s="38">
        <v>5633.9501950000003</v>
      </c>
      <c r="C202" s="41">
        <f t="shared" si="11"/>
        <v>9.4694766393705887E-3</v>
      </c>
      <c r="D202" s="40">
        <v>38.517947999999997</v>
      </c>
      <c r="E202" s="41">
        <f t="shared" si="12"/>
        <v>-2.7296862716269743E-2</v>
      </c>
    </row>
    <row r="203" spans="1:5">
      <c r="A203" s="37">
        <v>40748</v>
      </c>
      <c r="B203" s="38">
        <v>5482</v>
      </c>
      <c r="C203" s="41">
        <f t="shared" si="11"/>
        <v>-2.6970454075872508E-2</v>
      </c>
      <c r="D203" s="40">
        <v>39.235042999999997</v>
      </c>
      <c r="E203" s="41">
        <f t="shared" si="12"/>
        <v>1.8617165171934902E-2</v>
      </c>
    </row>
    <row r="204" spans="1:5">
      <c r="A204" s="37">
        <v>40755</v>
      </c>
      <c r="B204" s="38">
        <v>5211.25</v>
      </c>
      <c r="C204" s="41">
        <f t="shared" si="11"/>
        <v>-4.9388909157241923E-2</v>
      </c>
      <c r="D204" s="40">
        <v>35.317889999999998</v>
      </c>
      <c r="E204" s="41">
        <f t="shared" si="12"/>
        <v>-9.9838121752536368E-2</v>
      </c>
    </row>
    <row r="205" spans="1:5">
      <c r="A205" s="37">
        <v>40762</v>
      </c>
      <c r="B205" s="38">
        <v>5072.9501950000003</v>
      </c>
      <c r="C205" s="41">
        <f t="shared" si="11"/>
        <v>-2.6538700887502986E-2</v>
      </c>
      <c r="D205" s="40">
        <v>36.067062</v>
      </c>
      <c r="E205" s="41">
        <f t="shared" si="12"/>
        <v>2.1212252487337269E-2</v>
      </c>
    </row>
    <row r="206" spans="1:5">
      <c r="A206" s="37">
        <v>40769</v>
      </c>
      <c r="B206" s="38">
        <v>4845.6499020000001</v>
      </c>
      <c r="C206" s="41">
        <f t="shared" si="11"/>
        <v>-4.480633246193344E-2</v>
      </c>
      <c r="D206" s="40">
        <v>34.365383000000001</v>
      </c>
      <c r="E206" s="41">
        <f t="shared" si="12"/>
        <v>-4.7180970825957402E-2</v>
      </c>
    </row>
    <row r="207" spans="1:5">
      <c r="A207" s="37">
        <v>40776</v>
      </c>
      <c r="B207" s="38">
        <v>4747.7998049999997</v>
      </c>
      <c r="C207" s="41">
        <f t="shared" si="11"/>
        <v>-2.0193389736970824E-2</v>
      </c>
      <c r="D207" s="40">
        <v>34.258372999999999</v>
      </c>
      <c r="E207" s="41">
        <f t="shared" si="12"/>
        <v>-3.113889346148202E-3</v>
      </c>
    </row>
    <row r="208" spans="1:5">
      <c r="A208" s="37">
        <v>40783</v>
      </c>
      <c r="B208" s="38">
        <v>5040</v>
      </c>
      <c r="C208" s="41">
        <f t="shared" si="11"/>
        <v>6.1544337798800752E-2</v>
      </c>
      <c r="D208" s="40">
        <v>36.366740999999998</v>
      </c>
      <c r="E208" s="41">
        <f t="shared" si="12"/>
        <v>6.1543144503680924E-2</v>
      </c>
    </row>
    <row r="209" spans="1:5">
      <c r="A209" s="37">
        <v>40790</v>
      </c>
      <c r="B209" s="38">
        <v>5059.4501950000003</v>
      </c>
      <c r="C209" s="41">
        <f t="shared" si="11"/>
        <v>3.8591656746032044E-3</v>
      </c>
      <c r="D209" s="40">
        <v>37.083835999999998</v>
      </c>
      <c r="E209" s="41">
        <f t="shared" si="12"/>
        <v>1.9718428989828896E-2</v>
      </c>
    </row>
    <row r="210" spans="1:5">
      <c r="A210" s="37">
        <v>40797</v>
      </c>
      <c r="B210" s="38">
        <v>5084.25</v>
      </c>
      <c r="C210" s="41">
        <f t="shared" si="11"/>
        <v>4.9016798355892011E-3</v>
      </c>
      <c r="D210" s="40">
        <v>38.871108999999997</v>
      </c>
      <c r="E210" s="41">
        <f t="shared" si="12"/>
        <v>4.8195472550358609E-2</v>
      </c>
    </row>
    <row r="211" spans="1:5">
      <c r="A211" s="37">
        <v>40804</v>
      </c>
      <c r="B211" s="38">
        <v>4867.75</v>
      </c>
      <c r="C211" s="41">
        <f t="shared" si="11"/>
        <v>-4.2582485125633118E-2</v>
      </c>
      <c r="D211" s="40">
        <v>39.716625000000001</v>
      </c>
      <c r="E211" s="41">
        <f t="shared" si="12"/>
        <v>2.175178485388729E-2</v>
      </c>
    </row>
    <row r="212" spans="1:5">
      <c r="A212" s="37">
        <v>40811</v>
      </c>
      <c r="B212" s="38">
        <v>4943.25</v>
      </c>
      <c r="C212" s="41">
        <f t="shared" si="11"/>
        <v>1.5510246006882111E-2</v>
      </c>
      <c r="D212" s="40">
        <v>39.812961999999999</v>
      </c>
      <c r="E212" s="41">
        <f t="shared" si="12"/>
        <v>2.4256089232153055E-3</v>
      </c>
    </row>
    <row r="213" spans="1:5">
      <c r="A213" s="37">
        <v>40818</v>
      </c>
      <c r="B213" s="38">
        <v>4888.0498049999997</v>
      </c>
      <c r="C213" s="41">
        <f t="shared" si="11"/>
        <v>-1.1166781975421092E-2</v>
      </c>
      <c r="D213" s="40">
        <v>43.366100000000003</v>
      </c>
      <c r="E213" s="41">
        <f t="shared" si="12"/>
        <v>8.9245758705418732E-2</v>
      </c>
    </row>
    <row r="214" spans="1:5">
      <c r="A214" s="37">
        <v>40825</v>
      </c>
      <c r="B214" s="38">
        <v>5132.2998049999997</v>
      </c>
      <c r="C214" s="41">
        <f t="shared" si="11"/>
        <v>4.9968803458212641E-2</v>
      </c>
      <c r="D214" s="40">
        <v>43.430354999999999</v>
      </c>
      <c r="E214" s="41">
        <f t="shared" si="12"/>
        <v>1.4816873087502014E-3</v>
      </c>
    </row>
    <row r="215" spans="1:5">
      <c r="A215" s="37">
        <v>40832</v>
      </c>
      <c r="B215" s="38">
        <v>5049.9501950000003</v>
      </c>
      <c r="C215" s="41">
        <f t="shared" si="11"/>
        <v>-1.6045362338297675E-2</v>
      </c>
      <c r="D215" s="40">
        <v>45.549377</v>
      </c>
      <c r="E215" s="41">
        <f t="shared" si="12"/>
        <v>4.8791265924490013E-2</v>
      </c>
    </row>
    <row r="216" spans="1:5">
      <c r="A216" s="37">
        <v>40839</v>
      </c>
      <c r="B216" s="38">
        <v>5360.7001950000003</v>
      </c>
      <c r="C216" s="41">
        <f t="shared" si="11"/>
        <v>6.1535260349236065E-2</v>
      </c>
      <c r="D216" s="40">
        <v>52.612994999999998</v>
      </c>
      <c r="E216" s="41">
        <f t="shared" si="12"/>
        <v>0.15507606174284216</v>
      </c>
    </row>
    <row r="217" spans="1:5">
      <c r="A217" s="37">
        <v>40846</v>
      </c>
      <c r="B217" s="38">
        <v>5284.2001950000003</v>
      </c>
      <c r="C217" s="41">
        <f t="shared" si="11"/>
        <v>-1.4270523852714767E-2</v>
      </c>
      <c r="D217" s="40">
        <v>49.231026</v>
      </c>
      <c r="E217" s="41">
        <f t="shared" si="12"/>
        <v>-6.4280107984728829E-2</v>
      </c>
    </row>
    <row r="218" spans="1:5">
      <c r="A218" s="37">
        <v>40853</v>
      </c>
      <c r="B218" s="38">
        <v>5168.8500979999999</v>
      </c>
      <c r="C218" s="41">
        <f t="shared" si="11"/>
        <v>-2.1829244302505213E-2</v>
      </c>
      <c r="D218" s="40">
        <v>49.145451000000001</v>
      </c>
      <c r="E218" s="41">
        <f t="shared" si="12"/>
        <v>-1.7382331215278768E-3</v>
      </c>
    </row>
    <row r="219" spans="1:5">
      <c r="A219" s="37">
        <v>40860</v>
      </c>
      <c r="B219" s="38">
        <v>4905.7998049999997</v>
      </c>
      <c r="C219" s="41">
        <f t="shared" si="11"/>
        <v>-5.0891453227050132E-2</v>
      </c>
      <c r="D219" s="40">
        <v>38.18618</v>
      </c>
      <c r="E219" s="41">
        <f t="shared" si="12"/>
        <v>-0.22299665130756463</v>
      </c>
    </row>
    <row r="220" spans="1:5">
      <c r="A220" s="37">
        <v>40867</v>
      </c>
      <c r="B220" s="38">
        <v>4710.0498049999997</v>
      </c>
      <c r="C220" s="41">
        <f t="shared" si="11"/>
        <v>-3.9901750536271652E-2</v>
      </c>
      <c r="D220" s="40">
        <v>44.093860999999997</v>
      </c>
      <c r="E220" s="41">
        <f t="shared" si="12"/>
        <v>0.15470730510357411</v>
      </c>
    </row>
    <row r="221" spans="1:5">
      <c r="A221" s="37">
        <v>40874</v>
      </c>
      <c r="B221" s="38">
        <v>5050.1499020000001</v>
      </c>
      <c r="C221" s="41">
        <f t="shared" si="11"/>
        <v>7.2207324992394684E-2</v>
      </c>
      <c r="D221" s="40">
        <v>47.047749000000003</v>
      </c>
      <c r="E221" s="41">
        <f t="shared" si="12"/>
        <v>6.6990912861996987E-2</v>
      </c>
    </row>
    <row r="222" spans="1:5">
      <c r="A222" s="37">
        <v>40881</v>
      </c>
      <c r="B222" s="38">
        <v>4866.7001950000003</v>
      </c>
      <c r="C222" s="41">
        <f t="shared" si="11"/>
        <v>-3.6325596380287317E-2</v>
      </c>
      <c r="D222" s="40">
        <v>47.946762</v>
      </c>
      <c r="E222" s="41">
        <f t="shared" si="12"/>
        <v>1.910852313040512E-2</v>
      </c>
    </row>
    <row r="223" spans="1:5">
      <c r="A223" s="37">
        <v>40888</v>
      </c>
      <c r="B223" s="38">
        <v>4651.6000979999999</v>
      </c>
      <c r="C223" s="41">
        <f t="shared" si="11"/>
        <v>-4.419834556913782E-2</v>
      </c>
      <c r="D223" s="40">
        <v>44.971454999999999</v>
      </c>
      <c r="E223" s="41">
        <f t="shared" si="12"/>
        <v>-6.2054388573726804E-2</v>
      </c>
    </row>
    <row r="224" spans="1:5">
      <c r="A224" s="37">
        <v>40895</v>
      </c>
      <c r="B224" s="38">
        <v>4714</v>
      </c>
      <c r="C224" s="41">
        <f t="shared" si="11"/>
        <v>1.3414717663891462E-2</v>
      </c>
      <c r="D224" s="40">
        <v>43.665768</v>
      </c>
      <c r="E224" s="41">
        <f t="shared" si="12"/>
        <v>-2.9033683700027013E-2</v>
      </c>
    </row>
    <row r="225" spans="1:5">
      <c r="A225" s="37">
        <v>40902</v>
      </c>
      <c r="B225" s="38">
        <v>4624.2998049999997</v>
      </c>
      <c r="C225" s="41">
        <f t="shared" si="11"/>
        <v>-1.9028467331353438E-2</v>
      </c>
      <c r="D225" s="40">
        <v>42.809586000000003</v>
      </c>
      <c r="E225" s="41">
        <f t="shared" si="12"/>
        <v>-1.9607624901959775E-2</v>
      </c>
    </row>
    <row r="226" spans="1:5">
      <c r="A226" s="37">
        <v>40909</v>
      </c>
      <c r="B226" s="38">
        <v>4754.1000979999999</v>
      </c>
      <c r="C226" s="41">
        <f t="shared" si="11"/>
        <v>2.8069177707650939E-2</v>
      </c>
      <c r="D226" s="40">
        <v>45.806313000000003</v>
      </c>
      <c r="E226" s="41">
        <f t="shared" si="12"/>
        <v>7.000130765104795E-2</v>
      </c>
    </row>
    <row r="227" spans="1:5">
      <c r="A227" s="37">
        <v>40916</v>
      </c>
      <c r="B227" s="38">
        <v>4866</v>
      </c>
      <c r="C227" s="41">
        <f t="shared" si="11"/>
        <v>2.353755699150617E-2</v>
      </c>
      <c r="D227" s="40">
        <v>46.170150999999997</v>
      </c>
      <c r="E227" s="41">
        <f t="shared" si="12"/>
        <v>7.9429662893844011E-3</v>
      </c>
    </row>
    <row r="228" spans="1:5">
      <c r="A228" s="37">
        <v>40923</v>
      </c>
      <c r="B228" s="38">
        <v>5048.6000979999999</v>
      </c>
      <c r="C228" s="41">
        <f t="shared" si="11"/>
        <v>3.7525708590217866E-2</v>
      </c>
      <c r="D228" s="40">
        <v>47.475838000000003</v>
      </c>
      <c r="E228" s="41">
        <f t="shared" si="12"/>
        <v>2.8279894514531723E-2</v>
      </c>
    </row>
    <row r="229" spans="1:5">
      <c r="A229" s="37">
        <v>40930</v>
      </c>
      <c r="B229" s="38">
        <v>5204.7001950000003</v>
      </c>
      <c r="C229" s="41">
        <f t="shared" si="11"/>
        <v>3.091948143443557E-2</v>
      </c>
      <c r="D229" s="40">
        <v>53.512011999999999</v>
      </c>
      <c r="E229" s="41">
        <f t="shared" si="12"/>
        <v>0.12714202116874684</v>
      </c>
    </row>
    <row r="230" spans="1:5">
      <c r="A230" s="37">
        <v>40937</v>
      </c>
      <c r="B230" s="38">
        <v>5325.8500979999999</v>
      </c>
      <c r="C230" s="41">
        <f t="shared" si="11"/>
        <v>2.3277018552650741E-2</v>
      </c>
      <c r="D230" s="40">
        <v>57.793002999999999</v>
      </c>
      <c r="E230" s="41">
        <f t="shared" si="12"/>
        <v>8.0000561369286682E-2</v>
      </c>
    </row>
    <row r="231" spans="1:5">
      <c r="A231" s="37">
        <v>40944</v>
      </c>
      <c r="B231" s="38">
        <v>5381.6000979999999</v>
      </c>
      <c r="C231" s="41">
        <f t="shared" si="11"/>
        <v>1.0467812457007675E-2</v>
      </c>
      <c r="D231" s="40">
        <v>61.581642000000002</v>
      </c>
      <c r="E231" s="41">
        <f t="shared" si="12"/>
        <v>6.5555323366740526E-2</v>
      </c>
    </row>
    <row r="232" spans="1:5">
      <c r="A232" s="37">
        <v>40951</v>
      </c>
      <c r="B232" s="38">
        <v>5564.2998049999997</v>
      </c>
      <c r="C232" s="41">
        <f t="shared" si="11"/>
        <v>3.3948956383417883E-2</v>
      </c>
      <c r="D232" s="40">
        <v>56.936824999999999</v>
      </c>
      <c r="E232" s="41">
        <f t="shared" si="12"/>
        <v>-7.5425351600725499E-2</v>
      </c>
    </row>
    <row r="233" spans="1:5">
      <c r="A233" s="37">
        <v>40958</v>
      </c>
      <c r="B233" s="38">
        <v>5429.2998049999997</v>
      </c>
      <c r="C233" s="41">
        <f t="shared" si="11"/>
        <v>-2.4261812758308077E-2</v>
      </c>
      <c r="D233" s="40">
        <v>57.386237999999999</v>
      </c>
      <c r="E233" s="41">
        <f t="shared" si="12"/>
        <v>7.893186878614955E-3</v>
      </c>
    </row>
    <row r="234" spans="1:5">
      <c r="A234" s="37">
        <v>40965</v>
      </c>
      <c r="B234" s="38">
        <v>5359.3500979999999</v>
      </c>
      <c r="C234" s="41">
        <f t="shared" si="11"/>
        <v>-1.2883743670883852E-2</v>
      </c>
      <c r="D234" s="40">
        <v>58.386172999999999</v>
      </c>
      <c r="E234" s="41">
        <f t="shared" si="12"/>
        <v>1.7424648048892877E-2</v>
      </c>
    </row>
    <row r="235" spans="1:5">
      <c r="A235" s="37">
        <v>40972</v>
      </c>
      <c r="B235" s="38">
        <v>5333.5498049999997</v>
      </c>
      <c r="C235" s="41">
        <f t="shared" si="11"/>
        <v>-4.814071207930315E-3</v>
      </c>
      <c r="D235" s="40">
        <v>58.883204999999997</v>
      </c>
      <c r="E235" s="41">
        <f t="shared" si="12"/>
        <v>8.5128374486884706E-3</v>
      </c>
    </row>
    <row r="236" spans="1:5">
      <c r="A236" s="37">
        <v>40979</v>
      </c>
      <c r="B236" s="38">
        <v>5317.8999020000001</v>
      </c>
      <c r="C236" s="41">
        <f t="shared" si="11"/>
        <v>-2.9342377163757982E-3</v>
      </c>
      <c r="D236" s="40">
        <v>59.012833000000001</v>
      </c>
      <c r="E236" s="41">
        <f t="shared" si="12"/>
        <v>2.2014426694336731E-3</v>
      </c>
    </row>
    <row r="237" spans="1:5">
      <c r="A237" s="37">
        <v>40986</v>
      </c>
      <c r="B237" s="38">
        <v>5278.2001950000003</v>
      </c>
      <c r="C237" s="41">
        <f t="shared" si="11"/>
        <v>-7.4652979054887769E-3</v>
      </c>
      <c r="D237" s="40">
        <v>53.848404000000002</v>
      </c>
      <c r="E237" s="41">
        <f t="shared" si="12"/>
        <v>-8.7513659952573319E-2</v>
      </c>
    </row>
    <row r="238" spans="1:5">
      <c r="A238" s="37">
        <v>40993</v>
      </c>
      <c r="B238" s="38">
        <v>5295.5498049999997</v>
      </c>
      <c r="C238" s="41">
        <f t="shared" si="11"/>
        <v>3.2870314423532054E-3</v>
      </c>
      <c r="D238" s="40">
        <v>52.184525000000001</v>
      </c>
      <c r="E238" s="41">
        <f t="shared" si="12"/>
        <v>-3.0899318761610894E-2</v>
      </c>
    </row>
    <row r="239" spans="1:5">
      <c r="A239" s="37">
        <v>41000</v>
      </c>
      <c r="B239" s="38">
        <v>5322.8999020000001</v>
      </c>
      <c r="C239" s="41">
        <f t="shared" si="11"/>
        <v>5.1647322765573378E-3</v>
      </c>
      <c r="D239" s="40">
        <v>50.888022999999997</v>
      </c>
      <c r="E239" s="41">
        <f t="shared" si="12"/>
        <v>-2.4844568384976284E-2</v>
      </c>
    </row>
    <row r="240" spans="1:5">
      <c r="A240" s="37">
        <v>41007</v>
      </c>
      <c r="B240" s="38">
        <v>5207.4501950000003</v>
      </c>
      <c r="C240" s="41">
        <f t="shared" si="11"/>
        <v>-2.1689250056462828E-2</v>
      </c>
      <c r="D240" s="40">
        <v>48.716358</v>
      </c>
      <c r="E240" s="41">
        <f t="shared" si="12"/>
        <v>-4.2675365871454596E-2</v>
      </c>
    </row>
    <row r="241" spans="1:5">
      <c r="A241" s="37">
        <v>41014</v>
      </c>
      <c r="B241" s="38">
        <v>5290.8500979999999</v>
      </c>
      <c r="C241" s="41">
        <f t="shared" si="11"/>
        <v>1.6015497004671753E-2</v>
      </c>
      <c r="D241" s="40">
        <v>52.638312999999997</v>
      </c>
      <c r="E241" s="41">
        <f t="shared" si="12"/>
        <v>8.0505915487360413E-2</v>
      </c>
    </row>
    <row r="242" spans="1:5">
      <c r="A242" s="37">
        <v>41021</v>
      </c>
      <c r="B242" s="38">
        <v>5190.6000979999999</v>
      </c>
      <c r="C242" s="41">
        <f t="shared" si="11"/>
        <v>-1.8947805767148052E-2</v>
      </c>
      <c r="D242" s="40">
        <v>51.957625999999998</v>
      </c>
      <c r="E242" s="41">
        <f t="shared" si="12"/>
        <v>-1.2931398466360378E-2</v>
      </c>
    </row>
    <row r="243" spans="1:5">
      <c r="A243" s="37">
        <v>41028</v>
      </c>
      <c r="B243" s="38">
        <v>5086.8500979999999</v>
      </c>
      <c r="C243" s="41">
        <f t="shared" si="11"/>
        <v>-1.9988054953410161E-2</v>
      </c>
      <c r="D243" s="40">
        <v>49.461894999999998</v>
      </c>
      <c r="E243" s="41">
        <f t="shared" si="12"/>
        <v>-4.8033969065484183E-2</v>
      </c>
    </row>
    <row r="244" spans="1:5">
      <c r="A244" s="37">
        <v>41035</v>
      </c>
      <c r="B244" s="38">
        <v>4928.8999020000001</v>
      </c>
      <c r="C244" s="41">
        <f t="shared" si="11"/>
        <v>-3.1050688138441696E-2</v>
      </c>
      <c r="D244" s="40">
        <v>50.855640000000001</v>
      </c>
      <c r="E244" s="41">
        <f t="shared" si="12"/>
        <v>2.8178156134131216E-2</v>
      </c>
    </row>
    <row r="245" spans="1:5">
      <c r="A245" s="37">
        <v>41042</v>
      </c>
      <c r="B245" s="38">
        <v>4891.4501950000003</v>
      </c>
      <c r="C245" s="41">
        <f t="shared" si="11"/>
        <v>-7.5979848941147843E-3</v>
      </c>
      <c r="D245" s="40">
        <v>47.128188999999999</v>
      </c>
      <c r="E245" s="41">
        <f t="shared" si="12"/>
        <v>-7.3294741743492042E-2</v>
      </c>
    </row>
    <row r="246" spans="1:5">
      <c r="A246" s="37">
        <v>41049</v>
      </c>
      <c r="B246" s="38">
        <v>4920.3999020000001</v>
      </c>
      <c r="C246" s="41">
        <f t="shared" si="11"/>
        <v>5.9184302907944186E-3</v>
      </c>
      <c r="D246" s="40">
        <v>46.512298999999999</v>
      </c>
      <c r="E246" s="41">
        <f t="shared" si="12"/>
        <v>-1.3068399466824365E-2</v>
      </c>
    </row>
    <row r="247" spans="1:5">
      <c r="A247" s="37">
        <v>41056</v>
      </c>
      <c r="B247" s="38">
        <v>4841.6000979999999</v>
      </c>
      <c r="C247" s="41">
        <f t="shared" si="11"/>
        <v>-1.6014918618295737E-2</v>
      </c>
      <c r="D247" s="40">
        <v>49.948067000000002</v>
      </c>
      <c r="E247" s="41">
        <f t="shared" si="12"/>
        <v>7.3867946196338297E-2</v>
      </c>
    </row>
    <row r="248" spans="1:5">
      <c r="A248" s="37">
        <v>41063</v>
      </c>
      <c r="B248" s="38">
        <v>5068.3500979999999</v>
      </c>
      <c r="C248" s="41">
        <f t="shared" si="11"/>
        <v>4.6833690393733196E-2</v>
      </c>
      <c r="D248" s="40">
        <v>53.156956000000001</v>
      </c>
      <c r="E248" s="41">
        <f t="shared" si="12"/>
        <v>6.4244508200888006E-2</v>
      </c>
    </row>
    <row r="249" spans="1:5">
      <c r="A249" s="37">
        <v>41070</v>
      </c>
      <c r="B249" s="38">
        <v>5139.0498049999997</v>
      </c>
      <c r="C249" s="41">
        <f t="shared" si="11"/>
        <v>1.3949254813296896E-2</v>
      </c>
      <c r="D249" s="40">
        <v>53.805152999999997</v>
      </c>
      <c r="E249" s="41">
        <f t="shared" si="12"/>
        <v>1.2194020289649332E-2</v>
      </c>
    </row>
    <row r="250" spans="1:5">
      <c r="A250" s="37">
        <v>41077</v>
      </c>
      <c r="B250" s="38">
        <v>5146.0498049999997</v>
      </c>
      <c r="C250" s="41">
        <f t="shared" si="11"/>
        <v>1.3621195095616656E-3</v>
      </c>
      <c r="D250" s="40">
        <v>58.180897000000002</v>
      </c>
      <c r="E250" s="41">
        <f t="shared" si="12"/>
        <v>8.132574216450994E-2</v>
      </c>
    </row>
    <row r="251" spans="1:5">
      <c r="A251" s="37">
        <v>41084</v>
      </c>
      <c r="B251" s="38">
        <v>5278.8999020000001</v>
      </c>
      <c r="C251" s="41">
        <f t="shared" si="11"/>
        <v>2.5815936890257296E-2</v>
      </c>
      <c r="D251" s="40">
        <v>56.300975999999999</v>
      </c>
      <c r="E251" s="41">
        <f t="shared" si="12"/>
        <v>-3.2311653771855742E-2</v>
      </c>
    </row>
    <row r="252" spans="1:5">
      <c r="A252" s="37">
        <v>41091</v>
      </c>
      <c r="B252" s="38">
        <v>5316.9501950000003</v>
      </c>
      <c r="C252" s="41">
        <f t="shared" si="11"/>
        <v>7.2079966861247069E-3</v>
      </c>
      <c r="D252" s="40">
        <v>58.375404000000003</v>
      </c>
      <c r="E252" s="41">
        <f t="shared" si="12"/>
        <v>3.6845329288785367E-2</v>
      </c>
    </row>
    <row r="253" spans="1:5">
      <c r="A253" s="37">
        <v>41098</v>
      </c>
      <c r="B253" s="38">
        <v>5227.25</v>
      </c>
      <c r="C253" s="41">
        <f t="shared" si="11"/>
        <v>-1.6870610351842896E-2</v>
      </c>
      <c r="D253" s="40">
        <v>58.829185000000003</v>
      </c>
      <c r="E253" s="41">
        <f t="shared" si="12"/>
        <v>7.7734965226108343E-3</v>
      </c>
    </row>
    <row r="254" spans="1:5">
      <c r="A254" s="37">
        <v>41105</v>
      </c>
      <c r="B254" s="38">
        <v>5205.1000979999999</v>
      </c>
      <c r="C254" s="41">
        <f t="shared" si="11"/>
        <v>-4.2373909799607867E-3</v>
      </c>
      <c r="D254" s="40">
        <v>58.343018000000001</v>
      </c>
      <c r="E254" s="41">
        <f t="shared" si="12"/>
        <v>-8.2640444534460844E-3</v>
      </c>
    </row>
    <row r="255" spans="1:5">
      <c r="A255" s="37">
        <v>41112</v>
      </c>
      <c r="B255" s="38">
        <v>5099.8500979999999</v>
      </c>
      <c r="C255" s="41">
        <f t="shared" si="11"/>
        <v>-2.0220552538546044E-2</v>
      </c>
      <c r="D255" s="40">
        <v>55.685169000000002</v>
      </c>
      <c r="E255" s="41">
        <f t="shared" si="12"/>
        <v>-4.555556244964909E-2</v>
      </c>
    </row>
    <row r="256" spans="1:5">
      <c r="A256" s="37">
        <v>41119</v>
      </c>
      <c r="B256" s="38">
        <v>5215.7001950000003</v>
      </c>
      <c r="C256" s="41">
        <f t="shared" si="11"/>
        <v>2.2716372986224309E-2</v>
      </c>
      <c r="D256" s="40">
        <v>55.101737999999997</v>
      </c>
      <c r="E256" s="41">
        <f t="shared" si="12"/>
        <v>-1.0477313986422598E-2</v>
      </c>
    </row>
    <row r="257" spans="1:5">
      <c r="A257" s="37">
        <v>41126</v>
      </c>
      <c r="B257" s="38">
        <v>5320.3999020000001</v>
      </c>
      <c r="C257" s="41">
        <f t="shared" si="11"/>
        <v>2.0073950396989781E-2</v>
      </c>
      <c r="D257" s="40">
        <v>60.878712</v>
      </c>
      <c r="E257" s="41">
        <f t="shared" si="12"/>
        <v>0.10484195616479464</v>
      </c>
    </row>
    <row r="258" spans="1:5">
      <c r="A258" s="37">
        <v>41133</v>
      </c>
      <c r="B258" s="38">
        <v>5366.2998049999997</v>
      </c>
      <c r="C258" s="41">
        <f t="shared" si="11"/>
        <v>8.6271528166042E-3</v>
      </c>
      <c r="D258" s="40">
        <v>59.642906000000004</v>
      </c>
      <c r="E258" s="41">
        <f t="shared" si="12"/>
        <v>-2.0299476769482183E-2</v>
      </c>
    </row>
    <row r="259" spans="1:5">
      <c r="A259" s="37">
        <v>41140</v>
      </c>
      <c r="B259" s="38">
        <v>5386.7001950000003</v>
      </c>
      <c r="C259" s="41">
        <f t="shared" si="11"/>
        <v>3.8015747798869626E-3</v>
      </c>
      <c r="D259" s="40">
        <v>61.008789</v>
      </c>
      <c r="E259" s="41">
        <f t="shared" si="12"/>
        <v>2.2901013575696627E-2</v>
      </c>
    </row>
    <row r="260" spans="1:5">
      <c r="A260" s="37">
        <v>41147</v>
      </c>
      <c r="B260" s="38">
        <v>5258.5</v>
      </c>
      <c r="C260" s="41">
        <f t="shared" ref="C260:C323" si="13">B260/B259-1</f>
        <v>-2.3799393015968673E-2</v>
      </c>
      <c r="D260" s="40">
        <v>58.212024999999997</v>
      </c>
      <c r="E260" s="41">
        <f t="shared" ref="E260:E323" si="14">D260/D259-1</f>
        <v>-4.5841985160531618E-2</v>
      </c>
    </row>
    <row r="261" spans="1:5">
      <c r="A261" s="37">
        <v>41154</v>
      </c>
      <c r="B261" s="38">
        <v>5342.1000979999999</v>
      </c>
      <c r="C261" s="41">
        <f t="shared" si="13"/>
        <v>1.5898088428258905E-2</v>
      </c>
      <c r="D261" s="40">
        <v>55.740490000000001</v>
      </c>
      <c r="E261" s="41">
        <f t="shared" si="14"/>
        <v>-4.2457464759214192E-2</v>
      </c>
    </row>
    <row r="262" spans="1:5">
      <c r="A262" s="37">
        <v>41161</v>
      </c>
      <c r="B262" s="38">
        <v>5577.6499020000001</v>
      </c>
      <c r="C262" s="41">
        <f t="shared" si="13"/>
        <v>4.4093109391227348E-2</v>
      </c>
      <c r="D262" s="40">
        <v>55.837958999999998</v>
      </c>
      <c r="E262" s="41">
        <f t="shared" si="14"/>
        <v>1.7486211549269104E-3</v>
      </c>
    </row>
    <row r="263" spans="1:5">
      <c r="A263" s="37">
        <v>41168</v>
      </c>
      <c r="B263" s="38">
        <v>5691.1499020000001</v>
      </c>
      <c r="C263" s="41">
        <f t="shared" si="13"/>
        <v>2.034907209921899E-2</v>
      </c>
      <c r="D263" s="40">
        <v>57.886791000000002</v>
      </c>
      <c r="E263" s="41">
        <f t="shared" si="14"/>
        <v>3.6692458619413504E-2</v>
      </c>
    </row>
    <row r="264" spans="1:5">
      <c r="A264" s="37">
        <v>41175</v>
      </c>
      <c r="B264" s="38">
        <v>5703.2998049999997</v>
      </c>
      <c r="C264" s="41">
        <f t="shared" si="13"/>
        <v>2.1348766434230448E-3</v>
      </c>
      <c r="D264" s="40">
        <v>59.447741999999998</v>
      </c>
      <c r="E264" s="41">
        <f t="shared" si="14"/>
        <v>2.6965581837141261E-2</v>
      </c>
    </row>
    <row r="265" spans="1:5">
      <c r="A265" s="37">
        <v>41182</v>
      </c>
      <c r="B265" s="38">
        <v>5746.9501950000003</v>
      </c>
      <c r="C265" s="41">
        <f t="shared" si="13"/>
        <v>7.6535324272684058E-3</v>
      </c>
      <c r="D265" s="40">
        <v>60.651072999999997</v>
      </c>
      <c r="E265" s="41">
        <f t="shared" si="14"/>
        <v>2.0241828528996031E-2</v>
      </c>
    </row>
    <row r="266" spans="1:5">
      <c r="A266" s="37">
        <v>41189</v>
      </c>
      <c r="B266" s="38">
        <v>5676.0498049999997</v>
      </c>
      <c r="C266" s="41">
        <f t="shared" si="13"/>
        <v>-1.2337046188722112E-2</v>
      </c>
      <c r="D266" s="40">
        <v>56.455920999999996</v>
      </c>
      <c r="E266" s="41">
        <f t="shared" si="14"/>
        <v>-6.9168636142677986E-2</v>
      </c>
    </row>
    <row r="267" spans="1:5">
      <c r="A267" s="37">
        <v>41196</v>
      </c>
      <c r="B267" s="38">
        <v>5684.25</v>
      </c>
      <c r="C267" s="41">
        <f t="shared" si="13"/>
        <v>1.4447010300679963E-3</v>
      </c>
      <c r="D267" s="40">
        <v>62.537250999999998</v>
      </c>
      <c r="E267" s="41">
        <f t="shared" si="14"/>
        <v>0.10771819664406856</v>
      </c>
    </row>
    <row r="268" spans="1:5">
      <c r="A268" s="37">
        <v>41203</v>
      </c>
      <c r="B268" s="38">
        <v>5664.2998049999997</v>
      </c>
      <c r="C268" s="41">
        <f t="shared" si="13"/>
        <v>-3.5097321546379012E-3</v>
      </c>
      <c r="D268" s="40">
        <v>53.626564000000002</v>
      </c>
      <c r="E268" s="41">
        <f t="shared" si="14"/>
        <v>-0.14248606802368069</v>
      </c>
    </row>
    <row r="269" spans="1:5">
      <c r="A269" s="37">
        <v>41210</v>
      </c>
      <c r="B269" s="38">
        <v>5697.7001950000003</v>
      </c>
      <c r="C269" s="41">
        <f t="shared" si="13"/>
        <v>5.8966493917778084E-3</v>
      </c>
      <c r="D269" s="40">
        <v>56.390839</v>
      </c>
      <c r="E269" s="41">
        <f t="shared" si="14"/>
        <v>5.1546748361502193E-2</v>
      </c>
    </row>
    <row r="270" spans="1:5">
      <c r="A270" s="37">
        <v>41217</v>
      </c>
      <c r="B270" s="38">
        <v>5686.25</v>
      </c>
      <c r="C270" s="41">
        <f t="shared" si="13"/>
        <v>-2.0096169696763866E-3</v>
      </c>
      <c r="D270" s="40">
        <v>58.244517999999999</v>
      </c>
      <c r="E270" s="41">
        <f t="shared" si="14"/>
        <v>3.2871988302922706E-2</v>
      </c>
    </row>
    <row r="271" spans="1:5">
      <c r="A271" s="37">
        <v>41224</v>
      </c>
      <c r="B271" s="38">
        <v>5574.0498049999997</v>
      </c>
      <c r="C271" s="41">
        <f t="shared" si="13"/>
        <v>-1.9731843482084011E-2</v>
      </c>
      <c r="D271" s="40">
        <v>57.268932</v>
      </c>
      <c r="E271" s="41">
        <f t="shared" si="14"/>
        <v>-1.6749833864193042E-2</v>
      </c>
    </row>
    <row r="272" spans="1:5">
      <c r="A272" s="37">
        <v>41231</v>
      </c>
      <c r="B272" s="38">
        <v>5626.6000979999999</v>
      </c>
      <c r="C272" s="41">
        <f t="shared" si="13"/>
        <v>9.4276683629310742E-3</v>
      </c>
      <c r="D272" s="40">
        <v>55.642910000000001</v>
      </c>
      <c r="E272" s="41">
        <f t="shared" si="14"/>
        <v>-2.8392741809817545E-2</v>
      </c>
    </row>
    <row r="273" spans="1:5">
      <c r="A273" s="37">
        <v>41238</v>
      </c>
      <c r="B273" s="38">
        <v>5879.8500979999999</v>
      </c>
      <c r="C273" s="41">
        <f t="shared" si="13"/>
        <v>4.5009418758944486E-2</v>
      </c>
      <c r="D273" s="40">
        <v>57.061591999999997</v>
      </c>
      <c r="E273" s="41">
        <f t="shared" si="14"/>
        <v>2.5496186306575241E-2</v>
      </c>
    </row>
    <row r="274" spans="1:5">
      <c r="A274" s="37">
        <v>41245</v>
      </c>
      <c r="B274" s="38">
        <v>5907.3999020000001</v>
      </c>
      <c r="C274" s="41">
        <f t="shared" si="13"/>
        <v>4.6854602652830479E-3</v>
      </c>
      <c r="D274" s="40">
        <v>57.391075000000001</v>
      </c>
      <c r="E274" s="41">
        <f t="shared" si="14"/>
        <v>5.774164169832563E-3</v>
      </c>
    </row>
    <row r="275" spans="1:5">
      <c r="A275" s="37">
        <v>41252</v>
      </c>
      <c r="B275" s="38">
        <v>5879.6000979999999</v>
      </c>
      <c r="C275" s="41">
        <f t="shared" si="13"/>
        <v>-4.7059289130888526E-3</v>
      </c>
      <c r="D275" s="40">
        <v>58.445332000000001</v>
      </c>
      <c r="E275" s="41">
        <f t="shared" si="14"/>
        <v>1.8369702954684097E-2</v>
      </c>
    </row>
    <row r="276" spans="1:5">
      <c r="A276" s="37">
        <v>41259</v>
      </c>
      <c r="B276" s="38">
        <v>5847.7001950000003</v>
      </c>
      <c r="C276" s="41">
        <f t="shared" si="13"/>
        <v>-5.4255225641707261E-3</v>
      </c>
      <c r="D276" s="40">
        <v>58.181792999999999</v>
      </c>
      <c r="E276" s="41">
        <f t="shared" si="14"/>
        <v>-4.5091539560422333E-3</v>
      </c>
    </row>
    <row r="277" spans="1:5">
      <c r="A277" s="37">
        <v>41266</v>
      </c>
      <c r="B277" s="38">
        <v>5908.3500979999999</v>
      </c>
      <c r="C277" s="41">
        <f t="shared" si="13"/>
        <v>1.0371582156667003E-2</v>
      </c>
      <c r="D277" s="40">
        <v>56.765129000000002</v>
      </c>
      <c r="E277" s="41">
        <f t="shared" si="14"/>
        <v>-2.4348923038518211E-2</v>
      </c>
    </row>
    <row r="278" spans="1:5">
      <c r="A278" s="37">
        <v>41273</v>
      </c>
      <c r="B278" s="38">
        <v>6016.1499020000001</v>
      </c>
      <c r="C278" s="41">
        <f t="shared" si="13"/>
        <v>1.8245331135081422E-2</v>
      </c>
      <c r="D278" s="40">
        <v>58.445332000000001</v>
      </c>
      <c r="E278" s="41">
        <f t="shared" si="14"/>
        <v>2.9599210458942204E-2</v>
      </c>
    </row>
    <row r="279" spans="1:5">
      <c r="A279" s="37">
        <v>41280</v>
      </c>
      <c r="B279" s="38">
        <v>5951.2998049999997</v>
      </c>
      <c r="C279" s="41">
        <f t="shared" si="13"/>
        <v>-1.0779335298550574E-2</v>
      </c>
      <c r="D279" s="40">
        <v>58.807727999999997</v>
      </c>
      <c r="E279" s="41">
        <f t="shared" si="14"/>
        <v>6.200597850996914E-3</v>
      </c>
    </row>
    <row r="280" spans="1:5">
      <c r="A280" s="37">
        <v>41287</v>
      </c>
      <c r="B280" s="38">
        <v>6064.3999020000001</v>
      </c>
      <c r="C280" s="41">
        <f t="shared" si="13"/>
        <v>1.9004268093665733E-2</v>
      </c>
      <c r="D280" s="40">
        <v>57.028683000000001</v>
      </c>
      <c r="E280" s="41">
        <f t="shared" si="14"/>
        <v>-3.0251891384071139E-2</v>
      </c>
    </row>
    <row r="281" spans="1:5">
      <c r="A281" s="37">
        <v>41294</v>
      </c>
      <c r="B281" s="38">
        <v>6074.6499020000001</v>
      </c>
      <c r="C281" s="41">
        <f t="shared" si="13"/>
        <v>1.6901919671590271E-3</v>
      </c>
      <c r="D281" s="40">
        <v>55.447333999999998</v>
      </c>
      <c r="E281" s="41">
        <f t="shared" si="14"/>
        <v>-2.7729011381869118E-2</v>
      </c>
    </row>
    <row r="282" spans="1:5">
      <c r="A282" s="37">
        <v>41301</v>
      </c>
      <c r="B282" s="38">
        <v>5998.8999020000001</v>
      </c>
      <c r="C282" s="41">
        <f t="shared" si="13"/>
        <v>-1.2469854431456207E-2</v>
      </c>
      <c r="D282" s="40">
        <v>56.567428999999997</v>
      </c>
      <c r="E282" s="41">
        <f t="shared" si="14"/>
        <v>2.0201061425243694E-2</v>
      </c>
    </row>
    <row r="283" spans="1:5">
      <c r="A283" s="37">
        <v>41308</v>
      </c>
      <c r="B283" s="38">
        <v>5903.5</v>
      </c>
      <c r="C283" s="41">
        <f t="shared" si="13"/>
        <v>-1.590289945798129E-2</v>
      </c>
      <c r="D283" s="40">
        <v>59.236052999999998</v>
      </c>
      <c r="E283" s="41">
        <f t="shared" si="14"/>
        <v>4.717598178273219E-2</v>
      </c>
    </row>
    <row r="284" spans="1:5">
      <c r="A284" s="37">
        <v>41315</v>
      </c>
      <c r="B284" s="38">
        <v>5887.3999020000001</v>
      </c>
      <c r="C284" s="41">
        <f t="shared" si="13"/>
        <v>-2.7272123316676167E-3</v>
      </c>
      <c r="D284" s="40">
        <v>56.989967</v>
      </c>
      <c r="E284" s="41">
        <f t="shared" si="14"/>
        <v>-3.7917549975856724E-2</v>
      </c>
    </row>
    <row r="285" spans="1:5">
      <c r="A285" s="37">
        <v>41322</v>
      </c>
      <c r="B285" s="38">
        <v>5850.2998049999997</v>
      </c>
      <c r="C285" s="41">
        <f t="shared" si="13"/>
        <v>-6.3016098137647081E-3</v>
      </c>
      <c r="D285" s="40">
        <v>55.130119000000001</v>
      </c>
      <c r="E285" s="41">
        <f t="shared" si="14"/>
        <v>-3.2634656552792851E-2</v>
      </c>
    </row>
    <row r="286" spans="1:5">
      <c r="A286" s="37">
        <v>41329</v>
      </c>
      <c r="B286" s="38">
        <v>5719.7001950000003</v>
      </c>
      <c r="C286" s="41">
        <f t="shared" si="13"/>
        <v>-2.2323575603489854E-2</v>
      </c>
      <c r="D286" s="40">
        <v>55.927204000000003</v>
      </c>
      <c r="E286" s="41">
        <f t="shared" si="14"/>
        <v>1.4458249219451158E-2</v>
      </c>
    </row>
    <row r="287" spans="1:5">
      <c r="A287" s="37">
        <v>41336</v>
      </c>
      <c r="B287" s="38">
        <v>5945.7001950000003</v>
      </c>
      <c r="C287" s="41">
        <f t="shared" si="13"/>
        <v>3.9512560500559513E-2</v>
      </c>
      <c r="D287" s="40">
        <v>56.026859000000002</v>
      </c>
      <c r="E287" s="41">
        <f t="shared" si="14"/>
        <v>1.7818698749896278E-3</v>
      </c>
    </row>
    <row r="288" spans="1:5">
      <c r="A288" s="37">
        <v>41343</v>
      </c>
      <c r="B288" s="38">
        <v>5872.6000979999999</v>
      </c>
      <c r="C288" s="41">
        <f t="shared" si="13"/>
        <v>-1.2294615369519257E-2</v>
      </c>
      <c r="D288" s="40">
        <v>55.130119000000001</v>
      </c>
      <c r="E288" s="41">
        <f t="shared" si="14"/>
        <v>-1.6005537629728672E-2</v>
      </c>
    </row>
    <row r="289" spans="1:5">
      <c r="A289" s="37">
        <v>41350</v>
      </c>
      <c r="B289" s="38">
        <v>5651.3500979999999</v>
      </c>
      <c r="C289" s="41">
        <f t="shared" si="13"/>
        <v>-3.767496446341545E-2</v>
      </c>
      <c r="D289" s="40">
        <v>59.281489999999998</v>
      </c>
      <c r="E289" s="41">
        <f t="shared" si="14"/>
        <v>7.5301324852935503E-2</v>
      </c>
    </row>
    <row r="290" spans="1:5">
      <c r="A290" s="37">
        <v>41357</v>
      </c>
      <c r="B290" s="38">
        <v>5682.5498049999997</v>
      </c>
      <c r="C290" s="41">
        <f t="shared" si="13"/>
        <v>5.5207528217091628E-3</v>
      </c>
      <c r="D290" s="40">
        <v>62.370089999999998</v>
      </c>
      <c r="E290" s="41">
        <f t="shared" si="14"/>
        <v>5.2100579793119328E-2</v>
      </c>
    </row>
    <row r="291" spans="1:5">
      <c r="A291" s="37">
        <v>41364</v>
      </c>
      <c r="B291" s="38">
        <v>5553.25</v>
      </c>
      <c r="C291" s="41">
        <f t="shared" si="13"/>
        <v>-2.2753835766864849E-2</v>
      </c>
      <c r="D291" s="40">
        <v>66.355438000000007</v>
      </c>
      <c r="E291" s="41">
        <f t="shared" si="14"/>
        <v>6.3898384626349003E-2</v>
      </c>
    </row>
    <row r="292" spans="1:5">
      <c r="A292" s="37">
        <v>41371</v>
      </c>
      <c r="B292" s="38">
        <v>5528.5498049999997</v>
      </c>
      <c r="C292" s="41">
        <f t="shared" si="13"/>
        <v>-4.447880970602891E-3</v>
      </c>
      <c r="D292" s="40">
        <v>67.418198000000004</v>
      </c>
      <c r="E292" s="41">
        <f t="shared" si="14"/>
        <v>1.60161703702415E-2</v>
      </c>
    </row>
    <row r="293" spans="1:5">
      <c r="A293" s="37">
        <v>41378</v>
      </c>
      <c r="B293" s="38">
        <v>5783.1000979999999</v>
      </c>
      <c r="C293" s="41">
        <f t="shared" si="13"/>
        <v>4.604286874105501E-2</v>
      </c>
      <c r="D293" s="40">
        <v>66.288971000000004</v>
      </c>
      <c r="E293" s="41">
        <f t="shared" si="14"/>
        <v>-1.6749587403685928E-2</v>
      </c>
    </row>
    <row r="294" spans="1:5">
      <c r="A294" s="37">
        <v>41385</v>
      </c>
      <c r="B294" s="38">
        <v>5871.4501950000003</v>
      </c>
      <c r="C294" s="41">
        <f t="shared" si="13"/>
        <v>1.5277289948786299E-2</v>
      </c>
      <c r="D294" s="40">
        <v>66.820396000000002</v>
      </c>
      <c r="E294" s="41">
        <f t="shared" si="14"/>
        <v>8.0167936231805292E-3</v>
      </c>
    </row>
    <row r="295" spans="1:5">
      <c r="A295" s="37">
        <v>41392</v>
      </c>
      <c r="B295" s="38">
        <v>5944</v>
      </c>
      <c r="C295" s="41">
        <f t="shared" si="13"/>
        <v>1.2356368970272813E-2</v>
      </c>
      <c r="D295" s="40">
        <v>69.742996000000005</v>
      </c>
      <c r="E295" s="41">
        <f t="shared" si="14"/>
        <v>4.3738142467757868E-2</v>
      </c>
    </row>
    <row r="296" spans="1:5">
      <c r="A296" s="37">
        <v>41399</v>
      </c>
      <c r="B296" s="38">
        <v>6094.75</v>
      </c>
      <c r="C296" s="41">
        <f t="shared" si="13"/>
        <v>2.5361709286675582E-2</v>
      </c>
      <c r="D296" s="40">
        <v>79.141670000000005</v>
      </c>
      <c r="E296" s="41">
        <f t="shared" si="14"/>
        <v>0.13476154652146</v>
      </c>
    </row>
    <row r="297" spans="1:5">
      <c r="A297" s="37">
        <v>41406</v>
      </c>
      <c r="B297" s="38">
        <v>6187.2998049999997</v>
      </c>
      <c r="C297" s="41">
        <f t="shared" si="13"/>
        <v>1.5185168382624292E-2</v>
      </c>
      <c r="D297" s="40">
        <v>79.706267999999994</v>
      </c>
      <c r="E297" s="41">
        <f t="shared" si="14"/>
        <v>7.1340167575435487E-3</v>
      </c>
    </row>
    <row r="298" spans="1:5">
      <c r="A298" s="37">
        <v>41413</v>
      </c>
      <c r="B298" s="38">
        <v>5983.5498049999997</v>
      </c>
      <c r="C298" s="41">
        <f t="shared" si="13"/>
        <v>-3.2930358382722624E-2</v>
      </c>
      <c r="D298" s="40">
        <v>82.529212999999999</v>
      </c>
      <c r="E298" s="41">
        <f t="shared" si="14"/>
        <v>3.5416850780167097E-2</v>
      </c>
    </row>
    <row r="299" spans="1:5">
      <c r="A299" s="37">
        <v>41420</v>
      </c>
      <c r="B299" s="38">
        <v>5985.9501950000003</v>
      </c>
      <c r="C299" s="41">
        <f t="shared" si="13"/>
        <v>4.0116487339925122E-4</v>
      </c>
      <c r="D299" s="40">
        <v>85.186049999999994</v>
      </c>
      <c r="E299" s="41">
        <f t="shared" si="14"/>
        <v>3.2192685516097219E-2</v>
      </c>
    </row>
    <row r="300" spans="1:5">
      <c r="A300" s="37">
        <v>41427</v>
      </c>
      <c r="B300" s="38">
        <v>5881</v>
      </c>
      <c r="C300" s="41">
        <f t="shared" si="13"/>
        <v>-1.7532754463554401E-2</v>
      </c>
      <c r="D300" s="40">
        <v>83.359497000000005</v>
      </c>
      <c r="E300" s="41">
        <f t="shared" si="14"/>
        <v>-2.144192623087926E-2</v>
      </c>
    </row>
    <row r="301" spans="1:5">
      <c r="A301" s="37">
        <v>41434</v>
      </c>
      <c r="B301" s="38">
        <v>5808.3999020000001</v>
      </c>
      <c r="C301" s="41">
        <f t="shared" si="13"/>
        <v>-1.2344855976874625E-2</v>
      </c>
      <c r="D301" s="40">
        <v>83.435432000000006</v>
      </c>
      <c r="E301" s="41">
        <f t="shared" si="14"/>
        <v>9.1093399951769349E-4</v>
      </c>
    </row>
    <row r="302" spans="1:5">
      <c r="A302" s="37">
        <v>41441</v>
      </c>
      <c r="B302" s="38">
        <v>5667.6499020000001</v>
      </c>
      <c r="C302" s="41">
        <f t="shared" si="13"/>
        <v>-2.4232146955228684E-2</v>
      </c>
      <c r="D302" s="40">
        <v>86.904944999999998</v>
      </c>
      <c r="E302" s="41">
        <f t="shared" si="14"/>
        <v>4.1583208917765235E-2</v>
      </c>
    </row>
    <row r="303" spans="1:5">
      <c r="A303" s="37">
        <v>41448</v>
      </c>
      <c r="B303" s="38">
        <v>5842.2001950000003</v>
      </c>
      <c r="C303" s="41">
        <f t="shared" si="13"/>
        <v>3.0797649117036086E-2</v>
      </c>
      <c r="D303" s="40">
        <v>88.773185999999995</v>
      </c>
      <c r="E303" s="41">
        <f t="shared" si="14"/>
        <v>2.1497522379192446E-2</v>
      </c>
    </row>
    <row r="304" spans="1:5">
      <c r="A304" s="37">
        <v>41455</v>
      </c>
      <c r="B304" s="38">
        <v>5867.8999020000001</v>
      </c>
      <c r="C304" s="41">
        <f t="shared" si="13"/>
        <v>4.3989774643455881E-3</v>
      </c>
      <c r="D304" s="40">
        <v>92.943282999999994</v>
      </c>
      <c r="E304" s="41">
        <f t="shared" si="14"/>
        <v>4.6974736267773487E-2</v>
      </c>
    </row>
    <row r="305" spans="1:5">
      <c r="A305" s="37">
        <v>41462</v>
      </c>
      <c r="B305" s="38">
        <v>6009</v>
      </c>
      <c r="C305" s="41">
        <f t="shared" si="13"/>
        <v>2.4046098324190579E-2</v>
      </c>
      <c r="D305" s="40">
        <v>95.345534999999998</v>
      </c>
      <c r="E305" s="41">
        <f t="shared" si="14"/>
        <v>2.5846429375644187E-2</v>
      </c>
    </row>
    <row r="306" spans="1:5">
      <c r="A306" s="37">
        <v>41469</v>
      </c>
      <c r="B306" s="38">
        <v>6029.2001950000003</v>
      </c>
      <c r="C306" s="41">
        <f t="shared" si="13"/>
        <v>3.3616566816443427E-3</v>
      </c>
      <c r="D306" s="40">
        <v>91.54213</v>
      </c>
      <c r="E306" s="41">
        <f t="shared" si="14"/>
        <v>-3.9890751045657202E-2</v>
      </c>
    </row>
    <row r="307" spans="1:5">
      <c r="A307" s="37">
        <v>41476</v>
      </c>
      <c r="B307" s="38">
        <v>5886.2001950000003</v>
      </c>
      <c r="C307" s="41">
        <f t="shared" si="13"/>
        <v>-2.3717905422777186E-2</v>
      </c>
      <c r="D307" s="40">
        <v>89.040062000000006</v>
      </c>
      <c r="E307" s="41">
        <f t="shared" si="14"/>
        <v>-2.7332420602404484E-2</v>
      </c>
    </row>
    <row r="308" spans="1:5">
      <c r="A308" s="37">
        <v>41483</v>
      </c>
      <c r="B308" s="38">
        <v>5677.8999020000001</v>
      </c>
      <c r="C308" s="41">
        <f t="shared" si="13"/>
        <v>-3.5387904947055571E-2</v>
      </c>
      <c r="D308" s="40">
        <v>85.703971999999993</v>
      </c>
      <c r="E308" s="41">
        <f t="shared" si="14"/>
        <v>-3.7467291970214589E-2</v>
      </c>
    </row>
    <row r="309" spans="1:5">
      <c r="A309" s="37">
        <v>41490</v>
      </c>
      <c r="B309" s="38">
        <v>5565.6499020000001</v>
      </c>
      <c r="C309" s="41">
        <f t="shared" si="13"/>
        <v>-1.9769633480234639E-2</v>
      </c>
      <c r="D309" s="40">
        <v>83.402107000000001</v>
      </c>
      <c r="E309" s="41">
        <f t="shared" si="14"/>
        <v>-2.6858323439198251E-2</v>
      </c>
    </row>
    <row r="310" spans="1:5">
      <c r="A310" s="37">
        <v>41497</v>
      </c>
      <c r="B310" s="38">
        <v>5507.8500979999999</v>
      </c>
      <c r="C310" s="41">
        <f t="shared" si="13"/>
        <v>-1.0385095185241555E-2</v>
      </c>
      <c r="D310" s="40">
        <v>85.670638999999994</v>
      </c>
      <c r="E310" s="41">
        <f t="shared" si="14"/>
        <v>2.7199936327747531E-2</v>
      </c>
    </row>
    <row r="311" spans="1:5">
      <c r="A311" s="37">
        <v>41504</v>
      </c>
      <c r="B311" s="38">
        <v>5471.75</v>
      </c>
      <c r="C311" s="41">
        <f t="shared" si="13"/>
        <v>-6.5542992924060295E-3</v>
      </c>
      <c r="D311" s="40">
        <v>93.543785</v>
      </c>
      <c r="E311" s="41">
        <f t="shared" si="14"/>
        <v>9.1900166637020275E-2</v>
      </c>
    </row>
    <row r="312" spans="1:5">
      <c r="A312" s="37">
        <v>41511</v>
      </c>
      <c r="B312" s="38">
        <v>5471.7998049999997</v>
      </c>
      <c r="C312" s="41">
        <f t="shared" si="13"/>
        <v>9.1022067894019898E-6</v>
      </c>
      <c r="D312" s="40">
        <v>94.244370000000004</v>
      </c>
      <c r="E312" s="41">
        <f t="shared" si="14"/>
        <v>7.4893805077482778E-3</v>
      </c>
    </row>
    <row r="313" spans="1:5">
      <c r="A313" s="37">
        <v>41518</v>
      </c>
      <c r="B313" s="38">
        <v>5680.3999020000001</v>
      </c>
      <c r="C313" s="41">
        <f t="shared" si="13"/>
        <v>3.8122757490028469E-2</v>
      </c>
      <c r="D313" s="40">
        <v>97.947884000000002</v>
      </c>
      <c r="E313" s="41">
        <f t="shared" si="14"/>
        <v>3.9296925641287617E-2</v>
      </c>
    </row>
    <row r="314" spans="1:5">
      <c r="A314" s="37">
        <v>41525</v>
      </c>
      <c r="B314" s="38">
        <v>5850.6000979999999</v>
      </c>
      <c r="C314" s="41">
        <f t="shared" si="13"/>
        <v>2.9962713706137789E-2</v>
      </c>
      <c r="D314" s="40">
        <v>94.077506999999997</v>
      </c>
      <c r="E314" s="41">
        <f t="shared" si="14"/>
        <v>-3.9514656590233233E-2</v>
      </c>
    </row>
    <row r="315" spans="1:5">
      <c r="A315" s="37">
        <v>41532</v>
      </c>
      <c r="B315" s="38">
        <v>6012.1000979999999</v>
      </c>
      <c r="C315" s="41">
        <f t="shared" si="13"/>
        <v>2.7604005964312561E-2</v>
      </c>
      <c r="D315" s="40">
        <v>94.711051999999995</v>
      </c>
      <c r="E315" s="41">
        <f t="shared" si="14"/>
        <v>6.7342877187424044E-3</v>
      </c>
    </row>
    <row r="316" spans="1:5">
      <c r="A316" s="37">
        <v>41539</v>
      </c>
      <c r="B316" s="38">
        <v>5833.2001950000003</v>
      </c>
      <c r="C316" s="41">
        <f t="shared" si="13"/>
        <v>-2.9756640788384914E-2</v>
      </c>
      <c r="D316" s="40">
        <v>89.773972000000001</v>
      </c>
      <c r="E316" s="41">
        <f t="shared" si="14"/>
        <v>-5.2127812918813299E-2</v>
      </c>
    </row>
    <row r="317" spans="1:5">
      <c r="A317" s="37">
        <v>41546</v>
      </c>
      <c r="B317" s="38">
        <v>5907.2998049999997</v>
      </c>
      <c r="C317" s="41">
        <f t="shared" si="13"/>
        <v>1.270308021718769E-2</v>
      </c>
      <c r="D317" s="40">
        <v>91.008392000000001</v>
      </c>
      <c r="E317" s="41">
        <f t="shared" si="14"/>
        <v>1.3750310613414696E-2</v>
      </c>
    </row>
    <row r="318" spans="1:5">
      <c r="A318" s="37">
        <v>41553</v>
      </c>
      <c r="B318" s="38">
        <v>6096.2001950000003</v>
      </c>
      <c r="C318" s="41">
        <f t="shared" si="13"/>
        <v>3.1977450990402279E-2</v>
      </c>
      <c r="D318" s="40">
        <v>87.572211999999993</v>
      </c>
      <c r="E318" s="41">
        <f t="shared" si="14"/>
        <v>-3.775673786215239E-2</v>
      </c>
    </row>
    <row r="319" spans="1:5">
      <c r="A319" s="37">
        <v>41560</v>
      </c>
      <c r="B319" s="38">
        <v>6189.3500979999999</v>
      </c>
      <c r="C319" s="41">
        <f t="shared" si="13"/>
        <v>1.5279994098028382E-2</v>
      </c>
      <c r="D319" s="40">
        <v>86.904944999999998</v>
      </c>
      <c r="E319" s="41">
        <f t="shared" si="14"/>
        <v>-7.6196202512275324E-3</v>
      </c>
    </row>
    <row r="320" spans="1:5">
      <c r="A320" s="37">
        <v>41567</v>
      </c>
      <c r="B320" s="38">
        <v>6144.8999020000001</v>
      </c>
      <c r="C320" s="41">
        <f t="shared" si="13"/>
        <v>-7.1817226843191584E-3</v>
      </c>
      <c r="D320" s="40">
        <v>93.577110000000005</v>
      </c>
      <c r="E320" s="41">
        <f t="shared" si="14"/>
        <v>7.6775435506000411E-2</v>
      </c>
    </row>
    <row r="321" spans="1:5">
      <c r="A321" s="37">
        <v>41574</v>
      </c>
      <c r="B321" s="38">
        <v>6307.2001950000003</v>
      </c>
      <c r="C321" s="41">
        <f t="shared" si="13"/>
        <v>2.6412194761248342E-2</v>
      </c>
      <c r="D321" s="40">
        <v>114.92847399999999</v>
      </c>
      <c r="E321" s="41">
        <f t="shared" si="14"/>
        <v>0.22816866218672471</v>
      </c>
    </row>
    <row r="322" spans="1:5">
      <c r="A322" s="37">
        <v>41581</v>
      </c>
      <c r="B322" s="38">
        <v>6140.75</v>
      </c>
      <c r="C322" s="41">
        <f t="shared" si="13"/>
        <v>-2.6390504479618881E-2</v>
      </c>
      <c r="D322" s="40">
        <v>116.915565</v>
      </c>
      <c r="E322" s="41">
        <f t="shared" si="14"/>
        <v>1.7289805831755878E-2</v>
      </c>
    </row>
    <row r="323" spans="1:5">
      <c r="A323" s="37">
        <v>41588</v>
      </c>
      <c r="B323" s="38">
        <v>6056.1499020000001</v>
      </c>
      <c r="C323" s="41">
        <f t="shared" si="13"/>
        <v>-1.3776834751455413E-2</v>
      </c>
      <c r="D323" s="40">
        <v>116.881996</v>
      </c>
      <c r="E323" s="41">
        <f t="shared" si="14"/>
        <v>-2.8712173610079272E-4</v>
      </c>
    </row>
    <row r="324" spans="1:5">
      <c r="A324" s="37">
        <v>41595</v>
      </c>
      <c r="B324" s="38">
        <v>5995.4501950000003</v>
      </c>
      <c r="C324" s="41">
        <f t="shared" ref="C324:C387" si="15">B324/B323-1</f>
        <v>-1.0022821096280055E-2</v>
      </c>
      <c r="D324" s="40">
        <v>124.98967</v>
      </c>
      <c r="E324" s="41">
        <f t="shared" ref="E324:E387" si="16">D324/D323-1</f>
        <v>6.9366320540932502E-2</v>
      </c>
    </row>
    <row r="325" spans="1:5">
      <c r="A325" s="37">
        <v>41602</v>
      </c>
      <c r="B325" s="38">
        <v>6176.1000979999999</v>
      </c>
      <c r="C325" s="41">
        <f t="shared" si="15"/>
        <v>3.0131165654691872E-2</v>
      </c>
      <c r="D325" s="40">
        <v>125.664749</v>
      </c>
      <c r="E325" s="41">
        <f t="shared" si="16"/>
        <v>5.4010783451143851E-3</v>
      </c>
    </row>
    <row r="326" spans="1:5">
      <c r="A326" s="37">
        <v>41609</v>
      </c>
      <c r="B326" s="38">
        <v>6259.8999020000001</v>
      </c>
      <c r="C326" s="41">
        <f t="shared" si="15"/>
        <v>1.3568401203072566E-2</v>
      </c>
      <c r="D326" s="40">
        <v>125.42887899999999</v>
      </c>
      <c r="E326" s="41">
        <f t="shared" si="16"/>
        <v>-1.8769782447104477E-3</v>
      </c>
    </row>
    <row r="327" spans="1:5">
      <c r="A327" s="37">
        <v>41616</v>
      </c>
      <c r="B327" s="38">
        <v>6168.3999020000001</v>
      </c>
      <c r="C327" s="41">
        <f t="shared" si="15"/>
        <v>-1.4616847143317124E-2</v>
      </c>
      <c r="D327" s="40">
        <v>128.29986600000001</v>
      </c>
      <c r="E327" s="41">
        <f t="shared" si="16"/>
        <v>2.2889361866974989E-2</v>
      </c>
    </row>
    <row r="328" spans="1:5">
      <c r="A328" s="37">
        <v>41623</v>
      </c>
      <c r="B328" s="38">
        <v>6274.25</v>
      </c>
      <c r="C328" s="41">
        <f t="shared" si="15"/>
        <v>1.7160057661903538E-2</v>
      </c>
      <c r="D328" s="40">
        <v>130.83334400000001</v>
      </c>
      <c r="E328" s="41">
        <f t="shared" si="16"/>
        <v>1.9746536601994658E-2</v>
      </c>
    </row>
    <row r="329" spans="1:5">
      <c r="A329" s="37">
        <v>41630</v>
      </c>
      <c r="B329" s="38">
        <v>6313.7998049999997</v>
      </c>
      <c r="C329" s="41">
        <f t="shared" si="15"/>
        <v>6.3035111766345242E-3</v>
      </c>
      <c r="D329" s="40">
        <v>132.48846399999999</v>
      </c>
      <c r="E329" s="41">
        <f t="shared" si="16"/>
        <v>1.2650597694728205E-2</v>
      </c>
    </row>
    <row r="330" spans="1:5">
      <c r="A330" s="37">
        <v>41637</v>
      </c>
      <c r="B330" s="38">
        <v>6211.1499020000001</v>
      </c>
      <c r="C330" s="41">
        <f t="shared" si="15"/>
        <v>-1.6258023087572293E-2</v>
      </c>
      <c r="D330" s="40">
        <v>136.813187</v>
      </c>
      <c r="E330" s="41">
        <f t="shared" si="16"/>
        <v>3.2642260838649406E-2</v>
      </c>
    </row>
    <row r="331" spans="1:5">
      <c r="A331" s="37">
        <v>41644</v>
      </c>
      <c r="B331" s="38">
        <v>6171.4501950000003</v>
      </c>
      <c r="C331" s="41">
        <f t="shared" si="15"/>
        <v>-6.3916839275149906E-3</v>
      </c>
      <c r="D331" s="40">
        <v>141.947281</v>
      </c>
      <c r="E331" s="41">
        <f t="shared" si="16"/>
        <v>3.7526309506992206E-2</v>
      </c>
    </row>
    <row r="332" spans="1:5">
      <c r="A332" s="37">
        <v>41651</v>
      </c>
      <c r="B332" s="38">
        <v>6261.6499020000001</v>
      </c>
      <c r="C332" s="41">
        <f t="shared" si="15"/>
        <v>1.4615642053318112E-2</v>
      </c>
      <c r="D332" s="40">
        <v>138.433762</v>
      </c>
      <c r="E332" s="41">
        <f t="shared" si="16"/>
        <v>-2.4752281095120066E-2</v>
      </c>
    </row>
    <row r="333" spans="1:5">
      <c r="A333" s="37">
        <v>41658</v>
      </c>
      <c r="B333" s="38">
        <v>6266.75</v>
      </c>
      <c r="C333" s="41">
        <f t="shared" si="15"/>
        <v>8.1449746948814017E-4</v>
      </c>
      <c r="D333" s="40">
        <v>146.913498</v>
      </c>
      <c r="E333" s="41">
        <f t="shared" si="16"/>
        <v>6.1254825972294258E-2</v>
      </c>
    </row>
    <row r="334" spans="1:5">
      <c r="A334" s="37">
        <v>41665</v>
      </c>
      <c r="B334" s="38">
        <v>6089.5</v>
      </c>
      <c r="C334" s="41">
        <f t="shared" si="15"/>
        <v>-2.8284198348426215E-2</v>
      </c>
      <c r="D334" s="40">
        <v>170.255585</v>
      </c>
      <c r="E334" s="41">
        <f t="shared" si="16"/>
        <v>0.15888320214116747</v>
      </c>
    </row>
    <row r="335" spans="1:5">
      <c r="A335" s="37">
        <v>41672</v>
      </c>
      <c r="B335" s="38">
        <v>6063.2001950000003</v>
      </c>
      <c r="C335" s="41">
        <f t="shared" si="15"/>
        <v>-4.3188775761555664E-3</v>
      </c>
      <c r="D335" s="40">
        <v>188.44042999999999</v>
      </c>
      <c r="E335" s="41">
        <f t="shared" si="16"/>
        <v>0.10680909527872462</v>
      </c>
    </row>
    <row r="336" spans="1:5">
      <c r="A336" s="37">
        <v>41679</v>
      </c>
      <c r="B336" s="38">
        <v>6048.3500979999999</v>
      </c>
      <c r="C336" s="41">
        <f t="shared" si="15"/>
        <v>-2.4492176610375616E-3</v>
      </c>
      <c r="D336" s="40">
        <v>204.455063</v>
      </c>
      <c r="E336" s="41">
        <f t="shared" si="16"/>
        <v>8.4985122354051201E-2</v>
      </c>
    </row>
    <row r="337" spans="1:5">
      <c r="A337" s="37">
        <v>41686</v>
      </c>
      <c r="B337" s="38">
        <v>6155.4501950000003</v>
      </c>
      <c r="C337" s="41">
        <f t="shared" si="15"/>
        <v>1.7707324355350273E-2</v>
      </c>
      <c r="D337" s="40">
        <v>205.475266</v>
      </c>
      <c r="E337" s="41">
        <f t="shared" si="16"/>
        <v>4.9898642030694607E-3</v>
      </c>
    </row>
    <row r="338" spans="1:5">
      <c r="A338" s="37">
        <v>41693</v>
      </c>
      <c r="B338" s="38">
        <v>6276.9501950000003</v>
      </c>
      <c r="C338" s="41">
        <f t="shared" si="15"/>
        <v>1.9738605000604759E-2</v>
      </c>
      <c r="D338" s="40">
        <v>203.94544999999999</v>
      </c>
      <c r="E338" s="41">
        <f t="shared" si="16"/>
        <v>-7.4452562090855379E-3</v>
      </c>
    </row>
    <row r="339" spans="1:5">
      <c r="A339" s="37">
        <v>41700</v>
      </c>
      <c r="B339" s="38">
        <v>6526.6499020000001</v>
      </c>
      <c r="C339" s="41">
        <f t="shared" si="15"/>
        <v>3.9780418713358801E-2</v>
      </c>
      <c r="D339" s="40">
        <v>194.798203</v>
      </c>
      <c r="E339" s="41">
        <f t="shared" si="16"/>
        <v>-4.4851439441281893E-2</v>
      </c>
    </row>
    <row r="340" spans="1:5">
      <c r="A340" s="37">
        <v>41707</v>
      </c>
      <c r="B340" s="38">
        <v>6504.2001950000003</v>
      </c>
      <c r="C340" s="41">
        <f t="shared" si="15"/>
        <v>-3.4396983654846336E-3</v>
      </c>
      <c r="D340" s="40">
        <v>186.705963</v>
      </c>
      <c r="E340" s="41">
        <f t="shared" si="16"/>
        <v>-4.1541656315997932E-2</v>
      </c>
    </row>
    <row r="341" spans="1:5">
      <c r="A341" s="37">
        <v>41714</v>
      </c>
      <c r="B341" s="38">
        <v>6493.2001950000003</v>
      </c>
      <c r="C341" s="41">
        <f t="shared" si="15"/>
        <v>-1.6912148565869645E-3</v>
      </c>
      <c r="D341" s="40">
        <v>186.60363799999999</v>
      </c>
      <c r="E341" s="41">
        <f t="shared" si="16"/>
        <v>-5.4805426862558626E-4</v>
      </c>
    </row>
    <row r="342" spans="1:5">
      <c r="A342" s="37">
        <v>41721</v>
      </c>
      <c r="B342" s="38">
        <v>6695.8999020000001</v>
      </c>
      <c r="C342" s="41">
        <f t="shared" si="15"/>
        <v>3.1217227393679714E-2</v>
      </c>
      <c r="D342" s="40">
        <v>184.59797699999999</v>
      </c>
      <c r="E342" s="41">
        <f t="shared" si="16"/>
        <v>-1.0748241682190574E-2</v>
      </c>
    </row>
    <row r="343" spans="1:5">
      <c r="A343" s="37">
        <v>41728</v>
      </c>
      <c r="B343" s="38">
        <v>6694.3500979999999</v>
      </c>
      <c r="C343" s="41">
        <f t="shared" si="15"/>
        <v>-2.3145567028826086E-4</v>
      </c>
      <c r="D343" s="40">
        <v>186.39996300000001</v>
      </c>
      <c r="E343" s="41">
        <f t="shared" si="16"/>
        <v>9.7616779408153942E-3</v>
      </c>
    </row>
    <row r="344" spans="1:5">
      <c r="A344" s="37">
        <v>41735</v>
      </c>
      <c r="B344" s="38">
        <v>6776.2998049999997</v>
      </c>
      <c r="C344" s="41">
        <f t="shared" si="15"/>
        <v>1.2241622532481955E-2</v>
      </c>
      <c r="D344" s="40">
        <v>185.957932</v>
      </c>
      <c r="E344" s="41">
        <f t="shared" si="16"/>
        <v>-2.3714114149261389E-3</v>
      </c>
    </row>
    <row r="345" spans="1:5">
      <c r="A345" s="37">
        <v>41742</v>
      </c>
      <c r="B345" s="38">
        <v>6779.3999020000001</v>
      </c>
      <c r="C345" s="41">
        <f t="shared" si="15"/>
        <v>4.5749112188242513E-4</v>
      </c>
      <c r="D345" s="40">
        <v>185.07377600000001</v>
      </c>
      <c r="E345" s="41">
        <f t="shared" si="16"/>
        <v>-4.7546022398227139E-3</v>
      </c>
    </row>
    <row r="346" spans="1:5">
      <c r="A346" s="37">
        <v>41749</v>
      </c>
      <c r="B346" s="38">
        <v>6782.75</v>
      </c>
      <c r="C346" s="41">
        <f t="shared" si="15"/>
        <v>4.9415848724487788E-4</v>
      </c>
      <c r="D346" s="40">
        <v>186.46850599999999</v>
      </c>
      <c r="E346" s="41">
        <f t="shared" si="16"/>
        <v>7.5360757755327246E-3</v>
      </c>
    </row>
    <row r="347" spans="1:5">
      <c r="A347" s="37">
        <v>41756</v>
      </c>
      <c r="B347" s="38">
        <v>6694.7998049999997</v>
      </c>
      <c r="C347" s="41">
        <f t="shared" si="15"/>
        <v>-1.2966745788949963E-2</v>
      </c>
      <c r="D347" s="40">
        <v>183.61151100000001</v>
      </c>
      <c r="E347" s="41">
        <f t="shared" si="16"/>
        <v>-1.532159537975808E-2</v>
      </c>
    </row>
    <row r="348" spans="1:5">
      <c r="A348" s="37">
        <v>41763</v>
      </c>
      <c r="B348" s="38">
        <v>6858.7998049999997</v>
      </c>
      <c r="C348" s="41">
        <f t="shared" si="15"/>
        <v>2.4496624959198465E-2</v>
      </c>
      <c r="D348" s="40">
        <v>183.407837</v>
      </c>
      <c r="E348" s="41">
        <f t="shared" si="16"/>
        <v>-1.1092659653566539E-3</v>
      </c>
    </row>
    <row r="349" spans="1:5">
      <c r="A349" s="37">
        <v>41770</v>
      </c>
      <c r="B349" s="38">
        <v>7203</v>
      </c>
      <c r="C349" s="41">
        <f t="shared" si="15"/>
        <v>5.0183735461863499E-2</v>
      </c>
      <c r="D349" s="40">
        <v>176.811646</v>
      </c>
      <c r="E349" s="41">
        <f t="shared" si="16"/>
        <v>-3.5964608208099658E-2</v>
      </c>
    </row>
    <row r="350" spans="1:5">
      <c r="A350" s="37">
        <v>41777</v>
      </c>
      <c r="B350" s="38">
        <v>7367.1000979999999</v>
      </c>
      <c r="C350" s="41">
        <f t="shared" si="15"/>
        <v>2.2782187699569523E-2</v>
      </c>
      <c r="D350" s="40">
        <v>180.78923</v>
      </c>
      <c r="E350" s="41">
        <f t="shared" si="16"/>
        <v>2.2496165213008679E-2</v>
      </c>
    </row>
    <row r="351" spans="1:5">
      <c r="A351" s="37">
        <v>41784</v>
      </c>
      <c r="B351" s="38">
        <v>7229.9501950000003</v>
      </c>
      <c r="C351" s="41">
        <f t="shared" si="15"/>
        <v>-1.8616538553240636E-2</v>
      </c>
      <c r="D351" s="40">
        <v>183.61151100000001</v>
      </c>
      <c r="E351" s="41">
        <f t="shared" si="16"/>
        <v>1.5610891201870869E-2</v>
      </c>
    </row>
    <row r="352" spans="1:5">
      <c r="A352" s="37">
        <v>41791</v>
      </c>
      <c r="B352" s="38">
        <v>7583.3999020000001</v>
      </c>
      <c r="C352" s="41">
        <f t="shared" si="15"/>
        <v>4.8886879918541348E-2</v>
      </c>
      <c r="D352" s="40">
        <v>184.01980599999999</v>
      </c>
      <c r="E352" s="41">
        <f t="shared" si="16"/>
        <v>2.2236895594196504E-3</v>
      </c>
    </row>
    <row r="353" spans="1:5">
      <c r="A353" s="37">
        <v>41798</v>
      </c>
      <c r="B353" s="38">
        <v>7542.1000979999999</v>
      </c>
      <c r="C353" s="41">
        <f t="shared" si="15"/>
        <v>-5.4460801927520563E-3</v>
      </c>
      <c r="D353" s="40">
        <v>180.857788</v>
      </c>
      <c r="E353" s="41">
        <f t="shared" si="16"/>
        <v>-1.7183030830931312E-2</v>
      </c>
    </row>
    <row r="354" spans="1:5">
      <c r="A354" s="37">
        <v>41805</v>
      </c>
      <c r="B354" s="38">
        <v>7511.4501950000003</v>
      </c>
      <c r="C354" s="41">
        <f t="shared" si="15"/>
        <v>-4.0638419805814063E-3</v>
      </c>
      <c r="D354" s="40">
        <v>174.49902299999999</v>
      </c>
      <c r="E354" s="41">
        <f t="shared" si="16"/>
        <v>-3.5158922766433509E-2</v>
      </c>
    </row>
    <row r="355" spans="1:5">
      <c r="A355" s="37">
        <v>41812</v>
      </c>
      <c r="B355" s="38">
        <v>7508.7998049999997</v>
      </c>
      <c r="C355" s="41">
        <f t="shared" si="15"/>
        <v>-3.528466449481682E-4</v>
      </c>
      <c r="D355" s="40">
        <v>182.65980500000001</v>
      </c>
      <c r="E355" s="41">
        <f t="shared" si="16"/>
        <v>4.6766920866943895E-2</v>
      </c>
    </row>
    <row r="356" spans="1:5">
      <c r="A356" s="37">
        <v>41819</v>
      </c>
      <c r="B356" s="38">
        <v>7751.6000979999999</v>
      </c>
      <c r="C356" s="41">
        <f t="shared" si="15"/>
        <v>3.2335432999335501E-2</v>
      </c>
      <c r="D356" s="40">
        <v>189.222229</v>
      </c>
      <c r="E356" s="41">
        <f t="shared" si="16"/>
        <v>3.5927028390290827E-2</v>
      </c>
    </row>
    <row r="357" spans="1:5">
      <c r="A357" s="37">
        <v>41826</v>
      </c>
      <c r="B357" s="38">
        <v>7459.6000979999999</v>
      </c>
      <c r="C357" s="41">
        <f t="shared" si="15"/>
        <v>-3.7669641920168084E-2</v>
      </c>
      <c r="D357" s="40">
        <v>184.01980599999999</v>
      </c>
      <c r="E357" s="41">
        <f t="shared" si="16"/>
        <v>-2.749372009564488E-2</v>
      </c>
    </row>
    <row r="358" spans="1:5">
      <c r="A358" s="37">
        <v>41833</v>
      </c>
      <c r="B358" s="38">
        <v>7663.8999020000001</v>
      </c>
      <c r="C358" s="41">
        <f t="shared" si="15"/>
        <v>2.7387500846697499E-2</v>
      </c>
      <c r="D358" s="40">
        <v>188.50798</v>
      </c>
      <c r="E358" s="41">
        <f t="shared" si="16"/>
        <v>2.4389624668988086E-2</v>
      </c>
    </row>
    <row r="359" spans="1:5">
      <c r="A359" s="37">
        <v>41840</v>
      </c>
      <c r="B359" s="38">
        <v>7790.4501950000003</v>
      </c>
      <c r="C359" s="41">
        <f t="shared" si="15"/>
        <v>1.6512519033158979E-2</v>
      </c>
      <c r="D359" s="40">
        <v>184.972443</v>
      </c>
      <c r="E359" s="41">
        <f t="shared" si="16"/>
        <v>-1.8755370462300913E-2</v>
      </c>
    </row>
    <row r="360" spans="1:5">
      <c r="A360" s="37">
        <v>41847</v>
      </c>
      <c r="B360" s="38">
        <v>7602.6000979999999</v>
      </c>
      <c r="C360" s="41">
        <f t="shared" si="15"/>
        <v>-2.4112867972709062E-2</v>
      </c>
      <c r="D360" s="40">
        <v>190.548416</v>
      </c>
      <c r="E360" s="41">
        <f t="shared" si="16"/>
        <v>3.0144884878879008E-2</v>
      </c>
    </row>
    <row r="361" spans="1:5">
      <c r="A361" s="37">
        <v>41854</v>
      </c>
      <c r="B361" s="38">
        <v>7568.5498049999997</v>
      </c>
      <c r="C361" s="41">
        <f t="shared" si="15"/>
        <v>-4.4787694421751789E-3</v>
      </c>
      <c r="D361" s="40">
        <v>185.99169900000001</v>
      </c>
      <c r="E361" s="41">
        <f t="shared" si="16"/>
        <v>-2.3913696558883979E-2</v>
      </c>
    </row>
    <row r="362" spans="1:5">
      <c r="A362" s="37">
        <v>41861</v>
      </c>
      <c r="B362" s="38">
        <v>7791.7001950000003</v>
      </c>
      <c r="C362" s="41">
        <f t="shared" si="15"/>
        <v>2.9483903224443608E-2</v>
      </c>
      <c r="D362" s="40">
        <v>189.66429099999999</v>
      </c>
      <c r="E362" s="41">
        <f t="shared" si="16"/>
        <v>1.9745999524419577E-2</v>
      </c>
    </row>
    <row r="363" spans="1:5">
      <c r="A363" s="37">
        <v>41868</v>
      </c>
      <c r="B363" s="38">
        <v>7913.2001950000003</v>
      </c>
      <c r="C363" s="41">
        <f t="shared" si="15"/>
        <v>1.5593515787217793E-2</v>
      </c>
      <c r="D363" s="40">
        <v>186.23010300000001</v>
      </c>
      <c r="E363" s="41">
        <f t="shared" si="16"/>
        <v>-1.8106666162055696E-2</v>
      </c>
    </row>
    <row r="364" spans="1:5">
      <c r="A364" s="37">
        <v>41875</v>
      </c>
      <c r="B364" s="38">
        <v>7954.3500979999999</v>
      </c>
      <c r="C364" s="41">
        <f t="shared" si="15"/>
        <v>5.2001594785886507E-3</v>
      </c>
      <c r="D364" s="40">
        <v>191.26267999999999</v>
      </c>
      <c r="E364" s="41">
        <f t="shared" si="16"/>
        <v>2.7023434551824099E-2</v>
      </c>
    </row>
    <row r="365" spans="1:5">
      <c r="A365" s="37">
        <v>41882</v>
      </c>
      <c r="B365" s="38">
        <v>8086.8500979999999</v>
      </c>
      <c r="C365" s="41">
        <f t="shared" si="15"/>
        <v>1.6657551951769767E-2</v>
      </c>
      <c r="D365" s="40">
        <v>192.45277400000001</v>
      </c>
      <c r="E365" s="41">
        <f t="shared" si="16"/>
        <v>6.2223011828550501E-3</v>
      </c>
    </row>
    <row r="366" spans="1:5">
      <c r="A366" s="37">
        <v>41889</v>
      </c>
      <c r="B366" s="38">
        <v>8105.5</v>
      </c>
      <c r="C366" s="41">
        <f t="shared" si="15"/>
        <v>2.3062010268513067E-3</v>
      </c>
      <c r="D366" s="40">
        <v>199.899292</v>
      </c>
      <c r="E366" s="41">
        <f t="shared" si="16"/>
        <v>3.8692702865379403E-2</v>
      </c>
    </row>
    <row r="367" spans="1:5">
      <c r="A367" s="37">
        <v>41896</v>
      </c>
      <c r="B367" s="38">
        <v>8121.4501950000003</v>
      </c>
      <c r="C367" s="41">
        <f t="shared" si="15"/>
        <v>1.9678236999569609E-3</v>
      </c>
      <c r="D367" s="40">
        <v>246.68557699999999</v>
      </c>
      <c r="E367" s="41">
        <f t="shared" si="16"/>
        <v>0.23404927817353149</v>
      </c>
    </row>
    <row r="368" spans="1:5">
      <c r="A368" s="37">
        <v>41903</v>
      </c>
      <c r="B368" s="38">
        <v>7968.8500979999999</v>
      </c>
      <c r="C368" s="41">
        <f t="shared" si="15"/>
        <v>-1.8789759628637381E-2</v>
      </c>
      <c r="D368" s="40">
        <v>222.17037999999999</v>
      </c>
      <c r="E368" s="41">
        <f t="shared" si="16"/>
        <v>-9.9378315092981673E-2</v>
      </c>
    </row>
    <row r="369" spans="1:5">
      <c r="A369" s="37">
        <v>41910</v>
      </c>
      <c r="B369" s="38">
        <v>7945.5498049999997</v>
      </c>
      <c r="C369" s="41">
        <f t="shared" si="15"/>
        <v>-2.9239216089468334E-3</v>
      </c>
      <c r="D369" s="40">
        <v>216.45832799999999</v>
      </c>
      <c r="E369" s="41">
        <f t="shared" si="16"/>
        <v>-2.571023194000932E-2</v>
      </c>
    </row>
    <row r="370" spans="1:5">
      <c r="A370" s="37">
        <v>41917</v>
      </c>
      <c r="B370" s="38">
        <v>7859.9501950000003</v>
      </c>
      <c r="C370" s="41">
        <f t="shared" si="15"/>
        <v>-1.077327713006504E-2</v>
      </c>
      <c r="D370" s="40">
        <v>207.31109599999999</v>
      </c>
      <c r="E370" s="41">
        <f t="shared" si="16"/>
        <v>-4.2258628182695768E-2</v>
      </c>
    </row>
    <row r="371" spans="1:5">
      <c r="A371" s="37">
        <v>41924</v>
      </c>
      <c r="B371" s="38">
        <v>7779.7001950000003</v>
      </c>
      <c r="C371" s="41">
        <f t="shared" si="15"/>
        <v>-1.0209988359856315E-2</v>
      </c>
      <c r="D371" s="40">
        <v>204.38752700000001</v>
      </c>
      <c r="E371" s="41">
        <f t="shared" si="16"/>
        <v>-1.4102327643861323E-2</v>
      </c>
    </row>
    <row r="372" spans="1:5">
      <c r="A372" s="37">
        <v>41931</v>
      </c>
      <c r="B372" s="38">
        <v>8014.5498049999997</v>
      </c>
      <c r="C372" s="41">
        <f t="shared" si="15"/>
        <v>3.0187488478146784E-2</v>
      </c>
      <c r="D372" s="40">
        <v>205.37297100000001</v>
      </c>
      <c r="E372" s="41">
        <f t="shared" si="16"/>
        <v>4.8214488157096724E-3</v>
      </c>
    </row>
    <row r="373" spans="1:5">
      <c r="A373" s="37">
        <v>41938</v>
      </c>
      <c r="B373" s="38">
        <v>8322.2001949999994</v>
      </c>
      <c r="C373" s="41">
        <f t="shared" si="15"/>
        <v>3.8386484267409093E-2</v>
      </c>
      <c r="D373" s="40">
        <v>210.98370399999999</v>
      </c>
      <c r="E373" s="41">
        <f t="shared" si="16"/>
        <v>2.7319724561027936E-2</v>
      </c>
    </row>
    <row r="374" spans="1:5">
      <c r="A374" s="37">
        <v>41945</v>
      </c>
      <c r="B374" s="38">
        <v>8337</v>
      </c>
      <c r="C374" s="41">
        <f t="shared" si="15"/>
        <v>1.7783524372427806E-3</v>
      </c>
      <c r="D374" s="40">
        <v>204.28518700000001</v>
      </c>
      <c r="E374" s="41">
        <f t="shared" si="16"/>
        <v>-3.1748978110650583E-2</v>
      </c>
    </row>
    <row r="375" spans="1:5">
      <c r="A375" s="37">
        <v>41952</v>
      </c>
      <c r="B375" s="38">
        <v>8389.9003909999992</v>
      </c>
      <c r="C375" s="41">
        <f t="shared" si="15"/>
        <v>6.3452550077964798E-3</v>
      </c>
      <c r="D375" s="40">
        <v>210.26945499999999</v>
      </c>
      <c r="E375" s="41">
        <f t="shared" si="16"/>
        <v>2.9293695190929281E-2</v>
      </c>
    </row>
    <row r="376" spans="1:5">
      <c r="A376" s="37">
        <v>41959</v>
      </c>
      <c r="B376" s="38">
        <v>8477.3496090000008</v>
      </c>
      <c r="C376" s="41">
        <f t="shared" si="15"/>
        <v>1.0423153306302613E-2</v>
      </c>
      <c r="D376" s="40">
        <v>209.249222</v>
      </c>
      <c r="E376" s="41">
        <f t="shared" si="16"/>
        <v>-4.8520266531341116E-3</v>
      </c>
    </row>
    <row r="377" spans="1:5">
      <c r="A377" s="37">
        <v>41966</v>
      </c>
      <c r="B377" s="38">
        <v>8588.25</v>
      </c>
      <c r="C377" s="41">
        <f t="shared" si="15"/>
        <v>1.3081965014426489E-2</v>
      </c>
      <c r="D377" s="40">
        <v>208.773392</v>
      </c>
      <c r="E377" s="41">
        <f t="shared" si="16"/>
        <v>-2.2739869493995091E-3</v>
      </c>
    </row>
    <row r="378" spans="1:5">
      <c r="A378" s="37">
        <v>41973</v>
      </c>
      <c r="B378" s="38">
        <v>8538.2998050000006</v>
      </c>
      <c r="C378" s="41">
        <f t="shared" si="15"/>
        <v>-5.8161086368002657E-3</v>
      </c>
      <c r="D378" s="40">
        <v>220.538239</v>
      </c>
      <c r="E378" s="41">
        <f t="shared" si="16"/>
        <v>5.6352233813397046E-2</v>
      </c>
    </row>
    <row r="379" spans="1:5">
      <c r="A379" s="37">
        <v>41980</v>
      </c>
      <c r="B379" s="38">
        <v>8224.0996090000008</v>
      </c>
      <c r="C379" s="41">
        <f t="shared" si="15"/>
        <v>-3.6798918189310359E-2</v>
      </c>
      <c r="D379" s="40">
        <v>207.41343699999999</v>
      </c>
      <c r="E379" s="41">
        <f t="shared" si="16"/>
        <v>-5.9512590920797304E-2</v>
      </c>
    </row>
    <row r="380" spans="1:5">
      <c r="A380" s="37">
        <v>41987</v>
      </c>
      <c r="B380" s="38">
        <v>8225.2001949999994</v>
      </c>
      <c r="C380" s="41">
        <f t="shared" si="15"/>
        <v>1.3382449779597572E-4</v>
      </c>
      <c r="D380" s="40">
        <v>209.55519100000001</v>
      </c>
      <c r="E380" s="41">
        <f t="shared" si="16"/>
        <v>1.0326013738444662E-2</v>
      </c>
    </row>
    <row r="381" spans="1:5">
      <c r="A381" s="37">
        <v>41994</v>
      </c>
      <c r="B381" s="38">
        <v>8200.7001949999994</v>
      </c>
      <c r="C381" s="41">
        <f t="shared" si="15"/>
        <v>-2.9786509044354981E-3</v>
      </c>
      <c r="D381" s="40">
        <v>211.493301</v>
      </c>
      <c r="E381" s="41">
        <f t="shared" si="16"/>
        <v>9.2486852306130629E-3</v>
      </c>
    </row>
    <row r="382" spans="1:5">
      <c r="A382" s="37">
        <v>42001</v>
      </c>
      <c r="B382" s="38">
        <v>8395.4501949999994</v>
      </c>
      <c r="C382" s="41">
        <f t="shared" si="15"/>
        <v>2.3747972169344767E-2</v>
      </c>
      <c r="D382" s="40">
        <v>215.438095</v>
      </c>
      <c r="E382" s="41">
        <f t="shared" si="16"/>
        <v>1.8652099056319482E-2</v>
      </c>
    </row>
    <row r="383" spans="1:5">
      <c r="A383" s="37">
        <v>42008</v>
      </c>
      <c r="B383" s="38">
        <v>8284.5</v>
      </c>
      <c r="C383" s="41">
        <f t="shared" si="15"/>
        <v>-1.3215514644596027E-2</v>
      </c>
      <c r="D383" s="40">
        <v>216.28845200000001</v>
      </c>
      <c r="E383" s="41">
        <f t="shared" si="16"/>
        <v>3.947106012054169E-3</v>
      </c>
    </row>
    <row r="384" spans="1:5">
      <c r="A384" s="37">
        <v>42015</v>
      </c>
      <c r="B384" s="38">
        <v>8513.7998050000006</v>
      </c>
      <c r="C384" s="41">
        <f t="shared" si="15"/>
        <v>2.7678170680185854E-2</v>
      </c>
      <c r="D384" s="40">
        <v>217.44378699999999</v>
      </c>
      <c r="E384" s="41">
        <f t="shared" si="16"/>
        <v>5.3416397838936813E-3</v>
      </c>
    </row>
    <row r="385" spans="1:5">
      <c r="A385" s="37">
        <v>42022</v>
      </c>
      <c r="B385" s="38">
        <v>8835.5996090000008</v>
      </c>
      <c r="C385" s="41">
        <f t="shared" si="15"/>
        <v>3.7797436088526926E-2</v>
      </c>
      <c r="D385" s="40">
        <v>229.786789</v>
      </c>
      <c r="E385" s="41">
        <f t="shared" si="16"/>
        <v>5.6764105198370274E-2</v>
      </c>
    </row>
    <row r="386" spans="1:5">
      <c r="A386" s="37">
        <v>42029</v>
      </c>
      <c r="B386" s="38">
        <v>8808.9003909999992</v>
      </c>
      <c r="C386" s="41">
        <f t="shared" si="15"/>
        <v>-3.02177771532397E-3</v>
      </c>
      <c r="D386" s="40">
        <v>217.954376</v>
      </c>
      <c r="E386" s="41">
        <f t="shared" si="16"/>
        <v>-5.1493008155486297E-2</v>
      </c>
    </row>
    <row r="387" spans="1:5">
      <c r="A387" s="37">
        <v>42036</v>
      </c>
      <c r="B387" s="38">
        <v>8661.0498050000006</v>
      </c>
      <c r="C387" s="41">
        <f t="shared" si="15"/>
        <v>-1.6784227251684714E-2</v>
      </c>
      <c r="D387" s="40">
        <v>218.19125399999999</v>
      </c>
      <c r="E387" s="41">
        <f t="shared" si="16"/>
        <v>1.086823785543034E-3</v>
      </c>
    </row>
    <row r="388" spans="1:5">
      <c r="A388" s="37">
        <v>42043</v>
      </c>
      <c r="B388" s="38">
        <v>8805.5</v>
      </c>
      <c r="C388" s="41">
        <f t="shared" ref="C388:C451" si="17">B388/B387-1</f>
        <v>1.6678139284756144E-2</v>
      </c>
      <c r="D388" s="40">
        <v>215.73701500000001</v>
      </c>
      <c r="E388" s="41">
        <f t="shared" ref="E388:E451" si="18">D388/D387-1</f>
        <v>-1.1248108964074133E-2</v>
      </c>
    </row>
    <row r="389" spans="1:5">
      <c r="A389" s="37">
        <v>42050</v>
      </c>
      <c r="B389" s="38">
        <v>8833.5996090000008</v>
      </c>
      <c r="C389" s="41">
        <f t="shared" si="17"/>
        <v>3.1911429220374821E-3</v>
      </c>
      <c r="D389" s="40">
        <v>213.55471800000001</v>
      </c>
      <c r="E389" s="41">
        <f t="shared" si="18"/>
        <v>-1.0115542759317475E-2</v>
      </c>
    </row>
    <row r="390" spans="1:5">
      <c r="A390" s="37">
        <v>42057</v>
      </c>
      <c r="B390" s="38">
        <v>8844.5996090000008</v>
      </c>
      <c r="C390" s="41">
        <f t="shared" si="17"/>
        <v>1.2452454816711533E-3</v>
      </c>
      <c r="D390" s="40">
        <v>217.304779</v>
      </c>
      <c r="E390" s="41">
        <f t="shared" si="18"/>
        <v>1.756018801701198E-2</v>
      </c>
    </row>
    <row r="391" spans="1:5">
      <c r="A391" s="37">
        <v>42064</v>
      </c>
      <c r="B391" s="38">
        <v>8937.75</v>
      </c>
      <c r="C391" s="41">
        <f t="shared" si="17"/>
        <v>1.0531894615694259E-2</v>
      </c>
      <c r="D391" s="40">
        <v>213.55471800000001</v>
      </c>
      <c r="E391" s="41">
        <f t="shared" si="18"/>
        <v>-1.7257149231862945E-2</v>
      </c>
    </row>
    <row r="392" spans="1:5">
      <c r="A392" s="37">
        <v>42071</v>
      </c>
      <c r="B392" s="38">
        <v>8647.75</v>
      </c>
      <c r="C392" s="41">
        <f t="shared" si="17"/>
        <v>-3.2446644849095096E-2</v>
      </c>
      <c r="D392" s="40">
        <v>213.486954</v>
      </c>
      <c r="E392" s="41">
        <f t="shared" si="18"/>
        <v>-3.1731445989413576E-4</v>
      </c>
    </row>
    <row r="393" spans="1:5">
      <c r="A393" s="37">
        <v>42078</v>
      </c>
      <c r="B393" s="38">
        <v>8570.9003909999992</v>
      </c>
      <c r="C393" s="41">
        <f t="shared" si="17"/>
        <v>-8.8866594200804894E-3</v>
      </c>
      <c r="D393" s="40">
        <v>213.453079</v>
      </c>
      <c r="E393" s="41">
        <f t="shared" si="18"/>
        <v>-1.5867480127140787E-4</v>
      </c>
    </row>
    <row r="394" spans="1:5">
      <c r="A394" s="37">
        <v>42085</v>
      </c>
      <c r="B394" s="38">
        <v>8341.4003909999992</v>
      </c>
      <c r="C394" s="41">
        <f t="shared" si="17"/>
        <v>-2.6776650005288838E-2</v>
      </c>
      <c r="D394" s="40">
        <v>214.13438400000001</v>
      </c>
      <c r="E394" s="41">
        <f t="shared" si="18"/>
        <v>3.1918255908598425E-3</v>
      </c>
    </row>
    <row r="395" spans="1:5">
      <c r="A395" s="37">
        <v>42092</v>
      </c>
      <c r="B395" s="38">
        <v>8586.25</v>
      </c>
      <c r="C395" s="41">
        <f t="shared" si="17"/>
        <v>2.935353747845304E-2</v>
      </c>
      <c r="D395" s="40">
        <v>216.14636200000001</v>
      </c>
      <c r="E395" s="41">
        <f t="shared" si="18"/>
        <v>9.3958661024751144E-3</v>
      </c>
    </row>
    <row r="396" spans="1:5">
      <c r="A396" s="37">
        <v>42099</v>
      </c>
      <c r="B396" s="38">
        <v>8780.3496090000008</v>
      </c>
      <c r="C396" s="41">
        <f t="shared" si="17"/>
        <v>2.2605865074974529E-2</v>
      </c>
      <c r="D396" s="40">
        <v>215.39634699999999</v>
      </c>
      <c r="E396" s="41">
        <f t="shared" si="18"/>
        <v>-3.4699404286064883E-3</v>
      </c>
    </row>
    <row r="397" spans="1:5">
      <c r="A397" s="37">
        <v>42106</v>
      </c>
      <c r="B397" s="38">
        <v>8606</v>
      </c>
      <c r="C397" s="41">
        <f t="shared" si="17"/>
        <v>-1.9856795772834612E-2</v>
      </c>
      <c r="D397" s="40">
        <v>218.97610499999999</v>
      </c>
      <c r="E397" s="41">
        <f t="shared" si="18"/>
        <v>1.6619399770972043E-2</v>
      </c>
    </row>
    <row r="398" spans="1:5">
      <c r="A398" s="37">
        <v>42113</v>
      </c>
      <c r="B398" s="38">
        <v>8305.25</v>
      </c>
      <c r="C398" s="41">
        <f t="shared" si="17"/>
        <v>-3.4946548919358555E-2</v>
      </c>
      <c r="D398" s="40">
        <v>214.782791</v>
      </c>
      <c r="E398" s="41">
        <f t="shared" si="18"/>
        <v>-1.9149641920975791E-2</v>
      </c>
    </row>
    <row r="399" spans="1:5">
      <c r="A399" s="37">
        <v>42120</v>
      </c>
      <c r="B399" s="38">
        <v>8181.5</v>
      </c>
      <c r="C399" s="41">
        <f t="shared" si="17"/>
        <v>-1.4900213720237199E-2</v>
      </c>
      <c r="D399" s="40">
        <v>217.37348900000001</v>
      </c>
      <c r="E399" s="41">
        <f t="shared" si="18"/>
        <v>1.2061944013009862E-2</v>
      </c>
    </row>
    <row r="400" spans="1:5">
      <c r="A400" s="37">
        <v>42127</v>
      </c>
      <c r="B400" s="38">
        <v>8191.5</v>
      </c>
      <c r="C400" s="41">
        <f t="shared" si="17"/>
        <v>1.2222697549348904E-3</v>
      </c>
      <c r="D400" s="40">
        <v>214.85055500000001</v>
      </c>
      <c r="E400" s="41">
        <f t="shared" si="18"/>
        <v>-1.1606447555341015E-2</v>
      </c>
    </row>
    <row r="401" spans="1:5">
      <c r="A401" s="37">
        <v>42134</v>
      </c>
      <c r="B401" s="38">
        <v>8262.3496090000008</v>
      </c>
      <c r="C401" s="41">
        <f t="shared" si="17"/>
        <v>8.649161814075601E-3</v>
      </c>
      <c r="D401" s="40">
        <v>217.50994900000001</v>
      </c>
      <c r="E401" s="41">
        <f t="shared" si="18"/>
        <v>1.2377878195380942E-2</v>
      </c>
    </row>
    <row r="402" spans="1:5">
      <c r="A402" s="37">
        <v>42141</v>
      </c>
      <c r="B402" s="38">
        <v>8458.9501949999994</v>
      </c>
      <c r="C402" s="41">
        <f t="shared" si="17"/>
        <v>2.3794755160910341E-2</v>
      </c>
      <c r="D402" s="40">
        <v>215.05471800000001</v>
      </c>
      <c r="E402" s="41">
        <f t="shared" si="18"/>
        <v>-1.1287902053620513E-2</v>
      </c>
    </row>
    <row r="403" spans="1:5">
      <c r="A403" s="37">
        <v>42148</v>
      </c>
      <c r="B403" s="38">
        <v>8433.6503909999992</v>
      </c>
      <c r="C403" s="41">
        <f t="shared" si="17"/>
        <v>-2.9908917084007225E-3</v>
      </c>
      <c r="D403" s="40">
        <v>215.73701500000001</v>
      </c>
      <c r="E403" s="41">
        <f t="shared" si="18"/>
        <v>3.1726669674831953E-3</v>
      </c>
    </row>
    <row r="404" spans="1:5">
      <c r="A404" s="37">
        <v>42155</v>
      </c>
      <c r="B404" s="38">
        <v>8114.7001950000003</v>
      </c>
      <c r="C404" s="41">
        <f t="shared" si="17"/>
        <v>-3.7818759518460476E-2</v>
      </c>
      <c r="D404" s="40">
        <v>217.441238</v>
      </c>
      <c r="E404" s="41">
        <f t="shared" si="18"/>
        <v>7.8995391680931615E-3</v>
      </c>
    </row>
    <row r="405" spans="1:5">
      <c r="A405" s="37">
        <v>42162</v>
      </c>
      <c r="B405" s="38">
        <v>7982.8999020000001</v>
      </c>
      <c r="C405" s="41">
        <f t="shared" si="17"/>
        <v>-1.6242164199881448E-2</v>
      </c>
      <c r="D405" s="40">
        <v>220.67804000000001</v>
      </c>
      <c r="E405" s="41">
        <f t="shared" si="18"/>
        <v>1.4885869993069178E-2</v>
      </c>
    </row>
    <row r="406" spans="1:5">
      <c r="A406" s="37">
        <v>42169</v>
      </c>
      <c r="B406" s="38">
        <v>8224.9501949999994</v>
      </c>
      <c r="C406" s="41">
        <f t="shared" si="17"/>
        <v>3.0321098344143982E-2</v>
      </c>
      <c r="D406" s="40">
        <v>224.34530599999999</v>
      </c>
      <c r="E406" s="41">
        <f t="shared" si="18"/>
        <v>1.6618173697754424E-2</v>
      </c>
    </row>
    <row r="407" spans="1:5">
      <c r="A407" s="37">
        <v>42176</v>
      </c>
      <c r="B407" s="38">
        <v>8381.0996090000008</v>
      </c>
      <c r="C407" s="41">
        <f t="shared" si="17"/>
        <v>1.8984846144712852E-2</v>
      </c>
      <c r="D407" s="40">
        <v>229.65896599999999</v>
      </c>
      <c r="E407" s="41">
        <f t="shared" si="18"/>
        <v>2.3685184659045122E-2</v>
      </c>
    </row>
    <row r="408" spans="1:5">
      <c r="A408" s="37">
        <v>42183</v>
      </c>
      <c r="B408" s="38">
        <v>8484.9003909999992</v>
      </c>
      <c r="C408" s="41">
        <f t="shared" si="17"/>
        <v>1.2385103010651877E-2</v>
      </c>
      <c r="D408" s="40">
        <v>246.18077099999999</v>
      </c>
      <c r="E408" s="41">
        <f t="shared" si="18"/>
        <v>7.1940605184123374E-2</v>
      </c>
    </row>
    <row r="409" spans="1:5">
      <c r="A409" s="37">
        <v>42190</v>
      </c>
      <c r="B409" s="38">
        <v>8360.5498050000006</v>
      </c>
      <c r="C409" s="41">
        <f t="shared" si="17"/>
        <v>-1.4655515123300433E-2</v>
      </c>
      <c r="D409" s="40">
        <v>245.083191</v>
      </c>
      <c r="E409" s="41">
        <f t="shared" si="18"/>
        <v>-4.4584310770559021E-3</v>
      </c>
    </row>
    <row r="410" spans="1:5">
      <c r="A410" s="37">
        <v>42197</v>
      </c>
      <c r="B410" s="38">
        <v>8609.8496090000008</v>
      </c>
      <c r="C410" s="41">
        <f t="shared" si="17"/>
        <v>2.9818589663912709E-2</v>
      </c>
      <c r="D410" s="40">
        <v>294.272064</v>
      </c>
      <c r="E410" s="41">
        <f t="shared" si="18"/>
        <v>0.2007027605577405</v>
      </c>
    </row>
    <row r="411" spans="1:5">
      <c r="A411" s="37">
        <v>42204</v>
      </c>
      <c r="B411" s="38">
        <v>8521.5498050000006</v>
      </c>
      <c r="C411" s="41">
        <f t="shared" si="17"/>
        <v>-1.0255673212653971E-2</v>
      </c>
      <c r="D411" s="40">
        <v>291.52914399999997</v>
      </c>
      <c r="E411" s="41">
        <f t="shared" si="18"/>
        <v>-9.3210342929460621E-3</v>
      </c>
    </row>
    <row r="412" spans="1:5">
      <c r="A412" s="37">
        <v>42211</v>
      </c>
      <c r="B412" s="38">
        <v>8532.8496090000008</v>
      </c>
      <c r="C412" s="41">
        <f t="shared" si="17"/>
        <v>1.3260268681842824E-3</v>
      </c>
      <c r="D412" s="40">
        <v>303.833618</v>
      </c>
      <c r="E412" s="41">
        <f t="shared" si="18"/>
        <v>4.2206668709595663E-2</v>
      </c>
    </row>
    <row r="413" spans="1:5">
      <c r="A413" s="37">
        <v>42218</v>
      </c>
      <c r="B413" s="38">
        <v>8564.5996090000008</v>
      </c>
      <c r="C413" s="41">
        <f t="shared" si="17"/>
        <v>3.7209140503908777E-3</v>
      </c>
      <c r="D413" s="40">
        <v>285.92111199999999</v>
      </c>
      <c r="E413" s="41">
        <f t="shared" si="18"/>
        <v>-5.8954983710854614E-2</v>
      </c>
    </row>
    <row r="414" spans="1:5">
      <c r="A414" s="37">
        <v>42225</v>
      </c>
      <c r="B414" s="38">
        <v>8518.5498050000006</v>
      </c>
      <c r="C414" s="41">
        <f t="shared" si="17"/>
        <v>-5.3767608647589116E-3</v>
      </c>
      <c r="D414" s="40">
        <v>280.75308200000001</v>
      </c>
      <c r="E414" s="41">
        <f t="shared" si="18"/>
        <v>-1.8075020637160932E-2</v>
      </c>
    </row>
    <row r="415" spans="1:5">
      <c r="A415" s="37">
        <v>42232</v>
      </c>
      <c r="B415" s="38">
        <v>8299.9501949999994</v>
      </c>
      <c r="C415" s="41">
        <f t="shared" si="17"/>
        <v>-2.5661599098909194E-2</v>
      </c>
      <c r="D415" s="40">
        <v>286.40313700000002</v>
      </c>
      <c r="E415" s="41">
        <f t="shared" si="18"/>
        <v>2.0124641053806958E-2</v>
      </c>
    </row>
    <row r="416" spans="1:5">
      <c r="A416" s="37">
        <v>42239</v>
      </c>
      <c r="B416" s="38">
        <v>8001.9501950000003</v>
      </c>
      <c r="C416" s="41">
        <f t="shared" si="17"/>
        <v>-3.5903829902439455E-2</v>
      </c>
      <c r="D416" s="40">
        <v>277.65319799999997</v>
      </c>
      <c r="E416" s="41">
        <f t="shared" si="18"/>
        <v>-3.0551128355832402E-2</v>
      </c>
    </row>
    <row r="417" spans="1:5">
      <c r="A417" s="37">
        <v>42246</v>
      </c>
      <c r="B417" s="38">
        <v>7655.0498049999997</v>
      </c>
      <c r="C417" s="41">
        <f t="shared" si="17"/>
        <v>-4.33519806480126E-2</v>
      </c>
      <c r="D417" s="40">
        <v>269.45477299999999</v>
      </c>
      <c r="E417" s="41">
        <f t="shared" si="18"/>
        <v>-2.9527572738420216E-2</v>
      </c>
    </row>
    <row r="418" spans="1:5">
      <c r="A418" s="37">
        <v>42253</v>
      </c>
      <c r="B418" s="38">
        <v>7789.2998049999997</v>
      </c>
      <c r="C418" s="41">
        <f t="shared" si="17"/>
        <v>1.7537443049986834E-2</v>
      </c>
      <c r="D418" s="40">
        <v>266.388214</v>
      </c>
      <c r="E418" s="41">
        <f t="shared" si="18"/>
        <v>-1.1380607460978243E-2</v>
      </c>
    </row>
    <row r="419" spans="1:5">
      <c r="A419" s="37">
        <v>42260</v>
      </c>
      <c r="B419" s="38">
        <v>7981.8999020000001</v>
      </c>
      <c r="C419" s="41">
        <f t="shared" si="17"/>
        <v>2.4726240075695793E-2</v>
      </c>
      <c r="D419" s="40">
        <v>274.20825200000002</v>
      </c>
      <c r="E419" s="41">
        <f t="shared" si="18"/>
        <v>2.9355795748531088E-2</v>
      </c>
    </row>
    <row r="420" spans="1:5">
      <c r="A420" s="37">
        <v>42267</v>
      </c>
      <c r="B420" s="38">
        <v>7868.5</v>
      </c>
      <c r="C420" s="41">
        <f t="shared" si="17"/>
        <v>-1.4207131559190067E-2</v>
      </c>
      <c r="D420" s="40">
        <v>274.89761399999998</v>
      </c>
      <c r="E420" s="41">
        <f t="shared" si="18"/>
        <v>2.5140089511235253E-3</v>
      </c>
    </row>
    <row r="421" spans="1:5">
      <c r="A421" s="37">
        <v>42274</v>
      </c>
      <c r="B421" s="38">
        <v>7950.8999020000001</v>
      </c>
      <c r="C421" s="41">
        <f t="shared" si="17"/>
        <v>1.0472123276355161E-2</v>
      </c>
      <c r="D421" s="40">
        <v>265.52767899999998</v>
      </c>
      <c r="E421" s="41">
        <f t="shared" si="18"/>
        <v>-3.408518125588389E-2</v>
      </c>
    </row>
    <row r="422" spans="1:5">
      <c r="A422" s="37">
        <v>42281</v>
      </c>
      <c r="B422" s="38">
        <v>8189.7001950000003</v>
      </c>
      <c r="C422" s="41">
        <f t="shared" si="17"/>
        <v>3.0034372956944333E-2</v>
      </c>
      <c r="D422" s="40">
        <v>265.38980099999998</v>
      </c>
      <c r="E422" s="41">
        <f t="shared" si="18"/>
        <v>-5.1926036682603538E-4</v>
      </c>
    </row>
    <row r="423" spans="1:5">
      <c r="A423" s="37">
        <v>42288</v>
      </c>
      <c r="B423" s="38">
        <v>8238.1503909999992</v>
      </c>
      <c r="C423" s="41">
        <f t="shared" si="17"/>
        <v>5.9159914094997212E-3</v>
      </c>
      <c r="D423" s="40">
        <v>281.374054</v>
      </c>
      <c r="E423" s="41">
        <f t="shared" si="18"/>
        <v>6.0229341669388425E-2</v>
      </c>
    </row>
    <row r="424" spans="1:5">
      <c r="A424" s="37">
        <v>42295</v>
      </c>
      <c r="B424" s="38">
        <v>8295.4501949999994</v>
      </c>
      <c r="C424" s="41">
        <f t="shared" si="17"/>
        <v>6.9554209719937532E-3</v>
      </c>
      <c r="D424" s="40">
        <v>294.63583399999999</v>
      </c>
      <c r="E424" s="41">
        <f t="shared" si="18"/>
        <v>4.7132206440043678E-2</v>
      </c>
    </row>
    <row r="425" spans="1:5">
      <c r="A425" s="37">
        <v>42302</v>
      </c>
      <c r="B425" s="38">
        <v>8065.7998049999997</v>
      </c>
      <c r="C425" s="41">
        <f t="shared" si="17"/>
        <v>-2.7683897148634506E-2</v>
      </c>
      <c r="D425" s="40">
        <v>297.93954500000001</v>
      </c>
      <c r="E425" s="41">
        <f t="shared" si="18"/>
        <v>1.1212862180232985E-2</v>
      </c>
    </row>
    <row r="426" spans="1:5">
      <c r="A426" s="37">
        <v>42309</v>
      </c>
      <c r="B426" s="38">
        <v>7954.2998049999997</v>
      </c>
      <c r="C426" s="41">
        <f t="shared" si="17"/>
        <v>-1.3823799585365504E-2</v>
      </c>
      <c r="D426" s="40">
        <v>291.30389400000001</v>
      </c>
      <c r="E426" s="41">
        <f t="shared" si="18"/>
        <v>-2.2271803496242804E-2</v>
      </c>
    </row>
    <row r="427" spans="1:5">
      <c r="A427" s="37">
        <v>42316</v>
      </c>
      <c r="B427" s="38">
        <v>7762.25</v>
      </c>
      <c r="C427" s="41">
        <f t="shared" si="17"/>
        <v>-2.4144149668494874E-2</v>
      </c>
      <c r="D427" s="40">
        <v>285.70513899999997</v>
      </c>
      <c r="E427" s="41">
        <f t="shared" si="18"/>
        <v>-1.9219636658890815E-2</v>
      </c>
    </row>
    <row r="428" spans="1:5">
      <c r="A428" s="37">
        <v>42323</v>
      </c>
      <c r="B428" s="38">
        <v>7856.5498049999997</v>
      </c>
      <c r="C428" s="41">
        <f t="shared" si="17"/>
        <v>1.2148514283873757E-2</v>
      </c>
      <c r="D428" s="40">
        <v>289.61062600000002</v>
      </c>
      <c r="E428" s="41">
        <f t="shared" si="18"/>
        <v>1.3669642113087965E-2</v>
      </c>
    </row>
    <row r="429" spans="1:5">
      <c r="A429" s="37">
        <v>42330</v>
      </c>
      <c r="B429" s="38">
        <v>7942.7001950000003</v>
      </c>
      <c r="C429" s="41">
        <f t="shared" si="17"/>
        <v>1.0965422754040555E-2</v>
      </c>
      <c r="D429" s="40">
        <v>283.38992300000001</v>
      </c>
      <c r="E429" s="41">
        <f t="shared" si="18"/>
        <v>-2.1479539911632983E-2</v>
      </c>
    </row>
    <row r="430" spans="1:5">
      <c r="A430" s="37">
        <v>42337</v>
      </c>
      <c r="B430" s="38">
        <v>7781.8999020000001</v>
      </c>
      <c r="C430" s="41">
        <f t="shared" si="17"/>
        <v>-2.0245041239404404E-2</v>
      </c>
      <c r="D430" s="40">
        <v>292.30651899999998</v>
      </c>
      <c r="E430" s="41">
        <f t="shared" si="18"/>
        <v>3.146405456343615E-2</v>
      </c>
    </row>
    <row r="431" spans="1:5">
      <c r="A431" s="37">
        <v>42344</v>
      </c>
      <c r="B431" s="38">
        <v>7610.4501950000003</v>
      </c>
      <c r="C431" s="41">
        <f t="shared" si="17"/>
        <v>-2.2031857150454526E-2</v>
      </c>
      <c r="D431" s="40">
        <v>279.933716</v>
      </c>
      <c r="E431" s="41">
        <f t="shared" si="18"/>
        <v>-4.2328180166245177E-2</v>
      </c>
    </row>
    <row r="432" spans="1:5">
      <c r="A432" s="37">
        <v>42351</v>
      </c>
      <c r="B432" s="38">
        <v>7761.9501950000003</v>
      </c>
      <c r="C432" s="41">
        <f t="shared" si="17"/>
        <v>1.9906838113142644E-2</v>
      </c>
      <c r="D432" s="40">
        <v>288.05566399999998</v>
      </c>
      <c r="E432" s="41">
        <f t="shared" si="18"/>
        <v>2.9013825544329741E-2</v>
      </c>
    </row>
    <row r="433" spans="1:5">
      <c r="A433" s="37">
        <v>42358</v>
      </c>
      <c r="B433" s="38">
        <v>7861.0498049999997</v>
      </c>
      <c r="C433" s="41">
        <f t="shared" si="17"/>
        <v>1.2767359685435187E-2</v>
      </c>
      <c r="D433" s="40">
        <v>286.15447999999998</v>
      </c>
      <c r="E433" s="41">
        <f t="shared" si="18"/>
        <v>-6.6000576888500806E-3</v>
      </c>
    </row>
    <row r="434" spans="1:5">
      <c r="A434" s="37">
        <v>42365</v>
      </c>
      <c r="B434" s="38">
        <v>7946.3500979999999</v>
      </c>
      <c r="C434" s="41">
        <f t="shared" si="17"/>
        <v>1.0851005287581872E-2</v>
      </c>
      <c r="D434" s="40">
        <v>287.22573899999998</v>
      </c>
      <c r="E434" s="41">
        <f t="shared" si="18"/>
        <v>3.7436387506495361E-3</v>
      </c>
    </row>
    <row r="435" spans="1:5">
      <c r="A435" s="37">
        <v>42372</v>
      </c>
      <c r="B435" s="38">
        <v>7601.3500979999999</v>
      </c>
      <c r="C435" s="41">
        <f t="shared" si="17"/>
        <v>-4.3416159085015948E-2</v>
      </c>
      <c r="D435" s="40">
        <v>283.32028200000002</v>
      </c>
      <c r="E435" s="41">
        <f t="shared" si="18"/>
        <v>-1.3597169298256939E-2</v>
      </c>
    </row>
    <row r="436" spans="1:5">
      <c r="A436" s="37">
        <v>42379</v>
      </c>
      <c r="B436" s="38">
        <v>7437.7998049999997</v>
      </c>
      <c r="C436" s="41">
        <f t="shared" si="17"/>
        <v>-2.1515953204554017E-2</v>
      </c>
      <c r="D436" s="40">
        <v>276.02825899999999</v>
      </c>
      <c r="E436" s="41">
        <f t="shared" si="18"/>
        <v>-2.5737737335726707E-2</v>
      </c>
    </row>
    <row r="437" spans="1:5">
      <c r="A437" s="37">
        <v>42386</v>
      </c>
      <c r="B437" s="38">
        <v>7422.4501950000003</v>
      </c>
      <c r="C437" s="41">
        <f t="shared" si="17"/>
        <v>-2.0637299204638859E-3</v>
      </c>
      <c r="D437" s="40">
        <v>280.52136200000001</v>
      </c>
      <c r="E437" s="41">
        <f t="shared" si="18"/>
        <v>1.6277692060507443E-2</v>
      </c>
    </row>
    <row r="438" spans="1:5">
      <c r="A438" s="37">
        <v>42393</v>
      </c>
      <c r="B438" s="38">
        <v>7563.5498049999997</v>
      </c>
      <c r="C438" s="41">
        <f t="shared" si="17"/>
        <v>1.9009842611682037E-2</v>
      </c>
      <c r="D438" s="40">
        <v>279.933716</v>
      </c>
      <c r="E438" s="41">
        <f t="shared" si="18"/>
        <v>-2.0948351163360135E-3</v>
      </c>
    </row>
    <row r="439" spans="1:5">
      <c r="A439" s="37">
        <v>42400</v>
      </c>
      <c r="B439" s="38">
        <v>7489.1000979999999</v>
      </c>
      <c r="C439" s="41">
        <f t="shared" si="17"/>
        <v>-9.8432229468210508E-3</v>
      </c>
      <c r="D439" s="40">
        <v>281.31603999999999</v>
      </c>
      <c r="E439" s="41">
        <f t="shared" si="18"/>
        <v>4.9380404038217307E-3</v>
      </c>
    </row>
    <row r="440" spans="1:5">
      <c r="A440" s="37">
        <v>42407</v>
      </c>
      <c r="B440" s="38">
        <v>6980.9501950000003</v>
      </c>
      <c r="C440" s="41">
        <f t="shared" si="17"/>
        <v>-6.7851930986434938E-2</v>
      </c>
      <c r="D440" s="40">
        <v>277.61849999999998</v>
      </c>
      <c r="E440" s="41">
        <f t="shared" si="18"/>
        <v>-1.3143722625983179E-2</v>
      </c>
    </row>
    <row r="441" spans="1:5">
      <c r="A441" s="37">
        <v>42414</v>
      </c>
      <c r="B441" s="38">
        <v>7210.75</v>
      </c>
      <c r="C441" s="41">
        <f t="shared" si="17"/>
        <v>3.2918126985720386E-2</v>
      </c>
      <c r="D441" s="40">
        <v>271.32815599999998</v>
      </c>
      <c r="E441" s="41">
        <f t="shared" si="18"/>
        <v>-2.2658230629442944E-2</v>
      </c>
    </row>
    <row r="442" spans="1:5">
      <c r="A442" s="37">
        <v>42421</v>
      </c>
      <c r="B442" s="38">
        <v>7029.75</v>
      </c>
      <c r="C442" s="41">
        <f t="shared" si="17"/>
        <v>-2.5101411087612213E-2</v>
      </c>
      <c r="D442" s="40">
        <v>272.12374899999998</v>
      </c>
      <c r="E442" s="41">
        <f t="shared" si="18"/>
        <v>2.9322168835290707E-3</v>
      </c>
    </row>
    <row r="443" spans="1:5">
      <c r="A443" s="37">
        <v>42428</v>
      </c>
      <c r="B443" s="38">
        <v>7485.3500979999999</v>
      </c>
      <c r="C443" s="41">
        <f t="shared" si="17"/>
        <v>6.4810284576265254E-2</v>
      </c>
      <c r="D443" s="40">
        <v>276.13223299999999</v>
      </c>
      <c r="E443" s="41">
        <f t="shared" si="18"/>
        <v>1.4730371805953713E-2</v>
      </c>
    </row>
    <row r="444" spans="1:5">
      <c r="A444" s="37">
        <v>42435</v>
      </c>
      <c r="B444" s="38">
        <v>7510.2001950000003</v>
      </c>
      <c r="C444" s="41">
        <f t="shared" si="17"/>
        <v>3.3198309597624043E-3</v>
      </c>
      <c r="D444" s="40">
        <v>276.47757000000001</v>
      </c>
      <c r="E444" s="41">
        <f t="shared" si="18"/>
        <v>1.2506218352279497E-3</v>
      </c>
    </row>
    <row r="445" spans="1:5">
      <c r="A445" s="37">
        <v>42442</v>
      </c>
      <c r="B445" s="38">
        <v>7604.3500979999999</v>
      </c>
      <c r="C445" s="41">
        <f t="shared" si="17"/>
        <v>1.2536270745842515E-2</v>
      </c>
      <c r="D445" s="40">
        <v>281.86932400000001</v>
      </c>
      <c r="E445" s="41">
        <f t="shared" si="18"/>
        <v>1.9501596458620485E-2</v>
      </c>
    </row>
    <row r="446" spans="1:5">
      <c r="A446" s="37">
        <v>42449</v>
      </c>
      <c r="B446" s="38">
        <v>7716.5</v>
      </c>
      <c r="C446" s="41">
        <f t="shared" si="17"/>
        <v>1.4748124501723803E-2</v>
      </c>
      <c r="D446" s="40">
        <v>281.281677</v>
      </c>
      <c r="E446" s="41">
        <f t="shared" si="18"/>
        <v>-2.0848206951388226E-3</v>
      </c>
    </row>
    <row r="447" spans="1:5">
      <c r="A447" s="37">
        <v>42456</v>
      </c>
      <c r="B447" s="38">
        <v>7713.0498049999997</v>
      </c>
      <c r="C447" s="41">
        <f t="shared" si="17"/>
        <v>-4.4711916024109399E-4</v>
      </c>
      <c r="D447" s="40">
        <v>288.31222500000001</v>
      </c>
      <c r="E447" s="41">
        <f t="shared" si="18"/>
        <v>2.4994688864856229E-2</v>
      </c>
    </row>
    <row r="448" spans="1:5">
      <c r="A448" s="37">
        <v>42463</v>
      </c>
      <c r="B448" s="38">
        <v>7555.2001950000003</v>
      </c>
      <c r="C448" s="41">
        <f t="shared" si="17"/>
        <v>-2.0465265231098706E-2</v>
      </c>
      <c r="D448" s="40">
        <v>290.43151899999998</v>
      </c>
      <c r="E448" s="41">
        <f t="shared" si="18"/>
        <v>7.3506907312028691E-3</v>
      </c>
    </row>
    <row r="449" spans="1:5">
      <c r="A449" s="37">
        <v>42470</v>
      </c>
      <c r="B449" s="38">
        <v>7850.4501950000003</v>
      </c>
      <c r="C449" s="41">
        <f t="shared" si="17"/>
        <v>3.9079043887598752E-2</v>
      </c>
      <c r="D449" s="40">
        <v>303.25073200000003</v>
      </c>
      <c r="E449" s="41">
        <f t="shared" si="18"/>
        <v>4.4138504815656843E-2</v>
      </c>
    </row>
    <row r="450" spans="1:5">
      <c r="A450" s="37">
        <v>42477</v>
      </c>
      <c r="B450" s="38">
        <v>7899.2998049999997</v>
      </c>
      <c r="C450" s="41">
        <f t="shared" si="17"/>
        <v>6.2225233950419234E-3</v>
      </c>
      <c r="D450" s="40">
        <v>307.94085699999999</v>
      </c>
      <c r="E450" s="41">
        <f t="shared" si="18"/>
        <v>1.5466162172363518E-2</v>
      </c>
    </row>
    <row r="451" spans="1:5">
      <c r="A451" s="37">
        <v>42484</v>
      </c>
      <c r="B451" s="38">
        <v>7849.7998049999997</v>
      </c>
      <c r="C451" s="41">
        <f t="shared" si="17"/>
        <v>-6.2663781881867608E-3</v>
      </c>
      <c r="D451" s="40">
        <v>313.568939</v>
      </c>
      <c r="E451" s="41">
        <f t="shared" si="18"/>
        <v>1.8276503010446588E-2</v>
      </c>
    </row>
    <row r="452" spans="1:5">
      <c r="A452" s="37">
        <v>42491</v>
      </c>
      <c r="B452" s="38">
        <v>7733.4501950000003</v>
      </c>
      <c r="C452" s="41">
        <f t="shared" ref="C452:C515" si="19">B452/B451-1</f>
        <v>-1.482198436779103E-2</v>
      </c>
      <c r="D452" s="40">
        <v>305.64804099999998</v>
      </c>
      <c r="E452" s="41">
        <f t="shared" ref="E452:E515" si="20">D452/D451-1</f>
        <v>-2.5260467523538832E-2</v>
      </c>
    </row>
    <row r="453" spans="1:5">
      <c r="A453" s="37">
        <v>42498</v>
      </c>
      <c r="B453" s="38">
        <v>7814.8999020000001</v>
      </c>
      <c r="C453" s="41">
        <f t="shared" si="19"/>
        <v>1.0532130542802332E-2</v>
      </c>
      <c r="D453" s="40">
        <v>294.80911300000002</v>
      </c>
      <c r="E453" s="41">
        <f t="shared" si="20"/>
        <v>-3.5462121610653319E-2</v>
      </c>
    </row>
    <row r="454" spans="1:5">
      <c r="A454" s="37">
        <v>42505</v>
      </c>
      <c r="B454" s="38">
        <v>7749.7001950000003</v>
      </c>
      <c r="C454" s="41">
        <f t="shared" si="19"/>
        <v>-8.3429996311679133E-3</v>
      </c>
      <c r="D454" s="40">
        <v>296.78933699999999</v>
      </c>
      <c r="E454" s="41">
        <f t="shared" si="20"/>
        <v>6.716970109400755E-3</v>
      </c>
    </row>
    <row r="455" spans="1:5">
      <c r="A455" s="37">
        <v>42512</v>
      </c>
      <c r="B455" s="38">
        <v>8156.6499020000001</v>
      </c>
      <c r="C455" s="41">
        <f t="shared" si="19"/>
        <v>5.2511671001487015E-2</v>
      </c>
      <c r="D455" s="40">
        <v>300.854309</v>
      </c>
      <c r="E455" s="41">
        <f t="shared" si="20"/>
        <v>1.3696489372190701E-2</v>
      </c>
    </row>
    <row r="456" spans="1:5">
      <c r="A456" s="37">
        <v>42519</v>
      </c>
      <c r="B456" s="38">
        <v>8220.7998050000006</v>
      </c>
      <c r="C456" s="41">
        <f t="shared" si="19"/>
        <v>7.8647365978365968E-3</v>
      </c>
      <c r="D456" s="40">
        <v>309.852081</v>
      </c>
      <c r="E456" s="41">
        <f t="shared" si="20"/>
        <v>2.9907406112637647E-2</v>
      </c>
    </row>
    <row r="457" spans="1:5">
      <c r="A457" s="37">
        <v>42526</v>
      </c>
      <c r="B457" s="38">
        <v>8170.0498049999997</v>
      </c>
      <c r="C457" s="41">
        <f t="shared" si="19"/>
        <v>-6.1733652690501017E-3</v>
      </c>
      <c r="D457" s="40">
        <v>323.78265399999998</v>
      </c>
      <c r="E457" s="41">
        <f t="shared" si="20"/>
        <v>4.4958784704757226E-2</v>
      </c>
    </row>
    <row r="458" spans="1:5">
      <c r="A458" s="37">
        <v>42533</v>
      </c>
      <c r="B458" s="38">
        <v>8170.2001950000003</v>
      </c>
      <c r="C458" s="41">
        <f t="shared" si="19"/>
        <v>1.8407476525927891E-5</v>
      </c>
      <c r="D458" s="40">
        <v>315.20199600000001</v>
      </c>
      <c r="E458" s="41">
        <f t="shared" si="20"/>
        <v>-2.6501289967188812E-2</v>
      </c>
    </row>
    <row r="459" spans="1:5">
      <c r="A459" s="37">
        <v>42540</v>
      </c>
      <c r="B459" s="38">
        <v>8088.6000979999999</v>
      </c>
      <c r="C459" s="41">
        <f t="shared" si="19"/>
        <v>-9.9875272395330006E-3</v>
      </c>
      <c r="D459" s="40">
        <v>309.46948200000003</v>
      </c>
      <c r="E459" s="41">
        <f t="shared" si="20"/>
        <v>-1.8186794730830291E-2</v>
      </c>
    </row>
    <row r="460" spans="1:5">
      <c r="A460" s="37">
        <v>42547</v>
      </c>
      <c r="B460" s="38">
        <v>8328.3496090000008</v>
      </c>
      <c r="C460" s="41">
        <f t="shared" si="19"/>
        <v>2.9640420850980398E-2</v>
      </c>
      <c r="D460" s="40">
        <v>315.20199600000001</v>
      </c>
      <c r="E460" s="41">
        <f t="shared" si="20"/>
        <v>1.8523681116963786E-2</v>
      </c>
    </row>
    <row r="461" spans="1:5">
      <c r="A461" s="37">
        <v>42554</v>
      </c>
      <c r="B461" s="38">
        <v>8323.2001949999994</v>
      </c>
      <c r="C461" s="41">
        <f t="shared" si="19"/>
        <v>-6.1829945208313752E-4</v>
      </c>
      <c r="D461" s="40">
        <v>340.84033199999999</v>
      </c>
      <c r="E461" s="41">
        <f t="shared" si="20"/>
        <v>8.1339383396544118E-2</v>
      </c>
    </row>
    <row r="462" spans="1:5">
      <c r="A462" s="37">
        <v>42561</v>
      </c>
      <c r="B462" s="38">
        <v>8541.4003909999992</v>
      </c>
      <c r="C462" s="41">
        <f t="shared" si="19"/>
        <v>2.6215901442702139E-2</v>
      </c>
      <c r="D462" s="40">
        <v>345.56503300000003</v>
      </c>
      <c r="E462" s="41">
        <f t="shared" si="20"/>
        <v>1.3861918782546168E-2</v>
      </c>
    </row>
    <row r="463" spans="1:5">
      <c r="A463" s="37">
        <v>42568</v>
      </c>
      <c r="B463" s="38">
        <v>8541.2001949999994</v>
      </c>
      <c r="C463" s="41">
        <f t="shared" si="19"/>
        <v>-2.3438311147483404E-5</v>
      </c>
      <c r="D463" s="40">
        <v>323.87335200000001</v>
      </c>
      <c r="E463" s="41">
        <f t="shared" si="20"/>
        <v>-6.2771631758239854E-2</v>
      </c>
    </row>
    <row r="464" spans="1:5">
      <c r="A464" s="37">
        <v>42575</v>
      </c>
      <c r="B464" s="38">
        <v>8638.5</v>
      </c>
      <c r="C464" s="41">
        <f t="shared" si="19"/>
        <v>1.1391818805155607E-2</v>
      </c>
      <c r="D464" s="40">
        <v>321.587402</v>
      </c>
      <c r="E464" s="41">
        <f t="shared" si="20"/>
        <v>-7.0581601909626146E-3</v>
      </c>
    </row>
    <row r="465" spans="1:5">
      <c r="A465" s="37">
        <v>42582</v>
      </c>
      <c r="B465" s="38">
        <v>8683.1503909999992</v>
      </c>
      <c r="C465" s="41">
        <f t="shared" si="19"/>
        <v>5.1687666840307678E-3</v>
      </c>
      <c r="D465" s="40">
        <v>314.58367900000002</v>
      </c>
      <c r="E465" s="41">
        <f t="shared" si="20"/>
        <v>-2.177859877732391E-2</v>
      </c>
    </row>
    <row r="466" spans="1:5">
      <c r="A466" s="37">
        <v>42589</v>
      </c>
      <c r="B466" s="38">
        <v>8592.1503909999992</v>
      </c>
      <c r="C466" s="41">
        <f t="shared" si="19"/>
        <v>-1.0480067245445923E-2</v>
      </c>
      <c r="D466" s="40">
        <v>319.49575800000002</v>
      </c>
      <c r="E466" s="41">
        <f t="shared" si="20"/>
        <v>1.561453860421036E-2</v>
      </c>
    </row>
    <row r="467" spans="1:5">
      <c r="A467" s="37">
        <v>42596</v>
      </c>
      <c r="B467" s="38">
        <v>8666.9003909999992</v>
      </c>
      <c r="C467" s="41">
        <f t="shared" si="19"/>
        <v>8.6998011671557407E-3</v>
      </c>
      <c r="D467" s="40">
        <v>322.43975799999998</v>
      </c>
      <c r="E467" s="41">
        <f t="shared" si="20"/>
        <v>9.214519837224211E-3</v>
      </c>
    </row>
    <row r="468" spans="1:5">
      <c r="A468" s="37">
        <v>42603</v>
      </c>
      <c r="B468" s="38">
        <v>8572.5498050000006</v>
      </c>
      <c r="C468" s="41">
        <f t="shared" si="19"/>
        <v>-1.0886312492754069E-2</v>
      </c>
      <c r="D468" s="40">
        <v>331.07473800000002</v>
      </c>
      <c r="E468" s="41">
        <f t="shared" si="20"/>
        <v>2.6780134228980623E-2</v>
      </c>
    </row>
    <row r="469" spans="1:5">
      <c r="A469" s="37">
        <v>42610</v>
      </c>
      <c r="B469" s="38">
        <v>8809.6503909999992</v>
      </c>
      <c r="C469" s="41">
        <f t="shared" si="19"/>
        <v>2.765811705890675E-2</v>
      </c>
      <c r="D469" s="40">
        <v>328.78170799999998</v>
      </c>
      <c r="E469" s="41">
        <f t="shared" si="20"/>
        <v>-6.9260192240945262E-3</v>
      </c>
    </row>
    <row r="470" spans="1:5">
      <c r="A470" s="37">
        <v>42617</v>
      </c>
      <c r="B470" s="38">
        <v>8866.7001949999994</v>
      </c>
      <c r="C470" s="41">
        <f t="shared" si="19"/>
        <v>6.4758306479770766E-3</v>
      </c>
      <c r="D470" s="40">
        <v>337.17330900000002</v>
      </c>
      <c r="E470" s="41">
        <f t="shared" si="20"/>
        <v>2.5523320780364234E-2</v>
      </c>
    </row>
    <row r="471" spans="1:5">
      <c r="A471" s="37">
        <v>42624</v>
      </c>
      <c r="B471" s="38">
        <v>8779.8496090000008</v>
      </c>
      <c r="C471" s="41">
        <f t="shared" si="19"/>
        <v>-9.7951418329192963E-3</v>
      </c>
      <c r="D471" s="40">
        <v>329.513733</v>
      </c>
      <c r="E471" s="41">
        <f t="shared" si="20"/>
        <v>-2.2717029478747985E-2</v>
      </c>
    </row>
    <row r="472" spans="1:5">
      <c r="A472" s="37">
        <v>42631</v>
      </c>
      <c r="B472" s="38">
        <v>8831.5498050000006</v>
      </c>
      <c r="C472" s="41">
        <f t="shared" si="19"/>
        <v>5.8885058745201668E-3</v>
      </c>
      <c r="D472" s="40">
        <v>332.09960899999999</v>
      </c>
      <c r="E472" s="41">
        <f t="shared" si="20"/>
        <v>7.8475515313347621E-3</v>
      </c>
    </row>
    <row r="473" spans="1:5">
      <c r="A473" s="37">
        <v>42638</v>
      </c>
      <c r="B473" s="38">
        <v>8611.1503909999992</v>
      </c>
      <c r="C473" s="41">
        <f t="shared" si="19"/>
        <v>-2.4955915877326706E-2</v>
      </c>
      <c r="D473" s="40">
        <v>325.85458399999999</v>
      </c>
      <c r="E473" s="41">
        <f t="shared" si="20"/>
        <v>-1.8804674352989048E-2</v>
      </c>
    </row>
    <row r="474" spans="1:5">
      <c r="A474" s="37">
        <v>42645</v>
      </c>
      <c r="B474" s="38">
        <v>8697.5996090000008</v>
      </c>
      <c r="C474" s="41">
        <f t="shared" si="19"/>
        <v>1.0039218231556513E-2</v>
      </c>
      <c r="D474" s="40">
        <v>331.221161</v>
      </c>
      <c r="E474" s="41">
        <f t="shared" si="20"/>
        <v>1.6469238928982E-2</v>
      </c>
    </row>
    <row r="475" spans="1:5">
      <c r="A475" s="37">
        <v>42652</v>
      </c>
      <c r="B475" s="38">
        <v>8583.4003909999992</v>
      </c>
      <c r="C475" s="41">
        <f t="shared" si="19"/>
        <v>-1.3129969547210685E-2</v>
      </c>
      <c r="D475" s="40">
        <v>336.149475</v>
      </c>
      <c r="E475" s="41">
        <f t="shared" si="20"/>
        <v>1.4879224458729468E-2</v>
      </c>
    </row>
    <row r="476" spans="1:5">
      <c r="A476" s="37">
        <v>42659</v>
      </c>
      <c r="B476" s="38">
        <v>8693.0498050000006</v>
      </c>
      <c r="C476" s="41">
        <f t="shared" si="19"/>
        <v>1.2774589207672493E-2</v>
      </c>
      <c r="D476" s="40">
        <v>343.32138099999997</v>
      </c>
      <c r="E476" s="41">
        <f t="shared" si="20"/>
        <v>2.133546690798771E-2</v>
      </c>
    </row>
    <row r="477" spans="1:5">
      <c r="A477" s="37">
        <v>42666</v>
      </c>
      <c r="B477" s="38">
        <v>8638</v>
      </c>
      <c r="C477" s="41">
        <f t="shared" si="19"/>
        <v>-6.332622754368411E-3</v>
      </c>
      <c r="D477" s="40">
        <v>337.612549</v>
      </c>
      <c r="E477" s="41">
        <f t="shared" si="20"/>
        <v>-1.6628244892210708E-2</v>
      </c>
    </row>
    <row r="478" spans="1:5">
      <c r="A478" s="37">
        <v>42673</v>
      </c>
      <c r="B478" s="38">
        <v>8433.75</v>
      </c>
      <c r="C478" s="41">
        <f t="shared" si="19"/>
        <v>-2.3645519796249181E-2</v>
      </c>
      <c r="D478" s="40">
        <v>333.17288200000002</v>
      </c>
      <c r="E478" s="41">
        <f t="shared" si="20"/>
        <v>-1.3150183585148634E-2</v>
      </c>
    </row>
    <row r="479" spans="1:5">
      <c r="A479" s="37">
        <v>42680</v>
      </c>
      <c r="B479" s="38">
        <v>8296.2998050000006</v>
      </c>
      <c r="C479" s="41">
        <f t="shared" si="19"/>
        <v>-1.6297636875648336E-2</v>
      </c>
      <c r="D479" s="40">
        <v>334.73391700000002</v>
      </c>
      <c r="E479" s="41">
        <f t="shared" si="20"/>
        <v>4.6853603169298985E-3</v>
      </c>
    </row>
    <row r="480" spans="1:5">
      <c r="A480" s="37">
        <v>42687</v>
      </c>
      <c r="B480" s="38">
        <v>8074.1000979999999</v>
      </c>
      <c r="C480" s="41">
        <f t="shared" si="19"/>
        <v>-2.6782989070149754E-2</v>
      </c>
      <c r="D480" s="40">
        <v>336.197968</v>
      </c>
      <c r="E480" s="41">
        <f t="shared" si="20"/>
        <v>4.3737754844841437E-3</v>
      </c>
    </row>
    <row r="481" spans="1:5">
      <c r="A481" s="37">
        <v>42694</v>
      </c>
      <c r="B481" s="38">
        <v>8114.2998049999997</v>
      </c>
      <c r="C481" s="41">
        <f t="shared" si="19"/>
        <v>4.9788467460241126E-3</v>
      </c>
      <c r="D481" s="40">
        <v>334.14926100000002</v>
      </c>
      <c r="E481" s="41">
        <f t="shared" si="20"/>
        <v>-6.093751881331988E-3</v>
      </c>
    </row>
    <row r="482" spans="1:5">
      <c r="A482" s="37">
        <v>42701</v>
      </c>
      <c r="B482" s="38">
        <v>8086.7998049999997</v>
      </c>
      <c r="C482" s="41">
        <f t="shared" si="19"/>
        <v>-3.3890786217998237E-3</v>
      </c>
      <c r="D482" s="40">
        <v>338.34454299999999</v>
      </c>
      <c r="E482" s="41">
        <f t="shared" si="20"/>
        <v>1.2555113805862828E-2</v>
      </c>
    </row>
    <row r="483" spans="1:5">
      <c r="A483" s="37">
        <v>42708</v>
      </c>
      <c r="B483" s="38">
        <v>8261.75</v>
      </c>
      <c r="C483" s="41">
        <f t="shared" si="19"/>
        <v>2.1634045508561961E-2</v>
      </c>
      <c r="D483" s="40">
        <v>337.612549</v>
      </c>
      <c r="E483" s="41">
        <f t="shared" si="20"/>
        <v>-2.1634573843266613E-3</v>
      </c>
    </row>
    <row r="484" spans="1:5">
      <c r="A484" s="37">
        <v>42715</v>
      </c>
      <c r="B484" s="38">
        <v>8139.4501950000003</v>
      </c>
      <c r="C484" s="41">
        <f t="shared" si="19"/>
        <v>-1.4803135534239065E-2</v>
      </c>
      <c r="D484" s="40">
        <v>340.49121100000002</v>
      </c>
      <c r="E484" s="41">
        <f t="shared" si="20"/>
        <v>8.5265254758051245E-3</v>
      </c>
    </row>
    <row r="485" spans="1:5">
      <c r="A485" s="37">
        <v>42722</v>
      </c>
      <c r="B485" s="38">
        <v>7985.75</v>
      </c>
      <c r="C485" s="41">
        <f t="shared" si="19"/>
        <v>-1.8883363288397237E-2</v>
      </c>
      <c r="D485" s="40">
        <v>344.44314600000001</v>
      </c>
      <c r="E485" s="41">
        <f t="shared" si="20"/>
        <v>1.1606569780152176E-2</v>
      </c>
    </row>
    <row r="486" spans="1:5">
      <c r="A486" s="37">
        <v>42729</v>
      </c>
      <c r="B486" s="38">
        <v>8185.7998049999997</v>
      </c>
      <c r="C486" s="41">
        <f t="shared" si="19"/>
        <v>2.5050847447015023E-2</v>
      </c>
      <c r="D486" s="40">
        <v>353.90808099999998</v>
      </c>
      <c r="E486" s="41">
        <f t="shared" si="20"/>
        <v>2.7478947135153531E-2</v>
      </c>
    </row>
    <row r="487" spans="1:5">
      <c r="A487" s="37">
        <v>42736</v>
      </c>
      <c r="B487" s="38">
        <v>8243.7998050000006</v>
      </c>
      <c r="C487" s="41">
        <f t="shared" si="19"/>
        <v>7.0854408098979249E-3</v>
      </c>
      <c r="D487" s="40">
        <v>372.78848299999999</v>
      </c>
      <c r="E487" s="41">
        <f t="shared" si="20"/>
        <v>5.3348321255201947E-2</v>
      </c>
    </row>
    <row r="488" spans="1:5">
      <c r="A488" s="37">
        <v>42743</v>
      </c>
      <c r="B488" s="38">
        <v>8400.3496090000008</v>
      </c>
      <c r="C488" s="41">
        <f t="shared" si="19"/>
        <v>1.8990005543930044E-2</v>
      </c>
      <c r="D488" s="40">
        <v>387.61999500000002</v>
      </c>
      <c r="E488" s="41">
        <f t="shared" si="20"/>
        <v>3.9785327810140547E-2</v>
      </c>
    </row>
    <row r="489" spans="1:5">
      <c r="A489" s="37">
        <v>42750</v>
      </c>
      <c r="B489" s="38">
        <v>8349.3496090000008</v>
      </c>
      <c r="C489" s="41">
        <f t="shared" si="19"/>
        <v>-6.0711758883653655E-3</v>
      </c>
      <c r="D489" s="40">
        <v>425.04049700000002</v>
      </c>
      <c r="E489" s="41">
        <f t="shared" si="20"/>
        <v>9.6539142672451561E-2</v>
      </c>
    </row>
    <row r="490" spans="1:5">
      <c r="A490" s="37">
        <v>42757</v>
      </c>
      <c r="B490" s="38">
        <v>8641.25</v>
      </c>
      <c r="C490" s="41">
        <f t="shared" si="19"/>
        <v>3.4960853799360869E-2</v>
      </c>
      <c r="D490" s="40">
        <v>419.52752700000002</v>
      </c>
      <c r="E490" s="41">
        <f t="shared" si="20"/>
        <v>-1.2970458200833535E-2</v>
      </c>
    </row>
    <row r="491" spans="1:5">
      <c r="A491" s="37">
        <v>42764</v>
      </c>
      <c r="B491" s="38">
        <v>8740.9501949999994</v>
      </c>
      <c r="C491" s="41">
        <f t="shared" si="19"/>
        <v>1.1537705193114256E-2</v>
      </c>
      <c r="D491" s="40">
        <v>430.99267600000002</v>
      </c>
      <c r="E491" s="41">
        <f t="shared" si="20"/>
        <v>2.7328716859144286E-2</v>
      </c>
    </row>
    <row r="492" spans="1:5">
      <c r="A492" s="37">
        <v>42771</v>
      </c>
      <c r="B492" s="38">
        <v>8793.5498050000006</v>
      </c>
      <c r="C492" s="41">
        <f t="shared" si="19"/>
        <v>6.0176077916664905E-3</v>
      </c>
      <c r="D492" s="40">
        <v>434.603363</v>
      </c>
      <c r="E492" s="41">
        <f t="shared" si="20"/>
        <v>8.3776063981189086E-3</v>
      </c>
    </row>
    <row r="493" spans="1:5">
      <c r="A493" s="37">
        <v>42778</v>
      </c>
      <c r="B493" s="38">
        <v>8821.7001949999994</v>
      </c>
      <c r="C493" s="41">
        <f t="shared" si="19"/>
        <v>3.2012543994455189E-3</v>
      </c>
      <c r="D493" s="40">
        <v>433.18875100000002</v>
      </c>
      <c r="E493" s="41">
        <f t="shared" si="20"/>
        <v>-3.2549495020819386E-3</v>
      </c>
    </row>
    <row r="494" spans="1:5">
      <c r="A494" s="37">
        <v>42785</v>
      </c>
      <c r="B494" s="38">
        <v>8939.5</v>
      </c>
      <c r="C494" s="41">
        <f t="shared" si="19"/>
        <v>1.335341287915992E-2</v>
      </c>
      <c r="D494" s="40">
        <v>439.48223899999999</v>
      </c>
      <c r="E494" s="41">
        <f t="shared" si="20"/>
        <v>1.452828122953731E-2</v>
      </c>
    </row>
    <row r="495" spans="1:5">
      <c r="A495" s="37">
        <v>42792</v>
      </c>
      <c r="B495" s="38">
        <v>8897.5498050000006</v>
      </c>
      <c r="C495" s="41">
        <f t="shared" si="19"/>
        <v>-4.6926780021253611E-3</v>
      </c>
      <c r="D495" s="40">
        <v>458.704926</v>
      </c>
      <c r="E495" s="41">
        <f t="shared" si="20"/>
        <v>4.3739394437735113E-2</v>
      </c>
    </row>
    <row r="496" spans="1:5">
      <c r="A496" s="37">
        <v>42799</v>
      </c>
      <c r="B496" s="38">
        <v>8934.5498050000006</v>
      </c>
      <c r="C496" s="41">
        <f t="shared" si="19"/>
        <v>4.1584482032579473E-3</v>
      </c>
      <c r="D496" s="40">
        <v>494.12420700000001</v>
      </c>
      <c r="E496" s="41">
        <f t="shared" si="20"/>
        <v>7.7215828722100976E-2</v>
      </c>
    </row>
    <row r="497" spans="1:5">
      <c r="A497" s="37">
        <v>42806</v>
      </c>
      <c r="B497" s="38">
        <v>9160.0498050000006</v>
      </c>
      <c r="C497" s="41">
        <f t="shared" si="19"/>
        <v>2.5239100449560903E-2</v>
      </c>
      <c r="D497" s="40">
        <v>516.27398700000003</v>
      </c>
      <c r="E497" s="41">
        <f t="shared" si="20"/>
        <v>4.4826340596586078E-2</v>
      </c>
    </row>
    <row r="498" spans="1:5">
      <c r="A498" s="37">
        <v>42813</v>
      </c>
      <c r="B498" s="38">
        <v>9108</v>
      </c>
      <c r="C498" s="41">
        <f t="shared" si="19"/>
        <v>-5.6822622265207956E-3</v>
      </c>
      <c r="D498" s="40">
        <v>494.70980800000001</v>
      </c>
      <c r="E498" s="41">
        <f t="shared" si="20"/>
        <v>-4.1768866034305963E-2</v>
      </c>
    </row>
    <row r="499" spans="1:5">
      <c r="A499" s="37">
        <v>42820</v>
      </c>
      <c r="B499" s="38">
        <v>9173.75</v>
      </c>
      <c r="C499" s="41">
        <f t="shared" si="19"/>
        <v>7.2189284145804944E-3</v>
      </c>
      <c r="D499" s="40">
        <v>500.56408699999997</v>
      </c>
      <c r="E499" s="41">
        <f t="shared" si="20"/>
        <v>1.1833763764796723E-2</v>
      </c>
    </row>
    <row r="500" spans="1:5">
      <c r="A500" s="37">
        <v>42827</v>
      </c>
      <c r="B500" s="38">
        <v>9198.2998050000006</v>
      </c>
      <c r="C500" s="41">
        <f t="shared" si="19"/>
        <v>2.6760926556752551E-3</v>
      </c>
      <c r="D500" s="40">
        <v>520.47027600000001</v>
      </c>
      <c r="E500" s="41">
        <f t="shared" si="20"/>
        <v>3.9767513325421611E-2</v>
      </c>
    </row>
    <row r="501" spans="1:5">
      <c r="A501" s="37">
        <v>42834</v>
      </c>
      <c r="B501" s="38">
        <v>9150.7998050000006</v>
      </c>
      <c r="C501" s="41">
        <f t="shared" si="19"/>
        <v>-5.1639978047007817E-3</v>
      </c>
      <c r="D501" s="40">
        <v>535.83795199999997</v>
      </c>
      <c r="E501" s="41">
        <f t="shared" si="20"/>
        <v>2.9526519973640086E-2</v>
      </c>
    </row>
    <row r="502" spans="1:5">
      <c r="A502" s="37">
        <v>42841</v>
      </c>
      <c r="B502" s="38">
        <v>9119.4003909999992</v>
      </c>
      <c r="C502" s="41">
        <f t="shared" si="19"/>
        <v>-3.4313300114865442E-3</v>
      </c>
      <c r="D502" s="40">
        <v>565.15966800000001</v>
      </c>
      <c r="E502" s="41">
        <f t="shared" si="20"/>
        <v>5.4721237811837575E-2</v>
      </c>
    </row>
    <row r="503" spans="1:5">
      <c r="A503" s="37">
        <v>42848</v>
      </c>
      <c r="B503" s="38">
        <v>9304.0498050000006</v>
      </c>
      <c r="C503" s="41">
        <f t="shared" si="19"/>
        <v>2.0247977507625636E-2</v>
      </c>
      <c r="D503" s="40">
        <v>604.97113000000002</v>
      </c>
      <c r="E503" s="41">
        <f t="shared" si="20"/>
        <v>7.0442857574896989E-2</v>
      </c>
    </row>
    <row r="504" spans="1:5">
      <c r="A504" s="37">
        <v>42855</v>
      </c>
      <c r="B504" s="38">
        <v>9285.2998050000006</v>
      </c>
      <c r="C504" s="41">
        <f t="shared" si="19"/>
        <v>-2.015251465004364E-3</v>
      </c>
      <c r="D504" s="40">
        <v>594.14007600000002</v>
      </c>
      <c r="E504" s="41">
        <f t="shared" si="20"/>
        <v>-1.790342292862801E-2</v>
      </c>
    </row>
    <row r="505" spans="1:5">
      <c r="A505" s="37">
        <v>42862</v>
      </c>
      <c r="B505" s="38">
        <v>9400.9003909999992</v>
      </c>
      <c r="C505" s="41">
        <f t="shared" si="19"/>
        <v>1.2449849593197726E-2</v>
      </c>
      <c r="D505" s="40">
        <v>598.711365</v>
      </c>
      <c r="E505" s="41">
        <f t="shared" si="20"/>
        <v>7.6939583520030386E-3</v>
      </c>
    </row>
    <row r="506" spans="1:5">
      <c r="A506" s="37">
        <v>42869</v>
      </c>
      <c r="B506" s="38">
        <v>9427.9003909999992</v>
      </c>
      <c r="C506" s="41">
        <f t="shared" si="19"/>
        <v>2.8720653210887459E-3</v>
      </c>
      <c r="D506" s="40">
        <v>586.65039100000001</v>
      </c>
      <c r="E506" s="41">
        <f t="shared" si="20"/>
        <v>-2.0144889015093259E-2</v>
      </c>
    </row>
    <row r="507" spans="1:5">
      <c r="A507" s="37">
        <v>42876</v>
      </c>
      <c r="B507" s="38">
        <v>9595.0996090000008</v>
      </c>
      <c r="C507" s="41">
        <f t="shared" si="19"/>
        <v>1.7734512570753536E-2</v>
      </c>
      <c r="D507" s="40">
        <v>577.77563499999997</v>
      </c>
      <c r="E507" s="41">
        <f t="shared" si="20"/>
        <v>-1.5127844685950409E-2</v>
      </c>
    </row>
    <row r="508" spans="1:5">
      <c r="A508" s="37">
        <v>42883</v>
      </c>
      <c r="B508" s="38">
        <v>9653.5</v>
      </c>
      <c r="C508" s="41">
        <f t="shared" si="19"/>
        <v>6.0864809517162666E-3</v>
      </c>
      <c r="D508" s="40">
        <v>579.83453399999996</v>
      </c>
      <c r="E508" s="41">
        <f t="shared" si="20"/>
        <v>3.5634922542207015E-3</v>
      </c>
    </row>
    <row r="509" spans="1:5">
      <c r="A509" s="37">
        <v>42890</v>
      </c>
      <c r="B509" s="38">
        <v>9668.25</v>
      </c>
      <c r="C509" s="41">
        <f t="shared" si="19"/>
        <v>1.5279432330241871E-3</v>
      </c>
      <c r="D509" s="40">
        <v>574.39263900000003</v>
      </c>
      <c r="E509" s="41">
        <f t="shared" si="20"/>
        <v>-9.3852550700264104E-3</v>
      </c>
    </row>
    <row r="510" spans="1:5">
      <c r="A510" s="37">
        <v>42897</v>
      </c>
      <c r="B510" s="38">
        <v>9588.0498050000006</v>
      </c>
      <c r="C510" s="41">
        <f t="shared" si="19"/>
        <v>-8.2952131978382138E-3</v>
      </c>
      <c r="D510" s="40">
        <v>568.70507799999996</v>
      </c>
      <c r="E510" s="41">
        <f t="shared" si="20"/>
        <v>-9.9018695815843438E-3</v>
      </c>
    </row>
    <row r="511" spans="1:5">
      <c r="A511" s="37">
        <v>42904</v>
      </c>
      <c r="B511" s="38">
        <v>9574.9501949999994</v>
      </c>
      <c r="C511" s="41">
        <f t="shared" si="19"/>
        <v>-1.3662434245147459E-3</v>
      </c>
      <c r="D511" s="40">
        <v>591.99493399999994</v>
      </c>
      <c r="E511" s="41">
        <f t="shared" si="20"/>
        <v>4.095243193872089E-2</v>
      </c>
    </row>
    <row r="512" spans="1:5">
      <c r="A512" s="37">
        <v>42911</v>
      </c>
      <c r="B512" s="38">
        <v>9520.9003909999992</v>
      </c>
      <c r="C512" s="41">
        <f t="shared" si="19"/>
        <v>-5.6449175086283887E-3</v>
      </c>
      <c r="D512" s="40">
        <v>584.64019800000005</v>
      </c>
      <c r="E512" s="41">
        <f t="shared" si="20"/>
        <v>-1.2423646855058923E-2</v>
      </c>
    </row>
    <row r="513" spans="1:5">
      <c r="A513" s="37">
        <v>42918</v>
      </c>
      <c r="B513" s="38">
        <v>9665.7998050000006</v>
      </c>
      <c r="C513" s="41">
        <f t="shared" si="19"/>
        <v>1.5219087276343357E-2</v>
      </c>
      <c r="D513" s="40">
        <v>617.58819600000004</v>
      </c>
      <c r="E513" s="41">
        <f t="shared" si="20"/>
        <v>5.6356025659392017E-2</v>
      </c>
    </row>
    <row r="514" spans="1:5">
      <c r="A514" s="37">
        <v>42925</v>
      </c>
      <c r="B514" s="38">
        <v>9886.3496090000008</v>
      </c>
      <c r="C514" s="41">
        <f t="shared" si="19"/>
        <v>2.2817543136566254E-2</v>
      </c>
      <c r="D514" s="40">
        <v>620.08953899999995</v>
      </c>
      <c r="E514" s="41">
        <f t="shared" si="20"/>
        <v>4.0501794176128758E-3</v>
      </c>
    </row>
    <row r="515" spans="1:5">
      <c r="A515" s="37">
        <v>42932</v>
      </c>
      <c r="B515" s="38">
        <v>9915.25</v>
      </c>
      <c r="C515" s="41">
        <f t="shared" si="19"/>
        <v>2.9232620879287019E-3</v>
      </c>
      <c r="D515" s="40">
        <v>615.97076400000003</v>
      </c>
      <c r="E515" s="41">
        <f t="shared" si="20"/>
        <v>-6.6422262285574796E-3</v>
      </c>
    </row>
    <row r="516" spans="1:5">
      <c r="A516" s="37">
        <v>42939</v>
      </c>
      <c r="B516" s="38">
        <v>10014.5</v>
      </c>
      <c r="C516" s="41">
        <f t="shared" ref="C516:C575" si="21">B516/B515-1</f>
        <v>1.0009833337535579E-2</v>
      </c>
      <c r="D516" s="40">
        <v>603.38403300000004</v>
      </c>
      <c r="E516" s="41">
        <f t="shared" ref="E516:E575" si="22">D516/D515-1</f>
        <v>-2.0433974687798617E-2</v>
      </c>
    </row>
    <row r="517" spans="1:5">
      <c r="A517" s="37">
        <v>42946</v>
      </c>
      <c r="B517" s="38">
        <v>10066.400390999999</v>
      </c>
      <c r="C517" s="41">
        <f t="shared" si="21"/>
        <v>5.1825244395624637E-3</v>
      </c>
      <c r="D517" s="40">
        <v>608.98339799999997</v>
      </c>
      <c r="E517" s="41">
        <f t="shared" si="22"/>
        <v>9.2799356525232746E-3</v>
      </c>
    </row>
    <row r="518" spans="1:5">
      <c r="A518" s="37">
        <v>42953</v>
      </c>
      <c r="B518" s="38">
        <v>9710.7998050000006</v>
      </c>
      <c r="C518" s="41">
        <f t="shared" si="21"/>
        <v>-3.5325495925825456E-2</v>
      </c>
      <c r="D518" s="40">
        <v>624.65008499999999</v>
      </c>
      <c r="E518" s="41">
        <f t="shared" si="22"/>
        <v>2.5725967327602017E-2</v>
      </c>
    </row>
    <row r="519" spans="1:5">
      <c r="A519" s="37">
        <v>42960</v>
      </c>
      <c r="B519" s="38">
        <v>9837.4003909999992</v>
      </c>
      <c r="C519" s="41">
        <f t="shared" si="21"/>
        <v>1.3037091541606483E-2</v>
      </c>
      <c r="D519" s="40">
        <v>617.43060300000002</v>
      </c>
      <c r="E519" s="41">
        <f t="shared" si="22"/>
        <v>-1.1557641907628979E-2</v>
      </c>
    </row>
    <row r="520" spans="1:5">
      <c r="A520" s="37">
        <v>42967</v>
      </c>
      <c r="B520" s="38">
        <v>9857.0498050000006</v>
      </c>
      <c r="C520" s="41">
        <f t="shared" si="21"/>
        <v>1.9974193607061874E-3</v>
      </c>
      <c r="D520" s="40">
        <v>628.13635299999999</v>
      </c>
      <c r="E520" s="41">
        <f t="shared" si="22"/>
        <v>1.7339195608352398E-2</v>
      </c>
    </row>
    <row r="521" spans="1:5">
      <c r="A521" s="37">
        <v>42974</v>
      </c>
      <c r="B521" s="38">
        <v>9974.4003909999992</v>
      </c>
      <c r="C521" s="41">
        <f t="shared" si="21"/>
        <v>1.190524429941231E-2</v>
      </c>
      <c r="D521" s="40">
        <v>616.84112500000003</v>
      </c>
      <c r="E521" s="41">
        <f t="shared" si="22"/>
        <v>-1.7982127520646651E-2</v>
      </c>
    </row>
    <row r="522" spans="1:5">
      <c r="A522" s="37">
        <v>42981</v>
      </c>
      <c r="B522" s="38">
        <v>9934.7998050000006</v>
      </c>
      <c r="C522" s="41">
        <f t="shared" si="21"/>
        <v>-3.9702222136310805E-3</v>
      </c>
      <c r="D522" s="40">
        <v>615.85827600000005</v>
      </c>
      <c r="E522" s="41">
        <f t="shared" si="22"/>
        <v>-1.5933584194794959E-3</v>
      </c>
    </row>
    <row r="523" spans="1:5">
      <c r="A523" s="37">
        <v>42988</v>
      </c>
      <c r="B523" s="38">
        <v>10085.400390999999</v>
      </c>
      <c r="C523" s="41">
        <f t="shared" si="21"/>
        <v>1.5158894890282992E-2</v>
      </c>
      <c r="D523" s="40">
        <v>621.50640899999996</v>
      </c>
      <c r="E523" s="41">
        <f t="shared" si="22"/>
        <v>9.1711570991372948E-3</v>
      </c>
    </row>
    <row r="524" spans="1:5">
      <c r="A524" s="37">
        <v>42995</v>
      </c>
      <c r="B524" s="38">
        <v>9964.4003909999992</v>
      </c>
      <c r="C524" s="41">
        <f t="shared" si="21"/>
        <v>-1.1997540534729567E-2</v>
      </c>
      <c r="D524" s="40">
        <v>652.83990500000004</v>
      </c>
      <c r="E524" s="41">
        <f t="shared" si="22"/>
        <v>5.0415402876400783E-2</v>
      </c>
    </row>
    <row r="525" spans="1:5">
      <c r="A525" s="37">
        <v>43002</v>
      </c>
      <c r="B525" s="38">
        <v>9788.5996090000008</v>
      </c>
      <c r="C525" s="41">
        <f t="shared" si="21"/>
        <v>-1.7642886184981554E-2</v>
      </c>
      <c r="D525" s="40">
        <v>682.55224599999997</v>
      </c>
      <c r="E525" s="41">
        <f t="shared" si="22"/>
        <v>4.5512446118010974E-2</v>
      </c>
    </row>
    <row r="526" spans="1:5">
      <c r="A526" s="37">
        <v>43009</v>
      </c>
      <c r="B526" s="38">
        <v>9979.7001949999994</v>
      </c>
      <c r="C526" s="41">
        <f t="shared" si="21"/>
        <v>1.9522770736714268E-2</v>
      </c>
      <c r="D526" s="40">
        <v>724.886169</v>
      </c>
      <c r="E526" s="41">
        <f t="shared" si="22"/>
        <v>6.2022978091555547E-2</v>
      </c>
    </row>
    <row r="527" spans="1:5">
      <c r="A527" s="37">
        <v>43016</v>
      </c>
      <c r="B527" s="38">
        <v>10167.450194999999</v>
      </c>
      <c r="C527" s="41">
        <f t="shared" si="21"/>
        <v>1.8813190409674441E-2</v>
      </c>
      <c r="D527" s="40">
        <v>688.69122300000004</v>
      </c>
      <c r="E527" s="41">
        <f t="shared" si="22"/>
        <v>-4.9931903170303049E-2</v>
      </c>
    </row>
    <row r="528" spans="1:5">
      <c r="A528" s="37">
        <v>43023</v>
      </c>
      <c r="B528" s="38">
        <v>10146.549805000001</v>
      </c>
      <c r="C528" s="41">
        <f t="shared" si="21"/>
        <v>-2.0556176424918471E-3</v>
      </c>
      <c r="D528" s="40">
        <v>691.68658400000004</v>
      </c>
      <c r="E528" s="41">
        <f t="shared" si="22"/>
        <v>4.3493526561177998E-3</v>
      </c>
    </row>
    <row r="529" spans="1:5">
      <c r="A529" s="37">
        <v>43030</v>
      </c>
      <c r="B529" s="38">
        <v>10323.049805000001</v>
      </c>
      <c r="C529" s="41">
        <f t="shared" si="21"/>
        <v>1.7395075507639524E-2</v>
      </c>
      <c r="D529" s="40">
        <v>697.97296100000005</v>
      </c>
      <c r="E529" s="41">
        <f t="shared" si="22"/>
        <v>9.0884761182530305E-3</v>
      </c>
    </row>
    <row r="530" spans="1:5">
      <c r="A530" s="37">
        <v>43037</v>
      </c>
      <c r="B530" s="38">
        <v>10452.5</v>
      </c>
      <c r="C530" s="41">
        <f t="shared" si="21"/>
        <v>1.2539917703128678E-2</v>
      </c>
      <c r="D530" s="40">
        <v>709.808899</v>
      </c>
      <c r="E530" s="41">
        <f t="shared" si="22"/>
        <v>1.6957588132128221E-2</v>
      </c>
    </row>
    <row r="531" spans="1:5">
      <c r="A531" s="37">
        <v>43044</v>
      </c>
      <c r="B531" s="38">
        <v>10321.75</v>
      </c>
      <c r="C531" s="41">
        <f t="shared" si="21"/>
        <v>-1.2508969146137305E-2</v>
      </c>
      <c r="D531" s="40">
        <v>737.50781300000006</v>
      </c>
      <c r="E531" s="41">
        <f t="shared" si="22"/>
        <v>3.9023058233030206E-2</v>
      </c>
    </row>
    <row r="532" spans="1:5">
      <c r="A532" s="37">
        <v>43051</v>
      </c>
      <c r="B532" s="38">
        <v>10283.599609000001</v>
      </c>
      <c r="C532" s="41">
        <f t="shared" si="21"/>
        <v>-3.6961165500035698E-3</v>
      </c>
      <c r="D532" s="40">
        <v>850.80853300000001</v>
      </c>
      <c r="E532" s="41">
        <f t="shared" si="22"/>
        <v>0.15362646741208152</v>
      </c>
    </row>
    <row r="533" spans="1:5">
      <c r="A533" s="37">
        <v>43058</v>
      </c>
      <c r="B533" s="38">
        <v>10389.700194999999</v>
      </c>
      <c r="C533" s="41">
        <f t="shared" si="21"/>
        <v>1.0317455952596699E-2</v>
      </c>
      <c r="D533" s="40">
        <v>879.93139599999995</v>
      </c>
      <c r="E533" s="41">
        <f t="shared" si="22"/>
        <v>3.422963201522089E-2</v>
      </c>
    </row>
    <row r="534" spans="1:5">
      <c r="A534" s="37">
        <v>43065</v>
      </c>
      <c r="B534" s="38">
        <v>10121.799805000001</v>
      </c>
      <c r="C534" s="41">
        <f t="shared" si="21"/>
        <v>-2.5785189656283292E-2</v>
      </c>
      <c r="D534" s="40">
        <v>864.75561500000003</v>
      </c>
      <c r="E534" s="41">
        <f t="shared" si="22"/>
        <v>-1.7246550207193567E-2</v>
      </c>
    </row>
    <row r="535" spans="1:5">
      <c r="A535" s="37">
        <v>43072</v>
      </c>
      <c r="B535" s="38">
        <v>10265.650390999999</v>
      </c>
      <c r="C535" s="41">
        <f t="shared" si="21"/>
        <v>1.4211957237974415E-2</v>
      </c>
      <c r="D535" s="40">
        <v>859.20611599999995</v>
      </c>
      <c r="E535" s="41">
        <f t="shared" si="22"/>
        <v>-6.4174188681042077E-3</v>
      </c>
    </row>
    <row r="536" spans="1:5">
      <c r="A536" s="37">
        <v>43079</v>
      </c>
      <c r="B536" s="38">
        <v>10333.25</v>
      </c>
      <c r="C536" s="41">
        <f t="shared" si="21"/>
        <v>6.5850293381573E-3</v>
      </c>
      <c r="D536" s="40">
        <v>822.47039800000005</v>
      </c>
      <c r="E536" s="41">
        <f t="shared" si="22"/>
        <v>-4.2755419585490784E-2</v>
      </c>
    </row>
    <row r="537" spans="1:5">
      <c r="A537" s="37">
        <v>43086</v>
      </c>
      <c r="B537" s="38">
        <v>10493</v>
      </c>
      <c r="C537" s="41">
        <f t="shared" si="21"/>
        <v>1.5459802095178166E-2</v>
      </c>
      <c r="D537" s="40">
        <v>826.05627400000003</v>
      </c>
      <c r="E537" s="41">
        <f t="shared" si="22"/>
        <v>4.3598845730128399E-3</v>
      </c>
    </row>
    <row r="538" spans="1:5">
      <c r="A538" s="37">
        <v>43093</v>
      </c>
      <c r="B538" s="38">
        <v>10530.700194999999</v>
      </c>
      <c r="C538" s="41">
        <f t="shared" si="21"/>
        <v>3.5928900219193149E-3</v>
      </c>
      <c r="D538" s="40">
        <v>811.42120399999999</v>
      </c>
      <c r="E538" s="41">
        <f t="shared" si="22"/>
        <v>-1.7716795405636088E-2</v>
      </c>
    </row>
    <row r="539" spans="1:5">
      <c r="A539" s="37">
        <v>43100</v>
      </c>
      <c r="B539" s="38">
        <v>10558.849609000001</v>
      </c>
      <c r="C539" s="41">
        <f t="shared" si="21"/>
        <v>2.6730809422688129E-3</v>
      </c>
      <c r="D539" s="40">
        <v>825.41796899999997</v>
      </c>
      <c r="E539" s="41">
        <f t="shared" si="22"/>
        <v>1.7249690950891017E-2</v>
      </c>
    </row>
    <row r="540" spans="1:5">
      <c r="A540" s="37">
        <v>43107</v>
      </c>
      <c r="B540" s="38">
        <v>10681.25</v>
      </c>
      <c r="C540" s="41">
        <f t="shared" si="21"/>
        <v>1.1592208955762517E-2</v>
      </c>
      <c r="D540" s="40">
        <v>847.02655000000004</v>
      </c>
      <c r="E540" s="41">
        <f t="shared" si="22"/>
        <v>2.6178956373071216E-2</v>
      </c>
    </row>
    <row r="541" spans="1:5">
      <c r="A541" s="37">
        <v>43114</v>
      </c>
      <c r="B541" s="38">
        <v>10894.700194999999</v>
      </c>
      <c r="C541" s="41">
        <f t="shared" si="21"/>
        <v>1.9983634406085304E-2</v>
      </c>
      <c r="D541" s="40">
        <v>819.67126499999995</v>
      </c>
      <c r="E541" s="41">
        <f t="shared" si="22"/>
        <v>-3.2295664167787952E-2</v>
      </c>
    </row>
    <row r="542" spans="1:5">
      <c r="A542" s="37">
        <v>43121</v>
      </c>
      <c r="B542" s="38">
        <v>11069.650390999999</v>
      </c>
      <c r="C542" s="41">
        <f t="shared" si="21"/>
        <v>1.6058284566682346E-2</v>
      </c>
      <c r="D542" s="40">
        <v>774.83288600000003</v>
      </c>
      <c r="E542" s="41">
        <f t="shared" si="22"/>
        <v>-5.4702880184533398E-2</v>
      </c>
    </row>
    <row r="543" spans="1:5">
      <c r="A543" s="37">
        <v>43128</v>
      </c>
      <c r="B543" s="38">
        <v>10760.599609000001</v>
      </c>
      <c r="C543" s="41">
        <f t="shared" si="21"/>
        <v>-2.7918748206471555E-2</v>
      </c>
      <c r="D543" s="40">
        <v>765.59997599999997</v>
      </c>
      <c r="E543" s="41">
        <f t="shared" si="22"/>
        <v>-1.1916001717046432E-2</v>
      </c>
    </row>
    <row r="544" spans="1:5">
      <c r="A544" s="37">
        <v>43135</v>
      </c>
      <c r="B544" s="38">
        <v>10454.950194999999</v>
      </c>
      <c r="C544" s="41">
        <f t="shared" si="21"/>
        <v>-2.8404496506343468E-2</v>
      </c>
      <c r="D544" s="40">
        <v>756.26843299999996</v>
      </c>
      <c r="E544" s="41">
        <f t="shared" si="22"/>
        <v>-1.2188536171009456E-2</v>
      </c>
    </row>
    <row r="545" spans="1:5">
      <c r="A545" s="37">
        <v>43142</v>
      </c>
      <c r="B545" s="38">
        <v>10452.299805000001</v>
      </c>
      <c r="C545" s="41">
        <f t="shared" si="21"/>
        <v>-2.5350575091853678E-4</v>
      </c>
      <c r="D545" s="40">
        <v>755.72869900000001</v>
      </c>
      <c r="E545" s="41">
        <f t="shared" si="22"/>
        <v>-7.1368045583886097E-4</v>
      </c>
    </row>
    <row r="546" spans="1:5">
      <c r="A546" s="37">
        <v>43149</v>
      </c>
      <c r="B546" s="38">
        <v>10491.049805000001</v>
      </c>
      <c r="C546" s="41">
        <f t="shared" si="21"/>
        <v>3.7073180757274393E-3</v>
      </c>
      <c r="D546" s="40">
        <v>759.657104</v>
      </c>
      <c r="E546" s="41">
        <f t="shared" si="22"/>
        <v>5.1981683442723359E-3</v>
      </c>
    </row>
    <row r="547" spans="1:5">
      <c r="A547" s="37">
        <v>43156</v>
      </c>
      <c r="B547" s="38">
        <v>10458.349609000001</v>
      </c>
      <c r="C547" s="41">
        <f t="shared" si="21"/>
        <v>-3.1169612772607991E-3</v>
      </c>
      <c r="D547" s="40">
        <v>739.57104500000003</v>
      </c>
      <c r="E547" s="41">
        <f t="shared" si="22"/>
        <v>-2.6440954602064748E-2</v>
      </c>
    </row>
    <row r="548" spans="1:5">
      <c r="A548" s="37">
        <v>43163</v>
      </c>
      <c r="B548" s="38">
        <v>10226.849609000001</v>
      </c>
      <c r="C548" s="41">
        <f t="shared" si="21"/>
        <v>-2.213542371931998E-2</v>
      </c>
      <c r="D548" s="40">
        <v>711.430115</v>
      </c>
      <c r="E548" s="41">
        <f t="shared" si="22"/>
        <v>-3.8050340383458447E-2</v>
      </c>
    </row>
    <row r="549" spans="1:5">
      <c r="A549" s="37">
        <v>43170</v>
      </c>
      <c r="B549" s="38">
        <v>10195.150390999999</v>
      </c>
      <c r="C549" s="41">
        <f t="shared" si="21"/>
        <v>-3.0996073289378812E-3</v>
      </c>
      <c r="D549" s="40">
        <v>713.29614300000003</v>
      </c>
      <c r="E549" s="41">
        <f t="shared" si="22"/>
        <v>2.6229252327898411E-3</v>
      </c>
    </row>
    <row r="550" spans="1:5">
      <c r="A550" s="37">
        <v>43177</v>
      </c>
      <c r="B550" s="38">
        <v>9998.0498050000006</v>
      </c>
      <c r="C550" s="41">
        <f t="shared" si="21"/>
        <v>-1.9332778668374906E-2</v>
      </c>
      <c r="D550" s="40">
        <v>695.32122800000002</v>
      </c>
      <c r="E550" s="41">
        <f t="shared" si="22"/>
        <v>-2.519979278788842E-2</v>
      </c>
    </row>
    <row r="551" spans="1:5">
      <c r="A551" s="37">
        <v>43184</v>
      </c>
      <c r="B551" s="38">
        <v>10113.700194999999</v>
      </c>
      <c r="C551" s="41">
        <f t="shared" si="21"/>
        <v>1.1567294848057408E-2</v>
      </c>
      <c r="D551" s="40">
        <v>680.29272500000002</v>
      </c>
      <c r="E551" s="41">
        <f t="shared" si="22"/>
        <v>-2.1613755477058461E-2</v>
      </c>
    </row>
    <row r="552" spans="1:5">
      <c r="A552" s="37">
        <v>43191</v>
      </c>
      <c r="B552" s="38">
        <v>10331.599609000001</v>
      </c>
      <c r="C552" s="41">
        <f t="shared" si="21"/>
        <v>2.1544974618461277E-2</v>
      </c>
      <c r="D552" s="40">
        <v>685.646118</v>
      </c>
      <c r="E552" s="41">
        <f t="shared" si="22"/>
        <v>7.8692492265002301E-3</v>
      </c>
    </row>
    <row r="553" spans="1:5">
      <c r="A553" s="37">
        <v>43198</v>
      </c>
      <c r="B553" s="38">
        <v>10480.599609000001</v>
      </c>
      <c r="C553" s="41">
        <f t="shared" si="21"/>
        <v>1.4421774520782193E-2</v>
      </c>
      <c r="D553" s="40">
        <v>727.09582499999999</v>
      </c>
      <c r="E553" s="41">
        <f t="shared" si="22"/>
        <v>6.0453499132915756E-2</v>
      </c>
    </row>
    <row r="554" spans="1:5">
      <c r="A554" s="37">
        <v>43205</v>
      </c>
      <c r="B554" s="38">
        <v>10564.049805000001</v>
      </c>
      <c r="C554" s="41">
        <f t="shared" si="21"/>
        <v>7.962349399202262E-3</v>
      </c>
      <c r="D554" s="40">
        <v>743.94158900000002</v>
      </c>
      <c r="E554" s="41">
        <f t="shared" si="22"/>
        <v>2.3168561035266544E-2</v>
      </c>
    </row>
    <row r="555" spans="1:5">
      <c r="A555" s="37">
        <v>43212</v>
      </c>
      <c r="B555" s="38">
        <v>10692.299805000001</v>
      </c>
      <c r="C555" s="41">
        <f t="shared" si="21"/>
        <v>1.214023053349278E-2</v>
      </c>
      <c r="D555" s="40">
        <v>786.66882299999997</v>
      </c>
      <c r="E555" s="41">
        <f t="shared" si="22"/>
        <v>5.743358703394108E-2</v>
      </c>
    </row>
    <row r="556" spans="1:5">
      <c r="A556" s="37">
        <v>43219</v>
      </c>
      <c r="B556" s="38">
        <v>10618.25</v>
      </c>
      <c r="C556" s="41">
        <f t="shared" si="21"/>
        <v>-6.9255264396320682E-3</v>
      </c>
      <c r="D556" s="40">
        <v>773.16296399999999</v>
      </c>
      <c r="E556" s="41">
        <f t="shared" si="22"/>
        <v>-1.7168417770129452E-2</v>
      </c>
    </row>
    <row r="557" spans="1:5">
      <c r="A557" s="37">
        <v>43226</v>
      </c>
      <c r="B557" s="38">
        <v>10806.5</v>
      </c>
      <c r="C557" s="41">
        <f t="shared" si="21"/>
        <v>1.7728910131142195E-2</v>
      </c>
      <c r="D557" s="40">
        <v>742.81231700000001</v>
      </c>
      <c r="E557" s="41">
        <f t="shared" si="22"/>
        <v>-3.9255174411070182E-2</v>
      </c>
    </row>
    <row r="558" spans="1:5">
      <c r="A558" s="37">
        <v>43233</v>
      </c>
      <c r="B558" s="38">
        <v>10596.400390999999</v>
      </c>
      <c r="C558" s="41">
        <f t="shared" si="21"/>
        <v>-1.9441966316568804E-2</v>
      </c>
      <c r="D558" s="40">
        <v>774.04724099999999</v>
      </c>
      <c r="E558" s="41">
        <f t="shared" si="22"/>
        <v>4.2049550451921158E-2</v>
      </c>
    </row>
    <row r="559" spans="1:5">
      <c r="A559" s="37">
        <v>43240</v>
      </c>
      <c r="B559" s="38">
        <v>10605.150390999999</v>
      </c>
      <c r="C559" s="41">
        <f t="shared" si="21"/>
        <v>8.2575211176738605E-4</v>
      </c>
      <c r="D559" s="40">
        <v>724.10052499999995</v>
      </c>
      <c r="E559" s="41">
        <f t="shared" si="22"/>
        <v>-6.4526702447092688E-2</v>
      </c>
    </row>
    <row r="560" spans="1:5">
      <c r="A560" s="37">
        <v>43247</v>
      </c>
      <c r="B560" s="38">
        <v>10696.200194999999</v>
      </c>
      <c r="C560" s="41">
        <f t="shared" si="21"/>
        <v>8.5854326099201739E-3</v>
      </c>
      <c r="D560" s="40">
        <v>704.91863999999998</v>
      </c>
      <c r="E560" s="41">
        <f t="shared" si="22"/>
        <v>-2.649063816104813E-2</v>
      </c>
    </row>
    <row r="561" spans="1:5">
      <c r="A561" s="37">
        <v>43254</v>
      </c>
      <c r="B561" s="38">
        <v>10767.650390999999</v>
      </c>
      <c r="C561" s="41">
        <f t="shared" si="21"/>
        <v>6.679960611937652E-3</v>
      </c>
      <c r="D561" s="40">
        <v>714.5</v>
      </c>
      <c r="E561" s="41">
        <f t="shared" si="22"/>
        <v>1.3592150152250237E-2</v>
      </c>
    </row>
    <row r="562" spans="1:5">
      <c r="A562" s="37">
        <v>43261</v>
      </c>
      <c r="B562" s="38">
        <v>10817.700194999999</v>
      </c>
      <c r="C562" s="41">
        <f t="shared" si="21"/>
        <v>4.6481639152988752E-3</v>
      </c>
      <c r="D562" s="40">
        <v>704.04998799999998</v>
      </c>
      <c r="E562" s="41">
        <f t="shared" si="22"/>
        <v>-1.4625629111266636E-2</v>
      </c>
    </row>
    <row r="563" spans="1:5">
      <c r="A563" s="37">
        <v>43268</v>
      </c>
      <c r="B563" s="38">
        <v>10821.849609000001</v>
      </c>
      <c r="C563" s="41">
        <f t="shared" si="21"/>
        <v>3.8357635404984158E-4</v>
      </c>
      <c r="D563" s="40">
        <v>656.79998799999998</v>
      </c>
      <c r="E563" s="41">
        <f t="shared" si="22"/>
        <v>-6.7111711959861542E-2</v>
      </c>
    </row>
    <row r="564" spans="1:5">
      <c r="A564" s="37">
        <v>43275</v>
      </c>
      <c r="B564" s="38">
        <v>10714.299805000001</v>
      </c>
      <c r="C564" s="41">
        <f t="shared" si="21"/>
        <v>-9.938209075697757E-3</v>
      </c>
      <c r="D564" s="40">
        <v>616.90002400000003</v>
      </c>
      <c r="E564" s="41">
        <f t="shared" si="22"/>
        <v>-6.0749032778605883E-2</v>
      </c>
    </row>
    <row r="565" spans="1:5">
      <c r="A565" s="37">
        <v>43282</v>
      </c>
      <c r="B565" s="38">
        <v>10772.650390999999</v>
      </c>
      <c r="C565" s="41">
        <f t="shared" si="21"/>
        <v>5.4460475310544876E-3</v>
      </c>
      <c r="D565" s="40">
        <v>640.84997599999997</v>
      </c>
      <c r="E565" s="41">
        <f t="shared" si="22"/>
        <v>3.8823068679277428E-2</v>
      </c>
    </row>
    <row r="566" spans="1:5">
      <c r="A566" s="37">
        <v>43289</v>
      </c>
      <c r="B566" s="38">
        <v>11018.900390999999</v>
      </c>
      <c r="C566" s="41">
        <f t="shared" si="21"/>
        <v>2.2858812925529381E-2</v>
      </c>
      <c r="D566" s="40">
        <v>621.70001200000002</v>
      </c>
      <c r="E566" s="41">
        <f t="shared" si="22"/>
        <v>-2.9882132663136662E-2</v>
      </c>
    </row>
    <row r="567" spans="1:5">
      <c r="A567" s="37">
        <v>43296</v>
      </c>
      <c r="B567" s="38">
        <v>11010.200194999999</v>
      </c>
      <c r="C567" s="41">
        <f t="shared" si="21"/>
        <v>-7.895702557676465E-4</v>
      </c>
      <c r="D567" s="40">
        <v>639.40002400000003</v>
      </c>
      <c r="E567" s="41">
        <f t="shared" si="22"/>
        <v>2.847034205944321E-2</v>
      </c>
    </row>
    <row r="568" spans="1:5">
      <c r="A568" s="37">
        <v>43303</v>
      </c>
      <c r="B568" s="38">
        <v>11278.349609000001</v>
      </c>
      <c r="C568" s="41">
        <f t="shared" si="21"/>
        <v>2.4354635633398791E-2</v>
      </c>
      <c r="D568" s="40">
        <v>643.15002400000003</v>
      </c>
      <c r="E568" s="41">
        <f t="shared" si="22"/>
        <v>5.8648730985972897E-3</v>
      </c>
    </row>
    <row r="569" spans="1:5">
      <c r="A569" s="37">
        <v>43310</v>
      </c>
      <c r="B569" s="38">
        <v>11360.799805000001</v>
      </c>
      <c r="C569" s="41">
        <f t="shared" si="21"/>
        <v>7.3104841451452351E-3</v>
      </c>
      <c r="D569" s="40">
        <v>661.79998799999998</v>
      </c>
      <c r="E569" s="41">
        <f t="shared" si="22"/>
        <v>2.8997843899637221E-2</v>
      </c>
    </row>
    <row r="570" spans="1:5">
      <c r="A570" s="37">
        <v>43317</v>
      </c>
      <c r="B570" s="38">
        <v>11429.5</v>
      </c>
      <c r="C570" s="41">
        <f t="shared" si="21"/>
        <v>6.0471266265746948E-3</v>
      </c>
      <c r="D570" s="40">
        <v>699.59997599999997</v>
      </c>
      <c r="E570" s="41">
        <f t="shared" si="22"/>
        <v>5.7116936665764895E-2</v>
      </c>
    </row>
    <row r="571" spans="1:5">
      <c r="A571" s="37">
        <v>43324</v>
      </c>
      <c r="B571" s="38">
        <v>11470.75</v>
      </c>
      <c r="C571" s="41">
        <f t="shared" si="21"/>
        <v>3.6090817621068361E-3</v>
      </c>
      <c r="D571" s="40">
        <v>717.59997599999997</v>
      </c>
      <c r="E571" s="41">
        <f t="shared" si="22"/>
        <v>2.5728988875780123E-2</v>
      </c>
    </row>
    <row r="572" spans="1:5">
      <c r="A572" s="37">
        <v>43331</v>
      </c>
      <c r="B572" s="38">
        <v>11557.099609000001</v>
      </c>
      <c r="C572" s="41">
        <f t="shared" si="21"/>
        <v>7.5278084693677361E-3</v>
      </c>
      <c r="D572" s="40">
        <v>702.45001200000002</v>
      </c>
      <c r="E572" s="41">
        <f t="shared" si="22"/>
        <v>-2.1111990672641801E-2</v>
      </c>
    </row>
    <row r="573" spans="1:5">
      <c r="A573" s="37">
        <v>43338</v>
      </c>
      <c r="B573" s="38">
        <v>11680.5</v>
      </c>
      <c r="C573" s="41">
        <f t="shared" si="21"/>
        <v>1.0677453268976178E-2</v>
      </c>
      <c r="D573" s="40">
        <v>785.15002400000003</v>
      </c>
      <c r="E573" s="41">
        <f t="shared" si="22"/>
        <v>0.11773081441701216</v>
      </c>
    </row>
    <row r="574" spans="1:5">
      <c r="A574" s="37">
        <v>43345</v>
      </c>
      <c r="B574" s="38">
        <v>11589.099609000001</v>
      </c>
      <c r="C574" s="41">
        <f t="shared" si="21"/>
        <v>-7.8250409657120157E-3</v>
      </c>
      <c r="D574" s="40">
        <v>745.75</v>
      </c>
      <c r="E574" s="41">
        <f t="shared" si="22"/>
        <v>-5.0181523015530138E-2</v>
      </c>
    </row>
    <row r="575" spans="1:5">
      <c r="A575" s="37">
        <v>43350</v>
      </c>
      <c r="B575" s="38">
        <v>11589.099609000001</v>
      </c>
      <c r="C575" s="41">
        <f t="shared" si="21"/>
        <v>0</v>
      </c>
      <c r="D575" s="40">
        <v>745.75</v>
      </c>
      <c r="E575" s="41">
        <f t="shared" si="22"/>
        <v>0</v>
      </c>
    </row>
  </sheetData>
  <conditionalFormatting sqref="H12:Q12"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9:Q9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:Q2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:Q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Q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:Q6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:Q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:Q8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:Q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Q1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ignoredErrors>
    <ignoredError sqref="H4:Q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CF00D-49F4-4897-BF82-14D92D8DE701}">
  <dimension ref="A1:B118"/>
  <sheetViews>
    <sheetView workbookViewId="0"/>
  </sheetViews>
  <sheetFormatPr defaultRowHeight="15"/>
  <cols>
    <col min="1" max="1" width="7" bestFit="1" customWidth="1"/>
    <col min="2" max="2" width="19.5703125" bestFit="1" customWidth="1"/>
  </cols>
  <sheetData>
    <row r="1" spans="1:2">
      <c r="A1" s="35" t="s">
        <v>111</v>
      </c>
      <c r="B1" s="35" t="s">
        <v>112</v>
      </c>
    </row>
    <row r="2" spans="1:2">
      <c r="A2" s="43">
        <v>43344</v>
      </c>
      <c r="B2" s="44">
        <v>8.3070000000000005E-2</v>
      </c>
    </row>
    <row r="3" spans="1:2">
      <c r="A3" s="43">
        <v>43313</v>
      </c>
      <c r="B3" s="44">
        <v>8.2460000000000006E-2</v>
      </c>
    </row>
    <row r="4" spans="1:2">
      <c r="A4" s="43">
        <v>43282</v>
      </c>
      <c r="B4" s="44">
        <v>8.1189999999999998E-2</v>
      </c>
    </row>
    <row r="5" spans="1:2">
      <c r="A5" s="43">
        <v>43252</v>
      </c>
      <c r="B5" s="45">
        <v>8.0950000000000008E-2</v>
      </c>
    </row>
    <row r="6" spans="1:2">
      <c r="A6" s="43">
        <v>43221</v>
      </c>
      <c r="B6" s="44">
        <v>8.134000000000001E-2</v>
      </c>
    </row>
    <row r="7" spans="1:2">
      <c r="A7" s="43">
        <v>43191</v>
      </c>
      <c r="B7" s="44">
        <v>8.0210000000000004E-2</v>
      </c>
    </row>
    <row r="8" spans="1:2">
      <c r="A8" s="43">
        <v>43160</v>
      </c>
      <c r="B8" s="45">
        <v>7.6319999999999999E-2</v>
      </c>
    </row>
    <row r="9" spans="1:2">
      <c r="A9" s="43">
        <v>43132</v>
      </c>
      <c r="B9" s="44">
        <v>7.9500000000000001E-2</v>
      </c>
    </row>
    <row r="10" spans="1:2">
      <c r="A10" s="43">
        <v>43101</v>
      </c>
      <c r="B10" s="44">
        <v>7.8299999999999995E-2</v>
      </c>
    </row>
    <row r="11" spans="1:2">
      <c r="A11" s="43">
        <v>43070</v>
      </c>
      <c r="B11" s="44">
        <v>7.6420000000000002E-2</v>
      </c>
    </row>
    <row r="12" spans="1:2">
      <c r="A12" s="43">
        <v>43040</v>
      </c>
      <c r="B12" s="44">
        <v>7.4840000000000004E-2</v>
      </c>
    </row>
    <row r="13" spans="1:2">
      <c r="A13" s="43">
        <v>43009</v>
      </c>
      <c r="B13" s="44">
        <v>7.3120000000000004E-2</v>
      </c>
    </row>
    <row r="14" spans="1:2">
      <c r="A14" s="43">
        <v>42979</v>
      </c>
      <c r="B14" s="44">
        <v>7.2889999999999996E-2</v>
      </c>
    </row>
    <row r="15" spans="1:2">
      <c r="A15" s="43">
        <v>42948</v>
      </c>
      <c r="B15" s="44">
        <v>7.1489999999999998E-2</v>
      </c>
    </row>
    <row r="16" spans="1:2">
      <c r="A16" s="43">
        <v>42917</v>
      </c>
      <c r="B16" s="45">
        <v>7.0999999999999994E-2</v>
      </c>
    </row>
    <row r="17" spans="1:2">
      <c r="A17" s="43">
        <v>42887</v>
      </c>
      <c r="B17" s="45">
        <v>7.1160000000000001E-2</v>
      </c>
    </row>
    <row r="18" spans="1:2">
      <c r="A18" s="43">
        <v>42856</v>
      </c>
      <c r="B18" s="45">
        <v>7.3529999999999998E-2</v>
      </c>
    </row>
    <row r="19" spans="1:2">
      <c r="A19" s="43">
        <v>42826</v>
      </c>
      <c r="B19" s="44">
        <v>7.4730000000000005E-2</v>
      </c>
    </row>
    <row r="20" spans="1:2">
      <c r="A20" s="43">
        <v>42795</v>
      </c>
      <c r="B20" s="45">
        <v>7.356E-2</v>
      </c>
    </row>
    <row r="21" spans="1:2">
      <c r="A21" s="43">
        <v>42767</v>
      </c>
      <c r="B21" s="44">
        <v>7.4290000000000009E-2</v>
      </c>
    </row>
    <row r="22" spans="1:2">
      <c r="A22" s="43">
        <v>42736</v>
      </c>
      <c r="B22" s="45">
        <v>7.0379999999999998E-2</v>
      </c>
    </row>
    <row r="23" spans="1:2">
      <c r="A23" s="43">
        <v>42705</v>
      </c>
      <c r="B23" s="44">
        <v>7.1120000000000003E-2</v>
      </c>
    </row>
    <row r="24" spans="1:2">
      <c r="A24" s="43">
        <v>42675</v>
      </c>
      <c r="B24" s="45">
        <v>6.6820000000000004E-2</v>
      </c>
    </row>
    <row r="25" spans="1:2">
      <c r="A25" s="43">
        <v>42644</v>
      </c>
      <c r="B25" s="44">
        <v>7.2039999999999993E-2</v>
      </c>
    </row>
    <row r="26" spans="1:2">
      <c r="A26" s="43">
        <v>42614</v>
      </c>
      <c r="B26" s="45">
        <v>7.1790000000000007E-2</v>
      </c>
    </row>
    <row r="27" spans="1:2">
      <c r="A27" s="43">
        <v>42583</v>
      </c>
      <c r="B27" s="45">
        <v>7.2550000000000003E-2</v>
      </c>
    </row>
    <row r="28" spans="1:2">
      <c r="A28" s="43">
        <v>42552</v>
      </c>
      <c r="B28" s="45">
        <v>7.3880000000000001E-2</v>
      </c>
    </row>
    <row r="29" spans="1:2">
      <c r="A29" s="43">
        <v>42522</v>
      </c>
      <c r="B29" s="45">
        <v>7.732E-2</v>
      </c>
    </row>
    <row r="30" spans="1:2">
      <c r="A30" s="43">
        <v>42491</v>
      </c>
      <c r="B30" s="44">
        <v>7.85E-2</v>
      </c>
    </row>
    <row r="31" spans="1:2">
      <c r="A31" s="43">
        <v>42461</v>
      </c>
      <c r="B31" s="45">
        <v>7.8479999999999994E-2</v>
      </c>
    </row>
    <row r="32" spans="1:2">
      <c r="A32" s="43">
        <v>42430</v>
      </c>
      <c r="B32" s="45">
        <v>7.9240000000000005E-2</v>
      </c>
    </row>
    <row r="33" spans="1:2">
      <c r="A33" s="43">
        <v>42401</v>
      </c>
      <c r="B33" s="44">
        <v>8.2560000000000008E-2</v>
      </c>
    </row>
    <row r="34" spans="1:2">
      <c r="A34" s="43">
        <v>42370</v>
      </c>
      <c r="B34" s="44">
        <v>8.2400000000000001E-2</v>
      </c>
    </row>
    <row r="35" spans="1:2">
      <c r="A35" s="43">
        <v>42339</v>
      </c>
      <c r="B35" s="44">
        <v>8.0839999999999995E-2</v>
      </c>
    </row>
    <row r="36" spans="1:2">
      <c r="A36" s="43">
        <v>42309</v>
      </c>
      <c r="B36" s="44">
        <v>8.004E-2</v>
      </c>
    </row>
    <row r="37" spans="1:2">
      <c r="A37" s="43">
        <v>42278</v>
      </c>
      <c r="B37" s="44">
        <v>7.8530000000000003E-2</v>
      </c>
    </row>
    <row r="38" spans="1:2">
      <c r="A38" s="43">
        <v>42248</v>
      </c>
      <c r="B38" s="45">
        <v>7.8149999999999997E-2</v>
      </c>
    </row>
    <row r="39" spans="1:2">
      <c r="A39" s="43">
        <v>42217</v>
      </c>
      <c r="B39" s="45">
        <v>7.9960000000000003E-2</v>
      </c>
    </row>
    <row r="40" spans="1:2">
      <c r="A40" s="43">
        <v>42186</v>
      </c>
      <c r="B40" s="45">
        <v>8.0269999999999994E-2</v>
      </c>
    </row>
    <row r="41" spans="1:2">
      <c r="A41" s="43">
        <v>42156</v>
      </c>
      <c r="B41" s="44">
        <v>8.1509999999999999E-2</v>
      </c>
    </row>
    <row r="42" spans="1:2">
      <c r="A42" s="43">
        <v>42125</v>
      </c>
      <c r="B42" s="44">
        <v>7.961E-2</v>
      </c>
    </row>
    <row r="43" spans="1:2">
      <c r="A43" s="43">
        <v>42095</v>
      </c>
      <c r="B43" s="44">
        <v>7.9050000000000009E-2</v>
      </c>
    </row>
    <row r="44" spans="1:2">
      <c r="A44" s="43">
        <v>42064</v>
      </c>
      <c r="B44" s="44">
        <v>7.8070000000000001E-2</v>
      </c>
    </row>
    <row r="45" spans="1:2">
      <c r="A45" s="43">
        <v>42036</v>
      </c>
      <c r="B45" s="45">
        <v>7.6909999999999992E-2</v>
      </c>
    </row>
    <row r="46" spans="1:2">
      <c r="A46" s="43">
        <v>42005</v>
      </c>
      <c r="B46" s="45">
        <v>7.7160000000000006E-2</v>
      </c>
    </row>
    <row r="47" spans="1:2">
      <c r="A47" s="43">
        <v>41974</v>
      </c>
      <c r="B47" s="45">
        <v>8.0210000000000004E-2</v>
      </c>
    </row>
    <row r="48" spans="1:2">
      <c r="A48" s="43">
        <v>41944</v>
      </c>
      <c r="B48" s="45">
        <v>8.1969999999999987E-2</v>
      </c>
    </row>
    <row r="49" spans="1:2">
      <c r="A49" s="43">
        <v>41913</v>
      </c>
      <c r="B49" s="45">
        <v>8.3580000000000002E-2</v>
      </c>
    </row>
    <row r="50" spans="1:2">
      <c r="A50" s="43">
        <v>41883</v>
      </c>
      <c r="B50" s="45">
        <v>8.7050000000000002E-2</v>
      </c>
    </row>
    <row r="51" spans="1:2">
      <c r="A51" s="43">
        <v>41852</v>
      </c>
      <c r="B51" s="44">
        <v>8.788E-2</v>
      </c>
    </row>
    <row r="52" spans="1:2">
      <c r="A52" s="43">
        <v>41821</v>
      </c>
      <c r="B52" s="45">
        <v>8.7340000000000001E-2</v>
      </c>
    </row>
    <row r="53" spans="1:2">
      <c r="A53" s="43">
        <v>41791</v>
      </c>
      <c r="B53" s="45">
        <v>8.7849999999999998E-2</v>
      </c>
    </row>
    <row r="54" spans="1:2">
      <c r="A54" s="43">
        <v>41760</v>
      </c>
      <c r="B54" s="45">
        <v>8.788E-2</v>
      </c>
    </row>
    <row r="55" spans="1:2">
      <c r="A55" s="43">
        <v>41730</v>
      </c>
      <c r="B55" s="44">
        <v>9.1140000000000013E-2</v>
      </c>
    </row>
    <row r="56" spans="1:2">
      <c r="A56" s="43">
        <v>41699</v>
      </c>
      <c r="B56" s="45">
        <v>9.0859999999999996E-2</v>
      </c>
    </row>
    <row r="57" spans="1:2">
      <c r="A57" s="43">
        <v>41671</v>
      </c>
      <c r="B57" s="45">
        <v>9.2759999999999995E-2</v>
      </c>
    </row>
    <row r="58" spans="1:2">
      <c r="A58" s="43">
        <v>41640</v>
      </c>
      <c r="B58" s="44">
        <v>9.2829999999999996E-2</v>
      </c>
    </row>
    <row r="59" spans="1:2">
      <c r="A59" s="43">
        <v>41609</v>
      </c>
      <c r="B59" s="44">
        <v>9.2469999999999997E-2</v>
      </c>
    </row>
    <row r="60" spans="1:2">
      <c r="A60" s="43">
        <v>41579</v>
      </c>
      <c r="B60" s="44">
        <v>9.2040000000000011E-2</v>
      </c>
    </row>
    <row r="61" spans="1:2">
      <c r="A61" s="43">
        <v>41548</v>
      </c>
      <c r="B61" s="45">
        <v>9.0749999999999997E-2</v>
      </c>
    </row>
    <row r="62" spans="1:2">
      <c r="A62" s="43">
        <v>41518</v>
      </c>
      <c r="B62" s="44">
        <v>9.3299999999999994E-2</v>
      </c>
    </row>
    <row r="63" spans="1:2">
      <c r="A63" s="43">
        <v>41487</v>
      </c>
      <c r="B63" s="44">
        <v>9.2429999999999998E-2</v>
      </c>
    </row>
    <row r="64" spans="1:2">
      <c r="A64" s="43">
        <v>41456</v>
      </c>
      <c r="B64" s="44">
        <v>8.7260000000000004E-2</v>
      </c>
    </row>
    <row r="65" spans="1:2">
      <c r="A65" s="43">
        <v>41426</v>
      </c>
      <c r="B65" s="44">
        <v>7.8369999999999995E-2</v>
      </c>
    </row>
    <row r="66" spans="1:2">
      <c r="A66" s="43">
        <v>41395</v>
      </c>
      <c r="B66" s="45">
        <v>7.5039999999999996E-2</v>
      </c>
    </row>
    <row r="67" spans="1:2">
      <c r="A67" s="43">
        <v>41365</v>
      </c>
      <c r="B67" s="45">
        <v>7.9199999999999993E-2</v>
      </c>
    </row>
    <row r="68" spans="1:2">
      <c r="A68" s="43">
        <v>41334</v>
      </c>
      <c r="B68" s="44">
        <v>8.2299999999999998E-2</v>
      </c>
    </row>
    <row r="69" spans="1:2">
      <c r="A69" s="43">
        <v>41306</v>
      </c>
      <c r="B69" s="45">
        <v>8.1189999999999998E-2</v>
      </c>
    </row>
    <row r="70" spans="1:2">
      <c r="A70" s="43">
        <v>41275</v>
      </c>
      <c r="B70" s="45">
        <v>8.1220000000000001E-2</v>
      </c>
    </row>
    <row r="71" spans="1:2">
      <c r="A71" s="43">
        <v>41244</v>
      </c>
      <c r="B71" s="45">
        <v>8.3040000000000003E-2</v>
      </c>
    </row>
    <row r="72" spans="1:2">
      <c r="A72" s="43">
        <v>41214</v>
      </c>
      <c r="B72" s="44">
        <v>8.4659999999999999E-2</v>
      </c>
    </row>
    <row r="73" spans="1:2">
      <c r="A73" s="43">
        <v>41183</v>
      </c>
      <c r="B73" s="45">
        <v>8.43E-2</v>
      </c>
    </row>
    <row r="74" spans="1:2">
      <c r="A74" s="43">
        <v>41153</v>
      </c>
      <c r="B74" s="45">
        <v>8.4870000000000001E-2</v>
      </c>
    </row>
    <row r="75" spans="1:2">
      <c r="A75" s="43">
        <v>41122</v>
      </c>
      <c r="B75" s="45">
        <v>8.6370000000000002E-2</v>
      </c>
    </row>
    <row r="76" spans="1:2">
      <c r="A76" s="43">
        <v>41091</v>
      </c>
      <c r="B76" s="45">
        <v>8.657999999999999E-2</v>
      </c>
    </row>
    <row r="77" spans="1:2">
      <c r="A77" s="43">
        <v>41061</v>
      </c>
      <c r="B77" s="45">
        <v>8.6709999999999995E-2</v>
      </c>
    </row>
    <row r="78" spans="1:2">
      <c r="A78" s="43">
        <v>41030</v>
      </c>
      <c r="B78" s="45">
        <v>8.746000000000001E-2</v>
      </c>
    </row>
    <row r="79" spans="1:2">
      <c r="A79" s="43">
        <v>41000</v>
      </c>
      <c r="B79" s="44">
        <v>8.9169999999999999E-2</v>
      </c>
    </row>
    <row r="80" spans="1:2">
      <c r="A80" s="43">
        <v>40969</v>
      </c>
      <c r="B80" s="44">
        <v>8.7959999999999997E-2</v>
      </c>
    </row>
    <row r="81" spans="1:2">
      <c r="A81" s="43">
        <v>40940</v>
      </c>
      <c r="B81" s="44">
        <v>8.5939999999999989E-2</v>
      </c>
    </row>
    <row r="82" spans="1:2">
      <c r="A82" s="43">
        <v>40909</v>
      </c>
      <c r="B82" s="45">
        <v>8.585000000000001E-2</v>
      </c>
    </row>
    <row r="83" spans="1:2">
      <c r="A83" s="43">
        <v>40878</v>
      </c>
      <c r="B83" s="45">
        <v>8.7940000000000004E-2</v>
      </c>
    </row>
    <row r="84" spans="1:2">
      <c r="A84" s="43">
        <v>40848</v>
      </c>
      <c r="B84" s="44">
        <v>9.1189999999999993E-2</v>
      </c>
    </row>
    <row r="85" spans="1:2">
      <c r="A85" s="43">
        <v>40817</v>
      </c>
      <c r="B85" s="44">
        <v>8.9920000000000014E-2</v>
      </c>
    </row>
    <row r="86" spans="1:2">
      <c r="A86" s="43">
        <v>40787</v>
      </c>
      <c r="B86" s="44">
        <v>8.6750000000000008E-2</v>
      </c>
    </row>
    <row r="87" spans="1:2">
      <c r="A87" s="43">
        <v>40756</v>
      </c>
      <c r="B87" s="45">
        <v>8.5989999999999997E-2</v>
      </c>
    </row>
    <row r="88" spans="1:2">
      <c r="A88" s="43">
        <v>40725</v>
      </c>
      <c r="B88" s="44">
        <v>8.7230000000000002E-2</v>
      </c>
    </row>
    <row r="89" spans="1:2">
      <c r="A89" s="43">
        <v>40695</v>
      </c>
      <c r="B89" s="45">
        <v>8.5749999999999993E-2</v>
      </c>
    </row>
    <row r="90" spans="1:2">
      <c r="A90" s="43">
        <v>40664</v>
      </c>
      <c r="B90" s="44">
        <v>8.6660000000000001E-2</v>
      </c>
    </row>
    <row r="91" spans="1:2">
      <c r="A91" s="43">
        <v>40634</v>
      </c>
      <c r="B91" s="44">
        <v>8.4970000000000004E-2</v>
      </c>
    </row>
    <row r="92" spans="1:2">
      <c r="A92" s="43">
        <v>40603</v>
      </c>
      <c r="B92" s="45">
        <v>8.3610000000000004E-2</v>
      </c>
    </row>
    <row r="93" spans="1:2">
      <c r="A93" s="43">
        <v>40575</v>
      </c>
      <c r="B93" s="45">
        <v>8.5269999999999999E-2</v>
      </c>
    </row>
    <row r="94" spans="1:2">
      <c r="A94" s="43">
        <v>40544</v>
      </c>
      <c r="B94" s="44">
        <v>8.5600000000000009E-2</v>
      </c>
    </row>
    <row r="95" spans="1:2">
      <c r="A95" s="43">
        <v>40513</v>
      </c>
      <c r="B95" s="45">
        <v>8.4290000000000004E-2</v>
      </c>
    </row>
    <row r="96" spans="1:2">
      <c r="A96" s="43">
        <v>40483</v>
      </c>
      <c r="B96" s="44">
        <v>8.4670000000000009E-2</v>
      </c>
    </row>
    <row r="97" spans="1:2">
      <c r="A97" s="43">
        <v>40452</v>
      </c>
      <c r="B97" s="44">
        <v>8.4650000000000003E-2</v>
      </c>
    </row>
    <row r="98" spans="1:2">
      <c r="A98" s="43">
        <v>40422</v>
      </c>
      <c r="B98" s="45">
        <v>8.3320000000000005E-2</v>
      </c>
    </row>
    <row r="99" spans="1:2">
      <c r="A99" s="43">
        <v>40391</v>
      </c>
      <c r="B99" s="45">
        <v>8.3819999999999992E-2</v>
      </c>
    </row>
    <row r="100" spans="1:2">
      <c r="A100" s="43">
        <v>40360</v>
      </c>
      <c r="B100" s="44">
        <v>8.4330000000000002E-2</v>
      </c>
    </row>
    <row r="101" spans="1:2">
      <c r="A101" s="43">
        <v>40330</v>
      </c>
      <c r="B101" s="45">
        <v>8.3610000000000004E-2</v>
      </c>
    </row>
    <row r="102" spans="1:2">
      <c r="A102" s="43">
        <v>40299</v>
      </c>
      <c r="B102" s="45">
        <v>8.4670000000000009E-2</v>
      </c>
    </row>
    <row r="103" spans="1:2">
      <c r="A103" s="43">
        <v>40269</v>
      </c>
      <c r="B103" s="44">
        <v>8.548E-2</v>
      </c>
    </row>
    <row r="104" spans="1:2">
      <c r="A104" s="43">
        <v>40238</v>
      </c>
      <c r="B104" s="45">
        <v>8.4589999999999999E-2</v>
      </c>
    </row>
    <row r="105" spans="1:2">
      <c r="A105" s="43">
        <v>40210</v>
      </c>
      <c r="B105" s="44">
        <v>8.4689999999999988E-2</v>
      </c>
    </row>
    <row r="106" spans="1:2">
      <c r="A106" s="43">
        <v>40179</v>
      </c>
      <c r="B106" s="44">
        <v>8.3549999999999999E-2</v>
      </c>
    </row>
    <row r="107" spans="1:2">
      <c r="A107" s="43">
        <v>40148</v>
      </c>
      <c r="B107" s="44">
        <v>8.3269999999999997E-2</v>
      </c>
    </row>
    <row r="108" spans="1:2">
      <c r="A108" s="43">
        <v>40118</v>
      </c>
      <c r="B108" s="45">
        <v>8.2769999999999996E-2</v>
      </c>
    </row>
    <row r="109" spans="1:2">
      <c r="A109" s="43">
        <v>40087</v>
      </c>
      <c r="B109" s="44">
        <v>8.3819999999999992E-2</v>
      </c>
    </row>
    <row r="110" spans="1:2">
      <c r="A110" s="43">
        <v>40057</v>
      </c>
      <c r="B110" s="45">
        <v>8.2430000000000003E-2</v>
      </c>
    </row>
    <row r="111" spans="1:2">
      <c r="A111" s="43">
        <v>40026</v>
      </c>
      <c r="B111" s="44">
        <v>8.3110000000000003E-2</v>
      </c>
    </row>
    <row r="112" spans="1:2">
      <c r="A112" s="43">
        <v>39995</v>
      </c>
      <c r="B112" s="44">
        <v>7.893E-2</v>
      </c>
    </row>
    <row r="113" spans="1:2">
      <c r="A113" s="43">
        <v>39965</v>
      </c>
      <c r="B113" s="44">
        <v>7.7480000000000007E-2</v>
      </c>
    </row>
    <row r="114" spans="1:2">
      <c r="A114" s="43">
        <v>39934</v>
      </c>
      <c r="B114" s="44">
        <v>7.671E-2</v>
      </c>
    </row>
    <row r="115" spans="1:2">
      <c r="A115" s="43">
        <v>39904</v>
      </c>
      <c r="B115" s="45">
        <v>7.2580000000000006E-2</v>
      </c>
    </row>
    <row r="116" spans="1:2">
      <c r="A116" s="43">
        <v>39873</v>
      </c>
      <c r="B116" s="44">
        <v>7.7969999999999998E-2</v>
      </c>
    </row>
    <row r="117" spans="1:2">
      <c r="A117" s="43">
        <v>39845</v>
      </c>
      <c r="B117" s="44">
        <v>7.6679999999999998E-2</v>
      </c>
    </row>
    <row r="118" spans="1:2">
      <c r="A118" s="43">
        <v>39814</v>
      </c>
      <c r="B118" s="44">
        <v>7.2580000000000006E-2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25"/>
  <sheetViews>
    <sheetView zoomScaleSheetLayoutView="100" workbookViewId="0">
      <pane xSplit="1" ySplit="4" topLeftCell="B5" activePane="bottomRight" state="frozen"/>
      <selection activeCell="C17" sqref="C17"/>
      <selection pane="topRight" activeCell="C17" sqref="C17"/>
      <selection pane="bottomLeft" activeCell="C17" sqref="C17"/>
      <selection pane="bottomRight" activeCell="B10" sqref="B10"/>
    </sheetView>
  </sheetViews>
  <sheetFormatPr defaultRowHeight="15"/>
  <cols>
    <col min="1" max="1" width="20.7109375" style="6" customWidth="1"/>
    <col min="2" max="6" width="13.5703125" style="6" customWidth="1"/>
    <col min="7" max="7" width="14.85546875" style="6" bestFit="1" customWidth="1"/>
    <col min="8" max="11" width="13.5703125" style="6" customWidth="1"/>
    <col min="12" max="12" width="13.28515625" style="6" customWidth="1"/>
    <col min="13" max="14" width="12.140625" style="6" customWidth="1"/>
    <col min="15" max="16384" width="9.140625" style="6"/>
  </cols>
  <sheetData>
    <row r="1" spans="1:14" s="8" customFormat="1">
      <c r="A1" s="8" t="str">
        <f>'Data Sheet'!B1</f>
        <v>HATSUN AGRO PRODUCT LTD</v>
      </c>
      <c r="H1" t="str">
        <f>UPDATE</f>
        <v/>
      </c>
      <c r="J1" s="3"/>
      <c r="K1" s="3"/>
      <c r="M1" s="8" t="s">
        <v>1</v>
      </c>
    </row>
    <row r="3" spans="1:14" s="2" customFormat="1">
      <c r="A3" s="15" t="s">
        <v>2</v>
      </c>
      <c r="B3" s="16">
        <f>'Data Sheet'!B16</f>
        <v>39903</v>
      </c>
      <c r="C3" s="16">
        <f>'Data Sheet'!C16</f>
        <v>40268</v>
      </c>
      <c r="D3" s="16">
        <f>'Data Sheet'!D16</f>
        <v>40633</v>
      </c>
      <c r="E3" s="16">
        <f>'Data Sheet'!E16</f>
        <v>40999</v>
      </c>
      <c r="F3" s="16">
        <f>'Data Sheet'!F16</f>
        <v>41364</v>
      </c>
      <c r="G3" s="16">
        <f>'Data Sheet'!G16</f>
        <v>41729</v>
      </c>
      <c r="H3" s="16">
        <f>'Data Sheet'!H16</f>
        <v>42094</v>
      </c>
      <c r="I3" s="16">
        <f>'Data Sheet'!I16</f>
        <v>42460</v>
      </c>
      <c r="J3" s="16">
        <f>'Data Sheet'!J16</f>
        <v>42825</v>
      </c>
      <c r="K3" s="16">
        <f>'Data Sheet'!K16</f>
        <v>43190</v>
      </c>
      <c r="L3" s="17" t="s">
        <v>3</v>
      </c>
      <c r="M3" s="17" t="s">
        <v>4</v>
      </c>
      <c r="N3" s="17" t="s">
        <v>5</v>
      </c>
    </row>
    <row r="4" spans="1:14" s="8" customFormat="1">
      <c r="A4" s="8" t="s">
        <v>6</v>
      </c>
      <c r="B4" s="1">
        <f>'Data Sheet'!B17</f>
        <v>1013.05</v>
      </c>
      <c r="C4" s="1">
        <f>'Data Sheet'!C17</f>
        <v>1140.5999999999999</v>
      </c>
      <c r="D4" s="1">
        <f>'Data Sheet'!D17</f>
        <v>1355.73</v>
      </c>
      <c r="E4" s="1">
        <f>'Data Sheet'!E17</f>
        <v>1603.54</v>
      </c>
      <c r="F4" s="1">
        <f>'Data Sheet'!F17</f>
        <v>2165.02</v>
      </c>
      <c r="G4" s="1">
        <f>'Data Sheet'!G17</f>
        <v>2493.54</v>
      </c>
      <c r="H4" s="1">
        <f>'Data Sheet'!H17</f>
        <v>2933.08</v>
      </c>
      <c r="I4" s="1">
        <f>'Data Sheet'!I17</f>
        <v>3444.69</v>
      </c>
      <c r="J4" s="1">
        <f>'Data Sheet'!J17</f>
        <v>4197.59</v>
      </c>
      <c r="K4" s="1">
        <f>'Data Sheet'!K17</f>
        <v>4287.37</v>
      </c>
      <c r="L4" s="1">
        <f>SUM(Quarters!H4:K4)</f>
        <v>4360.59</v>
      </c>
      <c r="M4" s="1">
        <f>$K4+M23*K4</f>
        <v>4865.7148069018149</v>
      </c>
      <c r="N4" s="1">
        <f>$K4+N23*L4</f>
        <v>4380.6363195309686</v>
      </c>
    </row>
    <row r="5" spans="1:14">
      <c r="A5" s="6" t="s">
        <v>7</v>
      </c>
      <c r="B5" s="9">
        <f>SUM('Data Sheet'!B18,'Data Sheet'!B20:B24, -1*'Data Sheet'!B19)</f>
        <v>951.95</v>
      </c>
      <c r="C5" s="9">
        <f>SUM('Data Sheet'!C18,'Data Sheet'!C20:C24, -1*'Data Sheet'!C19)</f>
        <v>1077.3500000000001</v>
      </c>
      <c r="D5" s="9">
        <f>SUM('Data Sheet'!D18,'Data Sheet'!D20:D24, -1*'Data Sheet'!D19)</f>
        <v>1261.1600000000003</v>
      </c>
      <c r="E5" s="9">
        <f>SUM('Data Sheet'!E18,'Data Sheet'!E20:E24, -1*'Data Sheet'!E19)</f>
        <v>1494.42</v>
      </c>
      <c r="F5" s="9">
        <f>SUM('Data Sheet'!F18,'Data Sheet'!F20:F24, -1*'Data Sheet'!F19)</f>
        <v>2017.24</v>
      </c>
      <c r="G5" s="9">
        <f>SUM('Data Sheet'!G18,'Data Sheet'!G20:G24, -1*'Data Sheet'!G19)</f>
        <v>2315.7900000000004</v>
      </c>
      <c r="H5" s="9">
        <f>SUM('Data Sheet'!H18,'Data Sheet'!H20:H24, -1*'Data Sheet'!H19)</f>
        <v>2734.7699999999995</v>
      </c>
      <c r="I5" s="9">
        <f>SUM('Data Sheet'!I18,'Data Sheet'!I20:I24, -1*'Data Sheet'!I19)</f>
        <v>3140</v>
      </c>
      <c r="J5" s="9">
        <f>SUM('Data Sheet'!J18,'Data Sheet'!J20:J24, -1*'Data Sheet'!J19)</f>
        <v>3819.5699999999997</v>
      </c>
      <c r="K5" s="9">
        <f>SUM('Data Sheet'!K18,'Data Sheet'!K20:K24, -1*'Data Sheet'!K19)</f>
        <v>3915.71</v>
      </c>
      <c r="L5" s="9">
        <f>SUM(Quarters!H5:K5)</f>
        <v>3969.9300000000003</v>
      </c>
      <c r="M5" s="9">
        <f t="shared" ref="M5:N5" si="0">M4-M6</f>
        <v>4429.8012845426247</v>
      </c>
      <c r="N5" s="9">
        <f t="shared" si="0"/>
        <v>4041.6529308164163</v>
      </c>
    </row>
    <row r="6" spans="1:14" s="8" customFormat="1">
      <c r="A6" s="8" t="s">
        <v>8</v>
      </c>
      <c r="B6" s="1">
        <f>B4-B5</f>
        <v>61.099999999999909</v>
      </c>
      <c r="C6" s="1">
        <f t="shared" ref="C6:K6" si="1">C4-C5</f>
        <v>63.249999999999773</v>
      </c>
      <c r="D6" s="1">
        <f t="shared" si="1"/>
        <v>94.569999999999709</v>
      </c>
      <c r="E6" s="1">
        <f t="shared" si="1"/>
        <v>109.11999999999989</v>
      </c>
      <c r="F6" s="1">
        <f t="shared" si="1"/>
        <v>147.77999999999997</v>
      </c>
      <c r="G6" s="1">
        <f t="shared" si="1"/>
        <v>177.74999999999955</v>
      </c>
      <c r="H6" s="1">
        <f t="shared" si="1"/>
        <v>198.3100000000004</v>
      </c>
      <c r="I6" s="1">
        <f t="shared" si="1"/>
        <v>304.69000000000005</v>
      </c>
      <c r="J6" s="1">
        <f t="shared" si="1"/>
        <v>378.02000000000044</v>
      </c>
      <c r="K6" s="1">
        <f t="shared" si="1"/>
        <v>371.65999999999985</v>
      </c>
      <c r="L6" s="1">
        <f>SUM(Quarters!H6:K6)</f>
        <v>390.66</v>
      </c>
      <c r="M6" s="1">
        <f>M4*M24</f>
        <v>435.91352235919061</v>
      </c>
      <c r="N6" s="1">
        <f>N4*N24</f>
        <v>338.98338871455212</v>
      </c>
    </row>
    <row r="7" spans="1:14">
      <c r="A7" s="6" t="s">
        <v>9</v>
      </c>
      <c r="B7" s="9">
        <f>'Data Sheet'!B25</f>
        <v>1.82</v>
      </c>
      <c r="C7" s="9">
        <f>'Data Sheet'!C25</f>
        <v>2.93</v>
      </c>
      <c r="D7" s="9">
        <f>'Data Sheet'!D25</f>
        <v>1.51</v>
      </c>
      <c r="E7" s="9">
        <f>'Data Sheet'!E25</f>
        <v>3.34</v>
      </c>
      <c r="F7" s="9">
        <f>'Data Sheet'!F25</f>
        <v>3.75</v>
      </c>
      <c r="G7" s="9">
        <f>'Data Sheet'!G25</f>
        <v>9.33</v>
      </c>
      <c r="H7" s="9">
        <f>'Data Sheet'!H25</f>
        <v>6.44</v>
      </c>
      <c r="I7" s="9">
        <f>'Data Sheet'!I25</f>
        <v>4.6399999999999997</v>
      </c>
      <c r="J7" s="9">
        <f>'Data Sheet'!J25</f>
        <v>6.79</v>
      </c>
      <c r="K7" s="9">
        <f>'Data Sheet'!K25</f>
        <v>8.32</v>
      </c>
      <c r="L7" s="9">
        <f>SUM(Quarters!H7:K7)</f>
        <v>6.83</v>
      </c>
      <c r="M7" s="9">
        <v>0</v>
      </c>
      <c r="N7" s="9">
        <v>0</v>
      </c>
    </row>
    <row r="8" spans="1:14">
      <c r="A8" s="6" t="s">
        <v>10</v>
      </c>
      <c r="B8" s="9">
        <f>'Data Sheet'!B26</f>
        <v>21.68</v>
      </c>
      <c r="C8" s="9">
        <f>'Data Sheet'!C26</f>
        <v>26.81</v>
      </c>
      <c r="D8" s="9">
        <f>'Data Sheet'!D26</f>
        <v>37.06</v>
      </c>
      <c r="E8" s="9">
        <f>'Data Sheet'!E26</f>
        <v>41.84</v>
      </c>
      <c r="F8" s="9">
        <f>'Data Sheet'!F26</f>
        <v>50.32</v>
      </c>
      <c r="G8" s="9">
        <f>'Data Sheet'!G26</f>
        <v>64.97</v>
      </c>
      <c r="H8" s="9">
        <f>'Data Sheet'!H26</f>
        <v>94.03</v>
      </c>
      <c r="I8" s="9">
        <f>'Data Sheet'!I26</f>
        <v>107.09</v>
      </c>
      <c r="J8" s="9">
        <f>'Data Sheet'!J26</f>
        <v>142.87</v>
      </c>
      <c r="K8" s="9">
        <f>'Data Sheet'!K26</f>
        <v>173.64</v>
      </c>
      <c r="L8" s="9">
        <f>SUM(Quarters!H8:K8)</f>
        <v>180.88000000000002</v>
      </c>
      <c r="M8" s="9">
        <f>+$L8</f>
        <v>180.88000000000002</v>
      </c>
      <c r="N8" s="9">
        <f>+$L8</f>
        <v>180.88000000000002</v>
      </c>
    </row>
    <row r="9" spans="1:14">
      <c r="A9" s="6" t="s">
        <v>11</v>
      </c>
      <c r="B9" s="9">
        <f>'Data Sheet'!B27</f>
        <v>21.32</v>
      </c>
      <c r="C9" s="9">
        <f>'Data Sheet'!C27</f>
        <v>27.83</v>
      </c>
      <c r="D9" s="9">
        <f>'Data Sheet'!D27</f>
        <v>35.86</v>
      </c>
      <c r="E9" s="9">
        <f>'Data Sheet'!E27</f>
        <v>38.450000000000003</v>
      </c>
      <c r="F9" s="9">
        <f>'Data Sheet'!F27</f>
        <v>44.43</v>
      </c>
      <c r="G9" s="9">
        <f>'Data Sheet'!G27</f>
        <v>40.68</v>
      </c>
      <c r="H9" s="9">
        <f>'Data Sheet'!H27</f>
        <v>63.36</v>
      </c>
      <c r="I9" s="9">
        <f>'Data Sheet'!I27</f>
        <v>68.25</v>
      </c>
      <c r="J9" s="9">
        <f>'Data Sheet'!J27</f>
        <v>70.2</v>
      </c>
      <c r="K9" s="9">
        <f>'Data Sheet'!K27</f>
        <v>87.64</v>
      </c>
      <c r="L9" s="9">
        <f>SUM(Quarters!H9:K9)</f>
        <v>93.17</v>
      </c>
      <c r="M9" s="9">
        <f>+$L9</f>
        <v>93.17</v>
      </c>
      <c r="N9" s="9">
        <f>+$L9</f>
        <v>93.17</v>
      </c>
    </row>
    <row r="10" spans="1:14">
      <c r="A10" s="6" t="s">
        <v>12</v>
      </c>
      <c r="B10" s="9">
        <f>'Data Sheet'!B28</f>
        <v>19.920000000000002</v>
      </c>
      <c r="C10" s="9">
        <f>'Data Sheet'!C28</f>
        <v>11.54</v>
      </c>
      <c r="D10" s="9">
        <f>'Data Sheet'!D28</f>
        <v>23.16</v>
      </c>
      <c r="E10" s="9">
        <f>'Data Sheet'!E28</f>
        <v>32.17</v>
      </c>
      <c r="F10" s="9">
        <f>'Data Sheet'!F28</f>
        <v>56.79</v>
      </c>
      <c r="G10" s="9">
        <f>'Data Sheet'!G28</f>
        <v>81.45</v>
      </c>
      <c r="H10" s="9">
        <f>'Data Sheet'!H28</f>
        <v>47.36</v>
      </c>
      <c r="I10" s="9">
        <f>'Data Sheet'!I28</f>
        <v>133.97</v>
      </c>
      <c r="J10" s="9">
        <f>'Data Sheet'!J28</f>
        <v>171.73</v>
      </c>
      <c r="K10" s="9">
        <f>'Data Sheet'!K28</f>
        <v>118.68</v>
      </c>
      <c r="L10" s="9">
        <f>SUM(Quarters!H10:K10)</f>
        <v>123.42999999999999</v>
      </c>
      <c r="M10" s="9">
        <f>M6+M7-SUM(M8:M9)</f>
        <v>161.8635223591906</v>
      </c>
      <c r="N10" s="9">
        <f>N6+N7-SUM(N8:N9)</f>
        <v>64.933388714552109</v>
      </c>
    </row>
    <row r="11" spans="1:14">
      <c r="A11" s="6" t="s">
        <v>13</v>
      </c>
      <c r="B11" s="9">
        <f>'Data Sheet'!B29</f>
        <v>7.95</v>
      </c>
      <c r="C11" s="9">
        <f>'Data Sheet'!C29</f>
        <v>8.85</v>
      </c>
      <c r="D11" s="9">
        <f>'Data Sheet'!D29</f>
        <v>4.41</v>
      </c>
      <c r="E11" s="9">
        <f>'Data Sheet'!E29</f>
        <v>5.57</v>
      </c>
      <c r="F11" s="9">
        <f>'Data Sheet'!F29</f>
        <v>12.12</v>
      </c>
      <c r="G11" s="9">
        <f>'Data Sheet'!G29</f>
        <v>-0.24</v>
      </c>
      <c r="H11" s="9">
        <f>'Data Sheet'!H29</f>
        <v>8.1999999999999993</v>
      </c>
      <c r="I11" s="9">
        <f>'Data Sheet'!I29</f>
        <v>73.48</v>
      </c>
      <c r="J11" s="9">
        <f>'Data Sheet'!J29</f>
        <v>36.340000000000003</v>
      </c>
      <c r="K11" s="9">
        <f>'Data Sheet'!K29</f>
        <v>27.84</v>
      </c>
      <c r="L11" s="9">
        <f>SUM(Quarters!H11:K11)</f>
        <v>29.92</v>
      </c>
      <c r="M11" s="10">
        <f>IF($L10&gt;0,$L11/$L10,0)</f>
        <v>0.24240460179859033</v>
      </c>
      <c r="N11" s="10">
        <f>IF($L10&gt;0,$L11/$L10,0)</f>
        <v>0.24240460179859033</v>
      </c>
    </row>
    <row r="12" spans="1:14" s="8" customFormat="1">
      <c r="A12" s="8" t="s">
        <v>14</v>
      </c>
      <c r="B12" s="1">
        <f>'Data Sheet'!B30</f>
        <v>11.97</v>
      </c>
      <c r="C12" s="1">
        <f>'Data Sheet'!C30</f>
        <v>2.69</v>
      </c>
      <c r="D12" s="1">
        <f>'Data Sheet'!D30</f>
        <v>18.75</v>
      </c>
      <c r="E12" s="1">
        <f>'Data Sheet'!E30</f>
        <v>26.6</v>
      </c>
      <c r="F12" s="1">
        <f>'Data Sheet'!F30</f>
        <v>44.67</v>
      </c>
      <c r="G12" s="1">
        <f>'Data Sheet'!G30</f>
        <v>81.69</v>
      </c>
      <c r="H12" s="1">
        <f>'Data Sheet'!H30</f>
        <v>39.159999999999997</v>
      </c>
      <c r="I12" s="1">
        <f>'Data Sheet'!I30</f>
        <v>60.5</v>
      </c>
      <c r="J12" s="1">
        <f>'Data Sheet'!J30</f>
        <v>135.38999999999999</v>
      </c>
      <c r="K12" s="1">
        <f>'Data Sheet'!K30</f>
        <v>90.84</v>
      </c>
      <c r="L12" s="1">
        <f>SUM(Quarters!H12:K12)</f>
        <v>93.53</v>
      </c>
      <c r="M12" s="1">
        <f>M10-M11*M10</f>
        <v>122.62705967599378</v>
      </c>
      <c r="N12" s="1">
        <f>N10-N11*N10</f>
        <v>49.193236479768025</v>
      </c>
    </row>
    <row r="13" spans="1:14">
      <c r="A13" s="11" t="s">
        <v>58</v>
      </c>
      <c r="B13" s="9">
        <f>IF('Data Sheet'!B93&gt;0,B12/'Data Sheet'!B93,0)</f>
        <v>1.7598236236253308</v>
      </c>
      <c r="C13" s="9">
        <f>IF('Data Sheet'!C93&gt;0,C12/'Data Sheet'!C93,0)</f>
        <v>0.39548250188405509</v>
      </c>
      <c r="D13" s="9">
        <f>IF('Data Sheet'!D93&gt;0,D12/'Data Sheet'!D93,0)</f>
        <v>2.6069027559369538</v>
      </c>
      <c r="E13" s="9">
        <f>IF('Data Sheet'!E93&gt;0,E12/'Data Sheet'!E93,0)</f>
        <v>2.4670370462154319</v>
      </c>
      <c r="F13" s="9">
        <f>IF('Data Sheet'!F93&gt;0,F12/'Data Sheet'!F93,0)</f>
        <v>4.1429528140768168</v>
      </c>
      <c r="G13" s="9">
        <f>IF('Data Sheet'!G93&gt;0,G12/'Data Sheet'!G93,0)</f>
        <v>7.5764006129826544</v>
      </c>
      <c r="H13" s="9">
        <f>IF('Data Sheet'!H93&gt;0,H12/'Data Sheet'!H93,0)</f>
        <v>3.5985487005306145</v>
      </c>
      <c r="I13" s="9">
        <f>IF('Data Sheet'!I93&gt;0,I12/'Data Sheet'!I93,0)</f>
        <v>5.5595555766624667</v>
      </c>
      <c r="J13" s="9">
        <f>IF('Data Sheet'!J93&gt;0,J12/'Data Sheet'!J93,0)</f>
        <v>8.8897902194014531</v>
      </c>
      <c r="K13" s="9">
        <f>IF('Data Sheet'!K93&gt;0,K12/'Data Sheet'!K93,0)</f>
        <v>5.9646099677260365</v>
      </c>
      <c r="L13" s="9">
        <f>IF('Data Sheet'!$B6&gt;0,'Profit &amp; Loss'!L12/'Data Sheet'!$B6,0)</f>
        <v>5.7849233323582983</v>
      </c>
      <c r="M13" s="9">
        <f>IF('Data Sheet'!$B6&gt;0,'Profit &amp; Loss'!M12/'Data Sheet'!$B6,0)</f>
        <v>7.5846053533427753</v>
      </c>
      <c r="N13" s="9">
        <f>IF('Data Sheet'!$B6&gt;0,'Profit &amp; Loss'!N12/'Data Sheet'!$B6,0)</f>
        <v>3.0426505025770281</v>
      </c>
    </row>
    <row r="14" spans="1:14">
      <c r="A14" s="6" t="s">
        <v>16</v>
      </c>
      <c r="B14" s="9">
        <f>IF(B15&gt;0,B15/B13,"")</f>
        <v>6.7544649591149533</v>
      </c>
      <c r="C14" s="9">
        <f t="shared" ref="C14:K14" si="2">IF(C15&gt;0,C15/C13,"")</f>
        <v>62.361436681794054</v>
      </c>
      <c r="D14" s="9">
        <f t="shared" si="2"/>
        <v>17.446394153530111</v>
      </c>
      <c r="E14" s="9">
        <f t="shared" si="2"/>
        <v>22.816236215969923</v>
      </c>
      <c r="F14" s="9">
        <f t="shared" si="2"/>
        <v>16.934298590517127</v>
      </c>
      <c r="G14" s="9">
        <f t="shared" si="2"/>
        <v>25.350532371649248</v>
      </c>
      <c r="H14" s="9">
        <f t="shared" si="2"/>
        <v>61.943444024290102</v>
      </c>
      <c r="I14" s="9">
        <f t="shared" si="2"/>
        <v>54.810336329604844</v>
      </c>
      <c r="J14" s="9">
        <f t="shared" si="2"/>
        <v>62.305419062778824</v>
      </c>
      <c r="K14" s="9">
        <f t="shared" si="2"/>
        <v>121.56935892263283</v>
      </c>
      <c r="L14" s="9">
        <f t="shared" ref="L14" si="3">IF(L13&gt;0,L15/L13,0)</f>
        <v>128.66203357211589</v>
      </c>
      <c r="M14" s="9">
        <f>M25</f>
        <v>128.66203357211589</v>
      </c>
      <c r="N14" s="9">
        <f>N25</f>
        <v>52.813995898545265</v>
      </c>
    </row>
    <row r="15" spans="1:14" s="8" customFormat="1">
      <c r="A15" s="8" t="s">
        <v>59</v>
      </c>
      <c r="B15" s="1">
        <f>'Data Sheet'!B90</f>
        <v>11.886666999999999</v>
      </c>
      <c r="C15" s="1">
        <f>'Data Sheet'!C90</f>
        <v>24.662856999999999</v>
      </c>
      <c r="D15" s="1">
        <f>'Data Sheet'!D90</f>
        <v>45.481053000000003</v>
      </c>
      <c r="E15" s="1">
        <f>'Data Sheet'!E90</f>
        <v>56.288499999999999</v>
      </c>
      <c r="F15" s="1">
        <f>'Data Sheet'!F90</f>
        <v>70.158000000000001</v>
      </c>
      <c r="G15" s="1">
        <f>'Data Sheet'!G90</f>
        <v>192.065789</v>
      </c>
      <c r="H15" s="1">
        <f>'Data Sheet'!H90</f>
        <v>222.90649999999999</v>
      </c>
      <c r="I15" s="1">
        <f>'Data Sheet'!I90</f>
        <v>304.72111100000001</v>
      </c>
      <c r="J15" s="1">
        <f>'Data Sheet'!J90</f>
        <v>553.88210500000002</v>
      </c>
      <c r="K15" s="1">
        <f>'Data Sheet'!K90</f>
        <v>725.11380999999994</v>
      </c>
      <c r="L15" s="1">
        <f>'Data Sheet'!B8</f>
        <v>744.3</v>
      </c>
      <c r="M15" s="12">
        <f>M13*M14</f>
        <v>975.85074860303803</v>
      </c>
      <c r="N15" s="13">
        <f>N13*N14</f>
        <v>160.69453116380984</v>
      </c>
    </row>
    <row r="16" spans="1:14">
      <c r="B16" s="34">
        <f>B9/'Data Sheet'!B59</f>
        <v>9.282884138111204E-2</v>
      </c>
      <c r="C16" s="34">
        <f>C9/'Data Sheet'!C59</f>
        <v>8.8495293818366821E-2</v>
      </c>
      <c r="D16" s="34">
        <f>D9/'Data Sheet'!D59</f>
        <v>0.12076513773826363</v>
      </c>
      <c r="E16" s="34">
        <f>E9/'Data Sheet'!E59</f>
        <v>0.11291222506093444</v>
      </c>
      <c r="F16" s="34">
        <f>F9/'Data Sheet'!F59</f>
        <v>0.11040703742358729</v>
      </c>
      <c r="G16" s="34">
        <f>G9/'Data Sheet'!G59</f>
        <v>8.2424930096851312E-2</v>
      </c>
      <c r="H16" s="34">
        <f>H9/'Data Sheet'!H59</f>
        <v>0.10324262669056541</v>
      </c>
      <c r="I16" s="34">
        <f>I9/'Data Sheet'!I59</f>
        <v>0.10163661002814553</v>
      </c>
      <c r="J16" s="34">
        <f>J9/'Data Sheet'!J59</f>
        <v>7.6363280357667332E-2</v>
      </c>
      <c r="K16" s="34">
        <f>K9/'Data Sheet'!K59</f>
        <v>6.7469360103467393E-2</v>
      </c>
    </row>
    <row r="17" spans="1:14" s="8" customFormat="1">
      <c r="A17" s="8" t="s">
        <v>15</v>
      </c>
    </row>
    <row r="18" spans="1:14">
      <c r="A18" s="6" t="s">
        <v>17</v>
      </c>
      <c r="B18" s="7">
        <f>IF('Data Sheet'!B30&gt;0, 'Data Sheet'!B31/'Data Sheet'!B30, 0)</f>
        <v>0.17042606516290726</v>
      </c>
      <c r="C18" s="7">
        <f>IF('Data Sheet'!C30&gt;0, 'Data Sheet'!C31/'Data Sheet'!C30, 0)</f>
        <v>0.379182156133829</v>
      </c>
      <c r="D18" s="7">
        <f>IF('Data Sheet'!D30&gt;0, 'Data Sheet'!D31/'Data Sheet'!D30, 0)</f>
        <v>0.2112</v>
      </c>
      <c r="E18" s="7">
        <f>IF('Data Sheet'!E30&gt;0, 'Data Sheet'!E31/'Data Sheet'!E30, 0)</f>
        <v>0.52706766917293224</v>
      </c>
      <c r="F18" s="7">
        <f>IF('Data Sheet'!F30&gt;0, 'Data Sheet'!F31/'Data Sheet'!F30, 0)</f>
        <v>0.41034251175285419</v>
      </c>
      <c r="G18" s="7">
        <f>IF('Data Sheet'!G30&gt;0, 'Data Sheet'!G31/'Data Sheet'!G30, 0)</f>
        <v>0.3300281552209573</v>
      </c>
      <c r="H18" s="7">
        <f>IF('Data Sheet'!H30&gt;0, 'Data Sheet'!H31/'Data Sheet'!H30, 0)</f>
        <v>0.50025536261491321</v>
      </c>
      <c r="I18" s="7">
        <f>IF('Data Sheet'!I30&gt;0, 'Data Sheet'!I31/'Data Sheet'!I30, 0)</f>
        <v>0.71950413223140497</v>
      </c>
      <c r="J18" s="7">
        <f>IF('Data Sheet'!J30&gt;0, 'Data Sheet'!J31/'Data Sheet'!J30, 0)</f>
        <v>0.44995937661570284</v>
      </c>
      <c r="K18" s="7">
        <f>IF('Data Sheet'!K30&gt;0, 'Data Sheet'!K31/'Data Sheet'!K30, 0)</f>
        <v>0.67062967855570232</v>
      </c>
    </row>
    <row r="19" spans="1:14">
      <c r="A19" s="6" t="s">
        <v>18</v>
      </c>
      <c r="B19" s="7">
        <f t="shared" ref="B19:L19" si="4">IF(B6&gt;0,B6/B4,0)</f>
        <v>6.0312916440452016E-2</v>
      </c>
      <c r="C19" s="7">
        <f t="shared" ref="C19:K19" si="5">IF(C6&gt;0,C6/C4,0)</f>
        <v>5.5453270208661913E-2</v>
      </c>
      <c r="D19" s="7">
        <f t="shared" si="5"/>
        <v>6.9755777330294158E-2</v>
      </c>
      <c r="E19" s="7">
        <f t="shared" si="5"/>
        <v>6.8049440612644452E-2</v>
      </c>
      <c r="F19" s="7">
        <f t="shared" si="5"/>
        <v>6.8258029948915014E-2</v>
      </c>
      <c r="G19" s="7">
        <f t="shared" si="5"/>
        <v>7.128419836858424E-2</v>
      </c>
      <c r="H19" s="7">
        <f t="shared" si="5"/>
        <v>6.7611520994995164E-2</v>
      </c>
      <c r="I19" s="7">
        <f t="shared" si="5"/>
        <v>8.8452081319364023E-2</v>
      </c>
      <c r="J19" s="7">
        <f t="shared" si="5"/>
        <v>9.0056437146076779E-2</v>
      </c>
      <c r="K19" s="7">
        <f t="shared" si="5"/>
        <v>8.6687176520804099E-2</v>
      </c>
      <c r="L19" s="7">
        <f t="shared" si="4"/>
        <v>8.9588794176934772E-2</v>
      </c>
    </row>
    <row r="20" spans="1:14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4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4" s="2" customFormat="1">
      <c r="A22" s="15"/>
      <c r="B22" s="16"/>
      <c r="C22" s="16"/>
      <c r="D22" s="16"/>
      <c r="E22" s="16"/>
      <c r="F22" s="16"/>
      <c r="G22" s="16" t="s">
        <v>19</v>
      </c>
      <c r="H22" s="16" t="s">
        <v>66</v>
      </c>
      <c r="I22" s="16" t="s">
        <v>67</v>
      </c>
      <c r="J22" s="16" t="s">
        <v>68</v>
      </c>
      <c r="K22" s="16" t="s">
        <v>69</v>
      </c>
      <c r="L22" s="17" t="s">
        <v>70</v>
      </c>
      <c r="M22" s="17" t="s">
        <v>20</v>
      </c>
      <c r="N22" s="17" t="s">
        <v>21</v>
      </c>
    </row>
    <row r="23" spans="1:14" s="8" customFormat="1">
      <c r="A23" s="6"/>
      <c r="B23" s="6"/>
      <c r="C23" s="6"/>
      <c r="D23" s="6"/>
      <c r="E23" s="6"/>
      <c r="F23" s="6"/>
      <c r="G23" s="6" t="s">
        <v>22</v>
      </c>
      <c r="H23" s="7">
        <f>IF(B4=0,"",POWER($K4/B4,1/9)-1)</f>
        <v>0.17386400862404905</v>
      </c>
      <c r="I23" s="7">
        <f>IF(D4=0,"",POWER($K4/D4,1/7)-1)</f>
        <v>0.17877552053809254</v>
      </c>
      <c r="J23" s="7">
        <f>IF(F4=0,"",POWER($K4/F4,1/5)-1)</f>
        <v>0.14642542843974127</v>
      </c>
      <c r="K23" s="7">
        <f>IF(H4=0,"",POWER($K4/H4, 1/3)-1)</f>
        <v>0.13489500717265246</v>
      </c>
      <c r="L23" s="7">
        <f>IF(ISERROR(MAX(IF(J4=0,"",(K4-J4)/J4),IF(K4=0,"",(L4-K4)/K4))),"",MAX(IF(J4=0,"",(K4-J4)/J4),IF(K4=0,"",(L4-K4)/K4)))</f>
        <v>2.1388463380177612E-2</v>
      </c>
      <c r="M23" s="22">
        <f>MAX(K23:L23)</f>
        <v>0.13489500717265246</v>
      </c>
      <c r="N23" s="22">
        <f>MIN(H23:L23)</f>
        <v>2.1388463380177612E-2</v>
      </c>
    </row>
    <row r="24" spans="1:14">
      <c r="G24" s="6" t="s">
        <v>18</v>
      </c>
      <c r="H24" s="7">
        <f>IF(SUM(B4:$K$4)=0,"",SUMPRODUCT(B19:$K$19,B4:$K$4)/SUM(B4:$K$4))</f>
        <v>7.7382225774644264E-2</v>
      </c>
      <c r="I24" s="7">
        <f>IF(SUM(E4:$K$4)=0,"",SUMPRODUCT(E19:$K$19,E4:$K$4)/SUM(E4:$K$4))</f>
        <v>7.9874252242503274E-2</v>
      </c>
      <c r="J24" s="7">
        <f>IF(SUM(G4:$K$4)=0,"",SUMPRODUCT(G19:$K$19,G4:$K$4)/SUM(G4:$K$4))</f>
        <v>8.2415749466907356E-2</v>
      </c>
      <c r="K24" s="7">
        <f>IF(SUM(I4:$K$4)=0, "", SUMPRODUCT(I19:$K$19,I4:$K$4)/SUM(I4:$K$4))</f>
        <v>8.8382307947006009E-2</v>
      </c>
      <c r="L24" s="7">
        <f>L19</f>
        <v>8.9588794176934772E-2</v>
      </c>
      <c r="M24" s="22">
        <f>MAX(K24:L24)</f>
        <v>8.9588794176934772E-2</v>
      </c>
      <c r="N24" s="22">
        <f>MIN(H24:L24)</f>
        <v>7.7382225774644264E-2</v>
      </c>
    </row>
    <row r="25" spans="1:14">
      <c r="G25" s="6" t="s">
        <v>23</v>
      </c>
      <c r="H25" s="9">
        <f>IF(ISERROR(AVERAGEIF(B14:$L14,"&gt;0")),"",AVERAGEIF(B14:$L14,"&gt;0"))</f>
        <v>52.813995898545265</v>
      </c>
      <c r="I25" s="9">
        <f>IF(ISERROR(AVERAGEIF(E14:$L14,"&gt;0")),"",AVERAGEIF(E14:$L14,"&gt;0"))</f>
        <v>61.79895738619485</v>
      </c>
      <c r="J25" s="9">
        <f>IF(ISERROR(AVERAGEIF(G14:$L14,"&gt;0")),"",AVERAGEIF(G14:$L14,"&gt;0"))</f>
        <v>75.773520713845286</v>
      </c>
      <c r="K25" s="9">
        <f>IF(ISERROR(AVERAGEIF(I14:$L14,"&gt;0")),"",AVERAGEIF(I14:$L14,"&gt;0"))</f>
        <v>91.836786971783098</v>
      </c>
      <c r="L25" s="9">
        <f>L14</f>
        <v>128.66203357211589</v>
      </c>
      <c r="M25" s="1">
        <f>MAX(K25:L25)</f>
        <v>128.66203357211589</v>
      </c>
      <c r="N25" s="1">
        <f>MIN(H25:L25)</f>
        <v>52.813995898545265</v>
      </c>
    </row>
  </sheetData>
  <hyperlinks>
    <hyperlink ref="M1" r:id="rId1" xr:uid="{00000000-0004-0000-0000-000000000000}"/>
  </hyperlinks>
  <printOptions gridLines="1"/>
  <pageMargins left="0.7" right="0.7" top="0.75" bottom="0.75" header="0.3" footer="0.3"/>
  <pageSetup paperSize="9" orientation="landscape" horizontalDpi="300" verticalDpi="300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K25"/>
  <sheetViews>
    <sheetView workbookViewId="0">
      <pane xSplit="1" ySplit="3" topLeftCell="B10" activePane="bottomRight" state="frozen"/>
      <selection pane="topRight"/>
      <selection pane="bottomLeft"/>
      <selection pane="bottomRight" activeCell="B24" sqref="B24"/>
    </sheetView>
  </sheetViews>
  <sheetFormatPr defaultRowHeight="15"/>
  <cols>
    <col min="1" max="1" width="22.85546875" style="11" bestFit="1" customWidth="1"/>
    <col min="2" max="2" width="13.5703125" style="11" customWidth="1"/>
    <col min="3" max="11" width="15.5703125" style="11" customWidth="1"/>
    <col min="12" max="16384" width="9.140625" style="11"/>
  </cols>
  <sheetData>
    <row r="1" spans="1:11" s="8" customFormat="1">
      <c r="A1" s="8" t="str">
        <f>'Profit &amp; Loss'!A1</f>
        <v>HATSUN AGRO PRODUCT LTD</v>
      </c>
      <c r="E1" t="str">
        <f>UPDATE</f>
        <v/>
      </c>
      <c r="G1"/>
      <c r="J1" s="4" t="s">
        <v>1</v>
      </c>
      <c r="K1" s="4"/>
    </row>
    <row r="2" spans="1:11">
      <c r="G2" s="8"/>
      <c r="H2" s="8"/>
    </row>
    <row r="3" spans="1:11" s="18" customFormat="1">
      <c r="A3" s="15" t="s">
        <v>2</v>
      </c>
      <c r="B3" s="16">
        <f>'Data Sheet'!B56</f>
        <v>39903</v>
      </c>
      <c r="C3" s="16">
        <f>'Data Sheet'!C56</f>
        <v>40268</v>
      </c>
      <c r="D3" s="16">
        <f>'Data Sheet'!D56</f>
        <v>40633</v>
      </c>
      <c r="E3" s="16">
        <f>'Data Sheet'!E56</f>
        <v>40999</v>
      </c>
      <c r="F3" s="16">
        <f>'Data Sheet'!F56</f>
        <v>41364</v>
      </c>
      <c r="G3" s="16">
        <f>'Data Sheet'!G56</f>
        <v>41729</v>
      </c>
      <c r="H3" s="16">
        <f>'Data Sheet'!H56</f>
        <v>42094</v>
      </c>
      <c r="I3" s="16">
        <f>'Data Sheet'!I56</f>
        <v>42460</v>
      </c>
      <c r="J3" s="16">
        <f>'Data Sheet'!J56</f>
        <v>42825</v>
      </c>
      <c r="K3" s="16">
        <f>'Data Sheet'!K56</f>
        <v>43190</v>
      </c>
    </row>
    <row r="4" spans="1:11">
      <c r="A4" s="6" t="s">
        <v>24</v>
      </c>
      <c r="B4" s="19">
        <f>'Data Sheet'!B57</f>
        <v>6.79</v>
      </c>
      <c r="C4" s="19">
        <f>'Data Sheet'!C57</f>
        <v>6.79</v>
      </c>
      <c r="D4" s="19">
        <f>'Data Sheet'!D57</f>
        <v>7.18</v>
      </c>
      <c r="E4" s="19">
        <f>'Data Sheet'!E57</f>
        <v>10.77</v>
      </c>
      <c r="F4" s="19">
        <f>'Data Sheet'!F57</f>
        <v>10.77</v>
      </c>
      <c r="G4" s="19">
        <f>'Data Sheet'!G57</f>
        <v>10.77</v>
      </c>
      <c r="H4" s="19">
        <f>'Data Sheet'!H57</f>
        <v>10.87</v>
      </c>
      <c r="I4" s="19">
        <f>'Data Sheet'!I57</f>
        <v>10.87</v>
      </c>
      <c r="J4" s="19">
        <f>'Data Sheet'!J57</f>
        <v>15.22</v>
      </c>
      <c r="K4" s="19">
        <f>'Data Sheet'!K57</f>
        <v>15.22</v>
      </c>
    </row>
    <row r="5" spans="1:11" s="6" customFormat="1">
      <c r="A5" s="6" t="s">
        <v>25</v>
      </c>
      <c r="B5" s="19">
        <f>'Data Sheet'!B58</f>
        <v>45.4</v>
      </c>
      <c r="C5" s="19">
        <f>'Data Sheet'!C58</f>
        <v>46.73</v>
      </c>
      <c r="D5" s="19">
        <f>'Data Sheet'!D58</f>
        <v>85.61</v>
      </c>
      <c r="E5" s="19">
        <f>'Data Sheet'!E58</f>
        <v>96.94</v>
      </c>
      <c r="F5" s="19">
        <f>'Data Sheet'!F58</f>
        <v>118.79</v>
      </c>
      <c r="G5" s="19">
        <f>'Data Sheet'!G58</f>
        <v>168.62</v>
      </c>
      <c r="H5" s="19">
        <f>'Data Sheet'!H58</f>
        <v>210.59</v>
      </c>
      <c r="I5" s="19">
        <f>'Data Sheet'!I58</f>
        <v>219.79</v>
      </c>
      <c r="J5" s="19">
        <f>'Data Sheet'!J58</f>
        <v>333.39</v>
      </c>
      <c r="K5" s="19">
        <f>'Data Sheet'!K58</f>
        <v>350.31</v>
      </c>
    </row>
    <row r="6" spans="1:11">
      <c r="A6" s="11" t="s">
        <v>72</v>
      </c>
      <c r="B6" s="19">
        <f>'Data Sheet'!B59</f>
        <v>229.67</v>
      </c>
      <c r="C6" s="19">
        <f>'Data Sheet'!C59</f>
        <v>314.48</v>
      </c>
      <c r="D6" s="19">
        <f>'Data Sheet'!D59</f>
        <v>296.94</v>
      </c>
      <c r="E6" s="19">
        <f>'Data Sheet'!E59</f>
        <v>340.53</v>
      </c>
      <c r="F6" s="19">
        <f>'Data Sheet'!F59</f>
        <v>402.42</v>
      </c>
      <c r="G6" s="19">
        <f>'Data Sheet'!G59</f>
        <v>493.54</v>
      </c>
      <c r="H6" s="19">
        <f>'Data Sheet'!H59</f>
        <v>613.70000000000005</v>
      </c>
      <c r="I6" s="19">
        <f>'Data Sheet'!I59</f>
        <v>671.51</v>
      </c>
      <c r="J6" s="19">
        <f>'Data Sheet'!J59</f>
        <v>919.29</v>
      </c>
      <c r="K6" s="19">
        <f>'Data Sheet'!K59</f>
        <v>1298.96</v>
      </c>
    </row>
    <row r="7" spans="1:11" s="6" customFormat="1">
      <c r="A7" s="11" t="s">
        <v>73</v>
      </c>
      <c r="B7" s="19">
        <f>'Data Sheet'!B60</f>
        <v>78.2</v>
      </c>
      <c r="C7" s="19">
        <f>'Data Sheet'!C60</f>
        <v>98.65</v>
      </c>
      <c r="D7" s="19">
        <f>'Data Sheet'!D60</f>
        <v>96.51</v>
      </c>
      <c r="E7" s="19">
        <f>'Data Sheet'!E60</f>
        <v>120.67</v>
      </c>
      <c r="F7" s="19">
        <f>'Data Sheet'!F60</f>
        <v>155.47999999999999</v>
      </c>
      <c r="G7" s="19">
        <f>'Data Sheet'!G60</f>
        <v>171.22</v>
      </c>
      <c r="H7" s="19">
        <f>'Data Sheet'!H60</f>
        <v>221.85</v>
      </c>
      <c r="I7" s="19">
        <f>'Data Sheet'!I60</f>
        <v>258.48</v>
      </c>
      <c r="J7" s="19">
        <f>'Data Sheet'!J60</f>
        <v>358.97</v>
      </c>
      <c r="K7" s="19">
        <f>'Data Sheet'!K60</f>
        <v>503.13</v>
      </c>
    </row>
    <row r="8" spans="1:11" s="8" customFormat="1">
      <c r="A8" s="8" t="s">
        <v>26</v>
      </c>
      <c r="B8" s="20">
        <f>'Data Sheet'!B61</f>
        <v>360.06</v>
      </c>
      <c r="C8" s="20">
        <f>'Data Sheet'!C61</f>
        <v>466.65</v>
      </c>
      <c r="D8" s="20">
        <f>'Data Sheet'!D61</f>
        <v>486.24</v>
      </c>
      <c r="E8" s="20">
        <f>'Data Sheet'!E61</f>
        <v>568.91</v>
      </c>
      <c r="F8" s="20">
        <f>'Data Sheet'!F61</f>
        <v>687.46</v>
      </c>
      <c r="G8" s="20">
        <f>'Data Sheet'!G61</f>
        <v>844.15</v>
      </c>
      <c r="H8" s="20">
        <f>'Data Sheet'!H61</f>
        <v>1057.01</v>
      </c>
      <c r="I8" s="20">
        <f>'Data Sheet'!I61</f>
        <v>1160.6500000000001</v>
      </c>
      <c r="J8" s="20">
        <f>'Data Sheet'!J61</f>
        <v>1626.87</v>
      </c>
      <c r="K8" s="20">
        <f>'Data Sheet'!K61</f>
        <v>2167.62</v>
      </c>
    </row>
    <row r="9" spans="1:11" s="8" customFormat="1"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>
      <c r="A10" s="6" t="s">
        <v>27</v>
      </c>
      <c r="B10" s="19">
        <f>'Data Sheet'!B62</f>
        <v>166.42</v>
      </c>
      <c r="C10" s="19">
        <f>'Data Sheet'!C62</f>
        <v>322.14</v>
      </c>
      <c r="D10" s="19">
        <f>'Data Sheet'!D62</f>
        <v>348.67</v>
      </c>
      <c r="E10" s="19">
        <f>'Data Sheet'!E62</f>
        <v>361.19</v>
      </c>
      <c r="F10" s="19">
        <f>'Data Sheet'!F62</f>
        <v>391.76</v>
      </c>
      <c r="G10" s="19">
        <f>'Data Sheet'!G62</f>
        <v>503.67</v>
      </c>
      <c r="H10" s="19">
        <f>'Data Sheet'!H62</f>
        <v>632.24</v>
      </c>
      <c r="I10" s="19">
        <f>'Data Sheet'!I62</f>
        <v>647.23</v>
      </c>
      <c r="J10" s="19">
        <f>'Data Sheet'!J62</f>
        <v>991.37</v>
      </c>
      <c r="K10" s="19">
        <f>'Data Sheet'!K62</f>
        <v>1216.6099999999999</v>
      </c>
    </row>
    <row r="11" spans="1:11">
      <c r="A11" s="6" t="s">
        <v>28</v>
      </c>
      <c r="B11" s="19">
        <f>'Data Sheet'!B63</f>
        <v>128.15</v>
      </c>
      <c r="C11" s="19">
        <f>'Data Sheet'!C63</f>
        <v>33.049999999999997</v>
      </c>
      <c r="D11" s="19">
        <f>'Data Sheet'!D63</f>
        <v>10.23</v>
      </c>
      <c r="E11" s="19">
        <f>'Data Sheet'!E63</f>
        <v>8.49</v>
      </c>
      <c r="F11" s="19">
        <f>'Data Sheet'!F63</f>
        <v>44.78</v>
      </c>
      <c r="G11" s="19">
        <f>'Data Sheet'!G63</f>
        <v>106.31</v>
      </c>
      <c r="H11" s="19">
        <f>'Data Sheet'!H63</f>
        <v>23.38</v>
      </c>
      <c r="I11" s="19">
        <f>'Data Sheet'!I63</f>
        <v>32.53</v>
      </c>
      <c r="J11" s="19">
        <f>'Data Sheet'!J63</f>
        <v>90.27</v>
      </c>
      <c r="K11" s="19">
        <f>'Data Sheet'!K63</f>
        <v>259.33999999999997</v>
      </c>
    </row>
    <row r="12" spans="1:11">
      <c r="A12" s="6" t="s">
        <v>29</v>
      </c>
      <c r="B12" s="19">
        <f>'Data Sheet'!B64</f>
        <v>0.14000000000000001</v>
      </c>
      <c r="C12" s="19">
        <f>'Data Sheet'!C64</f>
        <v>0</v>
      </c>
      <c r="D12" s="19">
        <f>'Data Sheet'!D64</f>
        <v>0</v>
      </c>
      <c r="E12" s="19">
        <f>'Data Sheet'!E64</f>
        <v>0</v>
      </c>
      <c r="F12" s="19">
        <f>'Data Sheet'!F64</f>
        <v>0.68</v>
      </c>
      <c r="G12" s="19">
        <f>'Data Sheet'!G64</f>
        <v>0.8</v>
      </c>
      <c r="H12" s="19">
        <f>'Data Sheet'!H64</f>
        <v>0.8</v>
      </c>
      <c r="I12" s="19">
        <f>'Data Sheet'!I64</f>
        <v>0.26</v>
      </c>
      <c r="J12" s="19">
        <f>'Data Sheet'!J64</f>
        <v>0.25</v>
      </c>
      <c r="K12" s="19">
        <f>'Data Sheet'!K64</f>
        <v>0.13</v>
      </c>
    </row>
    <row r="13" spans="1:11">
      <c r="A13" s="11" t="s">
        <v>74</v>
      </c>
      <c r="B13" s="19">
        <f>'Data Sheet'!B65</f>
        <v>65.349999999999994</v>
      </c>
      <c r="C13" s="19">
        <f>'Data Sheet'!C65</f>
        <v>111.46</v>
      </c>
      <c r="D13" s="19">
        <f>'Data Sheet'!D65</f>
        <v>127.34</v>
      </c>
      <c r="E13" s="19">
        <f>'Data Sheet'!E65</f>
        <v>199.23</v>
      </c>
      <c r="F13" s="19">
        <f>'Data Sheet'!F65</f>
        <v>250.24</v>
      </c>
      <c r="G13" s="19">
        <f>'Data Sheet'!G65</f>
        <v>233.37</v>
      </c>
      <c r="H13" s="19">
        <f>'Data Sheet'!H65</f>
        <v>400.59</v>
      </c>
      <c r="I13" s="19">
        <f>'Data Sheet'!I65</f>
        <v>480.63</v>
      </c>
      <c r="J13" s="19">
        <f>'Data Sheet'!J65</f>
        <v>544.98</v>
      </c>
      <c r="K13" s="19">
        <f>'Data Sheet'!K65</f>
        <v>691.54</v>
      </c>
    </row>
    <row r="14" spans="1:11" s="8" customFormat="1">
      <c r="A14" s="8" t="s">
        <v>26</v>
      </c>
      <c r="B14" s="19">
        <f>'Data Sheet'!B66</f>
        <v>360.06</v>
      </c>
      <c r="C14" s="19">
        <f>'Data Sheet'!C66</f>
        <v>466.65</v>
      </c>
      <c r="D14" s="19">
        <f>'Data Sheet'!D66</f>
        <v>486.24</v>
      </c>
      <c r="E14" s="19">
        <f>'Data Sheet'!E66</f>
        <v>568.91</v>
      </c>
      <c r="F14" s="19">
        <f>'Data Sheet'!F66</f>
        <v>687.46</v>
      </c>
      <c r="G14" s="19">
        <f>'Data Sheet'!G66</f>
        <v>844.15</v>
      </c>
      <c r="H14" s="19">
        <f>'Data Sheet'!H66</f>
        <v>1057.01</v>
      </c>
      <c r="I14" s="19">
        <f>'Data Sheet'!I66</f>
        <v>1160.6500000000001</v>
      </c>
      <c r="J14" s="19">
        <f>'Data Sheet'!J66</f>
        <v>1626.87</v>
      </c>
      <c r="K14" s="19">
        <f>'Data Sheet'!K66</f>
        <v>2167.62</v>
      </c>
    </row>
    <row r="15" spans="1:11">
      <c r="A15" s="6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>
      <c r="A16" s="29" t="s">
        <v>30</v>
      </c>
      <c r="B16" s="21">
        <f>B13-B7</f>
        <v>-12.850000000000009</v>
      </c>
      <c r="C16" s="21">
        <f t="shared" ref="C16:K16" si="0">C13-C7</f>
        <v>12.809999999999988</v>
      </c>
      <c r="D16" s="21">
        <f t="shared" si="0"/>
        <v>30.83</v>
      </c>
      <c r="E16" s="21">
        <f t="shared" si="0"/>
        <v>78.559999999999988</v>
      </c>
      <c r="F16" s="21">
        <f t="shared" si="0"/>
        <v>94.760000000000019</v>
      </c>
      <c r="G16" s="21">
        <f t="shared" si="0"/>
        <v>62.150000000000006</v>
      </c>
      <c r="H16" s="21">
        <f t="shared" si="0"/>
        <v>178.73999999999998</v>
      </c>
      <c r="I16" s="21">
        <f t="shared" si="0"/>
        <v>222.14999999999998</v>
      </c>
      <c r="J16" s="21">
        <f t="shared" si="0"/>
        <v>186.01</v>
      </c>
      <c r="K16" s="21">
        <f t="shared" si="0"/>
        <v>188.40999999999997</v>
      </c>
    </row>
    <row r="17" spans="1:11">
      <c r="A17" s="11" t="s">
        <v>44</v>
      </c>
      <c r="B17" s="21">
        <f>'Data Sheet'!B67</f>
        <v>8.57</v>
      </c>
      <c r="C17" s="21">
        <f>'Data Sheet'!C67</f>
        <v>13.66</v>
      </c>
      <c r="D17" s="21">
        <f>'Data Sheet'!D67</f>
        <v>9.67</v>
      </c>
      <c r="E17" s="21">
        <f>'Data Sheet'!E67</f>
        <v>8.6199999999999992</v>
      </c>
      <c r="F17" s="21">
        <f>'Data Sheet'!F67</f>
        <v>42.78</v>
      </c>
      <c r="G17" s="21">
        <f>'Data Sheet'!G67</f>
        <v>21.9</v>
      </c>
      <c r="H17" s="21">
        <f>'Data Sheet'!H67</f>
        <v>12.63</v>
      </c>
      <c r="I17" s="21">
        <f>'Data Sheet'!I67</f>
        <v>14.91</v>
      </c>
      <c r="J17" s="21">
        <f>'Data Sheet'!J67</f>
        <v>40.96</v>
      </c>
      <c r="K17" s="21">
        <f>'Data Sheet'!K67</f>
        <v>7.05</v>
      </c>
    </row>
    <row r="18" spans="1:11">
      <c r="A18" s="11" t="s">
        <v>45</v>
      </c>
      <c r="B18" s="21">
        <f>'Data Sheet'!B68</f>
        <v>27.89</v>
      </c>
      <c r="C18" s="21">
        <f>'Data Sheet'!C68</f>
        <v>57.06</v>
      </c>
      <c r="D18" s="21">
        <f>'Data Sheet'!D68</f>
        <v>64.319999999999993</v>
      </c>
      <c r="E18" s="21">
        <f>'Data Sheet'!E68</f>
        <v>141.22</v>
      </c>
      <c r="F18" s="21">
        <f>'Data Sheet'!F68</f>
        <v>110.7</v>
      </c>
      <c r="G18" s="21">
        <f>'Data Sheet'!G68</f>
        <v>88.56</v>
      </c>
      <c r="H18" s="21">
        <f>'Data Sheet'!H68</f>
        <v>258.52999999999997</v>
      </c>
      <c r="I18" s="21">
        <f>'Data Sheet'!I68</f>
        <v>346.77</v>
      </c>
      <c r="J18" s="21">
        <f>'Data Sheet'!J68</f>
        <v>296.52999999999997</v>
      </c>
      <c r="K18" s="21">
        <f>'Data Sheet'!K68</f>
        <v>383.73</v>
      </c>
    </row>
    <row r="20" spans="1:11">
      <c r="A20" s="11" t="s">
        <v>46</v>
      </c>
      <c r="B20" s="5">
        <f>IF('Profit &amp; Loss'!B4&gt;0,'Balance Sheet'!B17/('Profit &amp; Loss'!B4/365),0)</f>
        <v>3.0877547998618038</v>
      </c>
      <c r="C20" s="5">
        <f>IF('Profit &amp; Loss'!C4&gt;0,'Balance Sheet'!C17/('Profit &amp; Loss'!C4/365),0)</f>
        <v>4.3712958092232164</v>
      </c>
      <c r="D20" s="5">
        <f>IF('Profit &amp; Loss'!D4&gt;0,'Balance Sheet'!D17/('Profit &amp; Loss'!D4/365),0)</f>
        <v>2.6034313617018139</v>
      </c>
      <c r="E20" s="5">
        <f>IF('Profit &amp; Loss'!E4&gt;0,'Balance Sheet'!E17/('Profit &amp; Loss'!E4/365),0)</f>
        <v>1.9620963617995184</v>
      </c>
      <c r="F20" s="5">
        <f>IF('Profit &amp; Loss'!F4&gt;0,'Balance Sheet'!F17/('Profit &amp; Loss'!F4/365),0)</f>
        <v>7.2122659374971132</v>
      </c>
      <c r="G20" s="5">
        <f>IF('Profit &amp; Loss'!G4&gt;0,'Balance Sheet'!G17/('Profit &amp; Loss'!G4/365),0)</f>
        <v>3.2056834861281551</v>
      </c>
      <c r="H20" s="5">
        <f>IF('Profit &amp; Loss'!H4&gt;0,'Balance Sheet'!H17/('Profit &amp; Loss'!H4/365),0)</f>
        <v>1.5717096021929169</v>
      </c>
      <c r="I20" s="5">
        <f>IF('Profit &amp; Loss'!I4&gt;0,'Balance Sheet'!I17/('Profit &amp; Loss'!I4/365),0)</f>
        <v>1.5798664030725551</v>
      </c>
      <c r="J20" s="5">
        <f>IF('Profit &amp; Loss'!J4&gt;0,'Balance Sheet'!J17/('Profit &amp; Loss'!J4/365),0)</f>
        <v>3.5616627636334184</v>
      </c>
      <c r="K20" s="5">
        <f>IF('Profit &amp; Loss'!K4&gt;0,'Balance Sheet'!K17/('Profit &amp; Loss'!K4/365),0)</f>
        <v>0.60019312538922465</v>
      </c>
    </row>
    <row r="21" spans="1:11">
      <c r="A21" s="11" t="s">
        <v>47</v>
      </c>
      <c r="B21" s="5">
        <f>IF('Balance Sheet'!B18&gt;0,'Profit &amp; Loss'!B4/'Balance Sheet'!B18,0)</f>
        <v>36.323054858372174</v>
      </c>
      <c r="C21" s="5">
        <f>IF('Balance Sheet'!C18&gt;0,'Profit &amp; Loss'!C4/'Balance Sheet'!C18,0)</f>
        <v>19.989484752891691</v>
      </c>
      <c r="D21" s="5">
        <f>IF('Balance Sheet'!D18&gt;0,'Profit &amp; Loss'!D4/'Balance Sheet'!D18,0)</f>
        <v>21.077891791044777</v>
      </c>
      <c r="E21" s="5">
        <f>IF('Balance Sheet'!E18&gt;0,'Profit &amp; Loss'!E4/'Balance Sheet'!E18,0)</f>
        <v>11.354907236935277</v>
      </c>
      <c r="F21" s="5">
        <f>IF('Balance Sheet'!F18&gt;0,'Profit &amp; Loss'!F4/'Balance Sheet'!F18,0)</f>
        <v>19.557542908762422</v>
      </c>
      <c r="G21" s="5">
        <f>IF('Balance Sheet'!G18&gt;0,'Profit &amp; Loss'!G4/'Balance Sheet'!G18,0)</f>
        <v>28.15650406504065</v>
      </c>
      <c r="H21" s="5">
        <f>IF('Balance Sheet'!H18&gt;0,'Profit &amp; Loss'!H4/'Balance Sheet'!H18,0)</f>
        <v>11.345221057517504</v>
      </c>
      <c r="I21" s="5">
        <f>IF('Balance Sheet'!I18&gt;0,'Profit &amp; Loss'!I4/'Balance Sheet'!I18,0)</f>
        <v>9.9336447789601188</v>
      </c>
      <c r="J21" s="5">
        <f>IF('Balance Sheet'!J18&gt;0,'Profit &amp; Loss'!J4/'Balance Sheet'!J18,0)</f>
        <v>14.15570094088288</v>
      </c>
      <c r="K21" s="5">
        <f>IF('Balance Sheet'!K18&gt;0,'Profit &amp; Loss'!K4/'Balance Sheet'!K18,0)</f>
        <v>11.172881974304849</v>
      </c>
    </row>
    <row r="23" spans="1:11" s="8" customFormat="1">
      <c r="A23" s="8" t="s">
        <v>60</v>
      </c>
      <c r="B23" s="14">
        <f>IF(SUM('Balance Sheet'!B4:B5)&gt;0,'Profit &amp; Loss'!B12/SUM('Balance Sheet'!B4:B5),"")</f>
        <v>0.22935428242958422</v>
      </c>
      <c r="C23" s="14">
        <f>IF(SUM('Balance Sheet'!C4:C5)&gt;0,'Profit &amp; Loss'!C12/SUM('Balance Sheet'!C4:C5),"")</f>
        <v>5.0261584454409571E-2</v>
      </c>
      <c r="D23" s="14">
        <f>IF(SUM('Balance Sheet'!D4:D5)&gt;0,'Profit &amp; Loss'!D12/SUM('Balance Sheet'!D4:D5),"")</f>
        <v>0.20206918849013905</v>
      </c>
      <c r="E23" s="14">
        <f>IF(SUM('Balance Sheet'!E4:E5)&gt;0,'Profit &amp; Loss'!E12/SUM('Balance Sheet'!E4:E5),"")</f>
        <v>0.24695942809395602</v>
      </c>
      <c r="F23" s="14">
        <f>IF(SUM('Balance Sheet'!F4:F5)&gt;0,'Profit &amp; Loss'!F12/SUM('Balance Sheet'!F4:F5),"")</f>
        <v>0.3447823402284656</v>
      </c>
      <c r="G23" s="14">
        <f>IF(SUM('Balance Sheet'!G4:G5)&gt;0,'Profit &amp; Loss'!G12/SUM('Balance Sheet'!G4:G5),"")</f>
        <v>0.45537655387702763</v>
      </c>
      <c r="H23" s="14">
        <f>IF(SUM('Balance Sheet'!H4:H5)&gt;0,'Profit &amp; Loss'!H12/SUM('Balance Sheet'!H4:H5),"")</f>
        <v>0.17682651494626567</v>
      </c>
      <c r="I23" s="14">
        <f>IF(SUM('Balance Sheet'!I4:I5)&gt;0,'Profit &amp; Loss'!I12/SUM('Balance Sheet'!I4:I5),"")</f>
        <v>0.26229081765368939</v>
      </c>
      <c r="J23" s="14">
        <f>IF(SUM('Balance Sheet'!J4:J5)&gt;0,'Profit &amp; Loss'!J12/SUM('Balance Sheet'!J4:J5),"")</f>
        <v>0.38837095895126356</v>
      </c>
      <c r="K23" s="14">
        <f>IF(SUM('Balance Sheet'!K4:K5)&gt;0,'Profit &amp; Loss'!K12/SUM('Balance Sheet'!K4:K5),"")</f>
        <v>0.24851585369189944</v>
      </c>
    </row>
    <row r="24" spans="1:11" s="8" customFormat="1">
      <c r="A24" s="8" t="s">
        <v>61</v>
      </c>
      <c r="B24" s="14">
        <f>IF(('Balance Sheet'!B10+'Balance Sheet'!B16)&gt;0,('Profit &amp; Loss'!B6-'Profit &amp; Loss'!B8-'Profit &amp; Loss'!B11)/('Balance Sheet'!B10+'Balance Sheet'!B16),"")</f>
        <v>0.20492283649150167</v>
      </c>
      <c r="C24" s="14">
        <f>IF(('Balance Sheet'!C10+'Balance Sheet'!C16)&gt;0,('Profit &amp; Loss'!C6-'Profit &amp; Loss'!C8-'Profit &amp; Loss'!C11)/('Balance Sheet'!C10+'Balance Sheet'!C16),"")</f>
        <v>8.2370503060157543E-2</v>
      </c>
      <c r="D24" s="14">
        <f>IF(('Balance Sheet'!D10+'Balance Sheet'!D16)&gt;0,('Profit &amp; Loss'!D6-'Profit &amp; Loss'!D8-'Profit &amp; Loss'!D11)/('Balance Sheet'!D10+'Balance Sheet'!D16),"")</f>
        <v>0.13992094861660004</v>
      </c>
      <c r="E24" s="14">
        <f>IF(('Balance Sheet'!E10+'Balance Sheet'!E16)&gt;0,('Profit &amp; Loss'!E6-'Profit &amp; Loss'!E8-'Profit &amp; Loss'!E11)/('Balance Sheet'!E10+'Balance Sheet'!E16),"")</f>
        <v>0.14032973280272856</v>
      </c>
      <c r="F24" s="14">
        <f>IF(('Balance Sheet'!F10+'Balance Sheet'!F16)&gt;0,('Profit &amp; Loss'!F6-'Profit &amp; Loss'!F8-'Profit &amp; Loss'!F11)/('Balance Sheet'!F10+'Balance Sheet'!F16),"")</f>
        <v>0.1754090273781139</v>
      </c>
      <c r="G24" s="14">
        <f>IF(('Balance Sheet'!G10+'Balance Sheet'!G16)&gt;0,('Profit &amp; Loss'!G6-'Profit &amp; Loss'!G8-'Profit &amp; Loss'!G11)/('Balance Sheet'!G10+'Balance Sheet'!G16),"")</f>
        <v>0.19974550210314151</v>
      </c>
      <c r="H24" s="14">
        <f>IF(('Balance Sheet'!H10+'Balance Sheet'!H16)&gt;0,('Profit &amp; Loss'!H6-'Profit &amp; Loss'!H8-'Profit &amp; Loss'!H11)/('Balance Sheet'!H10+'Balance Sheet'!H16),"")</f>
        <v>0.11847394510345556</v>
      </c>
      <c r="I24" s="14">
        <f>IF(('Balance Sheet'!I10+'Balance Sheet'!I16)&gt;0,('Profit &amp; Loss'!I6-'Profit &amp; Loss'!I8-'Profit &amp; Loss'!I11)/('Balance Sheet'!I10+'Balance Sheet'!I16),"")</f>
        <v>0.14276840967126003</v>
      </c>
      <c r="J24" s="14">
        <f>IF(('Balance Sheet'!J10+'Balance Sheet'!J16)&gt;0,('Profit &amp; Loss'!J6-'Profit &amp; Loss'!J8-'Profit &amp; Loss'!J11)/('Balance Sheet'!J10+'Balance Sheet'!J16),"")</f>
        <v>0.16885797278703596</v>
      </c>
      <c r="K24" s="14">
        <f>IF(('Balance Sheet'!K10+'Balance Sheet'!K16)&gt;0,('Profit &amp; Loss'!K6-'Profit &amp; Loss'!K8-'Profit &amp; Loss'!K11)/('Balance Sheet'!K10+'Balance Sheet'!K16),"")</f>
        <v>0.12112283099172956</v>
      </c>
    </row>
    <row r="25" spans="1:11" s="18" customFormat="1"/>
  </sheetData>
  <hyperlinks>
    <hyperlink ref="J1" r:id="rId1" xr:uid="{00000000-0004-0000-0200-000000000000}"/>
  </hyperlinks>
  <printOptions gridLines="1"/>
  <pageMargins left="0.7" right="0.7" top="0.75" bottom="0.75" header="0.3" footer="0.3"/>
  <pageSetup paperSize="9" orientation="landscape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K22"/>
  <sheetViews>
    <sheetView workbookViewId="0">
      <pane xSplit="1" ySplit="3" topLeftCell="D4" activePane="bottomRight" state="frozen"/>
      <selection activeCell="K5" sqref="K5"/>
      <selection pane="topRight" activeCell="K5" sqref="K5"/>
      <selection pane="bottomLeft" activeCell="K5" sqref="K5"/>
      <selection pane="bottomRight" activeCell="K5" sqref="K5"/>
    </sheetView>
  </sheetViews>
  <sheetFormatPr defaultRowHeight="15"/>
  <cols>
    <col min="1" max="1" width="20.7109375" style="6" customWidth="1"/>
    <col min="2" max="11" width="13.5703125" style="6" bestFit="1" customWidth="1"/>
    <col min="12" max="16384" width="9.140625" style="6"/>
  </cols>
  <sheetData>
    <row r="1" spans="1:11" s="8" customFormat="1">
      <c r="A1" s="8" t="str">
        <f>'Profit &amp; Loss'!A1</f>
        <v>HATSUN AGRO PRODUCT LTD</v>
      </c>
      <c r="E1" t="str">
        <f>UPDATE</f>
        <v/>
      </c>
      <c r="J1" s="4" t="s">
        <v>1</v>
      </c>
      <c r="K1" s="4"/>
    </row>
    <row r="3" spans="1:11" s="2" customFormat="1">
      <c r="A3" s="15" t="s">
        <v>2</v>
      </c>
      <c r="B3" s="16">
        <f>'Data Sheet'!B41</f>
        <v>42460</v>
      </c>
      <c r="C3" s="16">
        <f>'Data Sheet'!C41</f>
        <v>42551</v>
      </c>
      <c r="D3" s="16">
        <f>'Data Sheet'!D41</f>
        <v>42643</v>
      </c>
      <c r="E3" s="16">
        <f>'Data Sheet'!E41</f>
        <v>42735</v>
      </c>
      <c r="F3" s="16">
        <f>'Data Sheet'!F41</f>
        <v>42825</v>
      </c>
      <c r="G3" s="16">
        <f>'Data Sheet'!G41</f>
        <v>42916</v>
      </c>
      <c r="H3" s="16">
        <f>'Data Sheet'!H41</f>
        <v>43008</v>
      </c>
      <c r="I3" s="16">
        <f>'Data Sheet'!I41</f>
        <v>43100</v>
      </c>
      <c r="J3" s="16">
        <f>'Data Sheet'!J41</f>
        <v>43190</v>
      </c>
      <c r="K3" s="16">
        <f>'Data Sheet'!K41</f>
        <v>43281</v>
      </c>
    </row>
    <row r="4" spans="1:11" s="8" customFormat="1">
      <c r="A4" s="8" t="s">
        <v>6</v>
      </c>
      <c r="B4" s="1">
        <f>'Data Sheet'!B42</f>
        <v>893.54</v>
      </c>
      <c r="C4" s="1">
        <f>'Data Sheet'!C42</f>
        <v>1034.28</v>
      </c>
      <c r="D4" s="1">
        <f>'Data Sheet'!D42</f>
        <v>1000.32</v>
      </c>
      <c r="E4" s="1">
        <f>'Data Sheet'!E42</f>
        <v>946.37</v>
      </c>
      <c r="F4" s="1">
        <f>'Data Sheet'!F42</f>
        <v>1216.97</v>
      </c>
      <c r="G4" s="1">
        <f>'Data Sheet'!G42</f>
        <v>1168.74</v>
      </c>
      <c r="H4" s="1">
        <f>'Data Sheet'!H42</f>
        <v>1060.3900000000001</v>
      </c>
      <c r="I4" s="1">
        <f>'Data Sheet'!I42</f>
        <v>1012.94</v>
      </c>
      <c r="J4" s="1">
        <f>'Data Sheet'!J42</f>
        <v>1051.58</v>
      </c>
      <c r="K4" s="1">
        <f>'Data Sheet'!K42</f>
        <v>1235.68</v>
      </c>
    </row>
    <row r="5" spans="1:11">
      <c r="A5" s="6" t="s">
        <v>7</v>
      </c>
      <c r="B5" s="9">
        <f>'Data Sheet'!B43</f>
        <v>822.13</v>
      </c>
      <c r="C5" s="9">
        <f>'Data Sheet'!C43</f>
        <v>950.6</v>
      </c>
      <c r="D5" s="9">
        <f>'Data Sheet'!D43</f>
        <v>909.92</v>
      </c>
      <c r="E5" s="9">
        <f>'Data Sheet'!E43</f>
        <v>852.82</v>
      </c>
      <c r="F5" s="9">
        <f>'Data Sheet'!F43</f>
        <v>1119.3499999999999</v>
      </c>
      <c r="G5" s="9">
        <f>'Data Sheet'!G43</f>
        <v>1065.4100000000001</v>
      </c>
      <c r="H5" s="9">
        <f>'Data Sheet'!H43</f>
        <v>955.17</v>
      </c>
      <c r="I5" s="9">
        <f>'Data Sheet'!I43</f>
        <v>925.98</v>
      </c>
      <c r="J5" s="9">
        <f>'Data Sheet'!J43</f>
        <v>975.96</v>
      </c>
      <c r="K5" s="9">
        <f>'Data Sheet'!K43</f>
        <v>1112.82</v>
      </c>
    </row>
    <row r="6" spans="1:11" s="8" customFormat="1">
      <c r="A6" s="8" t="s">
        <v>8</v>
      </c>
      <c r="B6" s="1">
        <f>'Data Sheet'!B50</f>
        <v>71.41</v>
      </c>
      <c r="C6" s="1">
        <f>'Data Sheet'!C50</f>
        <v>83.68</v>
      </c>
      <c r="D6" s="1">
        <f>'Data Sheet'!D50</f>
        <v>90.4</v>
      </c>
      <c r="E6" s="1">
        <f>'Data Sheet'!E50</f>
        <v>93.55</v>
      </c>
      <c r="F6" s="1">
        <f>'Data Sheet'!F50</f>
        <v>97.62</v>
      </c>
      <c r="G6" s="1">
        <f>'Data Sheet'!G50</f>
        <v>103.33</v>
      </c>
      <c r="H6" s="1">
        <f>'Data Sheet'!H50</f>
        <v>105.22</v>
      </c>
      <c r="I6" s="1">
        <f>'Data Sheet'!I50</f>
        <v>86.96</v>
      </c>
      <c r="J6" s="1">
        <f>'Data Sheet'!J50</f>
        <v>75.62</v>
      </c>
      <c r="K6" s="1">
        <f>'Data Sheet'!K50</f>
        <v>122.86</v>
      </c>
    </row>
    <row r="7" spans="1:11">
      <c r="A7" s="6" t="s">
        <v>9</v>
      </c>
      <c r="B7" s="9">
        <f>'Data Sheet'!B44</f>
        <v>2.75</v>
      </c>
      <c r="C7" s="9">
        <f>'Data Sheet'!C44</f>
        <v>0.68</v>
      </c>
      <c r="D7" s="9">
        <f>'Data Sheet'!D44</f>
        <v>1.46</v>
      </c>
      <c r="E7" s="9">
        <f>'Data Sheet'!E44</f>
        <v>0.91</v>
      </c>
      <c r="F7" s="9">
        <f>'Data Sheet'!F44</f>
        <v>4.1100000000000003</v>
      </c>
      <c r="G7" s="9">
        <f>'Data Sheet'!G44</f>
        <v>2.46</v>
      </c>
      <c r="H7" s="9">
        <f>'Data Sheet'!H44</f>
        <v>2.81</v>
      </c>
      <c r="I7" s="9">
        <f>'Data Sheet'!I44</f>
        <v>1.19</v>
      </c>
      <c r="J7" s="9">
        <f>'Data Sheet'!J44</f>
        <v>2.13</v>
      </c>
      <c r="K7" s="9">
        <f>'Data Sheet'!K44</f>
        <v>0.7</v>
      </c>
    </row>
    <row r="8" spans="1:11">
      <c r="A8" s="6" t="s">
        <v>10</v>
      </c>
      <c r="B8" s="9">
        <f>'Data Sheet'!B45</f>
        <v>27.34</v>
      </c>
      <c r="C8" s="9">
        <f>'Data Sheet'!C45</f>
        <v>28.62</v>
      </c>
      <c r="D8" s="9">
        <f>'Data Sheet'!D45</f>
        <v>29.72</v>
      </c>
      <c r="E8" s="9">
        <f>'Data Sheet'!E45</f>
        <v>34.36</v>
      </c>
      <c r="F8" s="9">
        <f>'Data Sheet'!F45</f>
        <v>41.71</v>
      </c>
      <c r="G8" s="9">
        <f>'Data Sheet'!G45</f>
        <v>40.47</v>
      </c>
      <c r="H8" s="9">
        <f>'Data Sheet'!H45</f>
        <v>40.61</v>
      </c>
      <c r="I8" s="9">
        <f>'Data Sheet'!I45</f>
        <v>47.29</v>
      </c>
      <c r="J8" s="9">
        <f>'Data Sheet'!J45</f>
        <v>44.58</v>
      </c>
      <c r="K8" s="9">
        <f>'Data Sheet'!K45</f>
        <v>48.4</v>
      </c>
    </row>
    <row r="9" spans="1:11">
      <c r="A9" s="6" t="s">
        <v>11</v>
      </c>
      <c r="B9" s="9">
        <f>'Data Sheet'!B46</f>
        <v>16.95</v>
      </c>
      <c r="C9" s="9">
        <f>'Data Sheet'!C46</f>
        <v>15.55</v>
      </c>
      <c r="D9" s="9">
        <f>'Data Sheet'!D46</f>
        <v>15.7</v>
      </c>
      <c r="E9" s="9">
        <f>'Data Sheet'!E46</f>
        <v>17.11</v>
      </c>
      <c r="F9" s="9">
        <f>'Data Sheet'!F46</f>
        <v>21.81</v>
      </c>
      <c r="G9" s="9">
        <f>'Data Sheet'!G46</f>
        <v>20.420000000000002</v>
      </c>
      <c r="H9" s="9">
        <f>'Data Sheet'!H46</f>
        <v>19.260000000000002</v>
      </c>
      <c r="I9" s="9">
        <f>'Data Sheet'!I46</f>
        <v>21.98</v>
      </c>
      <c r="J9" s="9">
        <f>'Data Sheet'!J46</f>
        <v>25.98</v>
      </c>
      <c r="K9" s="9">
        <f>'Data Sheet'!K46</f>
        <v>25.95</v>
      </c>
    </row>
    <row r="10" spans="1:11">
      <c r="A10" s="6" t="s">
        <v>12</v>
      </c>
      <c r="B10" s="9">
        <f>'Data Sheet'!B47</f>
        <v>29.88</v>
      </c>
      <c r="C10" s="9">
        <f>'Data Sheet'!C47</f>
        <v>40.200000000000003</v>
      </c>
      <c r="D10" s="9">
        <f>'Data Sheet'!D47</f>
        <v>46.45</v>
      </c>
      <c r="E10" s="9">
        <f>'Data Sheet'!E47</f>
        <v>43</v>
      </c>
      <c r="F10" s="9">
        <f>'Data Sheet'!F47</f>
        <v>38.21</v>
      </c>
      <c r="G10" s="9">
        <f>'Data Sheet'!G47</f>
        <v>44.89</v>
      </c>
      <c r="H10" s="9">
        <f>'Data Sheet'!H47</f>
        <v>48.16</v>
      </c>
      <c r="I10" s="9">
        <f>'Data Sheet'!I47</f>
        <v>18.88</v>
      </c>
      <c r="J10" s="9">
        <f>'Data Sheet'!J47</f>
        <v>7.19</v>
      </c>
      <c r="K10" s="9">
        <f>'Data Sheet'!K47</f>
        <v>49.2</v>
      </c>
    </row>
    <row r="11" spans="1:11">
      <c r="A11" s="6" t="s">
        <v>13</v>
      </c>
      <c r="B11" s="9">
        <f>'Data Sheet'!B48</f>
        <v>46.67</v>
      </c>
      <c r="C11" s="9">
        <f>'Data Sheet'!C48</f>
        <v>11.12</v>
      </c>
      <c r="D11" s="9">
        <f>'Data Sheet'!D48</f>
        <v>13.89</v>
      </c>
      <c r="E11" s="9">
        <f>'Data Sheet'!E48</f>
        <v>11.35</v>
      </c>
      <c r="F11" s="9">
        <f>'Data Sheet'!F48</f>
        <v>-1.58</v>
      </c>
      <c r="G11" s="9">
        <f>'Data Sheet'!G48</f>
        <v>9.6999999999999993</v>
      </c>
      <c r="H11" s="9">
        <f>'Data Sheet'!H48</f>
        <v>9.9499999999999993</v>
      </c>
      <c r="I11" s="9">
        <f>'Data Sheet'!I48</f>
        <v>3.91</v>
      </c>
      <c r="J11" s="9">
        <f>'Data Sheet'!J48</f>
        <v>4.71</v>
      </c>
      <c r="K11" s="9">
        <f>'Data Sheet'!K48</f>
        <v>11.35</v>
      </c>
    </row>
    <row r="12" spans="1:11" s="8" customFormat="1">
      <c r="A12" s="8" t="s">
        <v>14</v>
      </c>
      <c r="B12" s="1">
        <f>'Data Sheet'!B49</f>
        <v>-16.79</v>
      </c>
      <c r="C12" s="1">
        <f>'Data Sheet'!C49</f>
        <v>29.07</v>
      </c>
      <c r="D12" s="1">
        <f>'Data Sheet'!D49</f>
        <v>32.56</v>
      </c>
      <c r="E12" s="1">
        <f>'Data Sheet'!E49</f>
        <v>31.65</v>
      </c>
      <c r="F12" s="1">
        <f>'Data Sheet'!F49</f>
        <v>39.79</v>
      </c>
      <c r="G12" s="1">
        <f>'Data Sheet'!G49</f>
        <v>35.19</v>
      </c>
      <c r="H12" s="1">
        <f>'Data Sheet'!H49</f>
        <v>38.21</v>
      </c>
      <c r="I12" s="1">
        <f>'Data Sheet'!I49</f>
        <v>14.98</v>
      </c>
      <c r="J12" s="1">
        <f>'Data Sheet'!J49</f>
        <v>2.48</v>
      </c>
      <c r="K12" s="1">
        <f>'Data Sheet'!K49</f>
        <v>37.86</v>
      </c>
    </row>
    <row r="14" spans="1:11" s="8" customFormat="1">
      <c r="A14" s="2" t="s">
        <v>18</v>
      </c>
      <c r="B14" s="14">
        <f>IF(B4&gt;0,B6/B4,"")</f>
        <v>7.9918078653445843E-2</v>
      </c>
      <c r="C14" s="14">
        <f t="shared" ref="C14:K14" si="0">IF(C4&gt;0,C6/C4,"")</f>
        <v>8.090652434543838E-2</v>
      </c>
      <c r="D14" s="14">
        <f t="shared" si="0"/>
        <v>9.0371081253998717E-2</v>
      </c>
      <c r="E14" s="14">
        <f t="shared" si="0"/>
        <v>9.8851400614981447E-2</v>
      </c>
      <c r="F14" s="14">
        <f t="shared" si="0"/>
        <v>8.0215617476190867E-2</v>
      </c>
      <c r="G14" s="14">
        <f t="shared" si="0"/>
        <v>8.8411451648784153E-2</v>
      </c>
      <c r="H14" s="14">
        <f t="shared" si="0"/>
        <v>9.9227642659776114E-2</v>
      </c>
      <c r="I14" s="14">
        <f t="shared" si="0"/>
        <v>8.5849112484451193E-2</v>
      </c>
      <c r="J14" s="14">
        <f t="shared" si="0"/>
        <v>7.1910838928089166E-2</v>
      </c>
      <c r="K14" s="14">
        <f t="shared" si="0"/>
        <v>9.9427036125857821E-2</v>
      </c>
    </row>
    <row r="22" s="30" customFormat="1"/>
  </sheetData>
  <hyperlinks>
    <hyperlink ref="J1" r:id="rId1" xr:uid="{00000000-0004-0000-0100-000000000000}"/>
  </hyperlinks>
  <printOptions gridLines="1"/>
  <pageMargins left="0.7" right="0.7" top="0.75" bottom="0.75" header="0.3" footer="0.3"/>
  <pageSetup paperSize="9" scale="83" orientation="landscape" horizontalDpi="300" verticalDpi="300"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K24"/>
  <sheetViews>
    <sheetView workbookViewId="0">
      <pane xSplit="1" ySplit="3" topLeftCell="E4" activePane="bottomRight" state="frozen"/>
      <selection activeCell="K5" sqref="K5"/>
      <selection pane="topRight" activeCell="K5" sqref="K5"/>
      <selection pane="bottomLeft" activeCell="K5" sqref="K5"/>
      <selection pane="bottomRight" activeCell="K5" sqref="K5"/>
    </sheetView>
  </sheetViews>
  <sheetFormatPr defaultRowHeight="15"/>
  <cols>
    <col min="1" max="1" width="26.85546875" style="6" bestFit="1" customWidth="1"/>
    <col min="2" max="6" width="13.5703125" style="6" customWidth="1"/>
    <col min="7" max="11" width="13.5703125" style="6" bestFit="1" customWidth="1"/>
    <col min="12" max="16384" width="9.140625" style="6"/>
  </cols>
  <sheetData>
    <row r="1" spans="1:11" s="8" customFormat="1">
      <c r="A1" s="8" t="str">
        <f>'Balance Sheet'!A1</f>
        <v>HATSUN AGRO PRODUCT LTD</v>
      </c>
      <c r="E1" t="str">
        <f>UPDATE</f>
        <v/>
      </c>
      <c r="F1"/>
      <c r="J1" s="4" t="s">
        <v>1</v>
      </c>
      <c r="K1" s="4"/>
    </row>
    <row r="3" spans="1:11" s="2" customFormat="1">
      <c r="A3" s="15" t="s">
        <v>2</v>
      </c>
      <c r="B3" s="16">
        <f>'Data Sheet'!B81</f>
        <v>39903</v>
      </c>
      <c r="C3" s="16">
        <f>'Data Sheet'!C81</f>
        <v>40268</v>
      </c>
      <c r="D3" s="16">
        <f>'Data Sheet'!D81</f>
        <v>40633</v>
      </c>
      <c r="E3" s="16">
        <f>'Data Sheet'!E81</f>
        <v>40999</v>
      </c>
      <c r="F3" s="16">
        <f>'Data Sheet'!F81</f>
        <v>41364</v>
      </c>
      <c r="G3" s="16">
        <f>'Data Sheet'!G81</f>
        <v>41729</v>
      </c>
      <c r="H3" s="16">
        <f>'Data Sheet'!H81</f>
        <v>42094</v>
      </c>
      <c r="I3" s="16">
        <f>'Data Sheet'!I81</f>
        <v>42460</v>
      </c>
      <c r="J3" s="16">
        <f>'Data Sheet'!J81</f>
        <v>42825</v>
      </c>
      <c r="K3" s="16">
        <f>'Data Sheet'!K81</f>
        <v>43190</v>
      </c>
    </row>
    <row r="4" spans="1:11" s="8" customFormat="1">
      <c r="A4" s="8" t="s">
        <v>32</v>
      </c>
      <c r="B4" s="1">
        <f>'Data Sheet'!B82</f>
        <v>55.8</v>
      </c>
      <c r="C4" s="1">
        <f>'Data Sheet'!C82</f>
        <v>42.66</v>
      </c>
      <c r="D4" s="1">
        <f>'Data Sheet'!D82</f>
        <v>74.25</v>
      </c>
      <c r="E4" s="1">
        <f>'Data Sheet'!E82</f>
        <v>51.56</v>
      </c>
      <c r="F4" s="1">
        <f>'Data Sheet'!F82</f>
        <v>142.82</v>
      </c>
      <c r="G4" s="1">
        <f>'Data Sheet'!G82</f>
        <v>200.57</v>
      </c>
      <c r="H4" s="1">
        <f>'Data Sheet'!H82</f>
        <v>61.51</v>
      </c>
      <c r="I4" s="1">
        <f>'Data Sheet'!I82</f>
        <v>218.6</v>
      </c>
      <c r="J4" s="1">
        <f>'Data Sheet'!J82</f>
        <v>432.77</v>
      </c>
      <c r="K4" s="1">
        <f>'Data Sheet'!K82</f>
        <v>277.08</v>
      </c>
    </row>
    <row r="5" spans="1:11">
      <c r="A5" s="6" t="s">
        <v>33</v>
      </c>
      <c r="B5" s="9">
        <f>'Data Sheet'!B83</f>
        <v>-140.27000000000001</v>
      </c>
      <c r="C5" s="9">
        <f>'Data Sheet'!C83</f>
        <v>-84.55</v>
      </c>
      <c r="D5" s="9">
        <f>'Data Sheet'!D83</f>
        <v>-44.88</v>
      </c>
      <c r="E5" s="9">
        <f>'Data Sheet'!E83</f>
        <v>-47.27</v>
      </c>
      <c r="F5" s="9">
        <f>'Data Sheet'!F83</f>
        <v>-143.03</v>
      </c>
      <c r="G5" s="9">
        <f>'Data Sheet'!G83</f>
        <v>-212.36</v>
      </c>
      <c r="H5" s="9">
        <f>'Data Sheet'!H83</f>
        <v>-124.31</v>
      </c>
      <c r="I5" s="9">
        <f>'Data Sheet'!I83</f>
        <v>-134.16</v>
      </c>
      <c r="J5" s="9">
        <f>'Data Sheet'!J83</f>
        <v>-568.85</v>
      </c>
      <c r="K5" s="9">
        <f>'Data Sheet'!K83</f>
        <v>-522.86</v>
      </c>
    </row>
    <row r="6" spans="1:11">
      <c r="A6" s="6" t="s">
        <v>34</v>
      </c>
      <c r="B6" s="9">
        <f>'Data Sheet'!B84</f>
        <v>78.67</v>
      </c>
      <c r="C6" s="9">
        <f>'Data Sheet'!C84</f>
        <v>49.82</v>
      </c>
      <c r="D6" s="9">
        <f>'Data Sheet'!D84</f>
        <v>-33.69</v>
      </c>
      <c r="E6" s="9">
        <f>'Data Sheet'!E84</f>
        <v>-3.94</v>
      </c>
      <c r="F6" s="9">
        <f>'Data Sheet'!F84</f>
        <v>0.53</v>
      </c>
      <c r="G6" s="9">
        <f>'Data Sheet'!G84</f>
        <v>13.12</v>
      </c>
      <c r="H6" s="9">
        <f>'Data Sheet'!H84</f>
        <v>75.62</v>
      </c>
      <c r="I6" s="9">
        <f>'Data Sheet'!I84</f>
        <v>-78.58</v>
      </c>
      <c r="J6" s="9">
        <f>'Data Sheet'!J84</f>
        <v>162.16</v>
      </c>
      <c r="K6" s="9">
        <f>'Data Sheet'!K84</f>
        <v>222.92</v>
      </c>
    </row>
    <row r="7" spans="1:11" s="8" customFormat="1">
      <c r="A7" s="8" t="s">
        <v>35</v>
      </c>
      <c r="B7" s="1">
        <f>'Data Sheet'!B85</f>
        <v>-5.8</v>
      </c>
      <c r="C7" s="1">
        <f>'Data Sheet'!C85</f>
        <v>7.93</v>
      </c>
      <c r="D7" s="1">
        <f>'Data Sheet'!D85</f>
        <v>-4.32</v>
      </c>
      <c r="E7" s="1">
        <f>'Data Sheet'!E85</f>
        <v>0.35</v>
      </c>
      <c r="F7" s="1">
        <f>'Data Sheet'!F85</f>
        <v>0.32</v>
      </c>
      <c r="G7" s="1">
        <f>'Data Sheet'!G85</f>
        <v>1.33</v>
      </c>
      <c r="H7" s="1">
        <f>'Data Sheet'!H85</f>
        <v>12.82</v>
      </c>
      <c r="I7" s="1">
        <f>'Data Sheet'!I85</f>
        <v>5.86</v>
      </c>
      <c r="J7" s="1">
        <f>'Data Sheet'!J85</f>
        <v>26.07</v>
      </c>
      <c r="K7" s="1">
        <f>'Data Sheet'!K85</f>
        <v>-22.85</v>
      </c>
    </row>
    <row r="8" spans="1:11">
      <c r="A8" s="29"/>
      <c r="B8" s="9"/>
      <c r="C8" s="9"/>
      <c r="D8" s="9"/>
      <c r="E8" s="9"/>
      <c r="F8" s="9"/>
      <c r="G8" s="9"/>
      <c r="H8" s="9"/>
      <c r="I8" s="9"/>
      <c r="J8" s="9"/>
      <c r="K8" s="9"/>
    </row>
    <row r="24" s="29" customFormat="1"/>
  </sheetData>
  <hyperlinks>
    <hyperlink ref="J1" r:id="rId1" xr:uid="{00000000-0004-0000-0300-000000000000}"/>
  </hyperlinks>
  <printOptions gridLines="1"/>
  <pageMargins left="0.7" right="0.7" top="0.75" bottom="0.75" header="0.3" footer="0.3"/>
  <pageSetup paperSize="9" orientation="landscape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6"/>
  <sheetViews>
    <sheetView workbookViewId="0">
      <selection activeCell="K5" sqref="K5"/>
    </sheetView>
  </sheetViews>
  <sheetFormatPr defaultRowHeight="15"/>
  <cols>
    <col min="1" max="1" width="9.140625" style="8"/>
    <col min="2" max="2" width="10.5703125" style="11" customWidth="1"/>
    <col min="3" max="3" width="13.28515625" style="26" customWidth="1"/>
    <col min="4" max="5" width="9.140625" style="11"/>
    <col min="6" max="6" width="6.85546875" style="11" customWidth="1"/>
    <col min="7" max="16384" width="9.140625" style="11"/>
  </cols>
  <sheetData>
    <row r="1" spans="1:7" ht="21">
      <c r="A1" s="25" t="s">
        <v>57</v>
      </c>
    </row>
    <row r="3" spans="1:7">
      <c r="A3" s="8" t="s">
        <v>48</v>
      </c>
    </row>
    <row r="4" spans="1:7">
      <c r="B4" s="11" t="s">
        <v>91</v>
      </c>
    </row>
    <row r="5" spans="1:7">
      <c r="B5" s="11" t="s">
        <v>49</v>
      </c>
    </row>
    <row r="7" spans="1:7">
      <c r="A7" s="8" t="s">
        <v>50</v>
      </c>
    </row>
    <row r="8" spans="1:7">
      <c r="B8" s="11" t="s">
        <v>51</v>
      </c>
      <c r="C8" s="27" t="s">
        <v>92</v>
      </c>
    </row>
    <row r="10" spans="1:7">
      <c r="A10" s="8" t="s">
        <v>52</v>
      </c>
    </row>
    <row r="11" spans="1:7">
      <c r="B11" s="11" t="s">
        <v>53</v>
      </c>
    </row>
    <row r="14" spans="1:7">
      <c r="A14" s="8" t="s">
        <v>54</v>
      </c>
    </row>
    <row r="15" spans="1:7">
      <c r="B15" s="11" t="s">
        <v>55</v>
      </c>
    </row>
    <row r="16" spans="1:7">
      <c r="B16" s="11" t="s">
        <v>56</v>
      </c>
      <c r="G16" s="28" t="s">
        <v>93</v>
      </c>
    </row>
  </sheetData>
  <hyperlinks>
    <hyperlink ref="C8" r:id="rId1" display=" http://www.screener.in/excel" xr:uid="{00000000-0004-0000-04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93"/>
  <sheetViews>
    <sheetView workbookViewId="0">
      <pane xSplit="1" ySplit="1" topLeftCell="B51" activePane="bottomRight" state="frozen"/>
      <selection activeCell="K5" sqref="K5"/>
      <selection pane="topRight" activeCell="K5" sqref="K5"/>
      <selection pane="bottomLeft" activeCell="K5" sqref="K5"/>
      <selection pane="bottomRight" activeCell="K5" sqref="K5"/>
    </sheetView>
  </sheetViews>
  <sheetFormatPr defaultRowHeight="15"/>
  <cols>
    <col min="1" max="1" width="27.7109375" style="5" bestFit="1" customWidth="1"/>
    <col min="2" max="11" width="13.5703125" style="5" bestFit="1" customWidth="1"/>
    <col min="12" max="16384" width="9.140625" style="5"/>
  </cols>
  <sheetData>
    <row r="1" spans="1:11" s="1" customFormat="1">
      <c r="A1" s="1" t="s">
        <v>0</v>
      </c>
      <c r="B1" s="1" t="s">
        <v>64</v>
      </c>
      <c r="E1" s="32" t="str">
        <f>IF(B2&lt;&gt;B3, "A NEW VERSION OF THE WORKSHEET IS AVAILABLE", "")</f>
        <v/>
      </c>
      <c r="F1" s="32"/>
      <c r="G1" s="32"/>
      <c r="H1" s="32"/>
      <c r="I1" s="32"/>
      <c r="J1" s="32"/>
      <c r="K1" s="32"/>
    </row>
    <row r="2" spans="1:11">
      <c r="A2" s="1" t="s">
        <v>62</v>
      </c>
      <c r="B2" s="5">
        <v>2.1</v>
      </c>
      <c r="E2" s="33" t="s">
        <v>36</v>
      </c>
      <c r="F2" s="33"/>
      <c r="G2" s="33"/>
      <c r="H2" s="33"/>
      <c r="I2" s="33"/>
      <c r="J2" s="33"/>
      <c r="K2" s="33"/>
    </row>
    <row r="3" spans="1:11">
      <c r="A3" s="1" t="s">
        <v>63</v>
      </c>
      <c r="B3" s="5">
        <v>2.1</v>
      </c>
    </row>
    <row r="4" spans="1:11">
      <c r="A4" s="1"/>
    </row>
    <row r="5" spans="1:11">
      <c r="A5" s="1" t="s">
        <v>65</v>
      </c>
    </row>
    <row r="6" spans="1:11">
      <c r="A6" s="5" t="s">
        <v>42</v>
      </c>
      <c r="B6" s="5">
        <f>IF(B9&gt;0, B9/B8, 0)</f>
        <v>16.167889291952172</v>
      </c>
    </row>
    <row r="7" spans="1:11">
      <c r="A7" s="5" t="s">
        <v>31</v>
      </c>
      <c r="B7">
        <v>1</v>
      </c>
    </row>
    <row r="8" spans="1:11">
      <c r="A8" s="5" t="s">
        <v>43</v>
      </c>
      <c r="B8">
        <v>744.3</v>
      </c>
    </row>
    <row r="9" spans="1:11">
      <c r="A9" s="5" t="s">
        <v>80</v>
      </c>
      <c r="B9">
        <v>12033.76</v>
      </c>
    </row>
    <row r="15" spans="1:11">
      <c r="A15" s="1" t="s">
        <v>37</v>
      </c>
    </row>
    <row r="16" spans="1:11" s="24" customFormat="1">
      <c r="A16" s="23" t="s">
        <v>38</v>
      </c>
      <c r="B16" s="16">
        <v>39903</v>
      </c>
      <c r="C16" s="16">
        <v>40268</v>
      </c>
      <c r="D16" s="16">
        <v>40633</v>
      </c>
      <c r="E16" s="16">
        <v>40999</v>
      </c>
      <c r="F16" s="16">
        <v>41364</v>
      </c>
      <c r="G16" s="16">
        <v>41729</v>
      </c>
      <c r="H16" s="16">
        <v>42094</v>
      </c>
      <c r="I16" s="16">
        <v>42460</v>
      </c>
      <c r="J16" s="16">
        <v>42825</v>
      </c>
      <c r="K16" s="16">
        <v>43190</v>
      </c>
    </row>
    <row r="17" spans="1:11" s="9" customFormat="1">
      <c r="A17" s="9" t="s">
        <v>6</v>
      </c>
      <c r="B17">
        <v>1013.05</v>
      </c>
      <c r="C17">
        <v>1140.5999999999999</v>
      </c>
      <c r="D17">
        <v>1355.73</v>
      </c>
      <c r="E17">
        <v>1603.54</v>
      </c>
      <c r="F17">
        <v>2165.02</v>
      </c>
      <c r="G17">
        <v>2493.54</v>
      </c>
      <c r="H17">
        <v>2933.08</v>
      </c>
      <c r="I17">
        <v>3444.69</v>
      </c>
      <c r="J17">
        <v>4197.59</v>
      </c>
      <c r="K17">
        <v>4287.37</v>
      </c>
    </row>
    <row r="18" spans="1:11" s="9" customFormat="1">
      <c r="A18" s="5" t="s">
        <v>81</v>
      </c>
      <c r="B18">
        <v>737.17</v>
      </c>
      <c r="C18">
        <v>885.19</v>
      </c>
      <c r="D18">
        <v>1014.75</v>
      </c>
      <c r="E18">
        <v>1261.1199999999999</v>
      </c>
      <c r="F18">
        <v>1625.66</v>
      </c>
      <c r="G18">
        <v>1810.65</v>
      </c>
      <c r="H18">
        <v>2341.69</v>
      </c>
      <c r="I18">
        <v>2530.7600000000002</v>
      </c>
      <c r="J18">
        <v>2997.34</v>
      </c>
      <c r="K18">
        <v>3184.94</v>
      </c>
    </row>
    <row r="19" spans="1:11" s="9" customFormat="1">
      <c r="A19" s="5" t="s">
        <v>82</v>
      </c>
      <c r="B19">
        <v>-14.44</v>
      </c>
      <c r="C19">
        <v>16.64</v>
      </c>
      <c r="D19">
        <v>-1.93</v>
      </c>
      <c r="E19">
        <v>55.1</v>
      </c>
      <c r="F19">
        <v>-9.74</v>
      </c>
      <c r="G19">
        <v>-38.979999999999997</v>
      </c>
      <c r="H19">
        <v>157.49</v>
      </c>
      <c r="I19">
        <v>41.86</v>
      </c>
      <c r="J19">
        <v>-51.64</v>
      </c>
      <c r="K19">
        <v>101.19</v>
      </c>
    </row>
    <row r="20" spans="1:11" s="9" customFormat="1">
      <c r="A20" s="5" t="s">
        <v>83</v>
      </c>
      <c r="B20">
        <v>38.72</v>
      </c>
      <c r="C20">
        <v>34.49</v>
      </c>
      <c r="D20">
        <v>41.64</v>
      </c>
      <c r="E20">
        <v>45.29</v>
      </c>
      <c r="F20">
        <v>73.66</v>
      </c>
      <c r="G20">
        <v>64.53</v>
      </c>
      <c r="H20">
        <v>75.33</v>
      </c>
      <c r="I20">
        <v>90.19</v>
      </c>
      <c r="J20">
        <v>101.83</v>
      </c>
      <c r="K20">
        <v>84.67</v>
      </c>
    </row>
    <row r="21" spans="1:11" s="9" customFormat="1">
      <c r="A21" s="5" t="s">
        <v>84</v>
      </c>
      <c r="B21">
        <v>19.760000000000002</v>
      </c>
      <c r="C21">
        <v>17.96</v>
      </c>
      <c r="D21">
        <v>19.05</v>
      </c>
      <c r="E21">
        <v>26.14</v>
      </c>
      <c r="F21">
        <v>39.25</v>
      </c>
      <c r="G21">
        <v>62.46</v>
      </c>
      <c r="H21">
        <v>80.91</v>
      </c>
      <c r="I21">
        <v>89.71</v>
      </c>
      <c r="J21">
        <v>70.849999999999994</v>
      </c>
      <c r="K21">
        <v>53.68</v>
      </c>
    </row>
    <row r="22" spans="1:11" s="9" customFormat="1">
      <c r="A22" s="5" t="s">
        <v>85</v>
      </c>
      <c r="B22">
        <v>29.49</v>
      </c>
      <c r="C22">
        <v>36.340000000000003</v>
      </c>
      <c r="D22">
        <v>45.9</v>
      </c>
      <c r="E22">
        <v>52.38</v>
      </c>
      <c r="F22">
        <v>62.11</v>
      </c>
      <c r="G22">
        <v>75.959999999999994</v>
      </c>
      <c r="H22">
        <v>93.13</v>
      </c>
      <c r="I22">
        <v>110.23</v>
      </c>
      <c r="J22">
        <v>126.97</v>
      </c>
      <c r="K22">
        <v>146.66999999999999</v>
      </c>
    </row>
    <row r="23" spans="1:11" s="9" customFormat="1">
      <c r="A23" s="5" t="s">
        <v>86</v>
      </c>
      <c r="B23">
        <v>91.71</v>
      </c>
      <c r="C23">
        <v>107.35</v>
      </c>
      <c r="D23">
        <v>129.19</v>
      </c>
      <c r="E23">
        <v>155.27000000000001</v>
      </c>
      <c r="F23">
        <v>194.63</v>
      </c>
      <c r="G23">
        <v>241.7</v>
      </c>
      <c r="H23">
        <v>298.56</v>
      </c>
      <c r="I23">
        <v>358.25</v>
      </c>
      <c r="J23">
        <v>461.47</v>
      </c>
      <c r="K23">
        <v>534.94000000000005</v>
      </c>
    </row>
    <row r="24" spans="1:11" s="9" customFormat="1">
      <c r="A24" s="5" t="s">
        <v>87</v>
      </c>
      <c r="B24">
        <v>20.66</v>
      </c>
      <c r="C24">
        <v>12.66</v>
      </c>
      <c r="D24">
        <v>8.6999999999999993</v>
      </c>
      <c r="E24">
        <v>9.32</v>
      </c>
      <c r="F24">
        <v>12.19</v>
      </c>
      <c r="G24">
        <v>21.51</v>
      </c>
      <c r="H24">
        <v>2.64</v>
      </c>
      <c r="I24">
        <v>2.72</v>
      </c>
      <c r="J24">
        <v>9.4700000000000006</v>
      </c>
      <c r="K24">
        <v>12</v>
      </c>
    </row>
    <row r="25" spans="1:11" s="9" customFormat="1">
      <c r="A25" s="9" t="s">
        <v>9</v>
      </c>
      <c r="B25">
        <v>1.82</v>
      </c>
      <c r="C25">
        <v>2.93</v>
      </c>
      <c r="D25">
        <v>1.51</v>
      </c>
      <c r="E25">
        <v>3.34</v>
      </c>
      <c r="F25">
        <v>3.75</v>
      </c>
      <c r="G25">
        <v>9.33</v>
      </c>
      <c r="H25">
        <v>6.44</v>
      </c>
      <c r="I25">
        <v>4.6399999999999997</v>
      </c>
      <c r="J25">
        <v>6.79</v>
      </c>
      <c r="K25">
        <v>8.32</v>
      </c>
    </row>
    <row r="26" spans="1:11" s="9" customFormat="1">
      <c r="A26" s="9" t="s">
        <v>10</v>
      </c>
      <c r="B26">
        <v>21.68</v>
      </c>
      <c r="C26">
        <v>26.81</v>
      </c>
      <c r="D26">
        <v>37.06</v>
      </c>
      <c r="E26">
        <v>41.84</v>
      </c>
      <c r="F26">
        <v>50.32</v>
      </c>
      <c r="G26">
        <v>64.97</v>
      </c>
      <c r="H26">
        <v>94.03</v>
      </c>
      <c r="I26">
        <v>107.09</v>
      </c>
      <c r="J26">
        <v>142.87</v>
      </c>
      <c r="K26">
        <v>173.64</v>
      </c>
    </row>
    <row r="27" spans="1:11" s="9" customFormat="1">
      <c r="A27" s="9" t="s">
        <v>11</v>
      </c>
      <c r="B27">
        <v>21.32</v>
      </c>
      <c r="C27">
        <v>27.83</v>
      </c>
      <c r="D27">
        <v>35.86</v>
      </c>
      <c r="E27">
        <v>38.450000000000003</v>
      </c>
      <c r="F27">
        <v>44.43</v>
      </c>
      <c r="G27">
        <v>40.68</v>
      </c>
      <c r="H27">
        <v>63.36</v>
      </c>
      <c r="I27">
        <v>68.25</v>
      </c>
      <c r="J27">
        <v>70.2</v>
      </c>
      <c r="K27">
        <v>87.64</v>
      </c>
    </row>
    <row r="28" spans="1:11" s="9" customFormat="1">
      <c r="A28" s="9" t="s">
        <v>12</v>
      </c>
      <c r="B28">
        <v>19.920000000000002</v>
      </c>
      <c r="C28">
        <v>11.54</v>
      </c>
      <c r="D28">
        <v>23.16</v>
      </c>
      <c r="E28">
        <v>32.17</v>
      </c>
      <c r="F28">
        <v>56.79</v>
      </c>
      <c r="G28">
        <v>81.45</v>
      </c>
      <c r="H28">
        <v>47.36</v>
      </c>
      <c r="I28">
        <v>133.97</v>
      </c>
      <c r="J28">
        <v>171.73</v>
      </c>
      <c r="K28">
        <v>118.68</v>
      </c>
    </row>
    <row r="29" spans="1:11" s="9" customFormat="1">
      <c r="A29" s="9" t="s">
        <v>13</v>
      </c>
      <c r="B29">
        <v>7.95</v>
      </c>
      <c r="C29">
        <v>8.85</v>
      </c>
      <c r="D29">
        <v>4.41</v>
      </c>
      <c r="E29">
        <v>5.57</v>
      </c>
      <c r="F29">
        <v>12.12</v>
      </c>
      <c r="G29">
        <v>-0.24</v>
      </c>
      <c r="H29">
        <v>8.1999999999999993</v>
      </c>
      <c r="I29">
        <v>73.48</v>
      </c>
      <c r="J29">
        <v>36.340000000000003</v>
      </c>
      <c r="K29">
        <v>27.84</v>
      </c>
    </row>
    <row r="30" spans="1:11" s="9" customFormat="1">
      <c r="A30" s="9" t="s">
        <v>14</v>
      </c>
      <c r="B30">
        <v>11.97</v>
      </c>
      <c r="C30">
        <v>2.69</v>
      </c>
      <c r="D30">
        <v>18.75</v>
      </c>
      <c r="E30">
        <v>26.6</v>
      </c>
      <c r="F30">
        <v>44.67</v>
      </c>
      <c r="G30">
        <v>81.69</v>
      </c>
      <c r="H30">
        <v>39.159999999999997</v>
      </c>
      <c r="I30">
        <v>60.5</v>
      </c>
      <c r="J30">
        <v>135.38999999999999</v>
      </c>
      <c r="K30">
        <v>90.84</v>
      </c>
    </row>
    <row r="31" spans="1:11" s="9" customFormat="1">
      <c r="A31" s="9" t="s">
        <v>71</v>
      </c>
      <c r="B31">
        <v>2.04</v>
      </c>
      <c r="C31">
        <v>1.02</v>
      </c>
      <c r="D31">
        <v>3.96</v>
      </c>
      <c r="E31">
        <v>14.02</v>
      </c>
      <c r="F31">
        <v>18.329999999999998</v>
      </c>
      <c r="G31">
        <v>26.96</v>
      </c>
      <c r="H31">
        <v>19.59</v>
      </c>
      <c r="I31">
        <v>43.53</v>
      </c>
      <c r="J31">
        <v>60.92</v>
      </c>
      <c r="K31">
        <v>60.92</v>
      </c>
    </row>
    <row r="32" spans="1:11" s="9" customFormat="1"/>
    <row r="33" spans="1:11">
      <c r="A33" s="9"/>
    </row>
    <row r="34" spans="1:11">
      <c r="A34" s="9"/>
    </row>
    <row r="35" spans="1:11">
      <c r="A35" s="9"/>
    </row>
    <row r="36" spans="1:11">
      <c r="A36" s="9"/>
    </row>
    <row r="37" spans="1:11">
      <c r="A37" s="9"/>
    </row>
    <row r="38" spans="1:11">
      <c r="A38" s="9"/>
    </row>
    <row r="39" spans="1:11">
      <c r="A39" s="9"/>
    </row>
    <row r="40" spans="1:11">
      <c r="A40" s="1" t="s">
        <v>39</v>
      </c>
    </row>
    <row r="41" spans="1:11" s="24" customFormat="1">
      <c r="A41" s="23" t="s">
        <v>38</v>
      </c>
      <c r="B41" s="16">
        <v>42460</v>
      </c>
      <c r="C41" s="16">
        <v>42551</v>
      </c>
      <c r="D41" s="16">
        <v>42643</v>
      </c>
      <c r="E41" s="16">
        <v>42735</v>
      </c>
      <c r="F41" s="16">
        <v>42825</v>
      </c>
      <c r="G41" s="16">
        <v>42916</v>
      </c>
      <c r="H41" s="16">
        <v>43008</v>
      </c>
      <c r="I41" s="16">
        <v>43100</v>
      </c>
      <c r="J41" s="16">
        <v>43190</v>
      </c>
      <c r="K41" s="16">
        <v>43281</v>
      </c>
    </row>
    <row r="42" spans="1:11" s="9" customFormat="1">
      <c r="A42" s="9" t="s">
        <v>6</v>
      </c>
      <c r="B42">
        <v>893.54</v>
      </c>
      <c r="C42">
        <v>1034.28</v>
      </c>
      <c r="D42">
        <v>1000.32</v>
      </c>
      <c r="E42">
        <v>946.37</v>
      </c>
      <c r="F42">
        <v>1216.97</v>
      </c>
      <c r="G42">
        <v>1168.74</v>
      </c>
      <c r="H42">
        <v>1060.3900000000001</v>
      </c>
      <c r="I42">
        <v>1012.94</v>
      </c>
      <c r="J42">
        <v>1051.58</v>
      </c>
      <c r="K42">
        <v>1235.68</v>
      </c>
    </row>
    <row r="43" spans="1:11" s="9" customFormat="1">
      <c r="A43" s="9" t="s">
        <v>7</v>
      </c>
      <c r="B43">
        <v>822.13</v>
      </c>
      <c r="C43">
        <v>950.6</v>
      </c>
      <c r="D43">
        <v>909.92</v>
      </c>
      <c r="E43">
        <v>852.82</v>
      </c>
      <c r="F43">
        <v>1119.3499999999999</v>
      </c>
      <c r="G43">
        <v>1065.4100000000001</v>
      </c>
      <c r="H43">
        <v>955.17</v>
      </c>
      <c r="I43">
        <v>925.98</v>
      </c>
      <c r="J43">
        <v>975.96</v>
      </c>
      <c r="K43">
        <v>1112.82</v>
      </c>
    </row>
    <row r="44" spans="1:11" s="9" customFormat="1">
      <c r="A44" s="9" t="s">
        <v>9</v>
      </c>
      <c r="B44">
        <v>2.75</v>
      </c>
      <c r="C44">
        <v>0.68</v>
      </c>
      <c r="D44">
        <v>1.46</v>
      </c>
      <c r="E44">
        <v>0.91</v>
      </c>
      <c r="F44">
        <v>4.1100000000000003</v>
      </c>
      <c r="G44">
        <v>2.46</v>
      </c>
      <c r="H44">
        <v>2.81</v>
      </c>
      <c r="I44">
        <v>1.19</v>
      </c>
      <c r="J44">
        <v>2.13</v>
      </c>
      <c r="K44">
        <v>0.7</v>
      </c>
    </row>
    <row r="45" spans="1:11" s="9" customFormat="1">
      <c r="A45" s="9" t="s">
        <v>10</v>
      </c>
      <c r="B45">
        <v>27.34</v>
      </c>
      <c r="C45">
        <v>28.62</v>
      </c>
      <c r="D45">
        <v>29.72</v>
      </c>
      <c r="E45">
        <v>34.36</v>
      </c>
      <c r="F45">
        <v>41.71</v>
      </c>
      <c r="G45">
        <v>40.47</v>
      </c>
      <c r="H45">
        <v>40.61</v>
      </c>
      <c r="I45">
        <v>47.29</v>
      </c>
      <c r="J45">
        <v>44.58</v>
      </c>
      <c r="K45">
        <v>48.4</v>
      </c>
    </row>
    <row r="46" spans="1:11" s="9" customFormat="1">
      <c r="A46" s="9" t="s">
        <v>11</v>
      </c>
      <c r="B46">
        <v>16.95</v>
      </c>
      <c r="C46">
        <v>15.55</v>
      </c>
      <c r="D46">
        <v>15.7</v>
      </c>
      <c r="E46">
        <v>17.11</v>
      </c>
      <c r="F46">
        <v>21.81</v>
      </c>
      <c r="G46">
        <v>20.420000000000002</v>
      </c>
      <c r="H46">
        <v>19.260000000000002</v>
      </c>
      <c r="I46">
        <v>21.98</v>
      </c>
      <c r="J46">
        <v>25.98</v>
      </c>
      <c r="K46">
        <v>25.95</v>
      </c>
    </row>
    <row r="47" spans="1:11" s="9" customFormat="1">
      <c r="A47" s="9" t="s">
        <v>12</v>
      </c>
      <c r="B47">
        <v>29.88</v>
      </c>
      <c r="C47">
        <v>40.200000000000003</v>
      </c>
      <c r="D47">
        <v>46.45</v>
      </c>
      <c r="E47">
        <v>43</v>
      </c>
      <c r="F47">
        <v>38.21</v>
      </c>
      <c r="G47">
        <v>44.89</v>
      </c>
      <c r="H47">
        <v>48.16</v>
      </c>
      <c r="I47">
        <v>18.88</v>
      </c>
      <c r="J47">
        <v>7.19</v>
      </c>
      <c r="K47">
        <v>49.2</v>
      </c>
    </row>
    <row r="48" spans="1:11" s="9" customFormat="1">
      <c r="A48" s="9" t="s">
        <v>13</v>
      </c>
      <c r="B48">
        <v>46.67</v>
      </c>
      <c r="C48">
        <v>11.12</v>
      </c>
      <c r="D48">
        <v>13.89</v>
      </c>
      <c r="E48">
        <v>11.35</v>
      </c>
      <c r="F48">
        <v>-1.58</v>
      </c>
      <c r="G48">
        <v>9.6999999999999993</v>
      </c>
      <c r="H48">
        <v>9.9499999999999993</v>
      </c>
      <c r="I48">
        <v>3.91</v>
      </c>
      <c r="J48">
        <v>4.71</v>
      </c>
      <c r="K48">
        <v>11.35</v>
      </c>
    </row>
    <row r="49" spans="1:11" s="9" customFormat="1">
      <c r="A49" s="9" t="s">
        <v>14</v>
      </c>
      <c r="B49">
        <v>-16.79</v>
      </c>
      <c r="C49">
        <v>29.07</v>
      </c>
      <c r="D49">
        <v>32.56</v>
      </c>
      <c r="E49">
        <v>31.65</v>
      </c>
      <c r="F49">
        <v>39.79</v>
      </c>
      <c r="G49">
        <v>35.19</v>
      </c>
      <c r="H49">
        <v>38.21</v>
      </c>
      <c r="I49">
        <v>14.98</v>
      </c>
      <c r="J49">
        <v>2.48</v>
      </c>
      <c r="K49">
        <v>37.86</v>
      </c>
    </row>
    <row r="50" spans="1:11">
      <c r="A50" s="9" t="s">
        <v>8</v>
      </c>
      <c r="B50">
        <v>71.41</v>
      </c>
      <c r="C50">
        <v>83.68</v>
      </c>
      <c r="D50">
        <v>90.4</v>
      </c>
      <c r="E50">
        <v>93.55</v>
      </c>
      <c r="F50">
        <v>97.62</v>
      </c>
      <c r="G50">
        <v>103.33</v>
      </c>
      <c r="H50">
        <v>105.22</v>
      </c>
      <c r="I50">
        <v>86.96</v>
      </c>
      <c r="J50">
        <v>75.62</v>
      </c>
      <c r="K50">
        <v>122.86</v>
      </c>
    </row>
    <row r="51" spans="1:11">
      <c r="A51" s="9"/>
    </row>
    <row r="52" spans="1:11">
      <c r="A52" s="9"/>
    </row>
    <row r="53" spans="1:11">
      <c r="A53" s="9"/>
    </row>
    <row r="54" spans="1:11">
      <c r="A54" s="9"/>
    </row>
    <row r="55" spans="1:11">
      <c r="A55" s="1" t="s">
        <v>40</v>
      </c>
    </row>
    <row r="56" spans="1:11" s="24" customFormat="1">
      <c r="A56" s="23" t="s">
        <v>38</v>
      </c>
      <c r="B56" s="16">
        <v>39903</v>
      </c>
      <c r="C56" s="16">
        <v>40268</v>
      </c>
      <c r="D56" s="16">
        <v>40633</v>
      </c>
      <c r="E56" s="16">
        <v>40999</v>
      </c>
      <c r="F56" s="16">
        <v>41364</v>
      </c>
      <c r="G56" s="16">
        <v>41729</v>
      </c>
      <c r="H56" s="16">
        <v>42094</v>
      </c>
      <c r="I56" s="16">
        <v>42460</v>
      </c>
      <c r="J56" s="16">
        <v>42825</v>
      </c>
      <c r="K56" s="16">
        <v>43190</v>
      </c>
    </row>
    <row r="57" spans="1:11">
      <c r="A57" s="9" t="s">
        <v>24</v>
      </c>
      <c r="B57">
        <v>6.79</v>
      </c>
      <c r="C57">
        <v>6.79</v>
      </c>
      <c r="D57">
        <v>7.18</v>
      </c>
      <c r="E57">
        <v>10.77</v>
      </c>
      <c r="F57">
        <v>10.77</v>
      </c>
      <c r="G57">
        <v>10.77</v>
      </c>
      <c r="H57">
        <v>10.87</v>
      </c>
      <c r="I57">
        <v>10.87</v>
      </c>
      <c r="J57">
        <v>15.22</v>
      </c>
      <c r="K57">
        <v>15.22</v>
      </c>
    </row>
    <row r="58" spans="1:11">
      <c r="A58" s="9" t="s">
        <v>25</v>
      </c>
      <c r="B58">
        <v>45.4</v>
      </c>
      <c r="C58">
        <v>46.73</v>
      </c>
      <c r="D58">
        <v>85.61</v>
      </c>
      <c r="E58">
        <v>96.94</v>
      </c>
      <c r="F58">
        <v>118.79</v>
      </c>
      <c r="G58">
        <v>168.62</v>
      </c>
      <c r="H58">
        <v>210.59</v>
      </c>
      <c r="I58">
        <v>219.79</v>
      </c>
      <c r="J58">
        <v>333.39</v>
      </c>
      <c r="K58">
        <v>350.31</v>
      </c>
    </row>
    <row r="59" spans="1:11">
      <c r="A59" s="9" t="s">
        <v>72</v>
      </c>
      <c r="B59">
        <v>229.67</v>
      </c>
      <c r="C59">
        <v>314.48</v>
      </c>
      <c r="D59">
        <v>296.94</v>
      </c>
      <c r="E59">
        <v>340.53</v>
      </c>
      <c r="F59">
        <v>402.42</v>
      </c>
      <c r="G59">
        <v>493.54</v>
      </c>
      <c r="H59">
        <v>613.70000000000005</v>
      </c>
      <c r="I59">
        <v>671.51</v>
      </c>
      <c r="J59">
        <v>919.29</v>
      </c>
      <c r="K59">
        <v>1298.96</v>
      </c>
    </row>
    <row r="60" spans="1:11">
      <c r="A60" s="9" t="s">
        <v>73</v>
      </c>
      <c r="B60">
        <v>78.2</v>
      </c>
      <c r="C60">
        <v>98.65</v>
      </c>
      <c r="D60">
        <v>96.51</v>
      </c>
      <c r="E60">
        <v>120.67</v>
      </c>
      <c r="F60">
        <v>155.47999999999999</v>
      </c>
      <c r="G60">
        <v>171.22</v>
      </c>
      <c r="H60">
        <v>221.85</v>
      </c>
      <c r="I60">
        <v>258.48</v>
      </c>
      <c r="J60">
        <v>358.97</v>
      </c>
      <c r="K60">
        <v>503.13</v>
      </c>
    </row>
    <row r="61" spans="1:11" s="1" customFormat="1">
      <c r="A61" s="1" t="s">
        <v>26</v>
      </c>
      <c r="B61">
        <v>360.06</v>
      </c>
      <c r="C61">
        <v>466.65</v>
      </c>
      <c r="D61">
        <v>486.24</v>
      </c>
      <c r="E61">
        <v>568.91</v>
      </c>
      <c r="F61">
        <v>687.46</v>
      </c>
      <c r="G61">
        <v>844.15</v>
      </c>
      <c r="H61">
        <v>1057.01</v>
      </c>
      <c r="I61">
        <v>1160.6500000000001</v>
      </c>
      <c r="J61">
        <v>1626.87</v>
      </c>
      <c r="K61">
        <v>2167.62</v>
      </c>
    </row>
    <row r="62" spans="1:11">
      <c r="A62" s="9" t="s">
        <v>27</v>
      </c>
      <c r="B62">
        <v>166.42</v>
      </c>
      <c r="C62">
        <v>322.14</v>
      </c>
      <c r="D62">
        <v>348.67</v>
      </c>
      <c r="E62">
        <v>361.19</v>
      </c>
      <c r="F62">
        <v>391.76</v>
      </c>
      <c r="G62">
        <v>503.67</v>
      </c>
      <c r="H62">
        <v>632.24</v>
      </c>
      <c r="I62">
        <v>647.23</v>
      </c>
      <c r="J62">
        <v>991.37</v>
      </c>
      <c r="K62">
        <v>1216.6099999999999</v>
      </c>
    </row>
    <row r="63" spans="1:11">
      <c r="A63" s="9" t="s">
        <v>28</v>
      </c>
      <c r="B63">
        <v>128.15</v>
      </c>
      <c r="C63">
        <v>33.049999999999997</v>
      </c>
      <c r="D63">
        <v>10.23</v>
      </c>
      <c r="E63">
        <v>8.49</v>
      </c>
      <c r="F63">
        <v>44.78</v>
      </c>
      <c r="G63">
        <v>106.31</v>
      </c>
      <c r="H63">
        <v>23.38</v>
      </c>
      <c r="I63">
        <v>32.53</v>
      </c>
      <c r="J63">
        <v>90.27</v>
      </c>
      <c r="K63">
        <v>259.33999999999997</v>
      </c>
    </row>
    <row r="64" spans="1:11">
      <c r="A64" s="9" t="s">
        <v>29</v>
      </c>
      <c r="B64">
        <v>0.14000000000000001</v>
      </c>
      <c r="F64">
        <v>0.68</v>
      </c>
      <c r="G64">
        <v>0.8</v>
      </c>
      <c r="H64">
        <v>0.8</v>
      </c>
      <c r="I64">
        <v>0.26</v>
      </c>
      <c r="J64">
        <v>0.25</v>
      </c>
      <c r="K64">
        <v>0.13</v>
      </c>
    </row>
    <row r="65" spans="1:11">
      <c r="A65" s="9" t="s">
        <v>74</v>
      </c>
      <c r="B65">
        <v>65.349999999999994</v>
      </c>
      <c r="C65">
        <v>111.46</v>
      </c>
      <c r="D65">
        <v>127.34</v>
      </c>
      <c r="E65">
        <v>199.23</v>
      </c>
      <c r="F65">
        <v>250.24</v>
      </c>
      <c r="G65">
        <v>233.37</v>
      </c>
      <c r="H65">
        <v>400.59</v>
      </c>
      <c r="I65">
        <v>480.63</v>
      </c>
      <c r="J65">
        <v>544.98</v>
      </c>
      <c r="K65">
        <v>691.54</v>
      </c>
    </row>
    <row r="66" spans="1:11" s="1" customFormat="1">
      <c r="A66" s="1" t="s">
        <v>26</v>
      </c>
      <c r="B66">
        <v>360.06</v>
      </c>
      <c r="C66">
        <v>466.65</v>
      </c>
      <c r="D66">
        <v>486.24</v>
      </c>
      <c r="E66">
        <v>568.91</v>
      </c>
      <c r="F66">
        <v>687.46</v>
      </c>
      <c r="G66">
        <v>844.15</v>
      </c>
      <c r="H66">
        <v>1057.01</v>
      </c>
      <c r="I66">
        <v>1160.6500000000001</v>
      </c>
      <c r="J66">
        <v>1626.87</v>
      </c>
      <c r="K66">
        <v>2167.62</v>
      </c>
    </row>
    <row r="67" spans="1:11" s="9" customFormat="1">
      <c r="A67" s="9" t="s">
        <v>79</v>
      </c>
      <c r="B67">
        <v>8.57</v>
      </c>
      <c r="C67">
        <v>13.66</v>
      </c>
      <c r="D67">
        <v>9.67</v>
      </c>
      <c r="E67">
        <v>8.6199999999999992</v>
      </c>
      <c r="F67">
        <v>42.78</v>
      </c>
      <c r="G67">
        <v>21.9</v>
      </c>
      <c r="H67">
        <v>12.63</v>
      </c>
      <c r="I67">
        <v>14.91</v>
      </c>
      <c r="J67">
        <v>40.96</v>
      </c>
      <c r="K67">
        <v>7.05</v>
      </c>
    </row>
    <row r="68" spans="1:11">
      <c r="A68" s="9" t="s">
        <v>45</v>
      </c>
      <c r="B68">
        <v>27.89</v>
      </c>
      <c r="C68">
        <v>57.06</v>
      </c>
      <c r="D68">
        <v>64.319999999999993</v>
      </c>
      <c r="E68">
        <v>141.22</v>
      </c>
      <c r="F68">
        <v>110.7</v>
      </c>
      <c r="G68">
        <v>88.56</v>
      </c>
      <c r="H68">
        <v>258.52999999999997</v>
      </c>
      <c r="I68">
        <v>346.77</v>
      </c>
      <c r="J68">
        <v>296.52999999999997</v>
      </c>
      <c r="K68">
        <v>383.73</v>
      </c>
    </row>
    <row r="69" spans="1:11">
      <c r="A69" s="5" t="s">
        <v>88</v>
      </c>
      <c r="B69">
        <v>6.05</v>
      </c>
      <c r="C69">
        <v>13.98</v>
      </c>
      <c r="D69">
        <v>10.02</v>
      </c>
      <c r="E69">
        <v>10.17</v>
      </c>
      <c r="F69">
        <v>30.23</v>
      </c>
      <c r="G69">
        <v>10.73</v>
      </c>
      <c r="H69">
        <v>23.57</v>
      </c>
      <c r="I69">
        <v>29.45</v>
      </c>
      <c r="J69">
        <v>55.32</v>
      </c>
      <c r="K69">
        <v>32.840000000000003</v>
      </c>
    </row>
    <row r="70" spans="1:11">
      <c r="A70" s="5" t="s">
        <v>75</v>
      </c>
      <c r="B70">
        <v>34009090</v>
      </c>
      <c r="C70">
        <v>34009090</v>
      </c>
      <c r="D70">
        <v>35962216</v>
      </c>
      <c r="E70">
        <v>107821648</v>
      </c>
      <c r="F70">
        <v>107821648</v>
      </c>
      <c r="G70">
        <v>107821648</v>
      </c>
      <c r="H70">
        <v>108821648</v>
      </c>
      <c r="I70">
        <v>108821648</v>
      </c>
      <c r="J70">
        <v>152298307</v>
      </c>
      <c r="K70">
        <v>152298307</v>
      </c>
    </row>
    <row r="71" spans="1:11">
      <c r="A71" s="5" t="s">
        <v>76</v>
      </c>
    </row>
    <row r="72" spans="1:11">
      <c r="A72" s="5" t="s">
        <v>89</v>
      </c>
      <c r="B72">
        <v>2</v>
      </c>
      <c r="C72">
        <v>2</v>
      </c>
      <c r="D72">
        <v>2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</row>
    <row r="74" spans="1:11">
      <c r="A74" s="9"/>
    </row>
    <row r="75" spans="1:11">
      <c r="A75" s="9"/>
    </row>
    <row r="76" spans="1:11">
      <c r="A76" s="9"/>
    </row>
    <row r="77" spans="1:11">
      <c r="A77" s="9"/>
    </row>
    <row r="78" spans="1:11">
      <c r="A78" s="9"/>
    </row>
    <row r="79" spans="1:11">
      <c r="A79" s="9"/>
    </row>
    <row r="80" spans="1:11">
      <c r="A80" s="1" t="s">
        <v>41</v>
      </c>
    </row>
    <row r="81" spans="1:11" s="24" customFormat="1">
      <c r="A81" s="23" t="s">
        <v>38</v>
      </c>
      <c r="B81" s="16">
        <v>39903</v>
      </c>
      <c r="C81" s="16">
        <v>40268</v>
      </c>
      <c r="D81" s="16">
        <v>40633</v>
      </c>
      <c r="E81" s="16">
        <v>40999</v>
      </c>
      <c r="F81" s="16">
        <v>41364</v>
      </c>
      <c r="G81" s="16">
        <v>41729</v>
      </c>
      <c r="H81" s="16">
        <v>42094</v>
      </c>
      <c r="I81" s="16">
        <v>42460</v>
      </c>
      <c r="J81" s="16">
        <v>42825</v>
      </c>
      <c r="K81" s="16">
        <v>43190</v>
      </c>
    </row>
    <row r="82" spans="1:11" s="1" customFormat="1">
      <c r="A82" s="9" t="s">
        <v>32</v>
      </c>
      <c r="B82">
        <v>55.8</v>
      </c>
      <c r="C82">
        <v>42.66</v>
      </c>
      <c r="D82">
        <v>74.25</v>
      </c>
      <c r="E82">
        <v>51.56</v>
      </c>
      <c r="F82">
        <v>142.82</v>
      </c>
      <c r="G82">
        <v>200.57</v>
      </c>
      <c r="H82">
        <v>61.51</v>
      </c>
      <c r="I82">
        <v>218.6</v>
      </c>
      <c r="J82">
        <v>432.77</v>
      </c>
      <c r="K82">
        <v>277.08</v>
      </c>
    </row>
    <row r="83" spans="1:11" s="9" customFormat="1">
      <c r="A83" s="9" t="s">
        <v>33</v>
      </c>
      <c r="B83">
        <v>-140.27000000000001</v>
      </c>
      <c r="C83">
        <v>-84.55</v>
      </c>
      <c r="D83">
        <v>-44.88</v>
      </c>
      <c r="E83">
        <v>-47.27</v>
      </c>
      <c r="F83">
        <v>-143.03</v>
      </c>
      <c r="G83">
        <v>-212.36</v>
      </c>
      <c r="H83">
        <v>-124.31</v>
      </c>
      <c r="I83">
        <v>-134.16</v>
      </c>
      <c r="J83">
        <v>-568.85</v>
      </c>
      <c r="K83">
        <v>-522.86</v>
      </c>
    </row>
    <row r="84" spans="1:11" s="9" customFormat="1">
      <c r="A84" s="9" t="s">
        <v>34</v>
      </c>
      <c r="B84">
        <v>78.67</v>
      </c>
      <c r="C84">
        <v>49.82</v>
      </c>
      <c r="D84">
        <v>-33.69</v>
      </c>
      <c r="E84">
        <v>-3.94</v>
      </c>
      <c r="F84">
        <v>0.53</v>
      </c>
      <c r="G84">
        <v>13.12</v>
      </c>
      <c r="H84">
        <v>75.62</v>
      </c>
      <c r="I84">
        <v>-78.58</v>
      </c>
      <c r="J84">
        <v>162.16</v>
      </c>
      <c r="K84">
        <v>222.92</v>
      </c>
    </row>
    <row r="85" spans="1:11" s="1" customFormat="1">
      <c r="A85" s="9" t="s">
        <v>35</v>
      </c>
      <c r="B85">
        <v>-5.8</v>
      </c>
      <c r="C85">
        <v>7.93</v>
      </c>
      <c r="D85">
        <v>-4.32</v>
      </c>
      <c r="E85">
        <v>0.35</v>
      </c>
      <c r="F85">
        <v>0.32</v>
      </c>
      <c r="G85">
        <v>1.33</v>
      </c>
      <c r="H85">
        <v>12.82</v>
      </c>
      <c r="I85">
        <v>5.86</v>
      </c>
      <c r="J85">
        <v>26.07</v>
      </c>
      <c r="K85">
        <v>-22.85</v>
      </c>
    </row>
    <row r="86" spans="1:11">
      <c r="A86" s="9"/>
    </row>
    <row r="87" spans="1:11">
      <c r="A87" s="9"/>
    </row>
    <row r="88" spans="1:11">
      <c r="A88" s="9"/>
    </row>
    <row r="89" spans="1:11">
      <c r="A89" s="9"/>
    </row>
    <row r="90" spans="1:11" s="1" customFormat="1">
      <c r="A90" s="1" t="s">
        <v>78</v>
      </c>
      <c r="B90">
        <v>11.886666999999999</v>
      </c>
      <c r="C90">
        <v>24.662856999999999</v>
      </c>
      <c r="D90">
        <v>45.481053000000003</v>
      </c>
      <c r="E90">
        <v>56.288499999999999</v>
      </c>
      <c r="F90">
        <v>70.158000000000001</v>
      </c>
      <c r="G90">
        <v>192.065789</v>
      </c>
      <c r="H90">
        <v>222.90649999999999</v>
      </c>
      <c r="I90">
        <v>304.72111100000001</v>
      </c>
      <c r="J90">
        <v>553.88210500000002</v>
      </c>
      <c r="K90">
        <v>725.11380999999994</v>
      </c>
    </row>
    <row r="92" spans="1:11" s="1" customFormat="1">
      <c r="A92" s="1" t="s">
        <v>77</v>
      </c>
    </row>
    <row r="93" spans="1:11">
      <c r="A93" s="5" t="s">
        <v>90</v>
      </c>
      <c r="B93" s="31">
        <f>IF($B7&gt;0,(B70*B72/$B7)+SUM(C71:$K71),0)/10000000</f>
        <v>6.8018179999999999</v>
      </c>
      <c r="C93" s="31">
        <f>IF($B7&gt;0,(C70*C72/$B7)+SUM(D71:$K71),0)/10000000</f>
        <v>6.8018179999999999</v>
      </c>
      <c r="D93" s="31">
        <f>IF($B7&gt;0,(D70*D72/$B7)+SUM(E71:$K71),0)/10000000</f>
        <v>7.1924431999999996</v>
      </c>
      <c r="E93" s="31">
        <f>IF($B7&gt;0,(E70*E72/$B7)+SUM(F71:$K71),0)/10000000</f>
        <v>10.7821648</v>
      </c>
      <c r="F93" s="31">
        <f>IF($B7&gt;0,(F70*F72/$B7)+SUM(G71:$K71),0)/10000000</f>
        <v>10.7821648</v>
      </c>
      <c r="G93" s="31">
        <f>IF($B7&gt;0,(G70*G72/$B7)+SUM(H71:$K71),0)/10000000</f>
        <v>10.7821648</v>
      </c>
      <c r="H93" s="31">
        <f>IF($B7&gt;0,(H70*H72/$B7)+SUM(I71:$K71),0)/10000000</f>
        <v>10.8821648</v>
      </c>
      <c r="I93" s="31">
        <f>IF($B7&gt;0,(I70*I72/$B7)+SUM(J71:$K71),0)/10000000</f>
        <v>10.8821648</v>
      </c>
      <c r="J93" s="31">
        <f>IF($B7&gt;0,(J70*J72/$B7)+SUM(K71:$K71),0)/10000000</f>
        <v>15.229830700000001</v>
      </c>
      <c r="K93" s="31">
        <f>IF($B7&gt;0,(K70*K72/$B7),0)/10000000</f>
        <v>15.229830700000001</v>
      </c>
    </row>
  </sheetData>
  <mergeCells count="2">
    <mergeCell ref="E1:K1"/>
    <mergeCell ref="E2:K2"/>
  </mergeCells>
  <conditionalFormatting sqref="E1:K1">
    <cfRule type="cellIs" dxfId="0" priority="1" operator="notEqual">
      <formula>""</formula>
    </cfRule>
  </conditionalFormatting>
  <hyperlinks>
    <hyperlink ref="E1:K1" r:id="rId1" display="https://www.screener.in/excel/" xr:uid="{00000000-0004-0000-05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CapitalStructure</vt:lpstr>
      <vt:lpstr>GOI30YBondYield</vt:lpstr>
      <vt:lpstr>Profit &amp; Loss</vt:lpstr>
      <vt:lpstr>Balance Sheet</vt:lpstr>
      <vt:lpstr>Quarters</vt:lpstr>
      <vt:lpstr>Cash Flow</vt:lpstr>
      <vt:lpstr>Customization</vt:lpstr>
      <vt:lpstr>Data Sheet</vt:lpstr>
      <vt:lpstr>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Pratyush</dc:creator>
  <cp:lastModifiedBy>Dinesh Sairam</cp:lastModifiedBy>
  <cp:lastPrinted>2012-12-06T18:14:13Z</cp:lastPrinted>
  <dcterms:created xsi:type="dcterms:W3CDTF">2012-08-17T09:55:37Z</dcterms:created>
  <dcterms:modified xsi:type="dcterms:W3CDTF">2018-09-08T08:25:26Z</dcterms:modified>
</cp:coreProperties>
</file>